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heepan.ramanan/Documents/PitchforkAnalysis/dataset/"/>
    </mc:Choice>
  </mc:AlternateContent>
  <bookViews>
    <workbookView xWindow="0" yWindow="460" windowWidth="28800" windowHeight="16380" tabRatio="500"/>
  </bookViews>
  <sheets>
    <sheet name="albumsentimen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A446" i="1"/>
  <c r="B446" i="1"/>
  <c r="C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A550" i="1"/>
  <c r="B550" i="1"/>
  <c r="C550" i="1"/>
  <c r="D550" i="1"/>
  <c r="A551" i="1"/>
  <c r="B551" i="1"/>
  <c r="C551" i="1"/>
  <c r="D551" i="1"/>
  <c r="A552" i="1"/>
  <c r="B552" i="1"/>
  <c r="C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A688" i="1"/>
  <c r="B688" i="1"/>
  <c r="C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A734" i="1"/>
  <c r="B734" i="1"/>
  <c r="C734" i="1"/>
  <c r="D734" i="1"/>
  <c r="A735" i="1"/>
  <c r="B735" i="1"/>
  <c r="C735" i="1"/>
  <c r="D735" i="1"/>
  <c r="A736" i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B756" i="1"/>
  <c r="C756" i="1"/>
  <c r="D756" i="1"/>
  <c r="A757" i="1"/>
  <c r="B757" i="1"/>
  <c r="C757" i="1"/>
  <c r="D757" i="1"/>
  <c r="A758" i="1"/>
  <c r="B758" i="1"/>
  <c r="C758" i="1"/>
  <c r="D758" i="1"/>
  <c r="A759" i="1"/>
  <c r="B759" i="1"/>
  <c r="C759" i="1"/>
  <c r="D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C765" i="1"/>
  <c r="D765" i="1"/>
  <c r="A766" i="1"/>
  <c r="B766" i="1"/>
  <c r="C766" i="1"/>
  <c r="D766" i="1"/>
  <c r="A767" i="1"/>
  <c r="B767" i="1"/>
  <c r="C767" i="1"/>
  <c r="D767" i="1"/>
  <c r="A768" i="1"/>
  <c r="B768" i="1"/>
  <c r="C768" i="1"/>
  <c r="D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A772" i="1"/>
  <c r="B772" i="1"/>
  <c r="C772" i="1"/>
  <c r="D772" i="1"/>
  <c r="A773" i="1"/>
  <c r="B773" i="1"/>
  <c r="C773" i="1"/>
  <c r="D773" i="1"/>
  <c r="A774" i="1"/>
  <c r="B774" i="1"/>
  <c r="C774" i="1"/>
  <c r="D774" i="1"/>
  <c r="A775" i="1"/>
  <c r="B775" i="1"/>
  <c r="C775" i="1"/>
  <c r="D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D779" i="1"/>
  <c r="A780" i="1"/>
  <c r="B780" i="1"/>
  <c r="C780" i="1"/>
  <c r="D780" i="1"/>
  <c r="A781" i="1"/>
  <c r="B781" i="1"/>
  <c r="C781" i="1"/>
  <c r="D781" i="1"/>
  <c r="A782" i="1"/>
  <c r="B782" i="1"/>
  <c r="C782" i="1"/>
  <c r="D782" i="1"/>
  <c r="A783" i="1"/>
  <c r="B783" i="1"/>
  <c r="C783" i="1"/>
  <c r="D783" i="1"/>
  <c r="A784" i="1"/>
  <c r="B784" i="1"/>
  <c r="C784" i="1"/>
  <c r="D784" i="1"/>
  <c r="A785" i="1"/>
  <c r="B785" i="1"/>
  <c r="C785" i="1"/>
  <c r="D785" i="1"/>
  <c r="A786" i="1"/>
  <c r="B786" i="1"/>
  <c r="C786" i="1"/>
  <c r="D786" i="1"/>
  <c r="A787" i="1"/>
  <c r="B787" i="1"/>
  <c r="C787" i="1"/>
  <c r="D787" i="1"/>
  <c r="A788" i="1"/>
  <c r="B788" i="1"/>
  <c r="C788" i="1"/>
  <c r="D788" i="1"/>
  <c r="A789" i="1"/>
  <c r="B789" i="1"/>
  <c r="C789" i="1"/>
  <c r="D789" i="1"/>
  <c r="A790" i="1"/>
  <c r="B790" i="1"/>
  <c r="C790" i="1"/>
  <c r="D790" i="1"/>
  <c r="A791" i="1"/>
  <c r="B791" i="1"/>
  <c r="C791" i="1"/>
  <c r="D791" i="1"/>
  <c r="A792" i="1"/>
  <c r="B792" i="1"/>
  <c r="C792" i="1"/>
  <c r="D792" i="1"/>
  <c r="A793" i="1"/>
  <c r="B793" i="1"/>
  <c r="C793" i="1"/>
  <c r="D793" i="1"/>
  <c r="A794" i="1"/>
  <c r="B794" i="1"/>
  <c r="C794" i="1"/>
  <c r="D794" i="1"/>
  <c r="A795" i="1"/>
  <c r="B795" i="1"/>
  <c r="C795" i="1"/>
  <c r="D795" i="1"/>
  <c r="A796" i="1"/>
  <c r="B796" i="1"/>
  <c r="C796" i="1"/>
  <c r="D796" i="1"/>
  <c r="A797" i="1"/>
  <c r="B797" i="1"/>
  <c r="C797" i="1"/>
  <c r="D797" i="1"/>
  <c r="A798" i="1"/>
  <c r="B798" i="1"/>
  <c r="C798" i="1"/>
  <c r="D798" i="1"/>
  <c r="A799" i="1"/>
  <c r="B799" i="1"/>
  <c r="C799" i="1"/>
  <c r="D799" i="1"/>
  <c r="A800" i="1"/>
  <c r="B800" i="1"/>
  <c r="C800" i="1"/>
  <c r="D800" i="1"/>
  <c r="A801" i="1"/>
  <c r="B801" i="1"/>
  <c r="C801" i="1"/>
  <c r="A802" i="1"/>
  <c r="B802" i="1"/>
  <c r="C802" i="1"/>
  <c r="D802" i="1"/>
  <c r="A803" i="1"/>
  <c r="B803" i="1"/>
  <c r="C803" i="1"/>
  <c r="D803" i="1"/>
  <c r="A804" i="1"/>
  <c r="B804" i="1"/>
  <c r="C804" i="1"/>
  <c r="D804" i="1"/>
  <c r="A805" i="1"/>
  <c r="B805" i="1"/>
  <c r="C805" i="1"/>
  <c r="D805" i="1"/>
  <c r="A806" i="1"/>
  <c r="B806" i="1"/>
  <c r="C806" i="1"/>
  <c r="D806" i="1"/>
  <c r="A807" i="1"/>
  <c r="B807" i="1"/>
  <c r="C807" i="1"/>
  <c r="D807" i="1"/>
  <c r="A808" i="1"/>
  <c r="B808" i="1"/>
  <c r="C808" i="1"/>
  <c r="D808" i="1"/>
  <c r="A809" i="1"/>
  <c r="B809" i="1"/>
  <c r="C809" i="1"/>
  <c r="D809" i="1"/>
  <c r="A810" i="1"/>
  <c r="B810" i="1"/>
  <c r="C810" i="1"/>
  <c r="D810" i="1"/>
  <c r="A811" i="1"/>
  <c r="B811" i="1"/>
  <c r="C811" i="1"/>
  <c r="D811" i="1"/>
  <c r="A812" i="1"/>
  <c r="B812" i="1"/>
  <c r="C812" i="1"/>
  <c r="D812" i="1"/>
  <c r="A813" i="1"/>
  <c r="B813" i="1"/>
  <c r="C813" i="1"/>
  <c r="D813" i="1"/>
  <c r="A814" i="1"/>
  <c r="B814" i="1"/>
  <c r="C814" i="1"/>
  <c r="D814" i="1"/>
  <c r="A815" i="1"/>
  <c r="B815" i="1"/>
  <c r="C815" i="1"/>
  <c r="D815" i="1"/>
  <c r="A816" i="1"/>
  <c r="B816" i="1"/>
  <c r="C816" i="1"/>
  <c r="D816" i="1"/>
  <c r="A817" i="1"/>
  <c r="B817" i="1"/>
  <c r="C817" i="1"/>
  <c r="D817" i="1"/>
  <c r="A818" i="1"/>
  <c r="B818" i="1"/>
  <c r="C818" i="1"/>
  <c r="D818" i="1"/>
  <c r="A819" i="1"/>
  <c r="B819" i="1"/>
  <c r="C819" i="1"/>
  <c r="D819" i="1"/>
  <c r="A820" i="1"/>
  <c r="B820" i="1"/>
  <c r="C820" i="1"/>
  <c r="D820" i="1"/>
  <c r="A821" i="1"/>
  <c r="B821" i="1"/>
  <c r="C821" i="1"/>
  <c r="D821" i="1"/>
  <c r="A822" i="1"/>
  <c r="B822" i="1"/>
  <c r="C822" i="1"/>
  <c r="D822" i="1"/>
  <c r="A823" i="1"/>
  <c r="B823" i="1"/>
  <c r="C823" i="1"/>
  <c r="D823" i="1"/>
  <c r="A824" i="1"/>
  <c r="B824" i="1"/>
  <c r="C824" i="1"/>
  <c r="D824" i="1"/>
  <c r="A825" i="1"/>
  <c r="B825" i="1"/>
  <c r="C825" i="1"/>
  <c r="D825" i="1"/>
  <c r="A826" i="1"/>
  <c r="B826" i="1"/>
  <c r="C826" i="1"/>
  <c r="D826" i="1"/>
  <c r="A827" i="1"/>
  <c r="B827" i="1"/>
  <c r="C827" i="1"/>
  <c r="D827" i="1"/>
  <c r="A828" i="1"/>
  <c r="B828" i="1"/>
  <c r="C828" i="1"/>
  <c r="D828" i="1"/>
  <c r="A829" i="1"/>
  <c r="B829" i="1"/>
  <c r="C829" i="1"/>
  <c r="D829" i="1"/>
  <c r="A830" i="1"/>
  <c r="B830" i="1"/>
  <c r="C830" i="1"/>
  <c r="D830" i="1"/>
  <c r="A831" i="1"/>
  <c r="B831" i="1"/>
  <c r="C831" i="1"/>
  <c r="D831" i="1"/>
  <c r="A832" i="1"/>
  <c r="B832" i="1"/>
  <c r="C832" i="1"/>
  <c r="D832" i="1"/>
  <c r="A833" i="1"/>
  <c r="B833" i="1"/>
  <c r="C833" i="1"/>
  <c r="D833" i="1"/>
  <c r="A834" i="1"/>
  <c r="B834" i="1"/>
  <c r="C834" i="1"/>
  <c r="D834" i="1"/>
  <c r="A835" i="1"/>
  <c r="B835" i="1"/>
  <c r="C835" i="1"/>
  <c r="D835" i="1"/>
  <c r="A836" i="1"/>
  <c r="B836" i="1"/>
  <c r="C836" i="1"/>
  <c r="A837" i="1"/>
  <c r="B837" i="1"/>
  <c r="C837" i="1"/>
  <c r="D837" i="1"/>
  <c r="A838" i="1"/>
  <c r="B838" i="1"/>
  <c r="C838" i="1"/>
  <c r="D838" i="1"/>
  <c r="A839" i="1"/>
  <c r="B839" i="1"/>
  <c r="C839" i="1"/>
  <c r="D839" i="1"/>
  <c r="A840" i="1"/>
  <c r="B840" i="1"/>
  <c r="C840" i="1"/>
  <c r="D840" i="1"/>
  <c r="A841" i="1"/>
  <c r="B841" i="1"/>
  <c r="C841" i="1"/>
  <c r="A842" i="1"/>
  <c r="B842" i="1"/>
  <c r="C842" i="1"/>
  <c r="D842" i="1"/>
  <c r="A843" i="1"/>
  <c r="B843" i="1"/>
  <c r="C843" i="1"/>
  <c r="D843" i="1"/>
  <c r="A844" i="1"/>
  <c r="B844" i="1"/>
  <c r="C844" i="1"/>
  <c r="D844" i="1"/>
  <c r="A845" i="1"/>
  <c r="B845" i="1"/>
  <c r="C845" i="1"/>
  <c r="D845" i="1"/>
  <c r="A846" i="1"/>
  <c r="B846" i="1"/>
  <c r="C846" i="1"/>
  <c r="D846" i="1"/>
  <c r="A847" i="1"/>
  <c r="B847" i="1"/>
  <c r="C847" i="1"/>
  <c r="A848" i="1"/>
  <c r="B848" i="1"/>
  <c r="C848" i="1"/>
  <c r="D848" i="1"/>
  <c r="A849" i="1"/>
  <c r="B849" i="1"/>
  <c r="C849" i="1"/>
  <c r="D849" i="1"/>
  <c r="A850" i="1"/>
  <c r="B850" i="1"/>
  <c r="C850" i="1"/>
  <c r="D850" i="1"/>
  <c r="A851" i="1"/>
  <c r="B851" i="1"/>
  <c r="C851" i="1"/>
  <c r="D851" i="1"/>
  <c r="A852" i="1"/>
  <c r="B852" i="1"/>
  <c r="C852" i="1"/>
  <c r="D852" i="1"/>
  <c r="A853" i="1"/>
  <c r="B853" i="1"/>
  <c r="C853" i="1"/>
  <c r="D853" i="1"/>
  <c r="A854" i="1"/>
  <c r="B854" i="1"/>
  <c r="C854" i="1"/>
  <c r="D854" i="1"/>
  <c r="A855" i="1"/>
  <c r="B855" i="1"/>
  <c r="C855" i="1"/>
  <c r="D855" i="1"/>
  <c r="A856" i="1"/>
  <c r="B856" i="1"/>
  <c r="C856" i="1"/>
  <c r="D856" i="1"/>
  <c r="A857" i="1"/>
  <c r="B857" i="1"/>
  <c r="C857" i="1"/>
  <c r="D857" i="1"/>
  <c r="A858" i="1"/>
  <c r="B858" i="1"/>
  <c r="C858" i="1"/>
  <c r="A859" i="1"/>
  <c r="B859" i="1"/>
  <c r="C859" i="1"/>
  <c r="D859" i="1"/>
  <c r="A860" i="1"/>
  <c r="B860" i="1"/>
  <c r="C860" i="1"/>
  <c r="D860" i="1"/>
  <c r="A861" i="1"/>
  <c r="B861" i="1"/>
  <c r="C861" i="1"/>
  <c r="D861" i="1"/>
  <c r="A862" i="1"/>
  <c r="B862" i="1"/>
  <c r="C862" i="1"/>
  <c r="D862" i="1"/>
  <c r="A863" i="1"/>
  <c r="B863" i="1"/>
  <c r="C863" i="1"/>
  <c r="D863" i="1"/>
  <c r="A864" i="1"/>
  <c r="B864" i="1"/>
  <c r="C864" i="1"/>
  <c r="D864" i="1"/>
  <c r="A865" i="1"/>
  <c r="B865" i="1"/>
  <c r="C865" i="1"/>
  <c r="D865" i="1"/>
  <c r="A866" i="1"/>
  <c r="B866" i="1"/>
  <c r="C866" i="1"/>
  <c r="D866" i="1"/>
  <c r="A867" i="1"/>
  <c r="B867" i="1"/>
  <c r="C867" i="1"/>
  <c r="D867" i="1"/>
  <c r="A868" i="1"/>
  <c r="B868" i="1"/>
  <c r="C868" i="1"/>
  <c r="D868" i="1"/>
  <c r="A869" i="1"/>
  <c r="B869" i="1"/>
  <c r="C869" i="1"/>
  <c r="D869" i="1"/>
  <c r="A870" i="1"/>
  <c r="B870" i="1"/>
  <c r="C870" i="1"/>
  <c r="D870" i="1"/>
  <c r="A871" i="1"/>
  <c r="B871" i="1"/>
  <c r="C871" i="1"/>
  <c r="D871" i="1"/>
  <c r="A872" i="1"/>
  <c r="B872" i="1"/>
  <c r="C872" i="1"/>
  <c r="D872" i="1"/>
  <c r="A873" i="1"/>
  <c r="B873" i="1"/>
  <c r="C873" i="1"/>
  <c r="D873" i="1"/>
  <c r="A874" i="1"/>
  <c r="B874" i="1"/>
  <c r="C874" i="1"/>
  <c r="D874" i="1"/>
  <c r="A875" i="1"/>
  <c r="B875" i="1"/>
  <c r="C875" i="1"/>
  <c r="D875" i="1"/>
  <c r="A876" i="1"/>
  <c r="B876" i="1"/>
  <c r="C876" i="1"/>
  <c r="D876" i="1"/>
  <c r="A877" i="1"/>
  <c r="B877" i="1"/>
  <c r="C877" i="1"/>
  <c r="D877" i="1"/>
  <c r="A878" i="1"/>
  <c r="B878" i="1"/>
  <c r="C878" i="1"/>
  <c r="D878" i="1"/>
  <c r="A879" i="1"/>
  <c r="B879" i="1"/>
  <c r="C879" i="1"/>
  <c r="D879" i="1"/>
  <c r="A880" i="1"/>
  <c r="B880" i="1"/>
  <c r="C880" i="1"/>
  <c r="D880" i="1"/>
  <c r="A881" i="1"/>
  <c r="B881" i="1"/>
  <c r="C881" i="1"/>
  <c r="D881" i="1"/>
  <c r="A882" i="1"/>
  <c r="B882" i="1"/>
  <c r="C882" i="1"/>
  <c r="D882" i="1"/>
  <c r="A883" i="1"/>
  <c r="B883" i="1"/>
  <c r="C883" i="1"/>
  <c r="D883" i="1"/>
  <c r="A884" i="1"/>
  <c r="B884" i="1"/>
  <c r="C884" i="1"/>
  <c r="D884" i="1"/>
  <c r="A885" i="1"/>
  <c r="B885" i="1"/>
  <c r="C885" i="1"/>
  <c r="D885" i="1"/>
  <c r="A886" i="1"/>
  <c r="B886" i="1"/>
  <c r="C886" i="1"/>
  <c r="D886" i="1"/>
  <c r="A887" i="1"/>
  <c r="B887" i="1"/>
  <c r="C887" i="1"/>
  <c r="D887" i="1"/>
  <c r="A888" i="1"/>
  <c r="B888" i="1"/>
  <c r="C888" i="1"/>
  <c r="D888" i="1"/>
  <c r="A889" i="1"/>
  <c r="B889" i="1"/>
  <c r="C889" i="1"/>
  <c r="D889" i="1"/>
  <c r="A890" i="1"/>
  <c r="B890" i="1"/>
  <c r="C890" i="1"/>
  <c r="D890" i="1"/>
  <c r="A891" i="1"/>
  <c r="B891" i="1"/>
  <c r="C891" i="1"/>
  <c r="D891" i="1"/>
  <c r="A892" i="1"/>
  <c r="B892" i="1"/>
  <c r="C892" i="1"/>
  <c r="D892" i="1"/>
  <c r="A893" i="1"/>
  <c r="B893" i="1"/>
  <c r="C893" i="1"/>
  <c r="D893" i="1"/>
  <c r="A894" i="1"/>
  <c r="B894" i="1"/>
  <c r="C894" i="1"/>
  <c r="D894" i="1"/>
  <c r="A895" i="1"/>
  <c r="B895" i="1"/>
  <c r="C895" i="1"/>
  <c r="D895" i="1"/>
  <c r="A896" i="1"/>
  <c r="B896" i="1"/>
  <c r="C896" i="1"/>
  <c r="D896" i="1"/>
  <c r="A897" i="1"/>
  <c r="B897" i="1"/>
  <c r="C897" i="1"/>
  <c r="D897" i="1"/>
  <c r="A898" i="1"/>
  <c r="B898" i="1"/>
  <c r="C898" i="1"/>
  <c r="D898" i="1"/>
  <c r="A899" i="1"/>
  <c r="B899" i="1"/>
  <c r="C899" i="1"/>
  <c r="D899" i="1"/>
  <c r="A900" i="1"/>
  <c r="B900" i="1"/>
  <c r="C900" i="1"/>
  <c r="D900" i="1"/>
  <c r="A901" i="1"/>
  <c r="B901" i="1"/>
  <c r="C901" i="1"/>
  <c r="D901" i="1"/>
  <c r="A902" i="1"/>
  <c r="B902" i="1"/>
  <c r="C902" i="1"/>
  <c r="D902" i="1"/>
  <c r="A903" i="1"/>
  <c r="B903" i="1"/>
  <c r="C903" i="1"/>
  <c r="D903" i="1"/>
  <c r="A904" i="1"/>
  <c r="B904" i="1"/>
  <c r="C904" i="1"/>
  <c r="D904" i="1"/>
  <c r="A905" i="1"/>
  <c r="B905" i="1"/>
  <c r="C905" i="1"/>
  <c r="A906" i="1"/>
  <c r="B906" i="1"/>
  <c r="C906" i="1"/>
  <c r="D906" i="1"/>
  <c r="A907" i="1"/>
  <c r="B907" i="1"/>
  <c r="C907" i="1"/>
  <c r="D907" i="1"/>
  <c r="A908" i="1"/>
  <c r="B908" i="1"/>
  <c r="C908" i="1"/>
  <c r="D908" i="1"/>
  <c r="A909" i="1"/>
  <c r="B909" i="1"/>
  <c r="C909" i="1"/>
  <c r="D909" i="1"/>
  <c r="A910" i="1"/>
  <c r="B910" i="1"/>
  <c r="C910" i="1"/>
  <c r="D910" i="1"/>
  <c r="A911" i="1"/>
  <c r="B911" i="1"/>
  <c r="C911" i="1"/>
  <c r="D911" i="1"/>
  <c r="A912" i="1"/>
  <c r="B912" i="1"/>
  <c r="C912" i="1"/>
  <c r="D912" i="1"/>
  <c r="A913" i="1"/>
  <c r="B913" i="1"/>
  <c r="C913" i="1"/>
  <c r="D913" i="1"/>
  <c r="A914" i="1"/>
  <c r="B914" i="1"/>
  <c r="C914" i="1"/>
  <c r="D914" i="1"/>
  <c r="A915" i="1"/>
  <c r="B915" i="1"/>
  <c r="C915" i="1"/>
  <c r="D915" i="1"/>
  <c r="A916" i="1"/>
  <c r="B916" i="1"/>
  <c r="C916" i="1"/>
  <c r="A917" i="1"/>
  <c r="B917" i="1"/>
  <c r="C917" i="1"/>
  <c r="D917" i="1"/>
  <c r="A918" i="1"/>
  <c r="B918" i="1"/>
  <c r="C918" i="1"/>
  <c r="D918" i="1"/>
  <c r="A919" i="1"/>
  <c r="B919" i="1"/>
  <c r="C919" i="1"/>
  <c r="D919" i="1"/>
  <c r="A920" i="1"/>
  <c r="B920" i="1"/>
  <c r="C920" i="1"/>
  <c r="D920" i="1"/>
  <c r="A921" i="1"/>
  <c r="B921" i="1"/>
  <c r="C921" i="1"/>
  <c r="D921" i="1"/>
  <c r="A922" i="1"/>
  <c r="B922" i="1"/>
  <c r="C922" i="1"/>
  <c r="D922" i="1"/>
  <c r="A923" i="1"/>
  <c r="B923" i="1"/>
  <c r="C923" i="1"/>
  <c r="D923" i="1"/>
  <c r="A924" i="1"/>
  <c r="B924" i="1"/>
  <c r="C924" i="1"/>
  <c r="D924" i="1"/>
  <c r="A925" i="1"/>
  <c r="B925" i="1"/>
  <c r="C925" i="1"/>
  <c r="D925" i="1"/>
  <c r="A926" i="1"/>
  <c r="B926" i="1"/>
  <c r="C926" i="1"/>
  <c r="D926" i="1"/>
  <c r="A927" i="1"/>
  <c r="B927" i="1"/>
  <c r="C927" i="1"/>
  <c r="D927" i="1"/>
  <c r="A928" i="1"/>
  <c r="B928" i="1"/>
  <c r="C928" i="1"/>
  <c r="D928" i="1"/>
  <c r="A929" i="1"/>
  <c r="B929" i="1"/>
  <c r="C929" i="1"/>
  <c r="D929" i="1"/>
  <c r="A930" i="1"/>
  <c r="B930" i="1"/>
  <c r="C930" i="1"/>
  <c r="D930" i="1"/>
  <c r="A931" i="1"/>
  <c r="B931" i="1"/>
  <c r="C931" i="1"/>
  <c r="D931" i="1"/>
  <c r="A932" i="1"/>
  <c r="B932" i="1"/>
  <c r="C932" i="1"/>
  <c r="D932" i="1"/>
  <c r="A933" i="1"/>
  <c r="B933" i="1"/>
  <c r="C933" i="1"/>
  <c r="D933" i="1"/>
  <c r="A934" i="1"/>
  <c r="B934" i="1"/>
  <c r="C934" i="1"/>
  <c r="D934" i="1"/>
  <c r="A935" i="1"/>
  <c r="B935" i="1"/>
  <c r="C935" i="1"/>
  <c r="D935" i="1"/>
  <c r="A936" i="1"/>
  <c r="B936" i="1"/>
  <c r="C936" i="1"/>
  <c r="D936" i="1"/>
  <c r="A937" i="1"/>
  <c r="B937" i="1"/>
  <c r="C937" i="1"/>
  <c r="D937" i="1"/>
  <c r="A938" i="1"/>
  <c r="B938" i="1"/>
  <c r="C938" i="1"/>
  <c r="D938" i="1"/>
  <c r="A939" i="1"/>
  <c r="B939" i="1"/>
  <c r="C939" i="1"/>
  <c r="D939" i="1"/>
  <c r="A940" i="1"/>
  <c r="B940" i="1"/>
  <c r="C940" i="1"/>
  <c r="D940" i="1"/>
  <c r="A941" i="1"/>
  <c r="B941" i="1"/>
  <c r="C941" i="1"/>
  <c r="D941" i="1"/>
  <c r="A942" i="1"/>
  <c r="B942" i="1"/>
  <c r="C942" i="1"/>
  <c r="D942" i="1"/>
  <c r="A943" i="1"/>
  <c r="B943" i="1"/>
  <c r="C943" i="1"/>
  <c r="D943" i="1"/>
  <c r="A944" i="1"/>
  <c r="B944" i="1"/>
  <c r="C944" i="1"/>
  <c r="D944" i="1"/>
  <c r="A945" i="1"/>
  <c r="B945" i="1"/>
  <c r="C945" i="1"/>
  <c r="D945" i="1"/>
  <c r="A946" i="1"/>
  <c r="B946" i="1"/>
  <c r="C946" i="1"/>
  <c r="D946" i="1"/>
  <c r="A947" i="1"/>
  <c r="B947" i="1"/>
  <c r="C947" i="1"/>
  <c r="D947" i="1"/>
  <c r="A948" i="1"/>
  <c r="B948" i="1"/>
  <c r="C948" i="1"/>
  <c r="D948" i="1"/>
  <c r="A949" i="1"/>
  <c r="B949" i="1"/>
  <c r="C949" i="1"/>
  <c r="D949" i="1"/>
  <c r="A950" i="1"/>
  <c r="B950" i="1"/>
  <c r="C950" i="1"/>
  <c r="D950" i="1"/>
  <c r="A951" i="1"/>
  <c r="B951" i="1"/>
  <c r="C951" i="1"/>
  <c r="D951" i="1"/>
  <c r="A952" i="1"/>
  <c r="B952" i="1"/>
  <c r="C952" i="1"/>
  <c r="D952" i="1"/>
  <c r="A953" i="1"/>
  <c r="B953" i="1"/>
  <c r="C953" i="1"/>
  <c r="D953" i="1"/>
  <c r="A954" i="1"/>
  <c r="B954" i="1"/>
  <c r="C954" i="1"/>
  <c r="D954" i="1"/>
  <c r="A955" i="1"/>
  <c r="B955" i="1"/>
  <c r="C955" i="1"/>
  <c r="D955" i="1"/>
  <c r="A956" i="1"/>
  <c r="B956" i="1"/>
  <c r="C956" i="1"/>
  <c r="D956" i="1"/>
  <c r="A957" i="1"/>
  <c r="B957" i="1"/>
  <c r="C957" i="1"/>
  <c r="D957" i="1"/>
  <c r="A958" i="1"/>
  <c r="B958" i="1"/>
  <c r="C958" i="1"/>
  <c r="D958" i="1"/>
  <c r="A959" i="1"/>
  <c r="B959" i="1"/>
  <c r="C959" i="1"/>
  <c r="D959" i="1"/>
  <c r="A960" i="1"/>
  <c r="B960" i="1"/>
  <c r="C960" i="1"/>
  <c r="D960" i="1"/>
  <c r="A961" i="1"/>
  <c r="B961" i="1"/>
  <c r="C961" i="1"/>
  <c r="D961" i="1"/>
  <c r="A962" i="1"/>
  <c r="B962" i="1"/>
  <c r="C962" i="1"/>
  <c r="D962" i="1"/>
  <c r="A963" i="1"/>
  <c r="B963" i="1"/>
  <c r="C963" i="1"/>
  <c r="D963" i="1"/>
  <c r="A964" i="1"/>
  <c r="B964" i="1"/>
  <c r="C964" i="1"/>
  <c r="D964" i="1"/>
  <c r="A965" i="1"/>
  <c r="B965" i="1"/>
  <c r="C965" i="1"/>
  <c r="D965" i="1"/>
  <c r="A966" i="1"/>
  <c r="B966" i="1"/>
  <c r="C966" i="1"/>
  <c r="D966" i="1"/>
  <c r="A967" i="1"/>
  <c r="B967" i="1"/>
  <c r="C967" i="1"/>
  <c r="D967" i="1"/>
  <c r="A968" i="1"/>
  <c r="B968" i="1"/>
  <c r="C968" i="1"/>
  <c r="D968" i="1"/>
  <c r="A969" i="1"/>
  <c r="B969" i="1"/>
  <c r="C969" i="1"/>
  <c r="D969" i="1"/>
  <c r="A970" i="1"/>
  <c r="B970" i="1"/>
  <c r="C970" i="1"/>
  <c r="D970" i="1"/>
  <c r="A971" i="1"/>
  <c r="B971" i="1"/>
  <c r="C971" i="1"/>
  <c r="D971" i="1"/>
  <c r="A972" i="1"/>
  <c r="B972" i="1"/>
  <c r="C972" i="1"/>
  <c r="D972" i="1"/>
  <c r="A973" i="1"/>
  <c r="B973" i="1"/>
  <c r="C973" i="1"/>
  <c r="D973" i="1"/>
  <c r="A974" i="1"/>
  <c r="B974" i="1"/>
  <c r="C974" i="1"/>
  <c r="D974" i="1"/>
  <c r="A975" i="1"/>
  <c r="B975" i="1"/>
  <c r="C975" i="1"/>
  <c r="D975" i="1"/>
  <c r="A976" i="1"/>
  <c r="B976" i="1"/>
  <c r="C976" i="1"/>
  <c r="D976" i="1"/>
  <c r="A977" i="1"/>
  <c r="B977" i="1"/>
  <c r="C977" i="1"/>
  <c r="D977" i="1"/>
  <c r="A978" i="1"/>
  <c r="B978" i="1"/>
  <c r="C978" i="1"/>
  <c r="D978" i="1"/>
  <c r="A979" i="1"/>
  <c r="B979" i="1"/>
  <c r="C979" i="1"/>
  <c r="D979" i="1"/>
  <c r="A980" i="1"/>
  <c r="B980" i="1"/>
  <c r="C980" i="1"/>
  <c r="D980" i="1"/>
  <c r="A981" i="1"/>
  <c r="B981" i="1"/>
  <c r="C981" i="1"/>
  <c r="D981" i="1"/>
  <c r="A982" i="1"/>
  <c r="B982" i="1"/>
  <c r="C982" i="1"/>
  <c r="D982" i="1"/>
  <c r="A983" i="1"/>
  <c r="B983" i="1"/>
  <c r="C983" i="1"/>
  <c r="D983" i="1"/>
  <c r="A984" i="1"/>
  <c r="B984" i="1"/>
  <c r="C984" i="1"/>
  <c r="D984" i="1"/>
  <c r="A985" i="1"/>
  <c r="B985" i="1"/>
  <c r="C985" i="1"/>
  <c r="D985" i="1"/>
  <c r="A986" i="1"/>
  <c r="B986" i="1"/>
  <c r="C986" i="1"/>
  <c r="D986" i="1"/>
  <c r="A987" i="1"/>
  <c r="B987" i="1"/>
  <c r="C987" i="1"/>
  <c r="D987" i="1"/>
  <c r="A988" i="1"/>
  <c r="B988" i="1"/>
  <c r="C988" i="1"/>
  <c r="D988" i="1"/>
  <c r="A989" i="1"/>
  <c r="B989" i="1"/>
  <c r="C989" i="1"/>
  <c r="D989" i="1"/>
  <c r="A990" i="1"/>
  <c r="B990" i="1"/>
  <c r="C990" i="1"/>
  <c r="D990" i="1"/>
  <c r="A991" i="1"/>
  <c r="B991" i="1"/>
  <c r="C991" i="1"/>
  <c r="D991" i="1"/>
  <c r="A992" i="1"/>
  <c r="B992" i="1"/>
  <c r="C992" i="1"/>
  <c r="D992" i="1"/>
  <c r="A993" i="1"/>
  <c r="B993" i="1"/>
  <c r="C993" i="1"/>
  <c r="D993" i="1"/>
  <c r="A994" i="1"/>
  <c r="B994" i="1"/>
  <c r="C994" i="1"/>
  <c r="D994" i="1"/>
  <c r="A995" i="1"/>
  <c r="B995" i="1"/>
  <c r="C995" i="1"/>
  <c r="D995" i="1"/>
  <c r="A996" i="1"/>
  <c r="B996" i="1"/>
  <c r="C996" i="1"/>
  <c r="D996" i="1"/>
  <c r="A997" i="1"/>
  <c r="B997" i="1"/>
  <c r="C997" i="1"/>
  <c r="D997" i="1"/>
  <c r="A998" i="1"/>
  <c r="B998" i="1"/>
  <c r="C998" i="1"/>
  <c r="D998" i="1"/>
  <c r="A999" i="1"/>
  <c r="B999" i="1"/>
  <c r="C999" i="1"/>
  <c r="D999" i="1"/>
  <c r="A1000" i="1"/>
  <c r="B1000" i="1"/>
  <c r="C1000" i="1"/>
  <c r="D1000" i="1"/>
  <c r="A1001" i="1"/>
  <c r="B1001" i="1"/>
  <c r="C1001" i="1"/>
  <c r="D1001" i="1"/>
  <c r="A1002" i="1"/>
  <c r="B1002" i="1"/>
  <c r="C1002" i="1"/>
  <c r="D1002" i="1"/>
  <c r="A1003" i="1"/>
  <c r="B1003" i="1"/>
  <c r="C1003" i="1"/>
  <c r="D1003" i="1"/>
  <c r="A1004" i="1"/>
  <c r="B1004" i="1"/>
  <c r="C1004" i="1"/>
  <c r="D1004" i="1"/>
  <c r="A1005" i="1"/>
  <c r="B1005" i="1"/>
  <c r="C1005" i="1"/>
  <c r="D1005" i="1"/>
  <c r="A1006" i="1"/>
  <c r="B1006" i="1"/>
  <c r="C1006" i="1"/>
  <c r="D1006" i="1"/>
  <c r="A1007" i="1"/>
  <c r="B1007" i="1"/>
  <c r="C1007" i="1"/>
  <c r="D1007" i="1"/>
  <c r="A1008" i="1"/>
  <c r="B1008" i="1"/>
  <c r="C1008" i="1"/>
  <c r="D1008" i="1"/>
  <c r="A1009" i="1"/>
  <c r="B1009" i="1"/>
  <c r="C1009" i="1"/>
  <c r="D1009" i="1"/>
  <c r="A1010" i="1"/>
  <c r="B1010" i="1"/>
  <c r="C1010" i="1"/>
  <c r="D1010" i="1"/>
  <c r="A1011" i="1"/>
  <c r="B1011" i="1"/>
  <c r="C1011" i="1"/>
  <c r="D1011" i="1"/>
  <c r="A1012" i="1"/>
  <c r="B1012" i="1"/>
  <c r="C1012" i="1"/>
  <c r="D1012" i="1"/>
  <c r="A1013" i="1"/>
  <c r="B1013" i="1"/>
  <c r="C1013" i="1"/>
  <c r="D1013" i="1"/>
  <c r="A1014" i="1"/>
  <c r="B1014" i="1"/>
  <c r="C1014" i="1"/>
  <c r="D1014" i="1"/>
  <c r="A1015" i="1"/>
  <c r="B1015" i="1"/>
  <c r="C1015" i="1"/>
  <c r="D1015" i="1"/>
  <c r="A1016" i="1"/>
  <c r="B1016" i="1"/>
  <c r="C1016" i="1"/>
  <c r="D1016" i="1"/>
  <c r="A1017" i="1"/>
  <c r="B1017" i="1"/>
  <c r="C1017" i="1"/>
  <c r="D1017" i="1"/>
  <c r="A1018" i="1"/>
  <c r="B1018" i="1"/>
  <c r="C1018" i="1"/>
  <c r="D1018" i="1"/>
  <c r="A1019" i="1"/>
  <c r="B1019" i="1"/>
  <c r="C1019" i="1"/>
  <c r="D1019" i="1"/>
  <c r="A1020" i="1"/>
  <c r="B1020" i="1"/>
  <c r="C1020" i="1"/>
  <c r="D1020" i="1"/>
  <c r="A1021" i="1"/>
  <c r="B1021" i="1"/>
  <c r="C1021" i="1"/>
  <c r="D1021" i="1"/>
  <c r="A1022" i="1"/>
  <c r="B1022" i="1"/>
  <c r="C1022" i="1"/>
  <c r="D1022" i="1"/>
  <c r="A1023" i="1"/>
  <c r="B1023" i="1"/>
  <c r="C1023" i="1"/>
  <c r="D1023" i="1"/>
  <c r="A1024" i="1"/>
  <c r="B1024" i="1"/>
  <c r="C1024" i="1"/>
  <c r="D1024" i="1"/>
  <c r="A1025" i="1"/>
  <c r="B1025" i="1"/>
  <c r="C1025" i="1"/>
  <c r="D1025" i="1"/>
  <c r="A1026" i="1"/>
  <c r="B1026" i="1"/>
  <c r="C1026" i="1"/>
  <c r="D1026" i="1"/>
  <c r="A1027" i="1"/>
  <c r="B1027" i="1"/>
  <c r="C1027" i="1"/>
  <c r="D1027" i="1"/>
  <c r="A1028" i="1"/>
  <c r="B1028" i="1"/>
  <c r="C1028" i="1"/>
  <c r="D1028" i="1"/>
  <c r="A1029" i="1"/>
  <c r="B1029" i="1"/>
  <c r="C1029" i="1"/>
  <c r="D1029" i="1"/>
  <c r="A1030" i="1"/>
  <c r="B1030" i="1"/>
  <c r="C1030" i="1"/>
  <c r="D1030" i="1"/>
  <c r="A1031" i="1"/>
  <c r="B1031" i="1"/>
  <c r="C1031" i="1"/>
  <c r="D1031" i="1"/>
  <c r="A1032" i="1"/>
  <c r="B1032" i="1"/>
  <c r="C1032" i="1"/>
  <c r="D1032" i="1"/>
  <c r="A1033" i="1"/>
  <c r="B1033" i="1"/>
  <c r="C1033" i="1"/>
  <c r="D1033" i="1"/>
  <c r="A1034" i="1"/>
  <c r="B1034" i="1"/>
  <c r="C1034" i="1"/>
  <c r="D1034" i="1"/>
  <c r="A1035" i="1"/>
  <c r="B1035" i="1"/>
  <c r="C1035" i="1"/>
  <c r="D1035" i="1"/>
  <c r="A1036" i="1"/>
  <c r="B1036" i="1"/>
  <c r="C1036" i="1"/>
  <c r="D1036" i="1"/>
  <c r="A1037" i="1"/>
  <c r="B1037" i="1"/>
  <c r="C1037" i="1"/>
  <c r="D1037" i="1"/>
  <c r="A1038" i="1"/>
  <c r="B1038" i="1"/>
  <c r="C1038" i="1"/>
  <c r="D1038" i="1"/>
  <c r="A1039" i="1"/>
  <c r="B1039" i="1"/>
  <c r="C1039" i="1"/>
  <c r="D1039" i="1"/>
  <c r="A1040" i="1"/>
  <c r="B1040" i="1"/>
  <c r="C1040" i="1"/>
  <c r="D1040" i="1"/>
  <c r="A1041" i="1"/>
  <c r="B1041" i="1"/>
  <c r="C1041" i="1"/>
  <c r="D1041" i="1"/>
  <c r="A1042" i="1"/>
  <c r="B1042" i="1"/>
  <c r="C1042" i="1"/>
  <c r="D1042" i="1"/>
  <c r="A1043" i="1"/>
  <c r="B1043" i="1"/>
  <c r="C1043" i="1"/>
  <c r="D1043" i="1"/>
  <c r="A1044" i="1"/>
  <c r="B1044" i="1"/>
  <c r="C1044" i="1"/>
  <c r="D1044" i="1"/>
  <c r="A1045" i="1"/>
  <c r="B1045" i="1"/>
  <c r="C1045" i="1"/>
  <c r="D1045" i="1"/>
  <c r="A1046" i="1"/>
  <c r="B1046" i="1"/>
  <c r="C1046" i="1"/>
  <c r="A1047" i="1"/>
  <c r="B1047" i="1"/>
  <c r="C1047" i="1"/>
  <c r="D1047" i="1"/>
  <c r="A1048" i="1"/>
  <c r="B1048" i="1"/>
  <c r="C1048" i="1"/>
  <c r="D1048" i="1"/>
  <c r="A1049" i="1"/>
  <c r="B1049" i="1"/>
  <c r="C1049" i="1"/>
  <c r="D1049" i="1"/>
  <c r="A1050" i="1"/>
  <c r="B1050" i="1"/>
  <c r="C1050" i="1"/>
  <c r="D1050" i="1"/>
  <c r="A1051" i="1"/>
  <c r="B1051" i="1"/>
  <c r="C1051" i="1"/>
  <c r="D1051" i="1"/>
  <c r="A1052" i="1"/>
  <c r="B1052" i="1"/>
  <c r="C1052" i="1"/>
  <c r="D1052" i="1"/>
  <c r="A1053" i="1"/>
  <c r="B1053" i="1"/>
  <c r="C1053" i="1"/>
  <c r="D1053" i="1"/>
  <c r="A1054" i="1"/>
  <c r="B1054" i="1"/>
  <c r="C1054" i="1"/>
  <c r="D1054" i="1"/>
  <c r="A1055" i="1"/>
  <c r="B1055" i="1"/>
  <c r="C1055" i="1"/>
  <c r="D1055" i="1"/>
  <c r="A1056" i="1"/>
  <c r="B1056" i="1"/>
  <c r="C1056" i="1"/>
  <c r="D1056" i="1"/>
  <c r="A1057" i="1"/>
  <c r="B1057" i="1"/>
  <c r="C1057" i="1"/>
  <c r="D1057" i="1"/>
  <c r="A1058" i="1"/>
  <c r="B1058" i="1"/>
  <c r="C1058" i="1"/>
  <c r="D1058" i="1"/>
  <c r="A1059" i="1"/>
  <c r="B1059" i="1"/>
  <c r="C1059" i="1"/>
  <c r="D1059" i="1"/>
  <c r="A1060" i="1"/>
  <c r="B1060" i="1"/>
  <c r="C1060" i="1"/>
  <c r="D1060" i="1"/>
  <c r="A1061" i="1"/>
  <c r="B1061" i="1"/>
  <c r="C1061" i="1"/>
  <c r="D1061" i="1"/>
  <c r="A1062" i="1"/>
  <c r="B1062" i="1"/>
  <c r="C1062" i="1"/>
  <c r="D1062" i="1"/>
  <c r="A1063" i="1"/>
  <c r="B1063" i="1"/>
  <c r="C1063" i="1"/>
  <c r="D1063" i="1"/>
  <c r="A1064" i="1"/>
  <c r="B1064" i="1"/>
  <c r="C1064" i="1"/>
  <c r="D1064" i="1"/>
  <c r="A1065" i="1"/>
  <c r="B1065" i="1"/>
  <c r="C1065" i="1"/>
  <c r="D1065" i="1"/>
  <c r="A1066" i="1"/>
  <c r="B1066" i="1"/>
  <c r="C1066" i="1"/>
  <c r="D1066" i="1"/>
  <c r="A1067" i="1"/>
  <c r="B1067" i="1"/>
  <c r="C1067" i="1"/>
  <c r="D1067" i="1"/>
  <c r="A1068" i="1"/>
  <c r="B1068" i="1"/>
  <c r="C1068" i="1"/>
  <c r="D1068" i="1"/>
  <c r="A1069" i="1"/>
  <c r="B1069" i="1"/>
  <c r="C1069" i="1"/>
  <c r="D1069" i="1"/>
  <c r="A1070" i="1"/>
  <c r="B1070" i="1"/>
  <c r="C1070" i="1"/>
  <c r="D1070" i="1"/>
  <c r="A1071" i="1"/>
  <c r="B1071" i="1"/>
  <c r="C1071" i="1"/>
  <c r="D1071" i="1"/>
  <c r="A1072" i="1"/>
  <c r="B1072" i="1"/>
  <c r="C1072" i="1"/>
  <c r="D1072" i="1"/>
  <c r="A1073" i="1"/>
  <c r="B1073" i="1"/>
  <c r="C1073" i="1"/>
  <c r="D1073" i="1"/>
  <c r="A1074" i="1"/>
  <c r="B1074" i="1"/>
  <c r="C1074" i="1"/>
  <c r="D1074" i="1"/>
  <c r="A1075" i="1"/>
  <c r="B1075" i="1"/>
  <c r="C1075" i="1"/>
  <c r="D1075" i="1"/>
  <c r="A1076" i="1"/>
  <c r="B1076" i="1"/>
  <c r="C1076" i="1"/>
  <c r="D1076" i="1"/>
  <c r="A1077" i="1"/>
  <c r="B1077" i="1"/>
  <c r="C1077" i="1"/>
  <c r="D1077" i="1"/>
  <c r="A1078" i="1"/>
  <c r="B1078" i="1"/>
  <c r="C1078" i="1"/>
  <c r="D1078" i="1"/>
  <c r="A1079" i="1"/>
  <c r="B1079" i="1"/>
  <c r="C1079" i="1"/>
  <c r="D1079" i="1"/>
  <c r="A1080" i="1"/>
  <c r="B1080" i="1"/>
  <c r="C1080" i="1"/>
  <c r="D1080" i="1"/>
  <c r="A1081" i="1"/>
  <c r="B1081" i="1"/>
  <c r="C1081" i="1"/>
  <c r="D1081" i="1"/>
  <c r="A1082" i="1"/>
  <c r="B1082" i="1"/>
  <c r="C1082" i="1"/>
  <c r="D1082" i="1"/>
  <c r="A1083" i="1"/>
  <c r="B1083" i="1"/>
  <c r="C1083" i="1"/>
  <c r="D1083" i="1"/>
  <c r="A1084" i="1"/>
  <c r="B1084" i="1"/>
  <c r="C1084" i="1"/>
  <c r="D1084" i="1"/>
  <c r="A1085" i="1"/>
  <c r="B1085" i="1"/>
  <c r="C1085" i="1"/>
  <c r="D1085" i="1"/>
  <c r="A1086" i="1"/>
  <c r="B1086" i="1"/>
  <c r="C1086" i="1"/>
  <c r="D1086" i="1"/>
  <c r="A1087" i="1"/>
  <c r="B1087" i="1"/>
  <c r="C1087" i="1"/>
  <c r="D1087" i="1"/>
  <c r="A1088" i="1"/>
  <c r="B1088" i="1"/>
  <c r="C1088" i="1"/>
  <c r="D1088" i="1"/>
  <c r="A1089" i="1"/>
  <c r="B1089" i="1"/>
  <c r="C1089" i="1"/>
  <c r="D1089" i="1"/>
  <c r="A1090" i="1"/>
  <c r="B1090" i="1"/>
  <c r="C1090" i="1"/>
  <c r="D1090" i="1"/>
  <c r="A1091" i="1"/>
  <c r="B1091" i="1"/>
  <c r="C1091" i="1"/>
  <c r="D1091" i="1"/>
  <c r="A1092" i="1"/>
  <c r="B1092" i="1"/>
  <c r="C1092" i="1"/>
  <c r="D1092" i="1"/>
  <c r="A1093" i="1"/>
  <c r="B1093" i="1"/>
  <c r="C1093" i="1"/>
  <c r="D1093" i="1"/>
  <c r="A1094" i="1"/>
  <c r="B1094" i="1"/>
  <c r="C1094" i="1"/>
  <c r="D1094" i="1"/>
  <c r="A1095" i="1"/>
  <c r="B1095" i="1"/>
  <c r="C1095" i="1"/>
  <c r="D1095" i="1"/>
  <c r="A1096" i="1"/>
  <c r="B1096" i="1"/>
  <c r="C1096" i="1"/>
  <c r="D1096" i="1"/>
  <c r="A1097" i="1"/>
  <c r="B1097" i="1"/>
  <c r="C1097" i="1"/>
  <c r="D1097" i="1"/>
  <c r="A1098" i="1"/>
  <c r="B1098" i="1"/>
  <c r="C1098" i="1"/>
  <c r="D1098" i="1"/>
  <c r="A1099" i="1"/>
  <c r="B1099" i="1"/>
  <c r="C1099" i="1"/>
  <c r="D1099" i="1"/>
  <c r="A1100" i="1"/>
  <c r="B1100" i="1"/>
  <c r="C1100" i="1"/>
  <c r="D1100" i="1"/>
  <c r="A1101" i="1"/>
  <c r="B1101" i="1"/>
  <c r="C1101" i="1"/>
  <c r="D1101" i="1"/>
  <c r="A1102" i="1"/>
  <c r="B1102" i="1"/>
  <c r="C1102" i="1"/>
  <c r="D1102" i="1"/>
  <c r="A1103" i="1"/>
  <c r="B1103" i="1"/>
  <c r="C1103" i="1"/>
  <c r="D1103" i="1"/>
  <c r="A1104" i="1"/>
  <c r="B1104" i="1"/>
  <c r="C1104" i="1"/>
  <c r="D1104" i="1"/>
  <c r="A1105" i="1"/>
  <c r="B1105" i="1"/>
  <c r="C1105" i="1"/>
  <c r="D1105" i="1"/>
  <c r="A1106" i="1"/>
  <c r="B1106" i="1"/>
  <c r="C1106" i="1"/>
  <c r="D1106" i="1"/>
  <c r="A1107" i="1"/>
  <c r="B1107" i="1"/>
  <c r="C1107" i="1"/>
  <c r="D1107" i="1"/>
  <c r="A1108" i="1"/>
  <c r="B1108" i="1"/>
  <c r="C1108" i="1"/>
  <c r="D1108" i="1"/>
  <c r="A1109" i="1"/>
  <c r="B1109" i="1"/>
  <c r="C1109" i="1"/>
  <c r="D1109" i="1"/>
  <c r="A1110" i="1"/>
  <c r="B1110" i="1"/>
  <c r="C1110" i="1"/>
  <c r="D1110" i="1"/>
  <c r="A1111" i="1"/>
  <c r="B1111" i="1"/>
  <c r="C1111" i="1"/>
  <c r="D1111" i="1"/>
  <c r="A1112" i="1"/>
  <c r="B1112" i="1"/>
  <c r="C1112" i="1"/>
  <c r="D1112" i="1"/>
  <c r="A1113" i="1"/>
  <c r="B1113" i="1"/>
  <c r="C1113" i="1"/>
  <c r="D1113" i="1"/>
  <c r="A1114" i="1"/>
  <c r="B1114" i="1"/>
  <c r="C1114" i="1"/>
  <c r="D1114" i="1"/>
  <c r="A1115" i="1"/>
  <c r="B1115" i="1"/>
  <c r="C1115" i="1"/>
  <c r="D1115" i="1"/>
  <c r="A1116" i="1"/>
  <c r="B1116" i="1"/>
  <c r="C1116" i="1"/>
  <c r="D1116" i="1"/>
  <c r="A1117" i="1"/>
  <c r="B1117" i="1"/>
  <c r="C1117" i="1"/>
  <c r="D1117" i="1"/>
  <c r="A1118" i="1"/>
  <c r="B1118" i="1"/>
  <c r="C1118" i="1"/>
  <c r="D1118" i="1"/>
  <c r="A1119" i="1"/>
  <c r="B1119" i="1"/>
  <c r="C1119" i="1"/>
  <c r="D1119" i="1"/>
  <c r="A1120" i="1"/>
  <c r="B1120" i="1"/>
  <c r="C1120" i="1"/>
  <c r="D1120" i="1"/>
  <c r="A1121" i="1"/>
  <c r="B1121" i="1"/>
  <c r="C1121" i="1"/>
  <c r="A1122" i="1"/>
  <c r="B1122" i="1"/>
  <c r="C1122" i="1"/>
  <c r="D1122" i="1"/>
  <c r="A1123" i="1"/>
  <c r="B1123" i="1"/>
  <c r="C1123" i="1"/>
  <c r="D1123" i="1"/>
  <c r="A1124" i="1"/>
  <c r="B1124" i="1"/>
  <c r="C1124" i="1"/>
  <c r="D1124" i="1"/>
  <c r="A1125" i="1"/>
  <c r="B1125" i="1"/>
  <c r="C1125" i="1"/>
  <c r="D1125" i="1"/>
  <c r="A1126" i="1"/>
  <c r="B1126" i="1"/>
  <c r="C1126" i="1"/>
  <c r="D1126" i="1"/>
  <c r="A1127" i="1"/>
  <c r="B1127" i="1"/>
  <c r="C1127" i="1"/>
  <c r="D1127" i="1"/>
  <c r="A1128" i="1"/>
  <c r="B1128" i="1"/>
  <c r="C1128" i="1"/>
  <c r="D1128" i="1"/>
  <c r="A1129" i="1"/>
  <c r="B1129" i="1"/>
  <c r="C1129" i="1"/>
  <c r="D1129" i="1"/>
  <c r="A1130" i="1"/>
  <c r="B1130" i="1"/>
  <c r="C1130" i="1"/>
  <c r="D1130" i="1"/>
  <c r="A1131" i="1"/>
  <c r="B1131" i="1"/>
  <c r="C1131" i="1"/>
  <c r="D1131" i="1"/>
  <c r="A1132" i="1"/>
  <c r="B1132" i="1"/>
  <c r="C1132" i="1"/>
  <c r="D1132" i="1"/>
  <c r="A1133" i="1"/>
  <c r="B1133" i="1"/>
  <c r="C1133" i="1"/>
  <c r="A1134" i="1"/>
  <c r="B1134" i="1"/>
  <c r="C1134" i="1"/>
  <c r="D1134" i="1"/>
  <c r="A1135" i="1"/>
  <c r="B1135" i="1"/>
  <c r="C1135" i="1"/>
  <c r="D1135" i="1"/>
  <c r="A1136" i="1"/>
  <c r="B1136" i="1"/>
  <c r="C1136" i="1"/>
  <c r="D1136" i="1"/>
  <c r="A1137" i="1"/>
  <c r="B1137" i="1"/>
  <c r="C1137" i="1"/>
  <c r="D1137" i="1"/>
  <c r="A1138" i="1"/>
  <c r="B1138" i="1"/>
  <c r="C1138" i="1"/>
  <c r="D1138" i="1"/>
  <c r="A1139" i="1"/>
  <c r="B1139" i="1"/>
  <c r="C1139" i="1"/>
  <c r="D1139" i="1"/>
  <c r="A1140" i="1"/>
  <c r="B1140" i="1"/>
  <c r="C1140" i="1"/>
  <c r="A1141" i="1"/>
  <c r="B1141" i="1"/>
  <c r="C1141" i="1"/>
  <c r="D1141" i="1"/>
  <c r="A1142" i="1"/>
  <c r="B1142" i="1"/>
  <c r="C1142" i="1"/>
  <c r="D1142" i="1"/>
  <c r="A1143" i="1"/>
  <c r="B1143" i="1"/>
  <c r="C1143" i="1"/>
  <c r="D1143" i="1"/>
  <c r="A1144" i="1"/>
  <c r="B1144" i="1"/>
  <c r="C1144" i="1"/>
  <c r="D1144" i="1"/>
  <c r="A1145" i="1"/>
  <c r="B1145" i="1"/>
  <c r="C1145" i="1"/>
  <c r="D1145" i="1"/>
  <c r="A1146" i="1"/>
  <c r="B1146" i="1"/>
  <c r="C1146" i="1"/>
  <c r="D1146" i="1"/>
  <c r="A1147" i="1"/>
  <c r="B1147" i="1"/>
  <c r="C1147" i="1"/>
  <c r="D1147" i="1"/>
  <c r="A1148" i="1"/>
  <c r="B1148" i="1"/>
  <c r="C1148" i="1"/>
  <c r="D1148" i="1"/>
  <c r="A1149" i="1"/>
  <c r="B1149" i="1"/>
  <c r="C1149" i="1"/>
  <c r="D1149" i="1"/>
  <c r="A1150" i="1"/>
  <c r="B1150" i="1"/>
  <c r="C1150" i="1"/>
  <c r="D1150" i="1"/>
  <c r="A1151" i="1"/>
  <c r="B1151" i="1"/>
  <c r="C1151" i="1"/>
  <c r="D1151" i="1"/>
  <c r="A1152" i="1"/>
  <c r="B1152" i="1"/>
  <c r="C1152" i="1"/>
  <c r="D1152" i="1"/>
  <c r="A1153" i="1"/>
  <c r="B1153" i="1"/>
  <c r="C1153" i="1"/>
  <c r="D1153" i="1"/>
  <c r="A1154" i="1"/>
  <c r="B1154" i="1"/>
  <c r="C1154" i="1"/>
  <c r="D1154" i="1"/>
  <c r="A1155" i="1"/>
  <c r="B1155" i="1"/>
  <c r="C1155" i="1"/>
  <c r="D1155" i="1"/>
  <c r="A1156" i="1"/>
  <c r="B1156" i="1"/>
  <c r="C1156" i="1"/>
  <c r="D1156" i="1"/>
  <c r="A1157" i="1"/>
  <c r="B1157" i="1"/>
  <c r="C1157" i="1"/>
  <c r="D1157" i="1"/>
  <c r="A1158" i="1"/>
  <c r="B1158" i="1"/>
  <c r="C1158" i="1"/>
  <c r="D1158" i="1"/>
  <c r="A1159" i="1"/>
  <c r="B1159" i="1"/>
  <c r="C1159" i="1"/>
  <c r="D1159" i="1"/>
  <c r="A1160" i="1"/>
  <c r="B1160" i="1"/>
  <c r="C1160" i="1"/>
  <c r="D1160" i="1"/>
  <c r="A1161" i="1"/>
  <c r="B1161" i="1"/>
  <c r="C1161" i="1"/>
  <c r="D1161" i="1"/>
  <c r="A1162" i="1"/>
  <c r="B1162" i="1"/>
  <c r="C1162" i="1"/>
  <c r="D1162" i="1"/>
  <c r="A1163" i="1"/>
  <c r="B1163" i="1"/>
  <c r="C1163" i="1"/>
  <c r="D1163" i="1"/>
  <c r="A1164" i="1"/>
  <c r="B1164" i="1"/>
  <c r="C1164" i="1"/>
  <c r="D1164" i="1"/>
  <c r="A1165" i="1"/>
  <c r="B1165" i="1"/>
  <c r="C1165" i="1"/>
  <c r="D1165" i="1"/>
  <c r="A1166" i="1"/>
  <c r="B1166" i="1"/>
  <c r="C1166" i="1"/>
  <c r="D1166" i="1"/>
  <c r="A1167" i="1"/>
  <c r="B1167" i="1"/>
  <c r="C1167" i="1"/>
  <c r="D1167" i="1"/>
  <c r="A1168" i="1"/>
  <c r="B1168" i="1"/>
  <c r="C1168" i="1"/>
  <c r="D1168" i="1"/>
  <c r="A1169" i="1"/>
  <c r="B1169" i="1"/>
  <c r="C1169" i="1"/>
  <c r="D1169" i="1"/>
  <c r="A1170" i="1"/>
  <c r="B1170" i="1"/>
  <c r="C1170" i="1"/>
  <c r="D1170" i="1"/>
  <c r="A1171" i="1"/>
  <c r="B1171" i="1"/>
  <c r="C1171" i="1"/>
  <c r="D1171" i="1"/>
  <c r="A1172" i="1"/>
  <c r="B1172" i="1"/>
  <c r="C1172" i="1"/>
  <c r="D1172" i="1"/>
  <c r="A1173" i="1"/>
  <c r="B1173" i="1"/>
  <c r="C1173" i="1"/>
  <c r="D1173" i="1"/>
  <c r="A1174" i="1"/>
  <c r="B1174" i="1"/>
  <c r="C1174" i="1"/>
  <c r="D1174" i="1"/>
  <c r="A1175" i="1"/>
  <c r="B1175" i="1"/>
  <c r="C1175" i="1"/>
  <c r="D1175" i="1"/>
  <c r="A1176" i="1"/>
  <c r="B1176" i="1"/>
  <c r="C1176" i="1"/>
  <c r="D1176" i="1"/>
  <c r="A1177" i="1"/>
  <c r="B1177" i="1"/>
  <c r="C1177" i="1"/>
  <c r="D1177" i="1"/>
  <c r="A1178" i="1"/>
  <c r="B1178" i="1"/>
  <c r="C1178" i="1"/>
  <c r="D1178" i="1"/>
  <c r="A1179" i="1"/>
  <c r="B1179" i="1"/>
  <c r="C1179" i="1"/>
  <c r="D1179" i="1"/>
  <c r="A1180" i="1"/>
  <c r="B1180" i="1"/>
  <c r="C1180" i="1"/>
  <c r="D1180" i="1"/>
  <c r="A1181" i="1"/>
  <c r="B1181" i="1"/>
  <c r="C1181" i="1"/>
  <c r="D1181" i="1"/>
  <c r="A1182" i="1"/>
  <c r="B1182" i="1"/>
  <c r="C1182" i="1"/>
  <c r="D1182" i="1"/>
  <c r="A1183" i="1"/>
  <c r="B1183" i="1"/>
  <c r="C1183" i="1"/>
  <c r="D1183" i="1"/>
  <c r="A1184" i="1"/>
  <c r="B1184" i="1"/>
  <c r="C1184" i="1"/>
  <c r="D1184" i="1"/>
  <c r="A1185" i="1"/>
  <c r="B1185" i="1"/>
  <c r="C1185" i="1"/>
  <c r="D1185" i="1"/>
  <c r="A1186" i="1"/>
  <c r="B1186" i="1"/>
  <c r="C1186" i="1"/>
  <c r="D1186" i="1"/>
  <c r="A1187" i="1"/>
  <c r="B1187" i="1"/>
  <c r="C1187" i="1"/>
  <c r="D1187" i="1"/>
  <c r="A1188" i="1"/>
  <c r="B1188" i="1"/>
  <c r="C1188" i="1"/>
  <c r="D1188" i="1"/>
  <c r="A1189" i="1"/>
  <c r="B1189" i="1"/>
  <c r="C1189" i="1"/>
  <c r="D1189" i="1"/>
  <c r="A1190" i="1"/>
  <c r="B1190" i="1"/>
  <c r="C1190" i="1"/>
  <c r="D1190" i="1"/>
  <c r="A1191" i="1"/>
  <c r="B1191" i="1"/>
  <c r="C1191" i="1"/>
  <c r="D1191" i="1"/>
  <c r="A1192" i="1"/>
  <c r="B1192" i="1"/>
  <c r="C1192" i="1"/>
  <c r="D1192" i="1"/>
  <c r="A1193" i="1"/>
  <c r="B1193" i="1"/>
  <c r="C1193" i="1"/>
  <c r="D1193" i="1"/>
  <c r="A1194" i="1"/>
  <c r="B1194" i="1"/>
  <c r="C1194" i="1"/>
  <c r="D1194" i="1"/>
  <c r="A1195" i="1"/>
  <c r="B1195" i="1"/>
  <c r="C1195" i="1"/>
  <c r="D1195" i="1"/>
  <c r="A1196" i="1"/>
  <c r="B1196" i="1"/>
  <c r="C1196" i="1"/>
  <c r="D1196" i="1"/>
  <c r="A1197" i="1"/>
  <c r="B1197" i="1"/>
  <c r="C1197" i="1"/>
  <c r="D1197" i="1"/>
  <c r="A1198" i="1"/>
  <c r="B1198" i="1"/>
  <c r="C1198" i="1"/>
  <c r="D1198" i="1"/>
  <c r="A1199" i="1"/>
  <c r="B1199" i="1"/>
  <c r="C1199" i="1"/>
  <c r="D1199" i="1"/>
  <c r="A1200" i="1"/>
  <c r="B1200" i="1"/>
  <c r="C1200" i="1"/>
  <c r="D1200" i="1"/>
  <c r="A1201" i="1"/>
  <c r="B1201" i="1"/>
  <c r="C1201" i="1"/>
  <c r="D1201" i="1"/>
  <c r="A1202" i="1"/>
  <c r="B1202" i="1"/>
  <c r="C1202" i="1"/>
  <c r="D1202" i="1"/>
  <c r="A1203" i="1"/>
  <c r="B1203" i="1"/>
  <c r="C1203" i="1"/>
  <c r="D1203" i="1"/>
  <c r="A1204" i="1"/>
  <c r="B1204" i="1"/>
  <c r="C1204" i="1"/>
  <c r="D1204" i="1"/>
  <c r="A1205" i="1"/>
  <c r="B1205" i="1"/>
  <c r="C1205" i="1"/>
  <c r="D1205" i="1"/>
  <c r="A1206" i="1"/>
  <c r="B1206" i="1"/>
  <c r="C1206" i="1"/>
  <c r="D1206" i="1"/>
  <c r="A1207" i="1"/>
  <c r="B1207" i="1"/>
  <c r="C1207" i="1"/>
  <c r="D1207" i="1"/>
  <c r="A1208" i="1"/>
  <c r="B1208" i="1"/>
  <c r="C1208" i="1"/>
  <c r="D1208" i="1"/>
  <c r="A1209" i="1"/>
  <c r="B1209" i="1"/>
  <c r="C1209" i="1"/>
  <c r="D1209" i="1"/>
  <c r="A1210" i="1"/>
  <c r="B1210" i="1"/>
  <c r="C1210" i="1"/>
  <c r="D1210" i="1"/>
  <c r="A1211" i="1"/>
  <c r="B1211" i="1"/>
  <c r="C1211" i="1"/>
  <c r="D1211" i="1"/>
  <c r="A1212" i="1"/>
  <c r="B1212" i="1"/>
  <c r="C1212" i="1"/>
  <c r="D1212" i="1"/>
  <c r="A1213" i="1"/>
  <c r="B1213" i="1"/>
  <c r="C1213" i="1"/>
  <c r="D1213" i="1"/>
  <c r="A1214" i="1"/>
  <c r="B1214" i="1"/>
  <c r="C1214" i="1"/>
  <c r="D1214" i="1"/>
  <c r="A1215" i="1"/>
  <c r="B1215" i="1"/>
  <c r="C1215" i="1"/>
  <c r="D1215" i="1"/>
  <c r="A1216" i="1"/>
  <c r="B1216" i="1"/>
  <c r="C1216" i="1"/>
  <c r="D1216" i="1"/>
  <c r="A1217" i="1"/>
  <c r="B1217" i="1"/>
  <c r="C1217" i="1"/>
  <c r="D1217" i="1"/>
  <c r="A1218" i="1"/>
  <c r="B1218" i="1"/>
  <c r="C1218" i="1"/>
  <c r="D1218" i="1"/>
  <c r="A1219" i="1"/>
  <c r="B1219" i="1"/>
  <c r="C1219" i="1"/>
  <c r="D1219" i="1"/>
  <c r="A1220" i="1"/>
  <c r="B1220" i="1"/>
  <c r="C1220" i="1"/>
  <c r="D1220" i="1"/>
  <c r="A1221" i="1"/>
  <c r="B1221" i="1"/>
  <c r="C1221" i="1"/>
  <c r="D1221" i="1"/>
  <c r="A1222" i="1"/>
  <c r="B1222" i="1"/>
  <c r="C1222" i="1"/>
  <c r="D1222" i="1"/>
  <c r="A1223" i="1"/>
  <c r="B1223" i="1"/>
  <c r="C1223" i="1"/>
  <c r="D1223" i="1"/>
  <c r="A1224" i="1"/>
  <c r="B1224" i="1"/>
  <c r="C1224" i="1"/>
  <c r="D1224" i="1"/>
  <c r="A1225" i="1"/>
  <c r="B1225" i="1"/>
  <c r="C1225" i="1"/>
  <c r="D1225" i="1"/>
  <c r="A1226" i="1"/>
  <c r="B1226" i="1"/>
  <c r="C1226" i="1"/>
  <c r="D1226" i="1"/>
  <c r="A1227" i="1"/>
  <c r="B1227" i="1"/>
  <c r="C1227" i="1"/>
  <c r="D1227" i="1"/>
  <c r="A1228" i="1"/>
  <c r="B1228" i="1"/>
  <c r="C1228" i="1"/>
  <c r="D1228" i="1"/>
  <c r="A1229" i="1"/>
  <c r="B1229" i="1"/>
  <c r="C1229" i="1"/>
  <c r="D1229" i="1"/>
  <c r="A1230" i="1"/>
  <c r="B1230" i="1"/>
  <c r="C1230" i="1"/>
  <c r="D1230" i="1"/>
  <c r="A1231" i="1"/>
  <c r="B1231" i="1"/>
  <c r="C1231" i="1"/>
  <c r="D1231" i="1"/>
  <c r="A1232" i="1"/>
  <c r="B1232" i="1"/>
  <c r="C1232" i="1"/>
  <c r="A1233" i="1"/>
  <c r="B1233" i="1"/>
  <c r="C1233" i="1"/>
  <c r="D1233" i="1"/>
  <c r="A1234" i="1"/>
  <c r="B1234" i="1"/>
  <c r="C1234" i="1"/>
  <c r="D1234" i="1"/>
  <c r="A1235" i="1"/>
  <c r="B1235" i="1"/>
  <c r="C1235" i="1"/>
  <c r="D1235" i="1"/>
  <c r="A1236" i="1"/>
  <c r="B1236" i="1"/>
  <c r="C1236" i="1"/>
  <c r="D1236" i="1"/>
  <c r="A1237" i="1"/>
  <c r="B1237" i="1"/>
  <c r="C1237" i="1"/>
  <c r="D1237" i="1"/>
  <c r="A1238" i="1"/>
  <c r="B1238" i="1"/>
  <c r="C1238" i="1"/>
  <c r="D1238" i="1"/>
  <c r="A1239" i="1"/>
  <c r="B1239" i="1"/>
  <c r="C1239" i="1"/>
  <c r="D1239" i="1"/>
  <c r="A1240" i="1"/>
  <c r="B1240" i="1"/>
  <c r="C1240" i="1"/>
  <c r="D1240" i="1"/>
  <c r="A1241" i="1"/>
  <c r="B1241" i="1"/>
  <c r="C1241" i="1"/>
  <c r="D1241" i="1"/>
  <c r="A1242" i="1"/>
  <c r="B1242" i="1"/>
  <c r="C1242" i="1"/>
  <c r="D1242" i="1"/>
  <c r="A1243" i="1"/>
  <c r="B1243" i="1"/>
  <c r="C1243" i="1"/>
  <c r="D1243" i="1"/>
  <c r="A1244" i="1"/>
  <c r="B1244" i="1"/>
  <c r="C1244" i="1"/>
  <c r="D1244" i="1"/>
  <c r="A1245" i="1"/>
  <c r="B1245" i="1"/>
  <c r="C1245" i="1"/>
  <c r="D1245" i="1"/>
  <c r="A1246" i="1"/>
  <c r="B1246" i="1"/>
  <c r="C1246" i="1"/>
  <c r="D1246" i="1"/>
  <c r="A1247" i="1"/>
  <c r="B1247" i="1"/>
  <c r="C1247" i="1"/>
  <c r="D1247" i="1"/>
  <c r="A1248" i="1"/>
  <c r="B1248" i="1"/>
  <c r="C1248" i="1"/>
  <c r="D1248" i="1"/>
  <c r="A1249" i="1"/>
  <c r="B1249" i="1"/>
  <c r="C1249" i="1"/>
  <c r="D1249" i="1"/>
  <c r="A1250" i="1"/>
  <c r="B1250" i="1"/>
  <c r="C1250" i="1"/>
  <c r="D1250" i="1"/>
  <c r="A1251" i="1"/>
  <c r="B1251" i="1"/>
  <c r="C1251" i="1"/>
  <c r="D1251" i="1"/>
  <c r="A1252" i="1"/>
  <c r="B1252" i="1"/>
  <c r="C1252" i="1"/>
  <c r="D1252" i="1"/>
  <c r="A1253" i="1"/>
  <c r="B1253" i="1"/>
  <c r="C1253" i="1"/>
  <c r="D1253" i="1"/>
  <c r="A1254" i="1"/>
  <c r="B1254" i="1"/>
  <c r="C1254" i="1"/>
  <c r="D1254" i="1"/>
  <c r="A1255" i="1"/>
  <c r="B1255" i="1"/>
  <c r="C1255" i="1"/>
  <c r="D1255" i="1"/>
  <c r="A1256" i="1"/>
  <c r="B1256" i="1"/>
  <c r="C1256" i="1"/>
  <c r="D1256" i="1"/>
  <c r="A1257" i="1"/>
  <c r="B1257" i="1"/>
  <c r="C1257" i="1"/>
  <c r="A1258" i="1"/>
  <c r="B1258" i="1"/>
  <c r="C1258" i="1"/>
  <c r="D1258" i="1"/>
  <c r="A1259" i="1"/>
  <c r="B1259" i="1"/>
  <c r="C1259" i="1"/>
  <c r="D1259" i="1"/>
  <c r="A1260" i="1"/>
  <c r="B1260" i="1"/>
  <c r="C1260" i="1"/>
  <c r="D1260" i="1"/>
  <c r="A1261" i="1"/>
  <c r="B1261" i="1"/>
  <c r="C1261" i="1"/>
  <c r="D1261" i="1"/>
  <c r="A1262" i="1"/>
  <c r="B1262" i="1"/>
  <c r="C1262" i="1"/>
  <c r="D1262" i="1"/>
  <c r="A1263" i="1"/>
  <c r="B1263" i="1"/>
  <c r="C1263" i="1"/>
  <c r="D1263" i="1"/>
  <c r="A1264" i="1"/>
  <c r="B1264" i="1"/>
  <c r="C1264" i="1"/>
  <c r="D1264" i="1"/>
  <c r="A1265" i="1"/>
  <c r="B1265" i="1"/>
  <c r="C1265" i="1"/>
  <c r="D1265" i="1"/>
  <c r="A1266" i="1"/>
  <c r="B1266" i="1"/>
  <c r="C1266" i="1"/>
  <c r="D1266" i="1"/>
  <c r="A1267" i="1"/>
  <c r="B1267" i="1"/>
  <c r="C1267" i="1"/>
  <c r="D1267" i="1"/>
  <c r="A1268" i="1"/>
  <c r="B1268" i="1"/>
  <c r="C1268" i="1"/>
  <c r="D1268" i="1"/>
  <c r="A1269" i="1"/>
  <c r="B1269" i="1"/>
  <c r="C1269" i="1"/>
  <c r="D1269" i="1"/>
  <c r="A1270" i="1"/>
  <c r="B1270" i="1"/>
  <c r="C1270" i="1"/>
  <c r="D1270" i="1"/>
  <c r="A1271" i="1"/>
  <c r="B1271" i="1"/>
  <c r="C1271" i="1"/>
  <c r="D1271" i="1"/>
  <c r="A1272" i="1"/>
  <c r="B1272" i="1"/>
  <c r="C1272" i="1"/>
  <c r="D1272" i="1"/>
  <c r="A1273" i="1"/>
  <c r="B1273" i="1"/>
  <c r="C1273" i="1"/>
  <c r="D1273" i="1"/>
  <c r="A1274" i="1"/>
  <c r="B1274" i="1"/>
  <c r="C1274" i="1"/>
  <c r="D1274" i="1"/>
  <c r="A1275" i="1"/>
  <c r="B1275" i="1"/>
  <c r="C1275" i="1"/>
  <c r="D1275" i="1"/>
  <c r="A1276" i="1"/>
  <c r="B1276" i="1"/>
  <c r="C1276" i="1"/>
  <c r="D1276" i="1"/>
  <c r="A1277" i="1"/>
  <c r="B1277" i="1"/>
  <c r="C1277" i="1"/>
  <c r="D1277" i="1"/>
  <c r="A1278" i="1"/>
  <c r="B1278" i="1"/>
  <c r="C1278" i="1"/>
  <c r="D1278" i="1"/>
  <c r="A1279" i="1"/>
  <c r="B1279" i="1"/>
  <c r="C1279" i="1"/>
  <c r="D1279" i="1"/>
  <c r="A1280" i="1"/>
  <c r="B1280" i="1"/>
  <c r="C1280" i="1"/>
  <c r="D1280" i="1"/>
  <c r="A1281" i="1"/>
  <c r="B1281" i="1"/>
  <c r="C1281" i="1"/>
  <c r="D1281" i="1"/>
  <c r="A1282" i="1"/>
  <c r="B1282" i="1"/>
  <c r="C1282" i="1"/>
  <c r="D1282" i="1"/>
  <c r="A1283" i="1"/>
  <c r="B1283" i="1"/>
  <c r="C1283" i="1"/>
  <c r="A1284" i="1"/>
  <c r="B1284" i="1"/>
  <c r="C1284" i="1"/>
  <c r="D1284" i="1"/>
  <c r="A1285" i="1"/>
  <c r="B1285" i="1"/>
  <c r="C1285" i="1"/>
  <c r="D1285" i="1"/>
  <c r="A1286" i="1"/>
  <c r="B1286" i="1"/>
  <c r="C1286" i="1"/>
  <c r="D1286" i="1"/>
  <c r="A1287" i="1"/>
  <c r="B1287" i="1"/>
  <c r="C1287" i="1"/>
  <c r="D1287" i="1"/>
  <c r="A1288" i="1"/>
  <c r="B1288" i="1"/>
  <c r="C1288" i="1"/>
  <c r="D1288" i="1"/>
  <c r="A1289" i="1"/>
  <c r="B1289" i="1"/>
  <c r="C1289" i="1"/>
  <c r="D1289" i="1"/>
  <c r="A1290" i="1"/>
  <c r="B1290" i="1"/>
  <c r="C1290" i="1"/>
  <c r="D1290" i="1"/>
  <c r="A1291" i="1"/>
  <c r="B1291" i="1"/>
  <c r="C1291" i="1"/>
  <c r="A1292" i="1"/>
  <c r="B1292" i="1"/>
  <c r="C1292" i="1"/>
  <c r="D1292" i="1"/>
  <c r="A1293" i="1"/>
  <c r="B1293" i="1"/>
  <c r="C1293" i="1"/>
  <c r="D1293" i="1"/>
  <c r="A1294" i="1"/>
  <c r="B1294" i="1"/>
  <c r="C1294" i="1"/>
  <c r="D1294" i="1"/>
  <c r="A1295" i="1"/>
  <c r="B1295" i="1"/>
  <c r="C1295" i="1"/>
  <c r="D1295" i="1"/>
  <c r="A1296" i="1"/>
  <c r="B1296" i="1"/>
  <c r="C1296" i="1"/>
  <c r="D1296" i="1"/>
  <c r="A1297" i="1"/>
  <c r="B1297" i="1"/>
  <c r="C1297" i="1"/>
  <c r="D1297" i="1"/>
  <c r="A1298" i="1"/>
  <c r="B1298" i="1"/>
  <c r="C1298" i="1"/>
  <c r="D1298" i="1"/>
  <c r="A1299" i="1"/>
  <c r="B1299" i="1"/>
  <c r="C1299" i="1"/>
  <c r="D1299" i="1"/>
  <c r="A1300" i="1"/>
  <c r="B1300" i="1"/>
  <c r="C1300" i="1"/>
  <c r="D1300" i="1"/>
  <c r="A1301" i="1"/>
  <c r="B1301" i="1"/>
  <c r="C1301" i="1"/>
  <c r="D1301" i="1"/>
  <c r="A1302" i="1"/>
  <c r="B1302" i="1"/>
  <c r="C1302" i="1"/>
  <c r="D1302" i="1"/>
  <c r="A1303" i="1"/>
  <c r="B1303" i="1"/>
  <c r="C1303" i="1"/>
  <c r="D1303" i="1"/>
  <c r="A1304" i="1"/>
  <c r="B1304" i="1"/>
  <c r="C1304" i="1"/>
  <c r="D1304" i="1"/>
  <c r="A1305" i="1"/>
  <c r="B1305" i="1"/>
  <c r="C1305" i="1"/>
  <c r="D1305" i="1"/>
  <c r="A1306" i="1"/>
  <c r="B1306" i="1"/>
  <c r="C1306" i="1"/>
  <c r="D1306" i="1"/>
  <c r="A1307" i="1"/>
  <c r="B1307" i="1"/>
  <c r="C1307" i="1"/>
  <c r="D1307" i="1"/>
  <c r="A1308" i="1"/>
  <c r="B1308" i="1"/>
  <c r="C1308" i="1"/>
  <c r="D1308" i="1"/>
  <c r="A1309" i="1"/>
  <c r="B1309" i="1"/>
  <c r="C1309" i="1"/>
  <c r="D1309" i="1"/>
  <c r="A1310" i="1"/>
  <c r="B1310" i="1"/>
  <c r="C1310" i="1"/>
  <c r="D1310" i="1"/>
  <c r="A1311" i="1"/>
  <c r="B1311" i="1"/>
  <c r="C1311" i="1"/>
  <c r="D1311" i="1"/>
  <c r="A1312" i="1"/>
  <c r="B1312" i="1"/>
  <c r="C1312" i="1"/>
  <c r="D1312" i="1"/>
  <c r="A1313" i="1"/>
  <c r="B1313" i="1"/>
  <c r="C1313" i="1"/>
  <c r="D1313" i="1"/>
  <c r="A1314" i="1"/>
  <c r="B1314" i="1"/>
  <c r="C1314" i="1"/>
  <c r="D1314" i="1"/>
  <c r="A1315" i="1"/>
  <c r="B1315" i="1"/>
  <c r="C1315" i="1"/>
  <c r="D1315" i="1"/>
  <c r="A1316" i="1"/>
  <c r="B1316" i="1"/>
  <c r="C1316" i="1"/>
  <c r="D1316" i="1"/>
  <c r="A1317" i="1"/>
  <c r="B1317" i="1"/>
  <c r="C1317" i="1"/>
  <c r="D1317" i="1"/>
  <c r="A1318" i="1"/>
  <c r="B1318" i="1"/>
  <c r="C1318" i="1"/>
  <c r="D1318" i="1"/>
  <c r="A1319" i="1"/>
  <c r="B1319" i="1"/>
  <c r="C1319" i="1"/>
  <c r="D1319" i="1"/>
  <c r="A1320" i="1"/>
  <c r="B1320" i="1"/>
  <c r="C1320" i="1"/>
  <c r="D1320" i="1"/>
  <c r="A1321" i="1"/>
  <c r="B1321" i="1"/>
  <c r="C1321" i="1"/>
  <c r="D1321" i="1"/>
  <c r="A1322" i="1"/>
  <c r="B1322" i="1"/>
  <c r="C1322" i="1"/>
  <c r="D1322" i="1"/>
  <c r="A1323" i="1"/>
  <c r="B1323" i="1"/>
  <c r="C1323" i="1"/>
  <c r="D1323" i="1"/>
  <c r="A1324" i="1"/>
  <c r="B1324" i="1"/>
  <c r="C1324" i="1"/>
  <c r="D1324" i="1"/>
  <c r="A1325" i="1"/>
  <c r="B1325" i="1"/>
  <c r="C1325" i="1"/>
  <c r="D1325" i="1"/>
  <c r="A1326" i="1"/>
  <c r="B1326" i="1"/>
  <c r="C1326" i="1"/>
  <c r="D1326" i="1"/>
  <c r="A1327" i="1"/>
  <c r="B1327" i="1"/>
  <c r="C1327" i="1"/>
  <c r="D1327" i="1"/>
  <c r="A1328" i="1"/>
  <c r="B1328" i="1"/>
  <c r="C1328" i="1"/>
  <c r="D1328" i="1"/>
  <c r="A1329" i="1"/>
  <c r="B1329" i="1"/>
  <c r="C1329" i="1"/>
  <c r="D1329" i="1"/>
  <c r="A1330" i="1"/>
  <c r="B1330" i="1"/>
  <c r="C1330" i="1"/>
  <c r="D1330" i="1"/>
  <c r="A1331" i="1"/>
  <c r="B1331" i="1"/>
  <c r="C1331" i="1"/>
  <c r="D1331" i="1"/>
  <c r="A1332" i="1"/>
  <c r="B1332" i="1"/>
  <c r="C1332" i="1"/>
  <c r="D1332" i="1"/>
  <c r="A1333" i="1"/>
  <c r="B1333" i="1"/>
  <c r="C1333" i="1"/>
  <c r="D1333" i="1"/>
  <c r="A1334" i="1"/>
  <c r="B1334" i="1"/>
  <c r="C1334" i="1"/>
  <c r="D1334" i="1"/>
  <c r="A1335" i="1"/>
  <c r="B1335" i="1"/>
  <c r="C1335" i="1"/>
  <c r="D1335" i="1"/>
  <c r="A1336" i="1"/>
  <c r="B1336" i="1"/>
  <c r="C1336" i="1"/>
  <c r="D1336" i="1"/>
  <c r="A1337" i="1"/>
  <c r="B1337" i="1"/>
  <c r="C1337" i="1"/>
  <c r="D1337" i="1"/>
  <c r="A1338" i="1"/>
  <c r="B1338" i="1"/>
  <c r="C1338" i="1"/>
  <c r="D1338" i="1"/>
  <c r="A1339" i="1"/>
  <c r="B1339" i="1"/>
  <c r="C1339" i="1"/>
  <c r="D1339" i="1"/>
  <c r="A1340" i="1"/>
  <c r="B1340" i="1"/>
  <c r="C1340" i="1"/>
  <c r="D1340" i="1"/>
  <c r="A1341" i="1"/>
  <c r="B1341" i="1"/>
  <c r="C1341" i="1"/>
  <c r="D1341" i="1"/>
  <c r="A1342" i="1"/>
  <c r="B1342" i="1"/>
  <c r="C1342" i="1"/>
  <c r="D1342" i="1"/>
  <c r="A1343" i="1"/>
  <c r="B1343" i="1"/>
  <c r="C1343" i="1"/>
  <c r="D1343" i="1"/>
  <c r="A1344" i="1"/>
  <c r="B1344" i="1"/>
  <c r="C1344" i="1"/>
  <c r="D1344" i="1"/>
  <c r="A1345" i="1"/>
  <c r="B1345" i="1"/>
  <c r="C1345" i="1"/>
  <c r="D1345" i="1"/>
  <c r="A1346" i="1"/>
  <c r="B1346" i="1"/>
  <c r="C1346" i="1"/>
  <c r="D1346" i="1"/>
  <c r="A1347" i="1"/>
  <c r="B1347" i="1"/>
  <c r="C1347" i="1"/>
  <c r="D1347" i="1"/>
  <c r="A1348" i="1"/>
  <c r="B1348" i="1"/>
  <c r="C1348" i="1"/>
  <c r="D1348" i="1"/>
  <c r="A1349" i="1"/>
  <c r="B1349" i="1"/>
  <c r="C1349" i="1"/>
  <c r="D1349" i="1"/>
  <c r="A1350" i="1"/>
  <c r="B1350" i="1"/>
  <c r="C1350" i="1"/>
  <c r="D1350" i="1"/>
  <c r="A1351" i="1"/>
  <c r="B1351" i="1"/>
  <c r="C1351" i="1"/>
  <c r="D1351" i="1"/>
  <c r="A1352" i="1"/>
  <c r="B1352" i="1"/>
  <c r="C1352" i="1"/>
  <c r="D1352" i="1"/>
  <c r="A1353" i="1"/>
  <c r="B1353" i="1"/>
  <c r="C1353" i="1"/>
  <c r="D1353" i="1"/>
  <c r="A1354" i="1"/>
  <c r="B1354" i="1"/>
  <c r="C1354" i="1"/>
  <c r="D1354" i="1"/>
  <c r="A1355" i="1"/>
  <c r="B1355" i="1"/>
  <c r="C1355" i="1"/>
  <c r="D1355" i="1"/>
  <c r="A1356" i="1"/>
  <c r="B1356" i="1"/>
  <c r="C1356" i="1"/>
  <c r="D1356" i="1"/>
  <c r="A1357" i="1"/>
  <c r="B1357" i="1"/>
  <c r="C1357" i="1"/>
  <c r="D1357" i="1"/>
  <c r="A1358" i="1"/>
  <c r="B1358" i="1"/>
  <c r="C1358" i="1"/>
  <c r="D1358" i="1"/>
  <c r="A1359" i="1"/>
  <c r="B1359" i="1"/>
  <c r="C1359" i="1"/>
  <c r="D1359" i="1"/>
  <c r="A1360" i="1"/>
  <c r="B1360" i="1"/>
  <c r="C1360" i="1"/>
  <c r="D1360" i="1"/>
  <c r="A1361" i="1"/>
  <c r="B1361" i="1"/>
  <c r="C1361" i="1"/>
  <c r="D1361" i="1"/>
  <c r="A1362" i="1"/>
  <c r="B1362" i="1"/>
  <c r="C1362" i="1"/>
  <c r="D1362" i="1"/>
  <c r="A1363" i="1"/>
  <c r="B1363" i="1"/>
  <c r="C1363" i="1"/>
  <c r="D1363" i="1"/>
  <c r="A1364" i="1"/>
  <c r="B1364" i="1"/>
  <c r="C1364" i="1"/>
  <c r="D1364" i="1"/>
  <c r="A1365" i="1"/>
  <c r="B1365" i="1"/>
  <c r="C1365" i="1"/>
  <c r="D1365" i="1"/>
  <c r="A1366" i="1"/>
  <c r="B1366" i="1"/>
  <c r="C1366" i="1"/>
  <c r="D1366" i="1"/>
  <c r="A1367" i="1"/>
  <c r="B1367" i="1"/>
  <c r="C1367" i="1"/>
  <c r="D1367" i="1"/>
  <c r="A1368" i="1"/>
  <c r="B1368" i="1"/>
  <c r="C1368" i="1"/>
  <c r="D1368" i="1"/>
  <c r="A1369" i="1"/>
  <c r="B1369" i="1"/>
  <c r="C1369" i="1"/>
  <c r="D1369" i="1"/>
  <c r="A1370" i="1"/>
  <c r="B1370" i="1"/>
  <c r="C1370" i="1"/>
  <c r="D1370" i="1"/>
  <c r="A1371" i="1"/>
  <c r="B1371" i="1"/>
  <c r="C1371" i="1"/>
  <c r="D1371" i="1"/>
  <c r="A1372" i="1"/>
  <c r="B1372" i="1"/>
  <c r="C1372" i="1"/>
  <c r="D1372" i="1"/>
  <c r="A1373" i="1"/>
  <c r="B1373" i="1"/>
  <c r="C1373" i="1"/>
  <c r="D1373" i="1"/>
  <c r="A1374" i="1"/>
  <c r="B1374" i="1"/>
  <c r="C1374" i="1"/>
  <c r="D1374" i="1"/>
  <c r="A1375" i="1"/>
  <c r="B1375" i="1"/>
  <c r="C1375" i="1"/>
  <c r="D1375" i="1"/>
  <c r="A1376" i="1"/>
  <c r="B1376" i="1"/>
  <c r="C1376" i="1"/>
  <c r="D1376" i="1"/>
  <c r="A1377" i="1"/>
  <c r="B1377" i="1"/>
  <c r="C1377" i="1"/>
  <c r="D1377" i="1"/>
  <c r="A1378" i="1"/>
  <c r="B1378" i="1"/>
  <c r="C1378" i="1"/>
  <c r="D1378" i="1"/>
  <c r="A1379" i="1"/>
  <c r="B1379" i="1"/>
  <c r="C1379" i="1"/>
  <c r="D1379" i="1"/>
  <c r="A1380" i="1"/>
  <c r="B1380" i="1"/>
  <c r="C1380" i="1"/>
  <c r="D1380" i="1"/>
  <c r="A1381" i="1"/>
  <c r="B1381" i="1"/>
  <c r="C1381" i="1"/>
  <c r="D1381" i="1"/>
  <c r="A1382" i="1"/>
  <c r="B1382" i="1"/>
  <c r="C1382" i="1"/>
  <c r="D1382" i="1"/>
  <c r="A1383" i="1"/>
  <c r="B1383" i="1"/>
  <c r="C1383" i="1"/>
  <c r="D1383" i="1"/>
  <c r="A1384" i="1"/>
  <c r="B1384" i="1"/>
  <c r="C1384" i="1"/>
  <c r="D1384" i="1"/>
  <c r="A1385" i="1"/>
  <c r="B1385" i="1"/>
  <c r="C1385" i="1"/>
  <c r="D1385" i="1"/>
  <c r="A1386" i="1"/>
  <c r="B1386" i="1"/>
  <c r="C1386" i="1"/>
  <c r="D1386" i="1"/>
  <c r="A1387" i="1"/>
  <c r="B1387" i="1"/>
  <c r="C1387" i="1"/>
  <c r="D1387" i="1"/>
  <c r="A1388" i="1"/>
  <c r="B1388" i="1"/>
  <c r="C1388" i="1"/>
  <c r="D1388" i="1"/>
  <c r="A1389" i="1"/>
  <c r="B1389" i="1"/>
  <c r="C1389" i="1"/>
  <c r="D1389" i="1"/>
  <c r="A1390" i="1"/>
  <c r="B1390" i="1"/>
  <c r="C1390" i="1"/>
  <c r="D1390" i="1"/>
  <c r="A1391" i="1"/>
  <c r="B1391" i="1"/>
  <c r="C1391" i="1"/>
  <c r="D1391" i="1"/>
  <c r="A1392" i="1"/>
  <c r="B1392" i="1"/>
  <c r="C1392" i="1"/>
  <c r="D1392" i="1"/>
  <c r="A1393" i="1"/>
  <c r="B1393" i="1"/>
  <c r="C1393" i="1"/>
  <c r="A1394" i="1"/>
  <c r="B1394" i="1"/>
  <c r="C1394" i="1"/>
  <c r="D1394" i="1"/>
  <c r="A1395" i="1"/>
  <c r="B1395" i="1"/>
  <c r="C1395" i="1"/>
  <c r="D1395" i="1"/>
  <c r="A1396" i="1"/>
  <c r="B1396" i="1"/>
  <c r="C1396" i="1"/>
  <c r="D1396" i="1"/>
  <c r="A1397" i="1"/>
  <c r="B1397" i="1"/>
  <c r="C1397" i="1"/>
  <c r="D1397" i="1"/>
  <c r="A1398" i="1"/>
  <c r="B1398" i="1"/>
  <c r="C1398" i="1"/>
  <c r="D1398" i="1"/>
  <c r="A1399" i="1"/>
  <c r="B1399" i="1"/>
  <c r="C1399" i="1"/>
  <c r="D1399" i="1"/>
  <c r="A1400" i="1"/>
  <c r="B1400" i="1"/>
  <c r="C1400" i="1"/>
  <c r="D1400" i="1"/>
  <c r="A1401" i="1"/>
  <c r="B1401" i="1"/>
  <c r="C1401" i="1"/>
  <c r="D1401" i="1"/>
  <c r="A1402" i="1"/>
  <c r="B1402" i="1"/>
  <c r="C1402" i="1"/>
  <c r="D1402" i="1"/>
  <c r="A1403" i="1"/>
  <c r="B1403" i="1"/>
  <c r="C1403" i="1"/>
  <c r="D1403" i="1"/>
  <c r="A1404" i="1"/>
  <c r="B1404" i="1"/>
  <c r="C1404" i="1"/>
  <c r="D1404" i="1"/>
  <c r="A1405" i="1"/>
  <c r="B1405" i="1"/>
  <c r="C1405" i="1"/>
  <c r="D1405" i="1"/>
  <c r="A1406" i="1"/>
  <c r="B1406" i="1"/>
  <c r="C1406" i="1"/>
  <c r="D1406" i="1"/>
  <c r="A1407" i="1"/>
  <c r="B1407" i="1"/>
  <c r="C1407" i="1"/>
  <c r="D1407" i="1"/>
  <c r="A1408" i="1"/>
  <c r="B1408" i="1"/>
  <c r="C1408" i="1"/>
  <c r="D1408" i="1"/>
  <c r="A1409" i="1"/>
  <c r="B1409" i="1"/>
  <c r="C1409" i="1"/>
  <c r="D1409" i="1"/>
  <c r="A1410" i="1"/>
  <c r="B1410" i="1"/>
  <c r="C1410" i="1"/>
  <c r="D1410" i="1"/>
  <c r="A1411" i="1"/>
  <c r="B1411" i="1"/>
  <c r="C1411" i="1"/>
  <c r="D1411" i="1"/>
  <c r="A1412" i="1"/>
  <c r="B1412" i="1"/>
  <c r="C1412" i="1"/>
  <c r="D1412" i="1"/>
  <c r="A1413" i="1"/>
  <c r="B1413" i="1"/>
  <c r="C1413" i="1"/>
  <c r="D1413" i="1"/>
  <c r="A1414" i="1"/>
  <c r="B1414" i="1"/>
  <c r="C1414" i="1"/>
  <c r="D1414" i="1"/>
  <c r="A1415" i="1"/>
  <c r="B1415" i="1"/>
  <c r="C1415" i="1"/>
  <c r="D1415" i="1"/>
  <c r="A1416" i="1"/>
  <c r="B1416" i="1"/>
  <c r="C1416" i="1"/>
  <c r="D1416" i="1"/>
  <c r="A1417" i="1"/>
  <c r="B1417" i="1"/>
  <c r="C1417" i="1"/>
  <c r="D1417" i="1"/>
  <c r="A1418" i="1"/>
  <c r="B1418" i="1"/>
  <c r="C1418" i="1"/>
  <c r="D1418" i="1"/>
  <c r="A1419" i="1"/>
  <c r="B1419" i="1"/>
  <c r="C1419" i="1"/>
  <c r="D1419" i="1"/>
  <c r="A1420" i="1"/>
  <c r="B1420" i="1"/>
  <c r="C1420" i="1"/>
  <c r="D1420" i="1"/>
  <c r="A1421" i="1"/>
  <c r="B1421" i="1"/>
  <c r="C1421" i="1"/>
  <c r="D1421" i="1"/>
  <c r="A1422" i="1"/>
  <c r="B1422" i="1"/>
  <c r="C1422" i="1"/>
  <c r="D1422" i="1"/>
  <c r="A1423" i="1"/>
  <c r="B1423" i="1"/>
  <c r="C1423" i="1"/>
  <c r="D1423" i="1"/>
  <c r="A1424" i="1"/>
  <c r="B1424" i="1"/>
  <c r="C1424" i="1"/>
  <c r="D1424" i="1"/>
  <c r="A1425" i="1"/>
  <c r="B1425" i="1"/>
  <c r="C1425" i="1"/>
  <c r="D1425" i="1"/>
  <c r="A1426" i="1"/>
  <c r="B1426" i="1"/>
  <c r="C1426" i="1"/>
  <c r="D1426" i="1"/>
  <c r="A1427" i="1"/>
  <c r="B1427" i="1"/>
  <c r="C1427" i="1"/>
  <c r="D1427" i="1"/>
  <c r="A1428" i="1"/>
  <c r="B1428" i="1"/>
  <c r="C1428" i="1"/>
  <c r="D1428" i="1"/>
  <c r="A1429" i="1"/>
  <c r="B1429" i="1"/>
  <c r="C1429" i="1"/>
  <c r="D1429" i="1"/>
  <c r="A1430" i="1"/>
  <c r="B1430" i="1"/>
  <c r="C1430" i="1"/>
  <c r="D1430" i="1"/>
  <c r="A1431" i="1"/>
  <c r="B1431" i="1"/>
  <c r="C1431" i="1"/>
  <c r="D1431" i="1"/>
  <c r="A1432" i="1"/>
  <c r="B1432" i="1"/>
  <c r="C1432" i="1"/>
  <c r="D1432" i="1"/>
  <c r="A1433" i="1"/>
  <c r="B1433" i="1"/>
  <c r="C1433" i="1"/>
  <c r="D1433" i="1"/>
  <c r="A1434" i="1"/>
  <c r="B1434" i="1"/>
  <c r="C1434" i="1"/>
  <c r="D1434" i="1"/>
  <c r="A1435" i="1"/>
  <c r="B1435" i="1"/>
  <c r="C1435" i="1"/>
  <c r="D1435" i="1"/>
  <c r="A1436" i="1"/>
  <c r="B1436" i="1"/>
  <c r="C1436" i="1"/>
  <c r="D1436" i="1"/>
  <c r="A1437" i="1"/>
  <c r="B1437" i="1"/>
  <c r="C1437" i="1"/>
  <c r="A1438" i="1"/>
  <c r="B1438" i="1"/>
  <c r="C1438" i="1"/>
  <c r="D1438" i="1"/>
  <c r="A1439" i="1"/>
  <c r="B1439" i="1"/>
  <c r="C1439" i="1"/>
  <c r="D1439" i="1"/>
  <c r="A1440" i="1"/>
  <c r="B1440" i="1"/>
  <c r="C1440" i="1"/>
  <c r="D1440" i="1"/>
  <c r="A1441" i="1"/>
  <c r="B1441" i="1"/>
  <c r="C1441" i="1"/>
  <c r="D1441" i="1"/>
  <c r="A1442" i="1"/>
  <c r="B1442" i="1"/>
  <c r="C1442" i="1"/>
  <c r="D1442" i="1"/>
  <c r="A1443" i="1"/>
  <c r="B1443" i="1"/>
  <c r="C1443" i="1"/>
  <c r="D1443" i="1"/>
  <c r="A1444" i="1"/>
  <c r="B1444" i="1"/>
  <c r="C1444" i="1"/>
  <c r="D1444" i="1"/>
  <c r="A1445" i="1"/>
  <c r="B1445" i="1"/>
  <c r="C1445" i="1"/>
  <c r="D1445" i="1"/>
  <c r="A1446" i="1"/>
  <c r="B1446" i="1"/>
  <c r="C1446" i="1"/>
  <c r="D1446" i="1"/>
  <c r="A1447" i="1"/>
  <c r="B1447" i="1"/>
  <c r="C1447" i="1"/>
  <c r="D1447" i="1"/>
  <c r="A1448" i="1"/>
  <c r="B1448" i="1"/>
  <c r="C1448" i="1"/>
  <c r="D1448" i="1"/>
  <c r="A1449" i="1"/>
  <c r="B1449" i="1"/>
  <c r="C1449" i="1"/>
  <c r="D1449" i="1"/>
  <c r="A1450" i="1"/>
  <c r="B1450" i="1"/>
  <c r="C1450" i="1"/>
  <c r="D1450" i="1"/>
  <c r="A1451" i="1"/>
  <c r="B1451" i="1"/>
  <c r="C1451" i="1"/>
  <c r="A1452" i="1"/>
  <c r="B1452" i="1"/>
  <c r="C1452" i="1"/>
  <c r="D1452" i="1"/>
  <c r="A1453" i="1"/>
  <c r="B1453" i="1"/>
  <c r="C1453" i="1"/>
  <c r="D1453" i="1"/>
  <c r="A1454" i="1"/>
  <c r="B1454" i="1"/>
  <c r="C1454" i="1"/>
  <c r="D1454" i="1"/>
  <c r="A1455" i="1"/>
  <c r="B1455" i="1"/>
  <c r="C1455" i="1"/>
  <c r="D1455" i="1"/>
  <c r="A1456" i="1"/>
  <c r="B1456" i="1"/>
  <c r="C1456" i="1"/>
  <c r="D1456" i="1"/>
  <c r="A1457" i="1"/>
  <c r="B1457" i="1"/>
  <c r="C1457" i="1"/>
  <c r="D1457" i="1"/>
  <c r="A1458" i="1"/>
  <c r="B1458" i="1"/>
  <c r="C1458" i="1"/>
  <c r="D1458" i="1"/>
  <c r="A1459" i="1"/>
  <c r="B1459" i="1"/>
  <c r="C1459" i="1"/>
  <c r="D1459" i="1"/>
  <c r="A1460" i="1"/>
  <c r="B1460" i="1"/>
  <c r="C1460" i="1"/>
  <c r="D1460" i="1"/>
  <c r="A1461" i="1"/>
  <c r="B1461" i="1"/>
  <c r="C1461" i="1"/>
  <c r="D1461" i="1"/>
  <c r="A1462" i="1"/>
  <c r="B1462" i="1"/>
  <c r="C1462" i="1"/>
  <c r="D1462" i="1"/>
  <c r="A1463" i="1"/>
  <c r="B1463" i="1"/>
  <c r="C1463" i="1"/>
  <c r="D1463" i="1"/>
  <c r="A1464" i="1"/>
  <c r="B1464" i="1"/>
  <c r="C1464" i="1"/>
  <c r="D1464" i="1"/>
  <c r="A1465" i="1"/>
  <c r="B1465" i="1"/>
  <c r="C1465" i="1"/>
  <c r="D1465" i="1"/>
  <c r="A1466" i="1"/>
  <c r="B1466" i="1"/>
  <c r="C1466" i="1"/>
  <c r="D1466" i="1"/>
  <c r="A1467" i="1"/>
  <c r="B1467" i="1"/>
  <c r="C1467" i="1"/>
  <c r="D1467" i="1"/>
  <c r="A1468" i="1"/>
  <c r="B1468" i="1"/>
  <c r="C1468" i="1"/>
  <c r="D1468" i="1"/>
  <c r="A1469" i="1"/>
  <c r="B1469" i="1"/>
  <c r="C1469" i="1"/>
  <c r="D1469" i="1"/>
  <c r="A1470" i="1"/>
  <c r="B1470" i="1"/>
  <c r="C1470" i="1"/>
  <c r="D1470" i="1"/>
  <c r="A1471" i="1"/>
  <c r="B1471" i="1"/>
  <c r="C1471" i="1"/>
  <c r="D1471" i="1"/>
  <c r="A1472" i="1"/>
  <c r="B1472" i="1"/>
  <c r="C1472" i="1"/>
  <c r="D1472" i="1"/>
  <c r="A1473" i="1"/>
  <c r="B1473" i="1"/>
  <c r="C1473" i="1"/>
  <c r="D1473" i="1"/>
  <c r="A1474" i="1"/>
  <c r="B1474" i="1"/>
  <c r="C1474" i="1"/>
  <c r="D1474" i="1"/>
  <c r="A1475" i="1"/>
  <c r="B1475" i="1"/>
  <c r="C1475" i="1"/>
  <c r="D1475" i="1"/>
  <c r="A1476" i="1"/>
  <c r="B1476" i="1"/>
  <c r="C1476" i="1"/>
  <c r="D1476" i="1"/>
  <c r="A1477" i="1"/>
  <c r="B1477" i="1"/>
  <c r="C1477" i="1"/>
  <c r="D1477" i="1"/>
  <c r="A1478" i="1"/>
  <c r="B1478" i="1"/>
  <c r="C1478" i="1"/>
  <c r="D1478" i="1"/>
  <c r="A1479" i="1"/>
  <c r="B1479" i="1"/>
  <c r="C1479" i="1"/>
  <c r="D1479" i="1"/>
  <c r="A1480" i="1"/>
  <c r="B1480" i="1"/>
  <c r="C1480" i="1"/>
  <c r="D1480" i="1"/>
  <c r="A1481" i="1"/>
  <c r="B1481" i="1"/>
  <c r="C1481" i="1"/>
  <c r="D1481" i="1"/>
  <c r="A1482" i="1"/>
  <c r="B1482" i="1"/>
  <c r="C1482" i="1"/>
  <c r="D1482" i="1"/>
  <c r="A1483" i="1"/>
  <c r="B1483" i="1"/>
  <c r="C1483" i="1"/>
  <c r="D1483" i="1"/>
  <c r="A1484" i="1"/>
  <c r="B1484" i="1"/>
  <c r="C1484" i="1"/>
  <c r="D1484" i="1"/>
  <c r="A1485" i="1"/>
  <c r="B1485" i="1"/>
  <c r="C1485" i="1"/>
  <c r="D1485" i="1"/>
  <c r="A1486" i="1"/>
  <c r="B1486" i="1"/>
  <c r="C1486" i="1"/>
  <c r="D1486" i="1"/>
  <c r="A1487" i="1"/>
  <c r="B1487" i="1"/>
  <c r="C1487" i="1"/>
  <c r="D1487" i="1"/>
  <c r="A1488" i="1"/>
  <c r="B1488" i="1"/>
  <c r="C1488" i="1"/>
  <c r="D1488" i="1"/>
  <c r="A1489" i="1"/>
  <c r="B1489" i="1"/>
  <c r="C1489" i="1"/>
  <c r="D1489" i="1"/>
  <c r="A1490" i="1"/>
  <c r="B1490" i="1"/>
  <c r="C1490" i="1"/>
  <c r="D1490" i="1"/>
  <c r="A1491" i="1"/>
  <c r="B1491" i="1"/>
  <c r="C1491" i="1"/>
  <c r="D1491" i="1"/>
  <c r="A1492" i="1"/>
  <c r="B1492" i="1"/>
  <c r="C1492" i="1"/>
  <c r="D1492" i="1"/>
  <c r="A1493" i="1"/>
  <c r="B1493" i="1"/>
  <c r="C1493" i="1"/>
  <c r="D1493" i="1"/>
  <c r="A1494" i="1"/>
  <c r="B1494" i="1"/>
  <c r="C1494" i="1"/>
  <c r="D1494" i="1"/>
  <c r="A1495" i="1"/>
  <c r="B1495" i="1"/>
  <c r="C1495" i="1"/>
  <c r="D1495" i="1"/>
  <c r="A1496" i="1"/>
  <c r="B1496" i="1"/>
  <c r="C1496" i="1"/>
  <c r="D1496" i="1"/>
  <c r="A1497" i="1"/>
  <c r="B1497" i="1"/>
  <c r="C1497" i="1"/>
  <c r="D1497" i="1"/>
  <c r="A1498" i="1"/>
  <c r="B1498" i="1"/>
  <c r="C1498" i="1"/>
  <c r="D1498" i="1"/>
  <c r="A1499" i="1"/>
  <c r="B1499" i="1"/>
  <c r="C1499" i="1"/>
  <c r="D1499" i="1"/>
  <c r="A1500" i="1"/>
  <c r="B1500" i="1"/>
  <c r="C1500" i="1"/>
  <c r="D1500" i="1"/>
  <c r="A1501" i="1"/>
  <c r="B1501" i="1"/>
  <c r="C1501" i="1"/>
  <c r="D1501" i="1"/>
  <c r="A1502" i="1"/>
  <c r="B1502" i="1"/>
  <c r="C1502" i="1"/>
  <c r="D1502" i="1"/>
  <c r="A1503" i="1"/>
  <c r="B1503" i="1"/>
  <c r="C1503" i="1"/>
  <c r="A1504" i="1"/>
  <c r="B1504" i="1"/>
  <c r="C1504" i="1"/>
  <c r="D1504" i="1"/>
  <c r="A1505" i="1"/>
  <c r="B1505" i="1"/>
  <c r="C1505" i="1"/>
  <c r="D1505" i="1"/>
  <c r="A1506" i="1"/>
  <c r="B1506" i="1"/>
  <c r="C1506" i="1"/>
  <c r="D1506" i="1"/>
  <c r="A1507" i="1"/>
  <c r="B1507" i="1"/>
  <c r="C1507" i="1"/>
  <c r="D1507" i="1"/>
  <c r="A1508" i="1"/>
  <c r="B1508" i="1"/>
  <c r="C1508" i="1"/>
  <c r="D1508" i="1"/>
  <c r="A1509" i="1"/>
  <c r="B1509" i="1"/>
  <c r="C1509" i="1"/>
  <c r="D1509" i="1"/>
  <c r="A1510" i="1"/>
  <c r="B1510" i="1"/>
  <c r="C1510" i="1"/>
  <c r="D1510" i="1"/>
  <c r="A1511" i="1"/>
  <c r="B1511" i="1"/>
  <c r="C1511" i="1"/>
  <c r="D1511" i="1"/>
  <c r="A1512" i="1"/>
  <c r="B1512" i="1"/>
  <c r="C1512" i="1"/>
  <c r="D1512" i="1"/>
  <c r="A1513" i="1"/>
  <c r="B1513" i="1"/>
  <c r="C1513" i="1"/>
  <c r="D1513" i="1"/>
  <c r="A1514" i="1"/>
  <c r="B1514" i="1"/>
  <c r="C1514" i="1"/>
  <c r="D1514" i="1"/>
  <c r="A1515" i="1"/>
  <c r="B1515" i="1"/>
  <c r="C1515" i="1"/>
  <c r="D1515" i="1"/>
  <c r="A1516" i="1"/>
  <c r="B1516" i="1"/>
  <c r="C1516" i="1"/>
  <c r="D1516" i="1"/>
  <c r="A1517" i="1"/>
  <c r="B1517" i="1"/>
  <c r="C1517" i="1"/>
  <c r="D1517" i="1"/>
  <c r="A1518" i="1"/>
  <c r="B1518" i="1"/>
  <c r="C1518" i="1"/>
  <c r="D1518" i="1"/>
  <c r="A1519" i="1"/>
  <c r="B1519" i="1"/>
  <c r="C1519" i="1"/>
  <c r="D1519" i="1"/>
  <c r="A1520" i="1"/>
  <c r="B1520" i="1"/>
  <c r="C1520" i="1"/>
  <c r="D1520" i="1"/>
  <c r="A1521" i="1"/>
  <c r="B1521" i="1"/>
  <c r="C1521" i="1"/>
  <c r="D1521" i="1"/>
  <c r="A1522" i="1"/>
  <c r="B1522" i="1"/>
  <c r="C1522" i="1"/>
  <c r="D1522" i="1"/>
  <c r="A1523" i="1"/>
  <c r="B1523" i="1"/>
  <c r="C1523" i="1"/>
  <c r="D1523" i="1"/>
  <c r="A1524" i="1"/>
  <c r="B1524" i="1"/>
  <c r="C1524" i="1"/>
  <c r="D1524" i="1"/>
  <c r="A1525" i="1"/>
  <c r="B1525" i="1"/>
  <c r="C1525" i="1"/>
  <c r="D1525" i="1"/>
  <c r="A1526" i="1"/>
  <c r="B1526" i="1"/>
  <c r="C1526" i="1"/>
  <c r="D1526" i="1"/>
  <c r="A1527" i="1"/>
  <c r="B1527" i="1"/>
  <c r="C1527" i="1"/>
  <c r="D1527" i="1"/>
  <c r="A1528" i="1"/>
  <c r="B1528" i="1"/>
  <c r="C1528" i="1"/>
  <c r="D1528" i="1"/>
  <c r="A1529" i="1"/>
  <c r="B1529" i="1"/>
  <c r="C1529" i="1"/>
  <c r="D1529" i="1"/>
  <c r="A1530" i="1"/>
  <c r="B1530" i="1"/>
  <c r="C1530" i="1"/>
  <c r="D1530" i="1"/>
  <c r="A1531" i="1"/>
  <c r="B1531" i="1"/>
  <c r="C1531" i="1"/>
  <c r="D1531" i="1"/>
  <c r="A1532" i="1"/>
  <c r="B1532" i="1"/>
  <c r="C1532" i="1"/>
  <c r="D1532" i="1"/>
  <c r="A1533" i="1"/>
  <c r="B1533" i="1"/>
  <c r="C1533" i="1"/>
  <c r="D1533" i="1"/>
  <c r="A1534" i="1"/>
  <c r="B1534" i="1"/>
  <c r="C1534" i="1"/>
  <c r="D1534" i="1"/>
  <c r="A1535" i="1"/>
  <c r="B1535" i="1"/>
  <c r="C1535" i="1"/>
  <c r="D1535" i="1"/>
  <c r="A1536" i="1"/>
  <c r="B1536" i="1"/>
  <c r="C1536" i="1"/>
  <c r="D1536" i="1"/>
  <c r="A1537" i="1"/>
  <c r="B1537" i="1"/>
  <c r="C1537" i="1"/>
  <c r="D1537" i="1"/>
  <c r="A1538" i="1"/>
  <c r="B1538" i="1"/>
  <c r="C1538" i="1"/>
  <c r="D1538" i="1"/>
  <c r="A1539" i="1"/>
  <c r="B1539" i="1"/>
  <c r="C1539" i="1"/>
  <c r="D1539" i="1"/>
  <c r="A1540" i="1"/>
  <c r="B1540" i="1"/>
  <c r="C1540" i="1"/>
  <c r="D1540" i="1"/>
  <c r="A1541" i="1"/>
  <c r="B1541" i="1"/>
  <c r="C1541" i="1"/>
  <c r="D1541" i="1"/>
  <c r="A1542" i="1"/>
  <c r="B1542" i="1"/>
  <c r="C1542" i="1"/>
  <c r="D1542" i="1"/>
  <c r="A1543" i="1"/>
  <c r="B1543" i="1"/>
  <c r="C1543" i="1"/>
  <c r="D1543" i="1"/>
  <c r="A1544" i="1"/>
  <c r="B1544" i="1"/>
  <c r="C1544" i="1"/>
  <c r="D1544" i="1"/>
  <c r="A1545" i="1"/>
  <c r="B1545" i="1"/>
  <c r="C1545" i="1"/>
  <c r="D1545" i="1"/>
  <c r="A1546" i="1"/>
  <c r="B1546" i="1"/>
  <c r="C1546" i="1"/>
  <c r="D1546" i="1"/>
  <c r="A1547" i="1"/>
  <c r="B1547" i="1"/>
  <c r="C1547" i="1"/>
  <c r="D1547" i="1"/>
  <c r="A1548" i="1"/>
  <c r="B1548" i="1"/>
  <c r="C1548" i="1"/>
  <c r="D1548" i="1"/>
  <c r="A1549" i="1"/>
  <c r="B1549" i="1"/>
  <c r="C1549" i="1"/>
  <c r="D1549" i="1"/>
  <c r="A1550" i="1"/>
  <c r="B1550" i="1"/>
  <c r="C1550" i="1"/>
  <c r="D1550" i="1"/>
  <c r="A1551" i="1"/>
  <c r="B1551" i="1"/>
  <c r="C1551" i="1"/>
  <c r="D1551" i="1"/>
  <c r="A1552" i="1"/>
  <c r="B1552" i="1"/>
  <c r="C1552" i="1"/>
  <c r="D1552" i="1"/>
  <c r="A1553" i="1"/>
  <c r="B1553" i="1"/>
  <c r="C1553" i="1"/>
  <c r="D1553" i="1"/>
  <c r="A1554" i="1"/>
  <c r="B1554" i="1"/>
  <c r="C1554" i="1"/>
  <c r="D1554" i="1"/>
  <c r="A1555" i="1"/>
  <c r="B1555" i="1"/>
  <c r="C1555" i="1"/>
  <c r="D1555" i="1"/>
  <c r="A1556" i="1"/>
  <c r="B1556" i="1"/>
  <c r="C1556" i="1"/>
  <c r="D1556" i="1"/>
  <c r="A1557" i="1"/>
  <c r="B1557" i="1"/>
  <c r="C1557" i="1"/>
  <c r="D1557" i="1"/>
  <c r="A1558" i="1"/>
  <c r="B1558" i="1"/>
  <c r="C1558" i="1"/>
  <c r="D1558" i="1"/>
  <c r="A1559" i="1"/>
  <c r="B1559" i="1"/>
  <c r="C1559" i="1"/>
  <c r="D1559" i="1"/>
  <c r="A1560" i="1"/>
  <c r="B1560" i="1"/>
  <c r="C1560" i="1"/>
  <c r="D1560" i="1"/>
  <c r="A1561" i="1"/>
  <c r="B1561" i="1"/>
  <c r="C1561" i="1"/>
  <c r="D1561" i="1"/>
  <c r="A1562" i="1"/>
  <c r="B1562" i="1"/>
  <c r="C1562" i="1"/>
  <c r="D1562" i="1"/>
  <c r="A1563" i="1"/>
  <c r="B1563" i="1"/>
  <c r="C1563" i="1"/>
  <c r="D1563" i="1"/>
  <c r="A1564" i="1"/>
  <c r="B1564" i="1"/>
  <c r="C1564" i="1"/>
  <c r="D1564" i="1"/>
  <c r="A1565" i="1"/>
  <c r="B1565" i="1"/>
  <c r="C1565" i="1"/>
  <c r="D1565" i="1"/>
  <c r="A1566" i="1"/>
  <c r="B1566" i="1"/>
  <c r="C1566" i="1"/>
  <c r="D1566" i="1"/>
  <c r="A1567" i="1"/>
  <c r="B1567" i="1"/>
  <c r="C1567" i="1"/>
  <c r="D1567" i="1"/>
  <c r="A1568" i="1"/>
  <c r="B1568" i="1"/>
  <c r="C1568" i="1"/>
  <c r="D1568" i="1"/>
  <c r="A1569" i="1"/>
  <c r="B1569" i="1"/>
  <c r="C1569" i="1"/>
  <c r="D1569" i="1"/>
  <c r="A1570" i="1"/>
  <c r="B1570" i="1"/>
  <c r="C1570" i="1"/>
  <c r="D1570" i="1"/>
  <c r="A1571" i="1"/>
  <c r="B1571" i="1"/>
  <c r="C1571" i="1"/>
  <c r="D1571" i="1"/>
  <c r="A1572" i="1"/>
  <c r="B1572" i="1"/>
  <c r="C1572" i="1"/>
  <c r="D1572" i="1"/>
  <c r="A1573" i="1"/>
  <c r="B1573" i="1"/>
  <c r="C1573" i="1"/>
  <c r="D1573" i="1"/>
  <c r="A1574" i="1"/>
  <c r="B1574" i="1"/>
  <c r="C1574" i="1"/>
  <c r="D1574" i="1"/>
  <c r="A1575" i="1"/>
  <c r="B1575" i="1"/>
  <c r="C1575" i="1"/>
  <c r="D1575" i="1"/>
  <c r="A1576" i="1"/>
  <c r="B1576" i="1"/>
  <c r="C1576" i="1"/>
  <c r="D1576" i="1"/>
  <c r="A1577" i="1"/>
  <c r="B1577" i="1"/>
  <c r="C1577" i="1"/>
  <c r="D1577" i="1"/>
  <c r="A1578" i="1"/>
  <c r="B1578" i="1"/>
  <c r="C1578" i="1"/>
  <c r="D1578" i="1"/>
  <c r="A1579" i="1"/>
  <c r="B1579" i="1"/>
  <c r="C1579" i="1"/>
  <c r="D1579" i="1"/>
  <c r="A1580" i="1"/>
  <c r="B1580" i="1"/>
  <c r="C1580" i="1"/>
  <c r="D1580" i="1"/>
  <c r="A1581" i="1"/>
  <c r="B1581" i="1"/>
  <c r="C1581" i="1"/>
  <c r="D1581" i="1"/>
  <c r="A1582" i="1"/>
  <c r="B1582" i="1"/>
  <c r="C1582" i="1"/>
  <c r="D1582" i="1"/>
  <c r="A1583" i="1"/>
  <c r="B1583" i="1"/>
  <c r="C1583" i="1"/>
  <c r="D1583" i="1"/>
  <c r="A1584" i="1"/>
  <c r="B1584" i="1"/>
  <c r="C1584" i="1"/>
  <c r="D1584" i="1"/>
  <c r="A1585" i="1"/>
  <c r="B1585" i="1"/>
  <c r="C1585" i="1"/>
  <c r="D1585" i="1"/>
  <c r="A1586" i="1"/>
  <c r="B1586" i="1"/>
  <c r="C1586" i="1"/>
  <c r="D1586" i="1"/>
  <c r="A1587" i="1"/>
  <c r="B1587" i="1"/>
  <c r="C1587" i="1"/>
  <c r="D1587" i="1"/>
  <c r="A1588" i="1"/>
  <c r="B1588" i="1"/>
  <c r="C1588" i="1"/>
  <c r="D1588" i="1"/>
  <c r="A1589" i="1"/>
  <c r="B1589" i="1"/>
  <c r="C1589" i="1"/>
  <c r="D1589" i="1"/>
  <c r="A1590" i="1"/>
  <c r="B1590" i="1"/>
  <c r="C1590" i="1"/>
  <c r="D1590" i="1"/>
  <c r="A1591" i="1"/>
  <c r="B1591" i="1"/>
  <c r="C1591" i="1"/>
  <c r="D1591" i="1"/>
  <c r="A1592" i="1"/>
  <c r="B1592" i="1"/>
  <c r="C1592" i="1"/>
  <c r="D1592" i="1"/>
  <c r="A1593" i="1"/>
  <c r="B1593" i="1"/>
  <c r="C1593" i="1"/>
  <c r="D1593" i="1"/>
  <c r="A1594" i="1"/>
  <c r="B1594" i="1"/>
  <c r="C1594" i="1"/>
  <c r="D1594" i="1"/>
  <c r="A1595" i="1"/>
  <c r="B1595" i="1"/>
  <c r="C1595" i="1"/>
  <c r="D1595" i="1"/>
  <c r="A1596" i="1"/>
  <c r="B1596" i="1"/>
  <c r="C1596" i="1"/>
  <c r="D1596" i="1"/>
  <c r="A1597" i="1"/>
  <c r="B1597" i="1"/>
  <c r="C1597" i="1"/>
  <c r="D1597" i="1"/>
  <c r="A1598" i="1"/>
  <c r="B1598" i="1"/>
  <c r="C1598" i="1"/>
  <c r="D1598" i="1"/>
  <c r="A1599" i="1"/>
  <c r="B1599" i="1"/>
  <c r="C1599" i="1"/>
  <c r="D1599" i="1"/>
  <c r="A1600" i="1"/>
  <c r="B1600" i="1"/>
  <c r="C1600" i="1"/>
  <c r="D1600" i="1"/>
  <c r="A1601" i="1"/>
  <c r="B1601" i="1"/>
  <c r="C1601" i="1"/>
  <c r="D1601" i="1"/>
  <c r="A1602" i="1"/>
  <c r="B1602" i="1"/>
  <c r="C1602" i="1"/>
  <c r="D1602" i="1"/>
  <c r="A1603" i="1"/>
  <c r="B1603" i="1"/>
  <c r="C1603" i="1"/>
  <c r="D1603" i="1"/>
  <c r="A1604" i="1"/>
  <c r="B1604" i="1"/>
  <c r="C1604" i="1"/>
  <c r="D1604" i="1"/>
  <c r="A1605" i="1"/>
  <c r="B1605" i="1"/>
  <c r="C1605" i="1"/>
  <c r="D1605" i="1"/>
  <c r="A1606" i="1"/>
  <c r="B1606" i="1"/>
  <c r="C1606" i="1"/>
  <c r="D1606" i="1"/>
  <c r="A1607" i="1"/>
  <c r="B1607" i="1"/>
  <c r="C1607" i="1"/>
  <c r="D1607" i="1"/>
  <c r="A1608" i="1"/>
  <c r="B1608" i="1"/>
  <c r="C1608" i="1"/>
  <c r="D1608" i="1"/>
  <c r="A1609" i="1"/>
  <c r="B1609" i="1"/>
  <c r="C1609" i="1"/>
  <c r="D1609" i="1"/>
  <c r="A1610" i="1"/>
  <c r="B1610" i="1"/>
  <c r="C1610" i="1"/>
  <c r="D1610" i="1"/>
  <c r="A1611" i="1"/>
  <c r="B1611" i="1"/>
  <c r="C1611" i="1"/>
  <c r="D1611" i="1"/>
  <c r="A1612" i="1"/>
  <c r="B1612" i="1"/>
  <c r="C1612" i="1"/>
  <c r="D1612" i="1"/>
  <c r="A1613" i="1"/>
  <c r="B1613" i="1"/>
  <c r="C1613" i="1"/>
  <c r="D1613" i="1"/>
  <c r="A1614" i="1"/>
  <c r="B1614" i="1"/>
  <c r="C1614" i="1"/>
  <c r="D1614" i="1"/>
  <c r="A1615" i="1"/>
  <c r="B1615" i="1"/>
  <c r="C1615" i="1"/>
  <c r="D1615" i="1"/>
  <c r="A1616" i="1"/>
  <c r="B1616" i="1"/>
  <c r="C1616" i="1"/>
  <c r="D1616" i="1"/>
  <c r="A1617" i="1"/>
  <c r="B1617" i="1"/>
  <c r="C1617" i="1"/>
  <c r="D1617" i="1"/>
  <c r="A1618" i="1"/>
  <c r="B1618" i="1"/>
  <c r="C1618" i="1"/>
  <c r="D1618" i="1"/>
  <c r="A1619" i="1"/>
  <c r="B1619" i="1"/>
  <c r="C1619" i="1"/>
  <c r="D1619" i="1"/>
  <c r="A1620" i="1"/>
  <c r="B1620" i="1"/>
  <c r="C1620" i="1"/>
  <c r="D1620" i="1"/>
  <c r="A1621" i="1"/>
  <c r="B1621" i="1"/>
  <c r="C1621" i="1"/>
  <c r="D1621" i="1"/>
  <c r="A1622" i="1"/>
  <c r="B1622" i="1"/>
  <c r="C1622" i="1"/>
  <c r="D1622" i="1"/>
  <c r="A1623" i="1"/>
  <c r="B1623" i="1"/>
  <c r="C1623" i="1"/>
  <c r="D1623" i="1"/>
  <c r="A1624" i="1"/>
  <c r="B1624" i="1"/>
  <c r="C1624" i="1"/>
  <c r="D1624" i="1"/>
  <c r="A1625" i="1"/>
  <c r="B1625" i="1"/>
  <c r="C1625" i="1"/>
  <c r="D1625" i="1"/>
  <c r="A1626" i="1"/>
  <c r="B1626" i="1"/>
  <c r="C1626" i="1"/>
  <c r="D1626" i="1"/>
  <c r="A1627" i="1"/>
  <c r="B1627" i="1"/>
  <c r="C1627" i="1"/>
  <c r="D1627" i="1"/>
  <c r="A1628" i="1"/>
  <c r="B1628" i="1"/>
  <c r="C1628" i="1"/>
  <c r="D1628" i="1"/>
  <c r="A1629" i="1"/>
  <c r="B1629" i="1"/>
  <c r="C1629" i="1"/>
  <c r="D1629" i="1"/>
  <c r="A1630" i="1"/>
  <c r="B1630" i="1"/>
  <c r="C1630" i="1"/>
  <c r="D1630" i="1"/>
  <c r="A1631" i="1"/>
  <c r="B1631" i="1"/>
  <c r="C1631" i="1"/>
  <c r="D1631" i="1"/>
  <c r="A1632" i="1"/>
  <c r="B1632" i="1"/>
  <c r="C1632" i="1"/>
  <c r="D1632" i="1"/>
  <c r="A1633" i="1"/>
  <c r="B1633" i="1"/>
  <c r="C1633" i="1"/>
  <c r="D1633" i="1"/>
  <c r="A1634" i="1"/>
  <c r="B1634" i="1"/>
  <c r="C1634" i="1"/>
  <c r="D1634" i="1"/>
  <c r="A1635" i="1"/>
  <c r="B1635" i="1"/>
  <c r="C1635" i="1"/>
  <c r="D1635" i="1"/>
  <c r="A1636" i="1"/>
  <c r="B1636" i="1"/>
  <c r="C1636" i="1"/>
  <c r="D1636" i="1"/>
  <c r="A1637" i="1"/>
  <c r="B1637" i="1"/>
  <c r="C1637" i="1"/>
  <c r="D1637" i="1"/>
  <c r="A1638" i="1"/>
  <c r="B1638" i="1"/>
  <c r="C1638" i="1"/>
  <c r="D1638" i="1"/>
  <c r="A1639" i="1"/>
  <c r="B1639" i="1"/>
  <c r="C1639" i="1"/>
  <c r="D1639" i="1"/>
  <c r="A1640" i="1"/>
  <c r="B1640" i="1"/>
  <c r="C1640" i="1"/>
  <c r="D1640" i="1"/>
  <c r="A1641" i="1"/>
  <c r="B1641" i="1"/>
  <c r="C1641" i="1"/>
  <c r="D1641" i="1"/>
  <c r="A1642" i="1"/>
  <c r="B1642" i="1"/>
  <c r="C1642" i="1"/>
  <c r="D1642" i="1"/>
  <c r="A1643" i="1"/>
  <c r="B1643" i="1"/>
  <c r="C1643" i="1"/>
  <c r="D1643" i="1"/>
  <c r="A1644" i="1"/>
  <c r="B1644" i="1"/>
  <c r="C1644" i="1"/>
  <c r="D1644" i="1"/>
  <c r="A1645" i="1"/>
  <c r="B1645" i="1"/>
  <c r="C1645" i="1"/>
  <c r="D1645" i="1"/>
  <c r="A1646" i="1"/>
  <c r="B1646" i="1"/>
  <c r="C1646" i="1"/>
  <c r="D1646" i="1"/>
  <c r="A1647" i="1"/>
  <c r="B1647" i="1"/>
  <c r="C1647" i="1"/>
  <c r="D1647" i="1"/>
  <c r="A1648" i="1"/>
  <c r="B1648" i="1"/>
  <c r="C1648" i="1"/>
  <c r="D1648" i="1"/>
  <c r="A1649" i="1"/>
  <c r="B1649" i="1"/>
  <c r="C1649" i="1"/>
  <c r="A1650" i="1"/>
  <c r="B1650" i="1"/>
  <c r="C1650" i="1"/>
  <c r="D1650" i="1"/>
  <c r="A1651" i="1"/>
  <c r="B1651" i="1"/>
  <c r="C1651" i="1"/>
  <c r="D1651" i="1"/>
  <c r="A1652" i="1"/>
  <c r="B1652" i="1"/>
  <c r="C1652" i="1"/>
  <c r="D1652" i="1"/>
  <c r="A1653" i="1"/>
  <c r="B1653" i="1"/>
  <c r="C1653" i="1"/>
  <c r="D1653" i="1"/>
  <c r="A1654" i="1"/>
  <c r="B1654" i="1"/>
  <c r="C1654" i="1"/>
  <c r="D1654" i="1"/>
  <c r="A1655" i="1"/>
  <c r="B1655" i="1"/>
  <c r="C1655" i="1"/>
  <c r="D1655" i="1"/>
  <c r="A1656" i="1"/>
  <c r="B1656" i="1"/>
  <c r="C1656" i="1"/>
  <c r="D1656" i="1"/>
  <c r="A1657" i="1"/>
  <c r="B1657" i="1"/>
  <c r="C1657" i="1"/>
  <c r="D1657" i="1"/>
  <c r="A1658" i="1"/>
  <c r="B1658" i="1"/>
  <c r="C1658" i="1"/>
  <c r="D1658" i="1"/>
  <c r="A1659" i="1"/>
  <c r="B1659" i="1"/>
  <c r="C1659" i="1"/>
  <c r="D1659" i="1"/>
  <c r="A1660" i="1"/>
  <c r="B1660" i="1"/>
  <c r="C1660" i="1"/>
  <c r="D1660" i="1"/>
  <c r="A1661" i="1"/>
  <c r="B1661" i="1"/>
  <c r="C1661" i="1"/>
  <c r="D1661" i="1"/>
  <c r="A1662" i="1"/>
  <c r="B1662" i="1"/>
  <c r="C1662" i="1"/>
  <c r="A1663" i="1"/>
  <c r="B1663" i="1"/>
  <c r="C1663" i="1"/>
  <c r="D1663" i="1"/>
  <c r="A1664" i="1"/>
  <c r="B1664" i="1"/>
  <c r="C1664" i="1"/>
  <c r="D1664" i="1"/>
  <c r="A1665" i="1"/>
  <c r="B1665" i="1"/>
  <c r="C1665" i="1"/>
  <c r="D1665" i="1"/>
  <c r="A1666" i="1"/>
  <c r="B1666" i="1"/>
  <c r="C1666" i="1"/>
  <c r="D1666" i="1"/>
  <c r="A1667" i="1"/>
  <c r="B1667" i="1"/>
  <c r="C1667" i="1"/>
  <c r="D1667" i="1"/>
  <c r="A1668" i="1"/>
  <c r="B1668" i="1"/>
  <c r="C1668" i="1"/>
  <c r="D1668" i="1"/>
  <c r="A1669" i="1"/>
  <c r="B1669" i="1"/>
  <c r="C1669" i="1"/>
  <c r="D1669" i="1"/>
  <c r="A1670" i="1"/>
  <c r="B1670" i="1"/>
  <c r="C1670" i="1"/>
  <c r="D1670" i="1"/>
  <c r="A1671" i="1"/>
  <c r="B1671" i="1"/>
  <c r="C1671" i="1"/>
  <c r="D1671" i="1"/>
  <c r="A1672" i="1"/>
  <c r="B1672" i="1"/>
  <c r="C1672" i="1"/>
  <c r="D1672" i="1"/>
  <c r="A1673" i="1"/>
  <c r="B1673" i="1"/>
  <c r="C1673" i="1"/>
  <c r="D1673" i="1"/>
  <c r="A1674" i="1"/>
  <c r="B1674" i="1"/>
  <c r="C1674" i="1"/>
  <c r="D1674" i="1"/>
  <c r="A1675" i="1"/>
  <c r="B1675" i="1"/>
  <c r="C1675" i="1"/>
  <c r="D1675" i="1"/>
  <c r="A1676" i="1"/>
  <c r="B1676" i="1"/>
  <c r="C1676" i="1"/>
  <c r="D1676" i="1"/>
  <c r="A1677" i="1"/>
  <c r="B1677" i="1"/>
  <c r="C1677" i="1"/>
  <c r="D1677" i="1"/>
  <c r="A1678" i="1"/>
  <c r="B1678" i="1"/>
  <c r="C1678" i="1"/>
  <c r="D1678" i="1"/>
  <c r="A1679" i="1"/>
  <c r="B1679" i="1"/>
  <c r="C1679" i="1"/>
  <c r="D1679" i="1"/>
  <c r="A1680" i="1"/>
  <c r="B1680" i="1"/>
  <c r="C1680" i="1"/>
  <c r="D1680" i="1"/>
  <c r="A1681" i="1"/>
  <c r="B1681" i="1"/>
  <c r="C1681" i="1"/>
  <c r="D1681" i="1"/>
  <c r="A1682" i="1"/>
  <c r="B1682" i="1"/>
  <c r="C1682" i="1"/>
  <c r="D1682" i="1"/>
  <c r="A1683" i="1"/>
  <c r="B1683" i="1"/>
  <c r="C1683" i="1"/>
  <c r="D1683" i="1"/>
  <c r="A1684" i="1"/>
  <c r="B1684" i="1"/>
  <c r="C1684" i="1"/>
  <c r="D1684" i="1"/>
  <c r="A1685" i="1"/>
  <c r="B1685" i="1"/>
  <c r="C1685" i="1"/>
  <c r="D1685" i="1"/>
  <c r="A1686" i="1"/>
  <c r="B1686" i="1"/>
  <c r="C1686" i="1"/>
  <c r="D1686" i="1"/>
  <c r="A1687" i="1"/>
  <c r="B1687" i="1"/>
  <c r="C1687" i="1"/>
  <c r="D1687" i="1"/>
  <c r="A1688" i="1"/>
  <c r="B1688" i="1"/>
  <c r="C1688" i="1"/>
  <c r="D1688" i="1"/>
  <c r="A1689" i="1"/>
  <c r="B1689" i="1"/>
  <c r="C1689" i="1"/>
  <c r="D1689" i="1"/>
  <c r="A1690" i="1"/>
  <c r="B1690" i="1"/>
  <c r="C1690" i="1"/>
  <c r="D1690" i="1"/>
  <c r="A1691" i="1"/>
  <c r="B1691" i="1"/>
  <c r="C1691" i="1"/>
  <c r="D1691" i="1"/>
  <c r="A1692" i="1"/>
  <c r="B1692" i="1"/>
  <c r="C1692" i="1"/>
  <c r="D1692" i="1"/>
  <c r="A1693" i="1"/>
  <c r="B1693" i="1"/>
  <c r="C1693" i="1"/>
  <c r="D1693" i="1"/>
  <c r="A1694" i="1"/>
  <c r="B1694" i="1"/>
  <c r="C1694" i="1"/>
  <c r="D1694" i="1"/>
  <c r="A1695" i="1"/>
  <c r="B1695" i="1"/>
  <c r="C1695" i="1"/>
  <c r="D1695" i="1"/>
  <c r="A1696" i="1"/>
  <c r="B1696" i="1"/>
  <c r="C1696" i="1"/>
  <c r="D1696" i="1"/>
  <c r="A1697" i="1"/>
  <c r="B1697" i="1"/>
  <c r="C1697" i="1"/>
  <c r="A1698" i="1"/>
  <c r="B1698" i="1"/>
  <c r="C1698" i="1"/>
  <c r="D1698" i="1"/>
  <c r="A1699" i="1"/>
  <c r="B1699" i="1"/>
  <c r="C1699" i="1"/>
  <c r="D1699" i="1"/>
  <c r="A1700" i="1"/>
  <c r="B1700" i="1"/>
  <c r="C1700" i="1"/>
  <c r="D1700" i="1"/>
  <c r="A1701" i="1"/>
  <c r="B1701" i="1"/>
  <c r="C1701" i="1"/>
  <c r="D1701" i="1"/>
  <c r="A1702" i="1"/>
  <c r="B1702" i="1"/>
  <c r="C1702" i="1"/>
  <c r="D1702" i="1"/>
  <c r="A1703" i="1"/>
  <c r="B1703" i="1"/>
  <c r="C1703" i="1"/>
  <c r="D1703" i="1"/>
  <c r="A1704" i="1"/>
  <c r="B1704" i="1"/>
  <c r="C1704" i="1"/>
  <c r="D1704" i="1"/>
  <c r="A1705" i="1"/>
  <c r="B1705" i="1"/>
  <c r="C1705" i="1"/>
  <c r="D1705" i="1"/>
  <c r="A1706" i="1"/>
  <c r="B1706" i="1"/>
  <c r="C1706" i="1"/>
  <c r="D1706" i="1"/>
  <c r="A1707" i="1"/>
  <c r="B1707" i="1"/>
  <c r="C1707" i="1"/>
  <c r="D1707" i="1"/>
  <c r="A1708" i="1"/>
  <c r="B1708" i="1"/>
  <c r="C1708" i="1"/>
  <c r="D1708" i="1"/>
  <c r="A1709" i="1"/>
  <c r="B1709" i="1"/>
  <c r="C1709" i="1"/>
  <c r="D1709" i="1"/>
  <c r="A1710" i="1"/>
  <c r="B1710" i="1"/>
  <c r="C1710" i="1"/>
  <c r="D1710" i="1"/>
  <c r="A1711" i="1"/>
  <c r="B1711" i="1"/>
  <c r="C1711" i="1"/>
  <c r="D1711" i="1"/>
  <c r="A1712" i="1"/>
  <c r="B1712" i="1"/>
  <c r="C1712" i="1"/>
  <c r="D1712" i="1"/>
  <c r="A1713" i="1"/>
  <c r="B1713" i="1"/>
  <c r="C1713" i="1"/>
  <c r="D1713" i="1"/>
  <c r="A1714" i="1"/>
  <c r="B1714" i="1"/>
  <c r="C1714" i="1"/>
  <c r="D1714" i="1"/>
  <c r="A1715" i="1"/>
  <c r="B1715" i="1"/>
  <c r="C1715" i="1"/>
  <c r="D1715" i="1"/>
  <c r="A1716" i="1"/>
  <c r="B1716" i="1"/>
  <c r="C1716" i="1"/>
  <c r="D1716" i="1"/>
  <c r="A1717" i="1"/>
  <c r="B1717" i="1"/>
  <c r="C1717" i="1"/>
  <c r="D1717" i="1"/>
  <c r="A1718" i="1"/>
  <c r="B1718" i="1"/>
  <c r="C1718" i="1"/>
  <c r="D1718" i="1"/>
  <c r="A1719" i="1"/>
  <c r="B1719" i="1"/>
  <c r="C1719" i="1"/>
  <c r="D1719" i="1"/>
  <c r="A1720" i="1"/>
  <c r="B1720" i="1"/>
  <c r="C1720" i="1"/>
  <c r="D1720" i="1"/>
  <c r="A1721" i="1"/>
  <c r="B1721" i="1"/>
  <c r="C1721" i="1"/>
  <c r="D1721" i="1"/>
  <c r="A1722" i="1"/>
  <c r="B1722" i="1"/>
  <c r="C1722" i="1"/>
  <c r="D1722" i="1"/>
  <c r="A1723" i="1"/>
  <c r="B1723" i="1"/>
  <c r="C1723" i="1"/>
  <c r="D1723" i="1"/>
  <c r="A1724" i="1"/>
  <c r="B1724" i="1"/>
  <c r="C1724" i="1"/>
  <c r="D1724" i="1"/>
  <c r="A1725" i="1"/>
  <c r="B1725" i="1"/>
  <c r="C1725" i="1"/>
  <c r="D1725" i="1"/>
  <c r="A1726" i="1"/>
  <c r="B1726" i="1"/>
  <c r="C1726" i="1"/>
  <c r="D1726" i="1"/>
  <c r="A1727" i="1"/>
  <c r="B1727" i="1"/>
  <c r="C1727" i="1"/>
  <c r="D1727" i="1"/>
  <c r="A1728" i="1"/>
  <c r="B1728" i="1"/>
  <c r="C1728" i="1"/>
  <c r="D1728" i="1"/>
  <c r="A1729" i="1"/>
  <c r="B1729" i="1"/>
  <c r="C1729" i="1"/>
  <c r="D1729" i="1"/>
  <c r="A1730" i="1"/>
  <c r="B1730" i="1"/>
  <c r="C1730" i="1"/>
  <c r="D1730" i="1"/>
  <c r="A1731" i="1"/>
  <c r="B1731" i="1"/>
  <c r="C1731" i="1"/>
  <c r="A1732" i="1"/>
  <c r="B1732" i="1"/>
  <c r="C1732" i="1"/>
  <c r="D1732" i="1"/>
  <c r="A1733" i="1"/>
  <c r="B1733" i="1"/>
  <c r="C1733" i="1"/>
  <c r="D1733" i="1"/>
  <c r="A1734" i="1"/>
  <c r="B1734" i="1"/>
  <c r="C1734" i="1"/>
  <c r="D1734" i="1"/>
  <c r="A1735" i="1"/>
  <c r="B1735" i="1"/>
  <c r="C1735" i="1"/>
  <c r="D1735" i="1"/>
  <c r="A1736" i="1"/>
  <c r="B1736" i="1"/>
  <c r="C1736" i="1"/>
  <c r="D1736" i="1"/>
  <c r="A1737" i="1"/>
  <c r="B1737" i="1"/>
  <c r="C1737" i="1"/>
  <c r="D1737" i="1"/>
  <c r="A1738" i="1"/>
  <c r="B1738" i="1"/>
  <c r="C1738" i="1"/>
  <c r="D1738" i="1"/>
  <c r="A1739" i="1"/>
  <c r="B1739" i="1"/>
  <c r="C1739" i="1"/>
  <c r="D1739" i="1"/>
  <c r="A1740" i="1"/>
  <c r="B1740" i="1"/>
  <c r="C1740" i="1"/>
  <c r="D1740" i="1"/>
  <c r="A1741" i="1"/>
  <c r="B1741" i="1"/>
  <c r="C1741" i="1"/>
  <c r="D1741" i="1"/>
  <c r="A1742" i="1"/>
  <c r="B1742" i="1"/>
  <c r="C1742" i="1"/>
  <c r="D1742" i="1"/>
  <c r="A1743" i="1"/>
  <c r="B1743" i="1"/>
  <c r="C1743" i="1"/>
  <c r="D1743" i="1"/>
  <c r="A1744" i="1"/>
  <c r="B1744" i="1"/>
  <c r="C1744" i="1"/>
  <c r="D1744" i="1"/>
  <c r="A1745" i="1"/>
  <c r="B1745" i="1"/>
  <c r="C1745" i="1"/>
  <c r="D1745" i="1"/>
  <c r="A1746" i="1"/>
  <c r="B1746" i="1"/>
  <c r="C1746" i="1"/>
  <c r="D1746" i="1"/>
  <c r="A1747" i="1"/>
  <c r="B1747" i="1"/>
  <c r="C1747" i="1"/>
  <c r="D1747" i="1"/>
  <c r="A1748" i="1"/>
  <c r="B1748" i="1"/>
  <c r="C1748" i="1"/>
  <c r="D1748" i="1"/>
  <c r="A1749" i="1"/>
  <c r="B1749" i="1"/>
  <c r="C1749" i="1"/>
  <c r="D1749" i="1"/>
  <c r="A1750" i="1"/>
  <c r="B1750" i="1"/>
  <c r="C1750" i="1"/>
  <c r="D1750" i="1"/>
  <c r="A1751" i="1"/>
  <c r="B1751" i="1"/>
  <c r="C1751" i="1"/>
  <c r="D1751" i="1"/>
  <c r="A1752" i="1"/>
  <c r="B1752" i="1"/>
  <c r="C1752" i="1"/>
  <c r="D1752" i="1"/>
  <c r="A1753" i="1"/>
  <c r="B1753" i="1"/>
  <c r="C1753" i="1"/>
  <c r="D1753" i="1"/>
  <c r="A1754" i="1"/>
  <c r="B1754" i="1"/>
  <c r="C1754" i="1"/>
  <c r="D1754" i="1"/>
  <c r="A1755" i="1"/>
  <c r="B1755" i="1"/>
  <c r="C1755" i="1"/>
  <c r="D1755" i="1"/>
  <c r="A1756" i="1"/>
  <c r="B1756" i="1"/>
  <c r="C1756" i="1"/>
  <c r="D1756" i="1"/>
  <c r="A1757" i="1"/>
  <c r="B1757" i="1"/>
  <c r="C1757" i="1"/>
  <c r="D1757" i="1"/>
  <c r="A1758" i="1"/>
  <c r="B1758" i="1"/>
  <c r="C1758" i="1"/>
  <c r="D1758" i="1"/>
  <c r="A1759" i="1"/>
  <c r="B1759" i="1"/>
  <c r="C1759" i="1"/>
  <c r="D1759" i="1"/>
  <c r="A1760" i="1"/>
  <c r="B1760" i="1"/>
  <c r="C1760" i="1"/>
  <c r="D1760" i="1"/>
  <c r="A1761" i="1"/>
  <c r="B1761" i="1"/>
  <c r="C1761" i="1"/>
  <c r="D1761" i="1"/>
  <c r="A1762" i="1"/>
  <c r="B1762" i="1"/>
  <c r="C1762" i="1"/>
  <c r="D1762" i="1"/>
  <c r="A1763" i="1"/>
  <c r="B1763" i="1"/>
  <c r="C1763" i="1"/>
  <c r="D1763" i="1"/>
  <c r="A1764" i="1"/>
  <c r="B1764" i="1"/>
  <c r="C1764" i="1"/>
  <c r="D1764" i="1"/>
  <c r="A1765" i="1"/>
  <c r="B1765" i="1"/>
  <c r="C1765" i="1"/>
  <c r="D1765" i="1"/>
  <c r="A1766" i="1"/>
  <c r="B1766" i="1"/>
  <c r="C1766" i="1"/>
  <c r="D1766" i="1"/>
  <c r="A1767" i="1"/>
  <c r="B1767" i="1"/>
  <c r="C1767" i="1"/>
  <c r="D1767" i="1"/>
  <c r="A1768" i="1"/>
  <c r="B1768" i="1"/>
  <c r="C1768" i="1"/>
  <c r="D1768" i="1"/>
  <c r="A1769" i="1"/>
  <c r="B1769" i="1"/>
  <c r="C1769" i="1"/>
  <c r="D1769" i="1"/>
  <c r="A1770" i="1"/>
  <c r="B1770" i="1"/>
  <c r="C1770" i="1"/>
  <c r="D1770" i="1"/>
  <c r="A1771" i="1"/>
  <c r="B1771" i="1"/>
  <c r="C1771" i="1"/>
  <c r="D1771" i="1"/>
  <c r="A1772" i="1"/>
  <c r="B1772" i="1"/>
  <c r="C1772" i="1"/>
  <c r="D1772" i="1"/>
  <c r="A1773" i="1"/>
  <c r="B1773" i="1"/>
  <c r="C1773" i="1"/>
  <c r="D1773" i="1"/>
  <c r="A1774" i="1"/>
  <c r="B1774" i="1"/>
  <c r="C1774" i="1"/>
  <c r="D1774" i="1"/>
  <c r="A1775" i="1"/>
  <c r="B1775" i="1"/>
  <c r="C1775" i="1"/>
  <c r="D1775" i="1"/>
  <c r="A1776" i="1"/>
  <c r="B1776" i="1"/>
  <c r="C1776" i="1"/>
  <c r="D1776" i="1"/>
  <c r="A1777" i="1"/>
  <c r="B1777" i="1"/>
  <c r="C1777" i="1"/>
  <c r="D1777" i="1"/>
  <c r="A1778" i="1"/>
  <c r="B1778" i="1"/>
  <c r="C1778" i="1"/>
  <c r="D1778" i="1"/>
  <c r="A1779" i="1"/>
  <c r="B1779" i="1"/>
  <c r="C1779" i="1"/>
  <c r="D1779" i="1"/>
  <c r="A1780" i="1"/>
  <c r="B1780" i="1"/>
  <c r="C1780" i="1"/>
  <c r="D1780" i="1"/>
  <c r="A1781" i="1"/>
  <c r="B1781" i="1"/>
  <c r="C1781" i="1"/>
  <c r="D1781" i="1"/>
  <c r="A1782" i="1"/>
  <c r="B1782" i="1"/>
  <c r="C1782" i="1"/>
  <c r="D1782" i="1"/>
  <c r="A1783" i="1"/>
  <c r="B1783" i="1"/>
  <c r="C1783" i="1"/>
  <c r="A1784" i="1"/>
  <c r="B1784" i="1"/>
  <c r="C1784" i="1"/>
  <c r="D1784" i="1"/>
  <c r="A1785" i="1"/>
  <c r="B1785" i="1"/>
  <c r="C1785" i="1"/>
  <c r="D1785" i="1"/>
  <c r="A1786" i="1"/>
  <c r="B1786" i="1"/>
  <c r="C1786" i="1"/>
  <c r="D1786" i="1"/>
  <c r="A1787" i="1"/>
  <c r="B1787" i="1"/>
  <c r="C1787" i="1"/>
  <c r="D1787" i="1"/>
  <c r="A1788" i="1"/>
  <c r="B1788" i="1"/>
  <c r="C1788" i="1"/>
  <c r="D1788" i="1"/>
  <c r="A1789" i="1"/>
  <c r="B1789" i="1"/>
  <c r="C1789" i="1"/>
  <c r="D1789" i="1"/>
  <c r="A1790" i="1"/>
  <c r="B1790" i="1"/>
  <c r="C1790" i="1"/>
  <c r="D1790" i="1"/>
  <c r="A1791" i="1"/>
  <c r="B1791" i="1"/>
  <c r="C1791" i="1"/>
  <c r="D1791" i="1"/>
  <c r="A1792" i="1"/>
  <c r="B1792" i="1"/>
  <c r="C1792" i="1"/>
  <c r="D1792" i="1"/>
  <c r="A1793" i="1"/>
  <c r="B1793" i="1"/>
  <c r="C1793" i="1"/>
  <c r="D1793" i="1"/>
  <c r="A1794" i="1"/>
  <c r="B1794" i="1"/>
  <c r="C1794" i="1"/>
  <c r="D1794" i="1"/>
  <c r="A1795" i="1"/>
  <c r="B1795" i="1"/>
  <c r="C1795" i="1"/>
  <c r="D1795" i="1"/>
  <c r="A1796" i="1"/>
  <c r="B1796" i="1"/>
  <c r="C1796" i="1"/>
  <c r="D1796" i="1"/>
  <c r="A1797" i="1"/>
  <c r="B1797" i="1"/>
  <c r="C1797" i="1"/>
  <c r="D1797" i="1"/>
  <c r="A1798" i="1"/>
  <c r="B1798" i="1"/>
  <c r="C1798" i="1"/>
  <c r="D1798" i="1"/>
  <c r="A1799" i="1"/>
  <c r="B1799" i="1"/>
  <c r="C1799" i="1"/>
  <c r="D1799" i="1"/>
  <c r="A1800" i="1"/>
  <c r="B1800" i="1"/>
  <c r="C1800" i="1"/>
  <c r="D1800" i="1"/>
  <c r="A1801" i="1"/>
  <c r="B1801" i="1"/>
  <c r="C1801" i="1"/>
  <c r="D1801" i="1"/>
  <c r="A1802" i="1"/>
  <c r="B1802" i="1"/>
  <c r="C1802" i="1"/>
  <c r="D1802" i="1"/>
  <c r="A1803" i="1"/>
  <c r="B1803" i="1"/>
  <c r="C1803" i="1"/>
  <c r="D1803" i="1"/>
  <c r="A1804" i="1"/>
  <c r="B1804" i="1"/>
  <c r="C1804" i="1"/>
  <c r="D1804" i="1"/>
  <c r="A1805" i="1"/>
  <c r="B1805" i="1"/>
  <c r="C1805" i="1"/>
  <c r="D1805" i="1"/>
  <c r="A1806" i="1"/>
  <c r="B1806" i="1"/>
  <c r="C1806" i="1"/>
  <c r="D1806" i="1"/>
  <c r="A1807" i="1"/>
  <c r="B1807" i="1"/>
  <c r="C1807" i="1"/>
  <c r="D1807" i="1"/>
  <c r="A1808" i="1"/>
  <c r="B1808" i="1"/>
  <c r="C1808" i="1"/>
  <c r="D1808" i="1"/>
  <c r="A1809" i="1"/>
  <c r="B1809" i="1"/>
  <c r="C1809" i="1"/>
  <c r="D1809" i="1"/>
  <c r="A1810" i="1"/>
  <c r="B1810" i="1"/>
  <c r="C1810" i="1"/>
  <c r="D1810" i="1"/>
  <c r="A1811" i="1"/>
  <c r="B1811" i="1"/>
  <c r="C1811" i="1"/>
  <c r="D1811" i="1"/>
  <c r="A1812" i="1"/>
  <c r="B1812" i="1"/>
  <c r="C1812" i="1"/>
  <c r="D1812" i="1"/>
  <c r="A1813" i="1"/>
  <c r="B1813" i="1"/>
  <c r="C1813" i="1"/>
  <c r="D1813" i="1"/>
  <c r="A1814" i="1"/>
  <c r="B1814" i="1"/>
  <c r="C1814" i="1"/>
  <c r="D1814" i="1"/>
  <c r="A1815" i="1"/>
  <c r="B1815" i="1"/>
  <c r="C1815" i="1"/>
  <c r="D1815" i="1"/>
  <c r="A1816" i="1"/>
  <c r="B1816" i="1"/>
  <c r="C1816" i="1"/>
  <c r="D1816" i="1"/>
  <c r="A1817" i="1"/>
  <c r="B1817" i="1"/>
  <c r="C1817" i="1"/>
  <c r="D1817" i="1"/>
  <c r="A1818" i="1"/>
  <c r="B1818" i="1"/>
  <c r="C1818" i="1"/>
  <c r="D1818" i="1"/>
  <c r="A1819" i="1"/>
  <c r="B1819" i="1"/>
  <c r="C1819" i="1"/>
  <c r="D1819" i="1"/>
  <c r="A1820" i="1"/>
  <c r="B1820" i="1"/>
  <c r="C1820" i="1"/>
  <c r="D1820" i="1"/>
  <c r="A1821" i="1"/>
  <c r="B1821" i="1"/>
  <c r="C1821" i="1"/>
  <c r="D1821" i="1"/>
  <c r="A1822" i="1"/>
  <c r="B1822" i="1"/>
  <c r="C1822" i="1"/>
  <c r="D1822" i="1"/>
  <c r="A1823" i="1"/>
  <c r="B1823" i="1"/>
  <c r="C1823" i="1"/>
  <c r="D1823" i="1"/>
  <c r="A1824" i="1"/>
  <c r="B1824" i="1"/>
  <c r="C1824" i="1"/>
  <c r="D1824" i="1"/>
  <c r="A1825" i="1"/>
  <c r="B1825" i="1"/>
  <c r="C1825" i="1"/>
  <c r="D1825" i="1"/>
  <c r="A1826" i="1"/>
  <c r="B1826" i="1"/>
  <c r="C1826" i="1"/>
  <c r="D1826" i="1"/>
  <c r="A1827" i="1"/>
  <c r="B1827" i="1"/>
  <c r="C1827" i="1"/>
  <c r="D1827" i="1"/>
  <c r="A1828" i="1"/>
  <c r="B1828" i="1"/>
  <c r="C1828" i="1"/>
  <c r="D1828" i="1"/>
  <c r="A1829" i="1"/>
  <c r="B1829" i="1"/>
  <c r="C1829" i="1"/>
  <c r="D1829" i="1"/>
  <c r="A1830" i="1"/>
  <c r="B1830" i="1"/>
  <c r="C1830" i="1"/>
  <c r="D1830" i="1"/>
  <c r="A1831" i="1"/>
  <c r="B1831" i="1"/>
  <c r="C1831" i="1"/>
  <c r="D1831" i="1"/>
  <c r="A1832" i="1"/>
  <c r="B1832" i="1"/>
  <c r="C1832" i="1"/>
  <c r="D1832" i="1"/>
  <c r="A1833" i="1"/>
  <c r="B1833" i="1"/>
  <c r="C1833" i="1"/>
  <c r="D1833" i="1"/>
  <c r="A1834" i="1"/>
  <c r="B1834" i="1"/>
  <c r="C1834" i="1"/>
  <c r="D1834" i="1"/>
  <c r="A1835" i="1"/>
  <c r="B1835" i="1"/>
  <c r="C1835" i="1"/>
  <c r="D1835" i="1"/>
  <c r="A1836" i="1"/>
  <c r="B1836" i="1"/>
  <c r="C1836" i="1"/>
  <c r="D1836" i="1"/>
  <c r="A1837" i="1"/>
  <c r="B1837" i="1"/>
  <c r="C1837" i="1"/>
  <c r="D1837" i="1"/>
  <c r="A1838" i="1"/>
  <c r="B1838" i="1"/>
  <c r="C1838" i="1"/>
  <c r="D1838" i="1"/>
  <c r="A1839" i="1"/>
  <c r="B1839" i="1"/>
  <c r="C1839" i="1"/>
  <c r="D1839" i="1"/>
  <c r="A1840" i="1"/>
  <c r="B1840" i="1"/>
  <c r="C1840" i="1"/>
  <c r="D1840" i="1"/>
  <c r="A1841" i="1"/>
  <c r="B1841" i="1"/>
  <c r="C1841" i="1"/>
  <c r="D1841" i="1"/>
  <c r="A1842" i="1"/>
  <c r="B1842" i="1"/>
  <c r="C1842" i="1"/>
  <c r="D1842" i="1"/>
  <c r="A1843" i="1"/>
  <c r="B1843" i="1"/>
  <c r="C1843" i="1"/>
  <c r="D1843" i="1"/>
  <c r="A1844" i="1"/>
  <c r="B1844" i="1"/>
  <c r="C1844" i="1"/>
  <c r="D1844" i="1"/>
  <c r="A1845" i="1"/>
  <c r="B1845" i="1"/>
  <c r="C1845" i="1"/>
  <c r="A1846" i="1"/>
  <c r="B1846" i="1"/>
  <c r="C1846" i="1"/>
  <c r="D1846" i="1"/>
  <c r="A1847" i="1"/>
  <c r="B1847" i="1"/>
  <c r="C1847" i="1"/>
  <c r="D1847" i="1"/>
  <c r="A1848" i="1"/>
  <c r="B1848" i="1"/>
  <c r="C1848" i="1"/>
  <c r="D1848" i="1"/>
  <c r="A1849" i="1"/>
  <c r="B1849" i="1"/>
  <c r="C1849" i="1"/>
  <c r="D1849" i="1"/>
  <c r="A1850" i="1"/>
  <c r="B1850" i="1"/>
  <c r="C1850" i="1"/>
  <c r="A1851" i="1"/>
  <c r="B1851" i="1"/>
  <c r="C1851" i="1"/>
  <c r="A1852" i="1"/>
  <c r="B1852" i="1"/>
  <c r="C1852" i="1"/>
  <c r="D1852" i="1"/>
  <c r="A1853" i="1"/>
  <c r="B1853" i="1"/>
  <c r="C1853" i="1"/>
  <c r="D1853" i="1"/>
  <c r="A1854" i="1"/>
  <c r="B1854" i="1"/>
  <c r="C1854" i="1"/>
  <c r="A1855" i="1"/>
  <c r="B1855" i="1"/>
  <c r="C1855" i="1"/>
  <c r="D1855" i="1"/>
  <c r="A1856" i="1"/>
  <c r="B1856" i="1"/>
  <c r="C1856" i="1"/>
  <c r="D1856" i="1"/>
  <c r="A1857" i="1"/>
  <c r="B1857" i="1"/>
  <c r="C1857" i="1"/>
  <c r="D1857" i="1"/>
  <c r="A1858" i="1"/>
  <c r="B1858" i="1"/>
  <c r="C1858" i="1"/>
  <c r="D1858" i="1"/>
  <c r="A1859" i="1"/>
  <c r="B1859" i="1"/>
  <c r="C1859" i="1"/>
  <c r="D1859" i="1"/>
  <c r="A1860" i="1"/>
  <c r="B1860" i="1"/>
  <c r="C1860" i="1"/>
  <c r="D1860" i="1"/>
  <c r="A1861" i="1"/>
  <c r="B1861" i="1"/>
  <c r="C1861" i="1"/>
  <c r="D1861" i="1"/>
  <c r="A1862" i="1"/>
  <c r="B1862" i="1"/>
  <c r="C1862" i="1"/>
  <c r="D1862" i="1"/>
  <c r="A1863" i="1"/>
  <c r="B1863" i="1"/>
  <c r="C1863" i="1"/>
  <c r="D1863" i="1"/>
  <c r="A1864" i="1"/>
  <c r="B1864" i="1"/>
  <c r="C1864" i="1"/>
  <c r="D1864" i="1"/>
  <c r="A1865" i="1"/>
  <c r="B1865" i="1"/>
  <c r="C1865" i="1"/>
  <c r="D1865" i="1"/>
  <c r="A1866" i="1"/>
  <c r="B1866" i="1"/>
  <c r="C1866" i="1"/>
  <c r="D1866" i="1"/>
  <c r="A1867" i="1"/>
  <c r="B1867" i="1"/>
  <c r="C1867" i="1"/>
  <c r="D1867" i="1"/>
  <c r="A1868" i="1"/>
  <c r="B1868" i="1"/>
  <c r="C1868" i="1"/>
  <c r="D1868" i="1"/>
  <c r="A1869" i="1"/>
  <c r="B1869" i="1"/>
  <c r="C1869" i="1"/>
  <c r="D1869" i="1"/>
  <c r="A1870" i="1"/>
  <c r="B1870" i="1"/>
  <c r="C1870" i="1"/>
  <c r="D1870" i="1"/>
  <c r="A1871" i="1"/>
  <c r="B1871" i="1"/>
  <c r="C1871" i="1"/>
  <c r="D1871" i="1"/>
  <c r="A1872" i="1"/>
  <c r="B1872" i="1"/>
  <c r="C1872" i="1"/>
  <c r="D1872" i="1"/>
  <c r="A1873" i="1"/>
  <c r="B1873" i="1"/>
  <c r="C1873" i="1"/>
  <c r="D1873" i="1"/>
  <c r="A1874" i="1"/>
  <c r="B1874" i="1"/>
  <c r="C1874" i="1"/>
  <c r="D1874" i="1"/>
  <c r="A1875" i="1"/>
  <c r="B1875" i="1"/>
  <c r="C1875" i="1"/>
  <c r="D1875" i="1"/>
  <c r="A1876" i="1"/>
  <c r="B1876" i="1"/>
  <c r="C1876" i="1"/>
  <c r="D1876" i="1"/>
  <c r="A1877" i="1"/>
  <c r="B1877" i="1"/>
  <c r="C1877" i="1"/>
  <c r="D1877" i="1"/>
  <c r="A1878" i="1"/>
  <c r="B1878" i="1"/>
  <c r="C1878" i="1"/>
  <c r="D1878" i="1"/>
  <c r="A1879" i="1"/>
  <c r="B1879" i="1"/>
  <c r="C1879" i="1"/>
  <c r="D1879" i="1"/>
  <c r="A1880" i="1"/>
  <c r="B1880" i="1"/>
  <c r="C1880" i="1"/>
  <c r="D1880" i="1"/>
  <c r="A1881" i="1"/>
  <c r="B1881" i="1"/>
  <c r="C1881" i="1"/>
  <c r="D1881" i="1"/>
  <c r="A1882" i="1"/>
  <c r="B1882" i="1"/>
  <c r="C1882" i="1"/>
  <c r="D1882" i="1"/>
  <c r="A1883" i="1"/>
  <c r="B1883" i="1"/>
  <c r="C1883" i="1"/>
  <c r="D1883" i="1"/>
  <c r="A1884" i="1"/>
  <c r="B1884" i="1"/>
  <c r="C1884" i="1"/>
  <c r="D1884" i="1"/>
  <c r="A1885" i="1"/>
  <c r="B1885" i="1"/>
  <c r="C1885" i="1"/>
  <c r="D1885" i="1"/>
  <c r="A1886" i="1"/>
  <c r="B1886" i="1"/>
  <c r="C1886" i="1"/>
  <c r="D1886" i="1"/>
  <c r="A1887" i="1"/>
  <c r="B1887" i="1"/>
  <c r="C1887" i="1"/>
  <c r="D1887" i="1"/>
  <c r="A1888" i="1"/>
  <c r="B1888" i="1"/>
  <c r="C1888" i="1"/>
  <c r="D1888" i="1"/>
  <c r="A1889" i="1"/>
  <c r="B1889" i="1"/>
  <c r="C1889" i="1"/>
  <c r="D1889" i="1"/>
  <c r="A1890" i="1"/>
  <c r="B1890" i="1"/>
  <c r="C1890" i="1"/>
  <c r="D1890" i="1"/>
  <c r="A1891" i="1"/>
  <c r="B1891" i="1"/>
  <c r="C1891" i="1"/>
  <c r="D1891" i="1"/>
  <c r="A1892" i="1"/>
  <c r="B1892" i="1"/>
  <c r="C1892" i="1"/>
  <c r="D1892" i="1"/>
  <c r="A1893" i="1"/>
  <c r="B1893" i="1"/>
  <c r="C1893" i="1"/>
  <c r="D1893" i="1"/>
  <c r="A1894" i="1"/>
  <c r="B1894" i="1"/>
  <c r="C1894" i="1"/>
  <c r="D1894" i="1"/>
  <c r="A1895" i="1"/>
  <c r="B1895" i="1"/>
  <c r="C1895" i="1"/>
  <c r="D1895" i="1"/>
  <c r="A1896" i="1"/>
  <c r="B1896" i="1"/>
  <c r="C1896" i="1"/>
  <c r="D1896" i="1"/>
  <c r="A1897" i="1"/>
  <c r="B1897" i="1"/>
  <c r="C1897" i="1"/>
  <c r="D1897" i="1"/>
  <c r="A1898" i="1"/>
  <c r="B1898" i="1"/>
  <c r="C1898" i="1"/>
  <c r="D1898" i="1"/>
  <c r="A1899" i="1"/>
  <c r="B1899" i="1"/>
  <c r="C1899" i="1"/>
  <c r="D1899" i="1"/>
  <c r="A1900" i="1"/>
  <c r="B1900" i="1"/>
  <c r="C1900" i="1"/>
  <c r="D1900" i="1"/>
  <c r="A1901" i="1"/>
  <c r="B1901" i="1"/>
  <c r="C1901" i="1"/>
  <c r="D1901" i="1"/>
  <c r="A1902" i="1"/>
  <c r="B1902" i="1"/>
  <c r="C1902" i="1"/>
  <c r="D1902" i="1"/>
  <c r="A1903" i="1"/>
  <c r="B1903" i="1"/>
  <c r="C1903" i="1"/>
  <c r="D1903" i="1"/>
  <c r="A1904" i="1"/>
  <c r="B1904" i="1"/>
  <c r="C1904" i="1"/>
  <c r="D1904" i="1"/>
  <c r="A1905" i="1"/>
  <c r="B1905" i="1"/>
  <c r="C1905" i="1"/>
  <c r="D1905" i="1"/>
  <c r="A1906" i="1"/>
  <c r="B1906" i="1"/>
  <c r="C1906" i="1"/>
  <c r="D1906" i="1"/>
  <c r="A1907" i="1"/>
  <c r="B1907" i="1"/>
  <c r="C1907" i="1"/>
  <c r="D1907" i="1"/>
  <c r="A1908" i="1"/>
  <c r="B1908" i="1"/>
  <c r="C1908" i="1"/>
  <c r="D1908" i="1"/>
  <c r="A1909" i="1"/>
  <c r="B1909" i="1"/>
  <c r="C1909" i="1"/>
  <c r="D1909" i="1"/>
  <c r="A1910" i="1"/>
  <c r="B1910" i="1"/>
  <c r="C1910" i="1"/>
  <c r="D1910" i="1"/>
  <c r="A1911" i="1"/>
  <c r="B1911" i="1"/>
  <c r="C1911" i="1"/>
  <c r="D1911" i="1"/>
  <c r="A1912" i="1"/>
  <c r="B1912" i="1"/>
  <c r="C1912" i="1"/>
  <c r="D1912" i="1"/>
  <c r="A1913" i="1"/>
  <c r="B1913" i="1"/>
  <c r="C1913" i="1"/>
  <c r="D1913" i="1"/>
  <c r="A1914" i="1"/>
  <c r="B1914" i="1"/>
  <c r="C1914" i="1"/>
  <c r="D1914" i="1"/>
  <c r="A1915" i="1"/>
  <c r="B1915" i="1"/>
  <c r="C1915" i="1"/>
  <c r="D1915" i="1"/>
  <c r="A1916" i="1"/>
  <c r="B1916" i="1"/>
  <c r="C1916" i="1"/>
  <c r="A1917" i="1"/>
  <c r="B1917" i="1"/>
  <c r="C1917" i="1"/>
  <c r="D1917" i="1"/>
  <c r="A1918" i="1"/>
  <c r="B1918" i="1"/>
  <c r="C1918" i="1"/>
  <c r="D1918" i="1"/>
  <c r="A1919" i="1"/>
  <c r="B1919" i="1"/>
  <c r="C1919" i="1"/>
  <c r="D1919" i="1"/>
  <c r="A1920" i="1"/>
  <c r="B1920" i="1"/>
  <c r="C1920" i="1"/>
  <c r="D1920" i="1"/>
  <c r="A1921" i="1"/>
  <c r="B1921" i="1"/>
  <c r="C1921" i="1"/>
  <c r="D1921" i="1"/>
  <c r="A1922" i="1"/>
  <c r="B1922" i="1"/>
  <c r="C1922" i="1"/>
  <c r="D1922" i="1"/>
  <c r="A1923" i="1"/>
  <c r="B1923" i="1"/>
  <c r="C1923" i="1"/>
  <c r="D1923" i="1"/>
  <c r="A1924" i="1"/>
  <c r="B1924" i="1"/>
  <c r="C1924" i="1"/>
  <c r="D1924" i="1"/>
  <c r="A1925" i="1"/>
  <c r="B1925" i="1"/>
  <c r="C1925" i="1"/>
  <c r="D1925" i="1"/>
  <c r="A1926" i="1"/>
  <c r="B1926" i="1"/>
  <c r="C1926" i="1"/>
  <c r="D1926" i="1"/>
  <c r="A1927" i="1"/>
  <c r="B1927" i="1"/>
  <c r="C1927" i="1"/>
  <c r="D1927" i="1"/>
  <c r="A1928" i="1"/>
  <c r="B1928" i="1"/>
  <c r="C1928" i="1"/>
  <c r="D1928" i="1"/>
  <c r="A1929" i="1"/>
  <c r="B1929" i="1"/>
  <c r="C1929" i="1"/>
  <c r="D1929" i="1"/>
  <c r="A1930" i="1"/>
  <c r="B1930" i="1"/>
  <c r="C1930" i="1"/>
  <c r="D1930" i="1"/>
  <c r="A1931" i="1"/>
  <c r="B1931" i="1"/>
  <c r="C1931" i="1"/>
  <c r="D1931" i="1"/>
  <c r="A1932" i="1"/>
  <c r="B1932" i="1"/>
  <c r="C1932" i="1"/>
  <c r="D1932" i="1"/>
  <c r="A1933" i="1"/>
  <c r="B1933" i="1"/>
  <c r="C1933" i="1"/>
  <c r="D1933" i="1"/>
  <c r="A1934" i="1"/>
  <c r="B1934" i="1"/>
  <c r="C1934" i="1"/>
  <c r="D1934" i="1"/>
  <c r="A1935" i="1"/>
  <c r="B1935" i="1"/>
  <c r="C1935" i="1"/>
  <c r="D1935" i="1"/>
  <c r="A1936" i="1"/>
  <c r="B1936" i="1"/>
  <c r="C1936" i="1"/>
  <c r="D1936" i="1"/>
  <c r="A1937" i="1"/>
  <c r="B1937" i="1"/>
  <c r="C1937" i="1"/>
  <c r="D1937" i="1"/>
  <c r="A1938" i="1"/>
  <c r="B1938" i="1"/>
  <c r="C1938" i="1"/>
  <c r="D1938" i="1"/>
  <c r="A1939" i="1"/>
  <c r="B1939" i="1"/>
  <c r="C1939" i="1"/>
  <c r="D1939" i="1"/>
  <c r="A1940" i="1"/>
  <c r="B1940" i="1"/>
  <c r="C1940" i="1"/>
  <c r="D1940" i="1"/>
  <c r="A1941" i="1"/>
  <c r="B1941" i="1"/>
  <c r="C1941" i="1"/>
  <c r="D1941" i="1"/>
  <c r="A1942" i="1"/>
  <c r="B1942" i="1"/>
  <c r="C1942" i="1"/>
  <c r="D1942" i="1"/>
  <c r="A1943" i="1"/>
  <c r="B1943" i="1"/>
  <c r="C1943" i="1"/>
  <c r="D1943" i="1"/>
  <c r="A1944" i="1"/>
  <c r="B1944" i="1"/>
  <c r="C1944" i="1"/>
  <c r="D1944" i="1"/>
  <c r="A1945" i="1"/>
  <c r="B1945" i="1"/>
  <c r="C1945" i="1"/>
  <c r="D1945" i="1"/>
  <c r="A1946" i="1"/>
  <c r="B1946" i="1"/>
  <c r="C1946" i="1"/>
  <c r="D1946" i="1"/>
  <c r="A1947" i="1"/>
  <c r="B1947" i="1"/>
  <c r="C1947" i="1"/>
  <c r="D1947" i="1"/>
  <c r="A1948" i="1"/>
  <c r="B1948" i="1"/>
  <c r="C1948" i="1"/>
  <c r="D1948" i="1"/>
  <c r="A1949" i="1"/>
  <c r="B1949" i="1"/>
  <c r="C1949" i="1"/>
  <c r="D1949" i="1"/>
  <c r="A1950" i="1"/>
  <c r="B1950" i="1"/>
  <c r="C1950" i="1"/>
  <c r="D1950" i="1"/>
  <c r="A1951" i="1"/>
  <c r="B1951" i="1"/>
  <c r="C1951" i="1"/>
  <c r="D1951" i="1"/>
  <c r="A1952" i="1"/>
  <c r="B1952" i="1"/>
  <c r="C1952" i="1"/>
  <c r="D1952" i="1"/>
  <c r="A1953" i="1"/>
  <c r="B1953" i="1"/>
  <c r="C1953" i="1"/>
  <c r="D1953" i="1"/>
  <c r="A1954" i="1"/>
  <c r="B1954" i="1"/>
  <c r="C1954" i="1"/>
  <c r="D1954" i="1"/>
  <c r="A1955" i="1"/>
  <c r="B1955" i="1"/>
  <c r="C1955" i="1"/>
  <c r="D1955" i="1"/>
  <c r="A1956" i="1"/>
  <c r="B1956" i="1"/>
  <c r="C1956" i="1"/>
  <c r="D1956" i="1"/>
  <c r="A1957" i="1"/>
  <c r="B1957" i="1"/>
  <c r="C1957" i="1"/>
  <c r="D1957" i="1"/>
  <c r="A1958" i="1"/>
  <c r="B1958" i="1"/>
  <c r="C1958" i="1"/>
  <c r="D1958" i="1"/>
  <c r="A1959" i="1"/>
  <c r="B1959" i="1"/>
  <c r="C1959" i="1"/>
  <c r="D1959" i="1"/>
  <c r="A1960" i="1"/>
  <c r="B1960" i="1"/>
  <c r="C1960" i="1"/>
  <c r="D1960" i="1"/>
  <c r="A1961" i="1"/>
  <c r="B1961" i="1"/>
  <c r="C1961" i="1"/>
  <c r="D1961" i="1"/>
  <c r="A1962" i="1"/>
  <c r="B1962" i="1"/>
  <c r="C1962" i="1"/>
  <c r="D1962" i="1"/>
  <c r="A1963" i="1"/>
  <c r="B1963" i="1"/>
  <c r="C1963" i="1"/>
  <c r="D1963" i="1"/>
  <c r="A1964" i="1"/>
  <c r="B1964" i="1"/>
  <c r="C1964" i="1"/>
  <c r="D1964" i="1"/>
  <c r="A1965" i="1"/>
  <c r="B1965" i="1"/>
  <c r="C1965" i="1"/>
  <c r="D1965" i="1"/>
  <c r="A1966" i="1"/>
  <c r="B1966" i="1"/>
  <c r="C1966" i="1"/>
  <c r="D1966" i="1"/>
  <c r="A1967" i="1"/>
  <c r="B1967" i="1"/>
  <c r="C1967" i="1"/>
  <c r="D1967" i="1"/>
  <c r="A1968" i="1"/>
  <c r="B1968" i="1"/>
  <c r="C1968" i="1"/>
  <c r="D1968" i="1"/>
  <c r="A1969" i="1"/>
  <c r="B1969" i="1"/>
  <c r="C1969" i="1"/>
  <c r="D1969" i="1"/>
  <c r="A1970" i="1"/>
  <c r="B1970" i="1"/>
  <c r="C1970" i="1"/>
  <c r="D1970" i="1"/>
  <c r="A1971" i="1"/>
  <c r="B1971" i="1"/>
  <c r="C1971" i="1"/>
  <c r="D1971" i="1"/>
  <c r="A1972" i="1"/>
  <c r="B1972" i="1"/>
  <c r="C1972" i="1"/>
  <c r="D1972" i="1"/>
  <c r="A1973" i="1"/>
  <c r="B1973" i="1"/>
  <c r="C1973" i="1"/>
  <c r="D1973" i="1"/>
  <c r="A1974" i="1"/>
  <c r="B1974" i="1"/>
  <c r="C1974" i="1"/>
  <c r="D1974" i="1"/>
  <c r="A1975" i="1"/>
  <c r="B1975" i="1"/>
  <c r="C1975" i="1"/>
  <c r="D1975" i="1"/>
  <c r="A1976" i="1"/>
  <c r="B1976" i="1"/>
  <c r="C1976" i="1"/>
  <c r="D1976" i="1"/>
  <c r="A1977" i="1"/>
  <c r="B1977" i="1"/>
  <c r="C1977" i="1"/>
  <c r="D1977" i="1"/>
  <c r="A1978" i="1"/>
  <c r="B1978" i="1"/>
  <c r="C1978" i="1"/>
  <c r="D1978" i="1"/>
  <c r="A1979" i="1"/>
  <c r="B1979" i="1"/>
  <c r="C1979" i="1"/>
  <c r="D1979" i="1"/>
  <c r="A1980" i="1"/>
  <c r="B1980" i="1"/>
  <c r="C1980" i="1"/>
  <c r="D1980" i="1"/>
  <c r="A1981" i="1"/>
  <c r="B1981" i="1"/>
  <c r="C1981" i="1"/>
  <c r="D1981" i="1"/>
  <c r="A1982" i="1"/>
  <c r="B1982" i="1"/>
  <c r="C1982" i="1"/>
  <c r="D1982" i="1"/>
  <c r="A1983" i="1"/>
  <c r="B1983" i="1"/>
  <c r="C1983" i="1"/>
  <c r="D1983" i="1"/>
  <c r="A1984" i="1"/>
  <c r="B1984" i="1"/>
  <c r="C1984" i="1"/>
  <c r="D1984" i="1"/>
  <c r="A1985" i="1"/>
  <c r="B1985" i="1"/>
  <c r="C1985" i="1"/>
  <c r="D1985" i="1"/>
  <c r="A1986" i="1"/>
  <c r="B1986" i="1"/>
  <c r="C1986" i="1"/>
  <c r="A1987" i="1"/>
  <c r="B1987" i="1"/>
  <c r="C1987" i="1"/>
  <c r="D1987" i="1"/>
  <c r="A1988" i="1"/>
  <c r="B1988" i="1"/>
  <c r="C1988" i="1"/>
  <c r="D1988" i="1"/>
  <c r="A1989" i="1"/>
  <c r="B1989" i="1"/>
  <c r="C1989" i="1"/>
  <c r="D1989" i="1"/>
  <c r="A1990" i="1"/>
  <c r="B1990" i="1"/>
  <c r="C1990" i="1"/>
  <c r="D1990" i="1"/>
  <c r="A1991" i="1"/>
  <c r="B1991" i="1"/>
  <c r="C1991" i="1"/>
  <c r="D1991" i="1"/>
  <c r="A1992" i="1"/>
  <c r="B1992" i="1"/>
  <c r="C1992" i="1"/>
  <c r="D1992" i="1"/>
  <c r="A1993" i="1"/>
  <c r="B1993" i="1"/>
  <c r="C1993" i="1"/>
  <c r="D1993" i="1"/>
  <c r="A1994" i="1"/>
  <c r="B1994" i="1"/>
  <c r="C1994" i="1"/>
  <c r="D1994" i="1"/>
  <c r="A1995" i="1"/>
  <c r="B1995" i="1"/>
  <c r="C1995" i="1"/>
  <c r="D1995" i="1"/>
  <c r="A1996" i="1"/>
  <c r="B1996" i="1"/>
  <c r="C1996" i="1"/>
  <c r="D1996" i="1"/>
  <c r="A1997" i="1"/>
  <c r="B1997" i="1"/>
  <c r="C1997" i="1"/>
  <c r="D1997" i="1"/>
  <c r="A1998" i="1"/>
  <c r="B1998" i="1"/>
  <c r="C1998" i="1"/>
  <c r="D1998" i="1"/>
  <c r="A1999" i="1"/>
  <c r="B1999" i="1"/>
  <c r="C1999" i="1"/>
  <c r="D1999" i="1"/>
  <c r="A2000" i="1"/>
  <c r="B2000" i="1"/>
  <c r="C2000" i="1"/>
  <c r="D2000" i="1"/>
  <c r="A2001" i="1"/>
  <c r="B2001" i="1"/>
  <c r="C2001" i="1"/>
  <c r="D2001" i="1"/>
  <c r="A2002" i="1"/>
  <c r="B2002" i="1"/>
  <c r="C2002" i="1"/>
  <c r="D2002" i="1"/>
  <c r="A2003" i="1"/>
  <c r="B2003" i="1"/>
  <c r="C2003" i="1"/>
  <c r="D2003" i="1"/>
  <c r="A2004" i="1"/>
  <c r="B2004" i="1"/>
  <c r="C2004" i="1"/>
  <c r="D2004" i="1"/>
  <c r="A2005" i="1"/>
  <c r="B2005" i="1"/>
  <c r="C2005" i="1"/>
  <c r="D2005" i="1"/>
  <c r="A2006" i="1"/>
  <c r="B2006" i="1"/>
  <c r="C2006" i="1"/>
  <c r="D2006" i="1"/>
  <c r="A2007" i="1"/>
  <c r="B2007" i="1"/>
  <c r="C2007" i="1"/>
  <c r="D2007" i="1"/>
  <c r="A2008" i="1"/>
  <c r="B2008" i="1"/>
  <c r="C2008" i="1"/>
  <c r="D2008" i="1"/>
  <c r="A2009" i="1"/>
  <c r="B2009" i="1"/>
  <c r="C2009" i="1"/>
  <c r="D2009" i="1"/>
  <c r="A2010" i="1"/>
  <c r="B2010" i="1"/>
  <c r="C2010" i="1"/>
  <c r="D2010" i="1"/>
  <c r="A2011" i="1"/>
  <c r="B2011" i="1"/>
  <c r="C2011" i="1"/>
  <c r="D2011" i="1"/>
  <c r="A2012" i="1"/>
  <c r="B2012" i="1"/>
  <c r="C2012" i="1"/>
  <c r="D2012" i="1"/>
  <c r="A2013" i="1"/>
  <c r="B2013" i="1"/>
  <c r="C2013" i="1"/>
  <c r="D2013" i="1"/>
  <c r="A2014" i="1"/>
  <c r="B2014" i="1"/>
  <c r="C2014" i="1"/>
  <c r="D2014" i="1"/>
  <c r="A2015" i="1"/>
  <c r="B2015" i="1"/>
  <c r="C2015" i="1"/>
  <c r="D2015" i="1"/>
  <c r="A2016" i="1"/>
  <c r="B2016" i="1"/>
  <c r="C2016" i="1"/>
  <c r="D2016" i="1"/>
  <c r="A2017" i="1"/>
  <c r="B2017" i="1"/>
  <c r="C2017" i="1"/>
  <c r="D2017" i="1"/>
  <c r="A2018" i="1"/>
  <c r="B2018" i="1"/>
  <c r="C2018" i="1"/>
  <c r="D2018" i="1"/>
  <c r="A2019" i="1"/>
  <c r="B2019" i="1"/>
  <c r="C2019" i="1"/>
  <c r="D2019" i="1"/>
  <c r="A2020" i="1"/>
  <c r="B2020" i="1"/>
  <c r="C2020" i="1"/>
  <c r="D2020" i="1"/>
  <c r="A2021" i="1"/>
  <c r="B2021" i="1"/>
  <c r="C2021" i="1"/>
  <c r="D2021" i="1"/>
  <c r="A2022" i="1"/>
  <c r="B2022" i="1"/>
  <c r="C2022" i="1"/>
  <c r="D2022" i="1"/>
  <c r="A2023" i="1"/>
  <c r="B2023" i="1"/>
  <c r="C2023" i="1"/>
  <c r="D2023" i="1"/>
  <c r="A2024" i="1"/>
  <c r="B2024" i="1"/>
  <c r="C2024" i="1"/>
  <c r="D2024" i="1"/>
  <c r="A2025" i="1"/>
  <c r="B2025" i="1"/>
  <c r="C2025" i="1"/>
  <c r="D2025" i="1"/>
  <c r="A2026" i="1"/>
  <c r="B2026" i="1"/>
  <c r="C2026" i="1"/>
  <c r="D2026" i="1"/>
  <c r="A2027" i="1"/>
  <c r="B2027" i="1"/>
  <c r="C2027" i="1"/>
  <c r="D2027" i="1"/>
  <c r="A2028" i="1"/>
  <c r="B2028" i="1"/>
  <c r="C2028" i="1"/>
  <c r="D2028" i="1"/>
  <c r="A2029" i="1"/>
  <c r="B2029" i="1"/>
  <c r="C2029" i="1"/>
  <c r="D2029" i="1"/>
  <c r="A2030" i="1"/>
  <c r="B2030" i="1"/>
  <c r="C2030" i="1"/>
  <c r="D2030" i="1"/>
  <c r="A2031" i="1"/>
  <c r="B2031" i="1"/>
  <c r="C2031" i="1"/>
  <c r="D2031" i="1"/>
  <c r="A2032" i="1"/>
  <c r="B2032" i="1"/>
  <c r="C2032" i="1"/>
  <c r="D2032" i="1"/>
  <c r="A2033" i="1"/>
  <c r="B2033" i="1"/>
  <c r="C2033" i="1"/>
  <c r="D2033" i="1"/>
  <c r="A2034" i="1"/>
  <c r="B2034" i="1"/>
  <c r="C2034" i="1"/>
  <c r="D2034" i="1"/>
  <c r="A2035" i="1"/>
  <c r="B2035" i="1"/>
  <c r="C2035" i="1"/>
  <c r="D2035" i="1"/>
  <c r="A2036" i="1"/>
  <c r="B2036" i="1"/>
  <c r="C2036" i="1"/>
  <c r="D2036" i="1"/>
  <c r="A2037" i="1"/>
  <c r="B2037" i="1"/>
  <c r="C2037" i="1"/>
  <c r="D2037" i="1"/>
  <c r="A2038" i="1"/>
  <c r="B2038" i="1"/>
  <c r="C2038" i="1"/>
  <c r="D2038" i="1"/>
  <c r="A2039" i="1"/>
  <c r="B2039" i="1"/>
  <c r="C2039" i="1"/>
  <c r="D2039" i="1"/>
  <c r="A2040" i="1"/>
  <c r="B2040" i="1"/>
  <c r="C2040" i="1"/>
  <c r="D2040" i="1"/>
  <c r="A2041" i="1"/>
  <c r="B2041" i="1"/>
  <c r="C2041" i="1"/>
  <c r="D2041" i="1"/>
  <c r="A2042" i="1"/>
  <c r="B2042" i="1"/>
  <c r="C2042" i="1"/>
  <c r="D2042" i="1"/>
  <c r="A2043" i="1"/>
  <c r="B2043" i="1"/>
  <c r="C2043" i="1"/>
  <c r="D2043" i="1"/>
  <c r="A2044" i="1"/>
  <c r="B2044" i="1"/>
  <c r="C2044" i="1"/>
  <c r="D2044" i="1"/>
  <c r="A2045" i="1"/>
  <c r="B2045" i="1"/>
  <c r="C2045" i="1"/>
  <c r="D2045" i="1"/>
  <c r="A2046" i="1"/>
  <c r="B2046" i="1"/>
  <c r="C2046" i="1"/>
  <c r="D2046" i="1"/>
  <c r="A2047" i="1"/>
  <c r="B2047" i="1"/>
  <c r="C2047" i="1"/>
  <c r="D2047" i="1"/>
  <c r="A2048" i="1"/>
  <c r="B2048" i="1"/>
  <c r="C2048" i="1"/>
  <c r="D2048" i="1"/>
  <c r="A2049" i="1"/>
  <c r="B2049" i="1"/>
  <c r="C2049" i="1"/>
  <c r="D2049" i="1"/>
  <c r="A2050" i="1"/>
  <c r="B2050" i="1"/>
  <c r="C2050" i="1"/>
  <c r="D2050" i="1"/>
  <c r="A2051" i="1"/>
  <c r="B2051" i="1"/>
  <c r="C2051" i="1"/>
  <c r="D2051" i="1"/>
  <c r="A2052" i="1"/>
  <c r="B2052" i="1"/>
  <c r="C2052" i="1"/>
  <c r="D2052" i="1"/>
  <c r="A2053" i="1"/>
  <c r="B2053" i="1"/>
  <c r="C2053" i="1"/>
  <c r="D2053" i="1"/>
  <c r="A2054" i="1"/>
  <c r="B2054" i="1"/>
  <c r="C2054" i="1"/>
  <c r="D2054" i="1"/>
  <c r="A2055" i="1"/>
  <c r="B2055" i="1"/>
  <c r="C2055" i="1"/>
  <c r="D2055" i="1"/>
  <c r="A2056" i="1"/>
  <c r="B2056" i="1"/>
  <c r="C2056" i="1"/>
  <c r="D2056" i="1"/>
  <c r="A2057" i="1"/>
  <c r="B2057" i="1"/>
  <c r="C2057" i="1"/>
  <c r="D2057" i="1"/>
  <c r="A2058" i="1"/>
  <c r="B2058" i="1"/>
  <c r="C2058" i="1"/>
  <c r="D2058" i="1"/>
  <c r="A2059" i="1"/>
  <c r="B2059" i="1"/>
  <c r="C2059" i="1"/>
  <c r="D2059" i="1"/>
  <c r="A2060" i="1"/>
  <c r="B2060" i="1"/>
  <c r="C2060" i="1"/>
  <c r="D2060" i="1"/>
  <c r="A2061" i="1"/>
  <c r="B2061" i="1"/>
  <c r="C2061" i="1"/>
  <c r="D2061" i="1"/>
  <c r="A2062" i="1"/>
  <c r="B2062" i="1"/>
  <c r="C2062" i="1"/>
  <c r="D2062" i="1"/>
  <c r="A2063" i="1"/>
  <c r="B2063" i="1"/>
  <c r="C2063" i="1"/>
  <c r="D2063" i="1"/>
  <c r="A2064" i="1"/>
  <c r="B2064" i="1"/>
  <c r="C2064" i="1"/>
  <c r="D2064" i="1"/>
  <c r="A2065" i="1"/>
  <c r="B2065" i="1"/>
  <c r="C2065" i="1"/>
  <c r="D2065" i="1"/>
  <c r="A2066" i="1"/>
  <c r="B2066" i="1"/>
  <c r="C2066" i="1"/>
  <c r="D2066" i="1"/>
  <c r="A2067" i="1"/>
  <c r="B2067" i="1"/>
  <c r="C2067" i="1"/>
  <c r="D2067" i="1"/>
  <c r="A2068" i="1"/>
  <c r="B2068" i="1"/>
  <c r="C2068" i="1"/>
  <c r="D2068" i="1"/>
  <c r="A2069" i="1"/>
  <c r="B2069" i="1"/>
  <c r="C2069" i="1"/>
  <c r="D2069" i="1"/>
  <c r="A2070" i="1"/>
  <c r="B2070" i="1"/>
  <c r="C2070" i="1"/>
  <c r="D2070" i="1"/>
  <c r="A2071" i="1"/>
  <c r="B2071" i="1"/>
  <c r="C2071" i="1"/>
  <c r="D2071" i="1"/>
  <c r="A2072" i="1"/>
  <c r="B2072" i="1"/>
  <c r="C2072" i="1"/>
  <c r="D2072" i="1"/>
  <c r="A2073" i="1"/>
  <c r="B2073" i="1"/>
  <c r="C2073" i="1"/>
  <c r="D2073" i="1"/>
  <c r="A2074" i="1"/>
  <c r="B2074" i="1"/>
  <c r="C2074" i="1"/>
  <c r="D2074" i="1"/>
  <c r="A2075" i="1"/>
  <c r="B2075" i="1"/>
  <c r="C2075" i="1"/>
  <c r="D2075" i="1"/>
  <c r="A2076" i="1"/>
  <c r="B2076" i="1"/>
  <c r="C2076" i="1"/>
  <c r="D2076" i="1"/>
  <c r="A2077" i="1"/>
  <c r="B2077" i="1"/>
  <c r="C2077" i="1"/>
  <c r="D2077" i="1"/>
  <c r="A2078" i="1"/>
  <c r="B2078" i="1"/>
  <c r="C2078" i="1"/>
  <c r="D2078" i="1"/>
  <c r="A2079" i="1"/>
  <c r="B2079" i="1"/>
  <c r="C2079" i="1"/>
  <c r="A2080" i="1"/>
  <c r="B2080" i="1"/>
  <c r="C2080" i="1"/>
  <c r="D2080" i="1"/>
  <c r="A2081" i="1"/>
  <c r="B2081" i="1"/>
  <c r="C2081" i="1"/>
  <c r="D2081" i="1"/>
  <c r="A2082" i="1"/>
  <c r="B2082" i="1"/>
  <c r="C2082" i="1"/>
  <c r="D2082" i="1"/>
  <c r="A2083" i="1"/>
  <c r="B2083" i="1"/>
  <c r="C2083" i="1"/>
  <c r="D2083" i="1"/>
  <c r="A2084" i="1"/>
  <c r="B2084" i="1"/>
  <c r="C2084" i="1"/>
  <c r="D2084" i="1"/>
  <c r="A2085" i="1"/>
  <c r="B2085" i="1"/>
  <c r="C2085" i="1"/>
  <c r="D2085" i="1"/>
  <c r="A2086" i="1"/>
  <c r="B2086" i="1"/>
  <c r="C2086" i="1"/>
  <c r="D2086" i="1"/>
  <c r="A2087" i="1"/>
  <c r="B2087" i="1"/>
  <c r="C2087" i="1"/>
  <c r="D2087" i="1"/>
  <c r="A2088" i="1"/>
  <c r="B2088" i="1"/>
  <c r="C2088" i="1"/>
  <c r="D2088" i="1"/>
  <c r="A2089" i="1"/>
  <c r="B2089" i="1"/>
  <c r="C2089" i="1"/>
  <c r="D2089" i="1"/>
  <c r="A2090" i="1"/>
  <c r="B2090" i="1"/>
  <c r="C2090" i="1"/>
  <c r="D2090" i="1"/>
  <c r="A2091" i="1"/>
  <c r="B2091" i="1"/>
  <c r="C2091" i="1"/>
  <c r="D2091" i="1"/>
  <c r="A2092" i="1"/>
  <c r="B2092" i="1"/>
  <c r="C2092" i="1"/>
  <c r="D2092" i="1"/>
  <c r="A2093" i="1"/>
  <c r="B2093" i="1"/>
  <c r="C2093" i="1"/>
  <c r="D2093" i="1"/>
  <c r="A2094" i="1"/>
  <c r="B2094" i="1"/>
  <c r="C2094" i="1"/>
  <c r="D2094" i="1"/>
  <c r="A2095" i="1"/>
  <c r="B2095" i="1"/>
  <c r="C2095" i="1"/>
  <c r="D2095" i="1"/>
  <c r="A2096" i="1"/>
  <c r="B2096" i="1"/>
  <c r="C2096" i="1"/>
  <c r="D2096" i="1"/>
  <c r="A2097" i="1"/>
  <c r="B2097" i="1"/>
  <c r="C2097" i="1"/>
  <c r="D2097" i="1"/>
  <c r="A2098" i="1"/>
  <c r="B2098" i="1"/>
  <c r="C2098" i="1"/>
  <c r="D2098" i="1"/>
  <c r="A2099" i="1"/>
  <c r="B2099" i="1"/>
  <c r="C2099" i="1"/>
  <c r="D2099" i="1"/>
  <c r="A2100" i="1"/>
  <c r="B2100" i="1"/>
  <c r="C2100" i="1"/>
  <c r="D2100" i="1"/>
  <c r="A2101" i="1"/>
  <c r="B2101" i="1"/>
  <c r="C2101" i="1"/>
  <c r="D2101" i="1"/>
  <c r="A2102" i="1"/>
  <c r="B2102" i="1"/>
  <c r="C2102" i="1"/>
  <c r="D2102" i="1"/>
  <c r="A2103" i="1"/>
  <c r="B2103" i="1"/>
  <c r="C2103" i="1"/>
  <c r="D2103" i="1"/>
  <c r="A2104" i="1"/>
  <c r="B2104" i="1"/>
  <c r="C2104" i="1"/>
  <c r="D2104" i="1"/>
  <c r="A2105" i="1"/>
  <c r="B2105" i="1"/>
  <c r="C2105" i="1"/>
  <c r="D2105" i="1"/>
  <c r="A2106" i="1"/>
  <c r="B2106" i="1"/>
  <c r="C2106" i="1"/>
  <c r="D2106" i="1"/>
  <c r="A2107" i="1"/>
  <c r="B2107" i="1"/>
  <c r="C2107" i="1"/>
  <c r="D2107" i="1"/>
  <c r="A2108" i="1"/>
  <c r="B2108" i="1"/>
  <c r="C2108" i="1"/>
  <c r="D2108" i="1"/>
  <c r="A2109" i="1"/>
  <c r="B2109" i="1"/>
  <c r="C2109" i="1"/>
  <c r="D2109" i="1"/>
  <c r="A2110" i="1"/>
  <c r="B2110" i="1"/>
  <c r="C2110" i="1"/>
  <c r="D2110" i="1"/>
  <c r="A2111" i="1"/>
  <c r="B2111" i="1"/>
  <c r="C2111" i="1"/>
  <c r="D2111" i="1"/>
  <c r="A2112" i="1"/>
  <c r="B2112" i="1"/>
  <c r="C2112" i="1"/>
  <c r="D2112" i="1"/>
  <c r="A2113" i="1"/>
  <c r="B2113" i="1"/>
  <c r="C2113" i="1"/>
  <c r="D2113" i="1"/>
  <c r="A2114" i="1"/>
  <c r="B2114" i="1"/>
  <c r="C2114" i="1"/>
  <c r="D2114" i="1"/>
  <c r="A2115" i="1"/>
  <c r="B2115" i="1"/>
  <c r="C2115" i="1"/>
  <c r="D2115" i="1"/>
  <c r="A2116" i="1"/>
  <c r="B2116" i="1"/>
  <c r="C2116" i="1"/>
  <c r="D2116" i="1"/>
  <c r="A2117" i="1"/>
  <c r="B2117" i="1"/>
  <c r="C2117" i="1"/>
  <c r="D2117" i="1"/>
  <c r="A2118" i="1"/>
  <c r="B2118" i="1"/>
  <c r="C2118" i="1"/>
  <c r="D2118" i="1"/>
  <c r="A2119" i="1"/>
  <c r="B2119" i="1"/>
  <c r="C2119" i="1"/>
  <c r="D2119" i="1"/>
  <c r="A2120" i="1"/>
  <c r="B2120" i="1"/>
  <c r="C2120" i="1"/>
  <c r="D2120" i="1"/>
  <c r="A2121" i="1"/>
  <c r="B2121" i="1"/>
  <c r="C2121" i="1"/>
  <c r="D2121" i="1"/>
  <c r="A2122" i="1"/>
  <c r="B2122" i="1"/>
  <c r="C2122" i="1"/>
  <c r="D2122" i="1"/>
  <c r="A2123" i="1"/>
  <c r="B2123" i="1"/>
  <c r="C2123" i="1"/>
  <c r="D2123" i="1"/>
  <c r="A2124" i="1"/>
  <c r="B2124" i="1"/>
  <c r="C2124" i="1"/>
  <c r="D2124" i="1"/>
  <c r="A2125" i="1"/>
  <c r="B2125" i="1"/>
  <c r="C2125" i="1"/>
  <c r="D2125" i="1"/>
  <c r="A2126" i="1"/>
  <c r="B2126" i="1"/>
  <c r="C2126" i="1"/>
  <c r="D2126" i="1"/>
  <c r="A2127" i="1"/>
  <c r="B2127" i="1"/>
  <c r="C2127" i="1"/>
  <c r="D2127" i="1"/>
  <c r="A2128" i="1"/>
  <c r="B2128" i="1"/>
  <c r="C2128" i="1"/>
  <c r="D2128" i="1"/>
  <c r="A2129" i="1"/>
  <c r="B2129" i="1"/>
  <c r="C2129" i="1"/>
  <c r="D2129" i="1"/>
  <c r="A2130" i="1"/>
  <c r="B2130" i="1"/>
  <c r="C2130" i="1"/>
  <c r="D2130" i="1"/>
  <c r="A2131" i="1"/>
  <c r="B2131" i="1"/>
  <c r="C2131" i="1"/>
  <c r="D2131" i="1"/>
  <c r="A2132" i="1"/>
  <c r="B2132" i="1"/>
  <c r="C2132" i="1"/>
  <c r="D2132" i="1"/>
  <c r="A2133" i="1"/>
  <c r="B2133" i="1"/>
  <c r="C2133" i="1"/>
  <c r="D2133" i="1"/>
  <c r="A2134" i="1"/>
  <c r="B2134" i="1"/>
  <c r="C2134" i="1"/>
  <c r="D2134" i="1"/>
  <c r="A2135" i="1"/>
  <c r="B2135" i="1"/>
  <c r="C2135" i="1"/>
  <c r="D2135" i="1"/>
  <c r="A2136" i="1"/>
  <c r="B2136" i="1"/>
  <c r="C2136" i="1"/>
  <c r="D2136" i="1"/>
  <c r="A2137" i="1"/>
  <c r="B2137" i="1"/>
  <c r="C2137" i="1"/>
  <c r="D2137" i="1"/>
  <c r="A2138" i="1"/>
  <c r="B2138" i="1"/>
  <c r="C2138" i="1"/>
  <c r="D2138" i="1"/>
  <c r="A2139" i="1"/>
  <c r="B2139" i="1"/>
  <c r="C2139" i="1"/>
  <c r="D2139" i="1"/>
  <c r="A2140" i="1"/>
  <c r="B2140" i="1"/>
  <c r="C2140" i="1"/>
  <c r="D2140" i="1"/>
  <c r="A2141" i="1"/>
  <c r="B2141" i="1"/>
  <c r="C2141" i="1"/>
  <c r="D2141" i="1"/>
  <c r="A2142" i="1"/>
  <c r="B2142" i="1"/>
  <c r="C2142" i="1"/>
  <c r="D2142" i="1"/>
  <c r="A2143" i="1"/>
  <c r="B2143" i="1"/>
  <c r="C2143" i="1"/>
  <c r="D2143" i="1"/>
  <c r="A2144" i="1"/>
  <c r="B2144" i="1"/>
  <c r="C2144" i="1"/>
  <c r="D2144" i="1"/>
  <c r="A2145" i="1"/>
  <c r="B2145" i="1"/>
  <c r="C2145" i="1"/>
  <c r="D2145" i="1"/>
  <c r="A2146" i="1"/>
  <c r="B2146" i="1"/>
  <c r="C2146" i="1"/>
  <c r="D2146" i="1"/>
  <c r="A2147" i="1"/>
  <c r="B2147" i="1"/>
  <c r="C2147" i="1"/>
  <c r="D2147" i="1"/>
  <c r="A2148" i="1"/>
  <c r="B2148" i="1"/>
  <c r="C2148" i="1"/>
  <c r="D2148" i="1"/>
  <c r="A2149" i="1"/>
  <c r="B2149" i="1"/>
  <c r="C2149" i="1"/>
  <c r="D2149" i="1"/>
  <c r="A2150" i="1"/>
  <c r="B2150" i="1"/>
  <c r="C2150" i="1"/>
  <c r="D2150" i="1"/>
  <c r="A2151" i="1"/>
  <c r="B2151" i="1"/>
  <c r="C2151" i="1"/>
  <c r="D2151" i="1"/>
  <c r="A2152" i="1"/>
  <c r="B2152" i="1"/>
  <c r="C2152" i="1"/>
  <c r="D2152" i="1"/>
  <c r="A2153" i="1"/>
  <c r="B2153" i="1"/>
  <c r="C2153" i="1"/>
  <c r="D2153" i="1"/>
  <c r="A2154" i="1"/>
  <c r="B2154" i="1"/>
  <c r="C2154" i="1"/>
  <c r="D2154" i="1"/>
  <c r="A2155" i="1"/>
  <c r="B2155" i="1"/>
  <c r="C2155" i="1"/>
  <c r="D2155" i="1"/>
  <c r="A2156" i="1"/>
  <c r="B2156" i="1"/>
  <c r="C2156" i="1"/>
  <c r="D2156" i="1"/>
  <c r="A2157" i="1"/>
  <c r="B2157" i="1"/>
  <c r="C2157" i="1"/>
  <c r="D2157" i="1"/>
  <c r="A2158" i="1"/>
  <c r="B2158" i="1"/>
  <c r="C2158" i="1"/>
  <c r="D2158" i="1"/>
  <c r="A2159" i="1"/>
  <c r="B2159" i="1"/>
  <c r="C2159" i="1"/>
  <c r="D2159" i="1"/>
  <c r="A2160" i="1"/>
  <c r="B2160" i="1"/>
  <c r="C2160" i="1"/>
  <c r="D2160" i="1"/>
  <c r="A2161" i="1"/>
  <c r="B2161" i="1"/>
  <c r="C2161" i="1"/>
  <c r="D2161" i="1"/>
  <c r="A2162" i="1"/>
  <c r="B2162" i="1"/>
  <c r="C2162" i="1"/>
  <c r="D2162" i="1"/>
  <c r="A2163" i="1"/>
  <c r="B2163" i="1"/>
  <c r="C2163" i="1"/>
  <c r="D2163" i="1"/>
  <c r="A2164" i="1"/>
  <c r="B2164" i="1"/>
  <c r="C2164" i="1"/>
  <c r="D2164" i="1"/>
  <c r="A2165" i="1"/>
  <c r="B2165" i="1"/>
  <c r="C2165" i="1"/>
  <c r="A2166" i="1"/>
  <c r="B2166" i="1"/>
  <c r="C2166" i="1"/>
  <c r="D2166" i="1"/>
  <c r="A2167" i="1"/>
  <c r="B2167" i="1"/>
  <c r="C2167" i="1"/>
  <c r="D2167" i="1"/>
  <c r="A2168" i="1"/>
  <c r="B2168" i="1"/>
  <c r="C2168" i="1"/>
  <c r="A2169" i="1"/>
  <c r="B2169" i="1"/>
  <c r="C2169" i="1"/>
  <c r="D2169" i="1"/>
  <c r="A2170" i="1"/>
  <c r="B2170" i="1"/>
  <c r="C2170" i="1"/>
  <c r="D2170" i="1"/>
  <c r="A2171" i="1"/>
  <c r="B2171" i="1"/>
  <c r="C2171" i="1"/>
  <c r="D2171" i="1"/>
  <c r="A2172" i="1"/>
  <c r="B2172" i="1"/>
  <c r="C2172" i="1"/>
  <c r="D2172" i="1"/>
  <c r="A2173" i="1"/>
  <c r="B2173" i="1"/>
  <c r="C2173" i="1"/>
  <c r="D2173" i="1"/>
  <c r="A2174" i="1"/>
  <c r="B2174" i="1"/>
  <c r="C2174" i="1"/>
  <c r="D2174" i="1"/>
  <c r="A2175" i="1"/>
  <c r="B2175" i="1"/>
  <c r="C2175" i="1"/>
  <c r="D2175" i="1"/>
  <c r="A2176" i="1"/>
  <c r="B2176" i="1"/>
  <c r="C2176" i="1"/>
  <c r="D2176" i="1"/>
  <c r="A2177" i="1"/>
  <c r="B2177" i="1"/>
  <c r="C2177" i="1"/>
  <c r="D2177" i="1"/>
  <c r="A2178" i="1"/>
  <c r="B2178" i="1"/>
  <c r="C2178" i="1"/>
  <c r="D2178" i="1"/>
  <c r="A2179" i="1"/>
  <c r="B2179" i="1"/>
  <c r="C2179" i="1"/>
  <c r="D2179" i="1"/>
  <c r="A2180" i="1"/>
  <c r="B2180" i="1"/>
  <c r="C2180" i="1"/>
  <c r="D2180" i="1"/>
  <c r="A2181" i="1"/>
  <c r="B2181" i="1"/>
  <c r="C2181" i="1"/>
  <c r="D2181" i="1"/>
  <c r="A2182" i="1"/>
  <c r="B2182" i="1"/>
  <c r="C2182" i="1"/>
  <c r="D2182" i="1"/>
  <c r="A2183" i="1"/>
  <c r="B2183" i="1"/>
  <c r="C2183" i="1"/>
  <c r="D2183" i="1"/>
  <c r="A2184" i="1"/>
  <c r="B2184" i="1"/>
  <c r="C2184" i="1"/>
  <c r="D2184" i="1"/>
  <c r="A2185" i="1"/>
  <c r="B2185" i="1"/>
  <c r="C2185" i="1"/>
  <c r="D2185" i="1"/>
  <c r="A2186" i="1"/>
  <c r="B2186" i="1"/>
  <c r="C2186" i="1"/>
  <c r="D2186" i="1"/>
  <c r="A2187" i="1"/>
  <c r="B2187" i="1"/>
  <c r="C2187" i="1"/>
  <c r="D2187" i="1"/>
  <c r="A2188" i="1"/>
  <c r="B2188" i="1"/>
  <c r="C2188" i="1"/>
  <c r="A2189" i="1"/>
  <c r="B2189" i="1"/>
  <c r="C2189" i="1"/>
  <c r="D2189" i="1"/>
  <c r="A2190" i="1"/>
  <c r="B2190" i="1"/>
  <c r="C2190" i="1"/>
  <c r="D2190" i="1"/>
  <c r="A2191" i="1"/>
  <c r="B2191" i="1"/>
  <c r="C2191" i="1"/>
  <c r="D2191" i="1"/>
  <c r="A2192" i="1"/>
  <c r="B2192" i="1"/>
  <c r="C2192" i="1"/>
  <c r="D2192" i="1"/>
  <c r="A2193" i="1"/>
  <c r="B2193" i="1"/>
  <c r="C2193" i="1"/>
  <c r="D2193" i="1"/>
  <c r="A2194" i="1"/>
  <c r="B2194" i="1"/>
  <c r="C2194" i="1"/>
  <c r="D2194" i="1"/>
  <c r="A2195" i="1"/>
  <c r="B2195" i="1"/>
  <c r="C2195" i="1"/>
  <c r="D2195" i="1"/>
  <c r="A2196" i="1"/>
  <c r="B2196" i="1"/>
  <c r="C2196" i="1"/>
  <c r="D2196" i="1"/>
  <c r="A2197" i="1"/>
  <c r="B2197" i="1"/>
  <c r="C2197" i="1"/>
  <c r="D2197" i="1"/>
  <c r="A2198" i="1"/>
  <c r="B2198" i="1"/>
  <c r="C2198" i="1"/>
  <c r="D2198" i="1"/>
  <c r="A2199" i="1"/>
  <c r="B2199" i="1"/>
  <c r="C2199" i="1"/>
  <c r="D2199" i="1"/>
  <c r="A2200" i="1"/>
  <c r="B2200" i="1"/>
  <c r="C2200" i="1"/>
  <c r="D2200" i="1"/>
  <c r="A2201" i="1"/>
  <c r="B2201" i="1"/>
  <c r="C2201" i="1"/>
  <c r="D2201" i="1"/>
  <c r="A2202" i="1"/>
  <c r="B2202" i="1"/>
  <c r="C2202" i="1"/>
  <c r="D2202" i="1"/>
  <c r="A2203" i="1"/>
  <c r="B2203" i="1"/>
  <c r="C2203" i="1"/>
  <c r="D2203" i="1"/>
  <c r="A2204" i="1"/>
  <c r="B2204" i="1"/>
  <c r="C2204" i="1"/>
  <c r="D2204" i="1"/>
  <c r="A2205" i="1"/>
  <c r="B2205" i="1"/>
  <c r="C2205" i="1"/>
  <c r="D2205" i="1"/>
  <c r="A2206" i="1"/>
  <c r="B2206" i="1"/>
  <c r="C2206" i="1"/>
  <c r="D2206" i="1"/>
  <c r="A2207" i="1"/>
  <c r="B2207" i="1"/>
  <c r="C2207" i="1"/>
  <c r="D2207" i="1"/>
  <c r="A2208" i="1"/>
  <c r="B2208" i="1"/>
  <c r="C2208" i="1"/>
  <c r="D2208" i="1"/>
  <c r="A2209" i="1"/>
  <c r="B2209" i="1"/>
  <c r="C2209" i="1"/>
  <c r="D2209" i="1"/>
  <c r="A2210" i="1"/>
  <c r="B2210" i="1"/>
  <c r="C2210" i="1"/>
  <c r="D2210" i="1"/>
  <c r="A2211" i="1"/>
  <c r="B2211" i="1"/>
  <c r="C2211" i="1"/>
  <c r="D2211" i="1"/>
  <c r="A2212" i="1"/>
  <c r="B2212" i="1"/>
  <c r="C2212" i="1"/>
  <c r="D2212" i="1"/>
  <c r="A2213" i="1"/>
  <c r="B2213" i="1"/>
  <c r="C2213" i="1"/>
  <c r="D2213" i="1"/>
  <c r="A2214" i="1"/>
  <c r="B2214" i="1"/>
  <c r="C2214" i="1"/>
  <c r="D2214" i="1"/>
  <c r="A2215" i="1"/>
  <c r="B2215" i="1"/>
  <c r="C2215" i="1"/>
  <c r="D2215" i="1"/>
  <c r="A2216" i="1"/>
  <c r="B2216" i="1"/>
  <c r="C2216" i="1"/>
  <c r="A2217" i="1"/>
  <c r="B2217" i="1"/>
  <c r="C2217" i="1"/>
  <c r="D2217" i="1"/>
  <c r="A2218" i="1"/>
  <c r="B2218" i="1"/>
  <c r="C2218" i="1"/>
  <c r="D2218" i="1"/>
  <c r="A2219" i="1"/>
  <c r="B2219" i="1"/>
  <c r="C2219" i="1"/>
  <c r="D2219" i="1"/>
  <c r="A2220" i="1"/>
  <c r="B2220" i="1"/>
  <c r="C2220" i="1"/>
  <c r="D2220" i="1"/>
  <c r="A2221" i="1"/>
  <c r="B2221" i="1"/>
  <c r="C2221" i="1"/>
  <c r="D2221" i="1"/>
  <c r="A2222" i="1"/>
  <c r="B2222" i="1"/>
  <c r="C2222" i="1"/>
  <c r="D2222" i="1"/>
  <c r="A2223" i="1"/>
  <c r="B2223" i="1"/>
  <c r="C2223" i="1"/>
  <c r="A2224" i="1"/>
  <c r="B2224" i="1"/>
  <c r="C2224" i="1"/>
  <c r="D2224" i="1"/>
  <c r="A2225" i="1"/>
  <c r="B2225" i="1"/>
  <c r="C2225" i="1"/>
  <c r="D2225" i="1"/>
  <c r="A2226" i="1"/>
  <c r="B2226" i="1"/>
  <c r="C2226" i="1"/>
  <c r="D2226" i="1"/>
  <c r="A2227" i="1"/>
  <c r="B2227" i="1"/>
  <c r="C2227" i="1"/>
  <c r="D2227" i="1"/>
  <c r="A2228" i="1"/>
  <c r="B2228" i="1"/>
  <c r="C2228" i="1"/>
  <c r="D2228" i="1"/>
  <c r="A2229" i="1"/>
  <c r="B2229" i="1"/>
  <c r="C2229" i="1"/>
  <c r="A2230" i="1"/>
  <c r="B2230" i="1"/>
  <c r="C2230" i="1"/>
  <c r="D2230" i="1"/>
  <c r="A2231" i="1"/>
  <c r="B2231" i="1"/>
  <c r="C2231" i="1"/>
  <c r="D2231" i="1"/>
  <c r="A2232" i="1"/>
  <c r="B2232" i="1"/>
  <c r="C2232" i="1"/>
  <c r="D2232" i="1"/>
  <c r="A2233" i="1"/>
  <c r="B2233" i="1"/>
  <c r="C2233" i="1"/>
  <c r="D2233" i="1"/>
  <c r="A2234" i="1"/>
  <c r="B2234" i="1"/>
  <c r="C2234" i="1"/>
  <c r="A2235" i="1"/>
  <c r="B2235" i="1"/>
  <c r="C2235" i="1"/>
  <c r="D2235" i="1"/>
  <c r="A2236" i="1"/>
  <c r="B2236" i="1"/>
  <c r="C2236" i="1"/>
  <c r="D2236" i="1"/>
  <c r="A2237" i="1"/>
  <c r="B2237" i="1"/>
  <c r="C2237" i="1"/>
  <c r="D2237" i="1"/>
  <c r="A2238" i="1"/>
  <c r="B2238" i="1"/>
  <c r="C2238" i="1"/>
  <c r="D2238" i="1"/>
  <c r="A2239" i="1"/>
  <c r="B2239" i="1"/>
  <c r="C2239" i="1"/>
  <c r="D2239" i="1"/>
  <c r="A2240" i="1"/>
  <c r="B2240" i="1"/>
  <c r="C2240" i="1"/>
  <c r="D2240" i="1"/>
  <c r="A2241" i="1"/>
  <c r="B2241" i="1"/>
  <c r="C2241" i="1"/>
  <c r="D2241" i="1"/>
  <c r="A2242" i="1"/>
  <c r="B2242" i="1"/>
  <c r="C2242" i="1"/>
  <c r="D2242" i="1"/>
  <c r="A2243" i="1"/>
  <c r="B2243" i="1"/>
  <c r="C2243" i="1"/>
  <c r="D2243" i="1"/>
  <c r="A2244" i="1"/>
  <c r="B2244" i="1"/>
  <c r="C2244" i="1"/>
  <c r="D2244" i="1"/>
  <c r="A2245" i="1"/>
  <c r="B2245" i="1"/>
  <c r="C2245" i="1"/>
  <c r="D2245" i="1"/>
  <c r="A2246" i="1"/>
  <c r="B2246" i="1"/>
  <c r="C2246" i="1"/>
  <c r="D2246" i="1"/>
  <c r="A2247" i="1"/>
  <c r="B2247" i="1"/>
  <c r="C2247" i="1"/>
  <c r="D2247" i="1"/>
  <c r="A2248" i="1"/>
  <c r="B2248" i="1"/>
  <c r="C2248" i="1"/>
  <c r="A2249" i="1"/>
  <c r="B2249" i="1"/>
  <c r="C2249" i="1"/>
  <c r="D2249" i="1"/>
  <c r="A2250" i="1"/>
  <c r="B2250" i="1"/>
  <c r="C2250" i="1"/>
  <c r="D2250" i="1"/>
  <c r="A2251" i="1"/>
  <c r="B2251" i="1"/>
  <c r="C2251" i="1"/>
  <c r="D2251" i="1"/>
  <c r="A2252" i="1"/>
  <c r="B2252" i="1"/>
  <c r="C2252" i="1"/>
  <c r="D2252" i="1"/>
  <c r="A2253" i="1"/>
  <c r="B2253" i="1"/>
  <c r="C2253" i="1"/>
  <c r="D2253" i="1"/>
  <c r="A2254" i="1"/>
  <c r="B2254" i="1"/>
  <c r="C2254" i="1"/>
  <c r="D2254" i="1"/>
  <c r="A2255" i="1"/>
  <c r="B2255" i="1"/>
  <c r="C2255" i="1"/>
  <c r="D2255" i="1"/>
  <c r="A2256" i="1"/>
  <c r="B2256" i="1"/>
  <c r="C2256" i="1"/>
  <c r="D2256" i="1"/>
  <c r="A2257" i="1"/>
  <c r="B2257" i="1"/>
  <c r="C2257" i="1"/>
  <c r="A2258" i="1"/>
  <c r="B2258" i="1"/>
  <c r="C2258" i="1"/>
  <c r="D2258" i="1"/>
  <c r="A2259" i="1"/>
  <c r="B2259" i="1"/>
  <c r="C2259" i="1"/>
  <c r="D2259" i="1"/>
  <c r="A2260" i="1"/>
  <c r="B2260" i="1"/>
  <c r="C2260" i="1"/>
  <c r="D2260" i="1"/>
  <c r="A2261" i="1"/>
  <c r="B2261" i="1"/>
  <c r="C2261" i="1"/>
  <c r="D2261" i="1"/>
  <c r="A2262" i="1"/>
  <c r="B2262" i="1"/>
  <c r="C2262" i="1"/>
  <c r="D2262" i="1"/>
  <c r="A2263" i="1"/>
  <c r="B2263" i="1"/>
  <c r="C2263" i="1"/>
  <c r="D2263" i="1"/>
  <c r="A2264" i="1"/>
  <c r="B2264" i="1"/>
  <c r="C2264" i="1"/>
  <c r="D2264" i="1"/>
  <c r="A2265" i="1"/>
  <c r="B2265" i="1"/>
  <c r="C2265" i="1"/>
  <c r="D2265" i="1"/>
  <c r="A2266" i="1"/>
  <c r="B2266" i="1"/>
  <c r="C2266" i="1"/>
  <c r="D2266" i="1"/>
  <c r="A2267" i="1"/>
  <c r="B2267" i="1"/>
  <c r="C2267" i="1"/>
  <c r="D2267" i="1"/>
  <c r="A2268" i="1"/>
  <c r="B2268" i="1"/>
  <c r="C2268" i="1"/>
  <c r="D2268" i="1"/>
  <c r="A2269" i="1"/>
  <c r="B2269" i="1"/>
  <c r="C2269" i="1"/>
  <c r="D2269" i="1"/>
  <c r="A2270" i="1"/>
  <c r="B2270" i="1"/>
  <c r="C2270" i="1"/>
  <c r="D2270" i="1"/>
  <c r="A2271" i="1"/>
  <c r="B2271" i="1"/>
  <c r="C2271" i="1"/>
  <c r="D2271" i="1"/>
  <c r="A2272" i="1"/>
  <c r="B2272" i="1"/>
  <c r="C2272" i="1"/>
  <c r="D2272" i="1"/>
  <c r="A2273" i="1"/>
  <c r="B2273" i="1"/>
  <c r="C2273" i="1"/>
  <c r="D2273" i="1"/>
  <c r="A2274" i="1"/>
  <c r="B2274" i="1"/>
  <c r="C2274" i="1"/>
  <c r="D2274" i="1"/>
  <c r="A2275" i="1"/>
  <c r="B2275" i="1"/>
  <c r="C2275" i="1"/>
  <c r="D2275" i="1"/>
  <c r="A2276" i="1"/>
  <c r="B2276" i="1"/>
  <c r="C2276" i="1"/>
  <c r="D2276" i="1"/>
  <c r="A2277" i="1"/>
  <c r="B2277" i="1"/>
  <c r="C2277" i="1"/>
  <c r="D2277" i="1"/>
  <c r="A2278" i="1"/>
  <c r="B2278" i="1"/>
  <c r="C2278" i="1"/>
  <c r="D2278" i="1"/>
  <c r="A2279" i="1"/>
  <c r="B2279" i="1"/>
  <c r="C2279" i="1"/>
  <c r="D2279" i="1"/>
  <c r="A2280" i="1"/>
  <c r="B2280" i="1"/>
  <c r="C2280" i="1"/>
  <c r="D2280" i="1"/>
  <c r="A2281" i="1"/>
  <c r="B2281" i="1"/>
  <c r="C2281" i="1"/>
  <c r="D2281" i="1"/>
  <c r="A2282" i="1"/>
  <c r="B2282" i="1"/>
  <c r="C2282" i="1"/>
  <c r="D2282" i="1"/>
  <c r="A2283" i="1"/>
  <c r="B2283" i="1"/>
  <c r="C2283" i="1"/>
  <c r="D2283" i="1"/>
  <c r="A2284" i="1"/>
  <c r="B2284" i="1"/>
  <c r="C2284" i="1"/>
  <c r="D2284" i="1"/>
  <c r="A2285" i="1"/>
  <c r="B2285" i="1"/>
  <c r="C2285" i="1"/>
  <c r="D2285" i="1"/>
  <c r="A2286" i="1"/>
  <c r="B2286" i="1"/>
  <c r="C2286" i="1"/>
  <c r="D2286" i="1"/>
  <c r="A2287" i="1"/>
  <c r="B2287" i="1"/>
  <c r="C2287" i="1"/>
  <c r="D2287" i="1"/>
  <c r="A2288" i="1"/>
  <c r="B2288" i="1"/>
  <c r="C2288" i="1"/>
  <c r="D2288" i="1"/>
  <c r="A2289" i="1"/>
  <c r="B2289" i="1"/>
  <c r="C2289" i="1"/>
  <c r="D2289" i="1"/>
  <c r="A2290" i="1"/>
  <c r="B2290" i="1"/>
  <c r="C2290" i="1"/>
  <c r="D2290" i="1"/>
  <c r="A2291" i="1"/>
  <c r="B2291" i="1"/>
  <c r="C2291" i="1"/>
  <c r="A2292" i="1"/>
  <c r="B2292" i="1"/>
  <c r="C2292" i="1"/>
  <c r="D2292" i="1"/>
  <c r="A2293" i="1"/>
  <c r="B2293" i="1"/>
  <c r="C2293" i="1"/>
  <c r="D2293" i="1"/>
  <c r="A2294" i="1"/>
  <c r="B2294" i="1"/>
  <c r="C2294" i="1"/>
  <c r="D2294" i="1"/>
  <c r="A2295" i="1"/>
  <c r="B2295" i="1"/>
  <c r="C2295" i="1"/>
  <c r="D2295" i="1"/>
  <c r="A2296" i="1"/>
  <c r="B2296" i="1"/>
  <c r="C2296" i="1"/>
  <c r="D2296" i="1"/>
  <c r="A2297" i="1"/>
  <c r="B2297" i="1"/>
  <c r="C2297" i="1"/>
  <c r="D2297" i="1"/>
  <c r="A2298" i="1"/>
  <c r="B2298" i="1"/>
  <c r="C2298" i="1"/>
  <c r="D2298" i="1"/>
  <c r="A2299" i="1"/>
  <c r="B2299" i="1"/>
  <c r="C2299" i="1"/>
  <c r="D2299" i="1"/>
  <c r="A2300" i="1"/>
  <c r="B2300" i="1"/>
  <c r="C2300" i="1"/>
  <c r="D2300" i="1"/>
  <c r="A2301" i="1"/>
  <c r="B2301" i="1"/>
  <c r="C2301" i="1"/>
  <c r="D2301" i="1"/>
  <c r="A2302" i="1"/>
  <c r="B2302" i="1"/>
  <c r="C2302" i="1"/>
  <c r="D2302" i="1"/>
  <c r="A2303" i="1"/>
  <c r="B2303" i="1"/>
  <c r="C2303" i="1"/>
  <c r="D2303" i="1"/>
  <c r="A2304" i="1"/>
  <c r="B2304" i="1"/>
  <c r="C2304" i="1"/>
  <c r="D2304" i="1"/>
  <c r="A2305" i="1"/>
  <c r="B2305" i="1"/>
  <c r="C2305" i="1"/>
  <c r="D2305" i="1"/>
  <c r="A2306" i="1"/>
  <c r="B2306" i="1"/>
  <c r="C2306" i="1"/>
  <c r="D2306" i="1"/>
  <c r="A2307" i="1"/>
  <c r="B2307" i="1"/>
  <c r="C2307" i="1"/>
  <c r="D2307" i="1"/>
  <c r="A2308" i="1"/>
  <c r="B2308" i="1"/>
  <c r="C2308" i="1"/>
  <c r="D2308" i="1"/>
  <c r="A2309" i="1"/>
  <c r="B2309" i="1"/>
  <c r="C2309" i="1"/>
  <c r="D2309" i="1"/>
  <c r="A2310" i="1"/>
  <c r="B2310" i="1"/>
  <c r="C2310" i="1"/>
  <c r="D2310" i="1"/>
  <c r="A2311" i="1"/>
  <c r="B2311" i="1"/>
  <c r="C2311" i="1"/>
  <c r="D2311" i="1"/>
  <c r="A2312" i="1"/>
  <c r="B2312" i="1"/>
  <c r="C2312" i="1"/>
  <c r="D2312" i="1"/>
  <c r="A2313" i="1"/>
  <c r="B2313" i="1"/>
  <c r="C2313" i="1"/>
  <c r="D2313" i="1"/>
  <c r="A2314" i="1"/>
  <c r="B2314" i="1"/>
  <c r="C2314" i="1"/>
  <c r="D2314" i="1"/>
  <c r="A2315" i="1"/>
  <c r="B2315" i="1"/>
  <c r="C2315" i="1"/>
  <c r="D2315" i="1"/>
  <c r="A2316" i="1"/>
  <c r="B2316" i="1"/>
  <c r="C2316" i="1"/>
  <c r="D2316" i="1"/>
  <c r="A2317" i="1"/>
  <c r="B2317" i="1"/>
  <c r="C2317" i="1"/>
  <c r="D2317" i="1"/>
  <c r="A2318" i="1"/>
  <c r="B2318" i="1"/>
  <c r="C2318" i="1"/>
  <c r="D2318" i="1"/>
  <c r="A2319" i="1"/>
  <c r="B2319" i="1"/>
  <c r="C2319" i="1"/>
  <c r="D2319" i="1"/>
  <c r="A2320" i="1"/>
  <c r="B2320" i="1"/>
  <c r="C2320" i="1"/>
  <c r="D2320" i="1"/>
  <c r="A2321" i="1"/>
  <c r="B2321" i="1"/>
  <c r="C2321" i="1"/>
  <c r="D2321" i="1"/>
  <c r="A2322" i="1"/>
  <c r="B2322" i="1"/>
  <c r="C2322" i="1"/>
  <c r="D2322" i="1"/>
  <c r="A2323" i="1"/>
  <c r="B2323" i="1"/>
  <c r="C2323" i="1"/>
  <c r="D2323" i="1"/>
  <c r="A2324" i="1"/>
  <c r="B2324" i="1"/>
  <c r="C2324" i="1"/>
  <c r="D2324" i="1"/>
  <c r="A2325" i="1"/>
  <c r="B2325" i="1"/>
  <c r="C2325" i="1"/>
  <c r="D2325" i="1"/>
  <c r="A2326" i="1"/>
  <c r="B2326" i="1"/>
  <c r="C2326" i="1"/>
  <c r="D2326" i="1"/>
  <c r="A2327" i="1"/>
  <c r="B2327" i="1"/>
  <c r="C2327" i="1"/>
  <c r="D2327" i="1"/>
  <c r="A2328" i="1"/>
  <c r="B2328" i="1"/>
  <c r="C2328" i="1"/>
  <c r="D2328" i="1"/>
  <c r="A2329" i="1"/>
  <c r="B2329" i="1"/>
  <c r="C2329" i="1"/>
  <c r="D2329" i="1"/>
  <c r="A2330" i="1"/>
  <c r="B2330" i="1"/>
  <c r="C2330" i="1"/>
  <c r="D2330" i="1"/>
  <c r="A2331" i="1"/>
  <c r="B2331" i="1"/>
  <c r="C2331" i="1"/>
  <c r="D2331" i="1"/>
  <c r="A2332" i="1"/>
  <c r="B2332" i="1"/>
  <c r="C2332" i="1"/>
  <c r="D2332" i="1"/>
  <c r="A2333" i="1"/>
  <c r="B2333" i="1"/>
  <c r="C2333" i="1"/>
  <c r="D2333" i="1"/>
  <c r="A2334" i="1"/>
  <c r="B2334" i="1"/>
  <c r="C2334" i="1"/>
  <c r="D2334" i="1"/>
  <c r="A2335" i="1"/>
  <c r="B2335" i="1"/>
  <c r="C2335" i="1"/>
  <c r="D2335" i="1"/>
  <c r="A2336" i="1"/>
  <c r="B2336" i="1"/>
  <c r="C2336" i="1"/>
  <c r="D2336" i="1"/>
  <c r="A2337" i="1"/>
  <c r="B2337" i="1"/>
  <c r="C2337" i="1"/>
  <c r="D2337" i="1"/>
  <c r="A2338" i="1"/>
  <c r="B2338" i="1"/>
  <c r="C2338" i="1"/>
  <c r="D2338" i="1"/>
  <c r="A2339" i="1"/>
  <c r="B2339" i="1"/>
  <c r="C2339" i="1"/>
  <c r="D2339" i="1"/>
  <c r="A2340" i="1"/>
  <c r="B2340" i="1"/>
  <c r="C2340" i="1"/>
  <c r="D2340" i="1"/>
  <c r="A2341" i="1"/>
  <c r="B2341" i="1"/>
  <c r="C2341" i="1"/>
  <c r="A2342" i="1"/>
  <c r="B2342" i="1"/>
  <c r="C2342" i="1"/>
  <c r="D2342" i="1"/>
  <c r="A2343" i="1"/>
  <c r="B2343" i="1"/>
  <c r="C2343" i="1"/>
  <c r="D2343" i="1"/>
  <c r="A2344" i="1"/>
  <c r="B2344" i="1"/>
  <c r="C2344" i="1"/>
  <c r="D2344" i="1"/>
  <c r="A2345" i="1"/>
  <c r="B2345" i="1"/>
  <c r="C2345" i="1"/>
  <c r="D2345" i="1"/>
  <c r="A2346" i="1"/>
  <c r="B2346" i="1"/>
  <c r="C2346" i="1"/>
  <c r="D2346" i="1"/>
  <c r="A2347" i="1"/>
  <c r="B2347" i="1"/>
  <c r="C2347" i="1"/>
  <c r="D2347" i="1"/>
  <c r="A2348" i="1"/>
  <c r="B2348" i="1"/>
  <c r="C2348" i="1"/>
  <c r="D2348" i="1"/>
  <c r="A2349" i="1"/>
  <c r="B2349" i="1"/>
  <c r="C2349" i="1"/>
  <c r="D2349" i="1"/>
  <c r="A2350" i="1"/>
  <c r="B2350" i="1"/>
  <c r="C2350" i="1"/>
  <c r="D2350" i="1"/>
  <c r="A2351" i="1"/>
  <c r="B2351" i="1"/>
  <c r="C2351" i="1"/>
  <c r="D2351" i="1"/>
  <c r="A2352" i="1"/>
  <c r="B2352" i="1"/>
  <c r="C2352" i="1"/>
  <c r="D2352" i="1"/>
  <c r="A2353" i="1"/>
  <c r="B2353" i="1"/>
  <c r="C2353" i="1"/>
  <c r="D2353" i="1"/>
  <c r="A2354" i="1"/>
  <c r="B2354" i="1"/>
  <c r="C2354" i="1"/>
  <c r="D2354" i="1"/>
  <c r="A2355" i="1"/>
  <c r="B2355" i="1"/>
  <c r="C2355" i="1"/>
  <c r="D2355" i="1"/>
  <c r="A2356" i="1"/>
  <c r="B2356" i="1"/>
  <c r="C2356" i="1"/>
  <c r="D2356" i="1"/>
  <c r="A2357" i="1"/>
  <c r="B2357" i="1"/>
  <c r="C2357" i="1"/>
  <c r="D2357" i="1"/>
  <c r="A2358" i="1"/>
  <c r="B2358" i="1"/>
  <c r="C2358" i="1"/>
  <c r="D2358" i="1"/>
  <c r="A2359" i="1"/>
  <c r="B2359" i="1"/>
  <c r="C2359" i="1"/>
  <c r="D2359" i="1"/>
  <c r="A2360" i="1"/>
  <c r="B2360" i="1"/>
  <c r="C2360" i="1"/>
  <c r="D2360" i="1"/>
  <c r="A2361" i="1"/>
  <c r="B2361" i="1"/>
  <c r="C2361" i="1"/>
  <c r="D2361" i="1"/>
  <c r="A2362" i="1"/>
  <c r="B2362" i="1"/>
  <c r="C2362" i="1"/>
  <c r="D2362" i="1"/>
  <c r="A2363" i="1"/>
  <c r="B2363" i="1"/>
  <c r="C2363" i="1"/>
  <c r="D2363" i="1"/>
  <c r="A2364" i="1"/>
  <c r="B2364" i="1"/>
  <c r="C2364" i="1"/>
  <c r="D2364" i="1"/>
  <c r="A2365" i="1"/>
  <c r="B2365" i="1"/>
  <c r="C2365" i="1"/>
  <c r="D2365" i="1"/>
  <c r="A2366" i="1"/>
  <c r="B2366" i="1"/>
  <c r="C2366" i="1"/>
  <c r="D2366" i="1"/>
  <c r="A2367" i="1"/>
  <c r="B2367" i="1"/>
  <c r="C2367" i="1"/>
  <c r="D2367" i="1"/>
  <c r="A2368" i="1"/>
  <c r="B2368" i="1"/>
  <c r="C2368" i="1"/>
  <c r="D2368" i="1"/>
  <c r="A2369" i="1"/>
  <c r="B2369" i="1"/>
  <c r="C2369" i="1"/>
  <c r="D2369" i="1"/>
  <c r="A2370" i="1"/>
  <c r="B2370" i="1"/>
  <c r="C2370" i="1"/>
  <c r="D2370" i="1"/>
  <c r="A2371" i="1"/>
  <c r="B2371" i="1"/>
  <c r="C2371" i="1"/>
  <c r="D2371" i="1"/>
  <c r="A2372" i="1"/>
  <c r="B2372" i="1"/>
  <c r="C2372" i="1"/>
  <c r="D2372" i="1"/>
  <c r="A2373" i="1"/>
  <c r="B2373" i="1"/>
  <c r="C2373" i="1"/>
  <c r="D2373" i="1"/>
  <c r="A2374" i="1"/>
  <c r="B2374" i="1"/>
  <c r="C2374" i="1"/>
  <c r="D2374" i="1"/>
  <c r="A2375" i="1"/>
  <c r="B2375" i="1"/>
  <c r="C2375" i="1"/>
  <c r="D2375" i="1"/>
  <c r="A2376" i="1"/>
  <c r="B2376" i="1"/>
  <c r="C2376" i="1"/>
  <c r="D2376" i="1"/>
  <c r="A2377" i="1"/>
  <c r="B2377" i="1"/>
  <c r="C2377" i="1"/>
  <c r="D2377" i="1"/>
  <c r="A2378" i="1"/>
  <c r="B2378" i="1"/>
  <c r="C2378" i="1"/>
  <c r="D2378" i="1"/>
  <c r="A2379" i="1"/>
  <c r="B2379" i="1"/>
  <c r="C2379" i="1"/>
  <c r="D2379" i="1"/>
  <c r="A2380" i="1"/>
  <c r="B2380" i="1"/>
  <c r="C2380" i="1"/>
  <c r="D2380" i="1"/>
  <c r="A2381" i="1"/>
  <c r="B2381" i="1"/>
  <c r="C2381" i="1"/>
  <c r="D2381" i="1"/>
  <c r="A2382" i="1"/>
  <c r="B2382" i="1"/>
  <c r="C2382" i="1"/>
  <c r="D2382" i="1"/>
  <c r="A2383" i="1"/>
  <c r="B2383" i="1"/>
  <c r="C2383" i="1"/>
  <c r="D2383" i="1"/>
  <c r="A2384" i="1"/>
  <c r="B2384" i="1"/>
  <c r="C2384" i="1"/>
  <c r="D2384" i="1"/>
  <c r="A2385" i="1"/>
  <c r="B2385" i="1"/>
  <c r="C2385" i="1"/>
  <c r="D2385" i="1"/>
  <c r="A2386" i="1"/>
  <c r="B2386" i="1"/>
  <c r="C2386" i="1"/>
  <c r="D2386" i="1"/>
  <c r="A2387" i="1"/>
  <c r="B2387" i="1"/>
  <c r="C2387" i="1"/>
  <c r="D2387" i="1"/>
  <c r="A2388" i="1"/>
  <c r="B2388" i="1"/>
  <c r="C2388" i="1"/>
  <c r="D2388" i="1"/>
  <c r="A2389" i="1"/>
  <c r="B2389" i="1"/>
  <c r="C2389" i="1"/>
  <c r="D2389" i="1"/>
  <c r="A2390" i="1"/>
  <c r="B2390" i="1"/>
  <c r="C2390" i="1"/>
  <c r="D2390" i="1"/>
  <c r="A2391" i="1"/>
  <c r="B2391" i="1"/>
  <c r="C2391" i="1"/>
  <c r="D2391" i="1"/>
  <c r="A2392" i="1"/>
  <c r="B2392" i="1"/>
  <c r="C2392" i="1"/>
  <c r="D2392" i="1"/>
  <c r="A2393" i="1"/>
  <c r="B2393" i="1"/>
  <c r="C2393" i="1"/>
  <c r="D2393" i="1"/>
  <c r="A2394" i="1"/>
  <c r="B2394" i="1"/>
  <c r="C2394" i="1"/>
  <c r="D2394" i="1"/>
  <c r="A2395" i="1"/>
  <c r="B2395" i="1"/>
  <c r="C2395" i="1"/>
  <c r="D2395" i="1"/>
  <c r="A2396" i="1"/>
  <c r="B2396" i="1"/>
  <c r="C2396" i="1"/>
  <c r="D2396" i="1"/>
  <c r="A2397" i="1"/>
  <c r="B2397" i="1"/>
  <c r="C2397" i="1"/>
  <c r="D2397" i="1"/>
  <c r="A2398" i="1"/>
  <c r="B2398" i="1"/>
  <c r="C2398" i="1"/>
  <c r="D2398" i="1"/>
  <c r="A2399" i="1"/>
  <c r="B2399" i="1"/>
  <c r="C2399" i="1"/>
  <c r="D2399" i="1"/>
  <c r="A2400" i="1"/>
  <c r="B2400" i="1"/>
  <c r="C2400" i="1"/>
  <c r="D2400" i="1"/>
  <c r="A2401" i="1"/>
  <c r="B2401" i="1"/>
  <c r="C2401" i="1"/>
  <c r="D2401" i="1"/>
  <c r="A2402" i="1"/>
  <c r="B2402" i="1"/>
  <c r="C2402" i="1"/>
  <c r="D2402" i="1"/>
  <c r="A2403" i="1"/>
  <c r="B2403" i="1"/>
  <c r="C2403" i="1"/>
  <c r="D2403" i="1"/>
  <c r="A2404" i="1"/>
  <c r="B2404" i="1"/>
  <c r="C2404" i="1"/>
  <c r="D2404" i="1"/>
  <c r="A2405" i="1"/>
  <c r="B2405" i="1"/>
  <c r="C2405" i="1"/>
  <c r="D2405" i="1"/>
  <c r="A2406" i="1"/>
  <c r="B2406" i="1"/>
  <c r="C2406" i="1"/>
  <c r="D2406" i="1"/>
  <c r="A2407" i="1"/>
  <c r="B2407" i="1"/>
  <c r="C2407" i="1"/>
  <c r="D2407" i="1"/>
  <c r="A2408" i="1"/>
  <c r="B2408" i="1"/>
  <c r="C2408" i="1"/>
  <c r="A2409" i="1"/>
  <c r="B2409" i="1"/>
  <c r="C2409" i="1"/>
  <c r="D2409" i="1"/>
  <c r="A2410" i="1"/>
  <c r="B2410" i="1"/>
  <c r="C2410" i="1"/>
  <c r="D2410" i="1"/>
  <c r="A2411" i="1"/>
  <c r="B2411" i="1"/>
  <c r="C2411" i="1"/>
  <c r="D2411" i="1"/>
  <c r="A2412" i="1"/>
  <c r="B2412" i="1"/>
  <c r="C2412" i="1"/>
  <c r="D2412" i="1"/>
  <c r="A2413" i="1"/>
  <c r="B2413" i="1"/>
  <c r="C2413" i="1"/>
  <c r="D2413" i="1"/>
  <c r="A2414" i="1"/>
  <c r="B2414" i="1"/>
  <c r="C2414" i="1"/>
  <c r="D2414" i="1"/>
  <c r="A2415" i="1"/>
  <c r="B2415" i="1"/>
  <c r="C2415" i="1"/>
  <c r="D2415" i="1"/>
  <c r="A2416" i="1"/>
  <c r="B2416" i="1"/>
  <c r="C2416" i="1"/>
  <c r="A2417" i="1"/>
  <c r="B2417" i="1"/>
  <c r="C2417" i="1"/>
  <c r="D2417" i="1"/>
  <c r="A2418" i="1"/>
  <c r="B2418" i="1"/>
  <c r="C2418" i="1"/>
  <c r="D2418" i="1"/>
  <c r="A2419" i="1"/>
  <c r="B2419" i="1"/>
  <c r="C2419" i="1"/>
  <c r="D2419" i="1"/>
  <c r="A2420" i="1"/>
  <c r="B2420" i="1"/>
  <c r="C2420" i="1"/>
  <c r="D2420" i="1"/>
  <c r="A2421" i="1"/>
  <c r="B2421" i="1"/>
  <c r="C2421" i="1"/>
  <c r="A2422" i="1"/>
  <c r="B2422" i="1"/>
  <c r="C2422" i="1"/>
  <c r="D2422" i="1"/>
  <c r="A2423" i="1"/>
  <c r="B2423" i="1"/>
  <c r="C2423" i="1"/>
  <c r="D2423" i="1"/>
  <c r="A2424" i="1"/>
  <c r="B2424" i="1"/>
  <c r="C2424" i="1"/>
  <c r="D2424" i="1"/>
  <c r="A2425" i="1"/>
  <c r="B2425" i="1"/>
  <c r="C2425" i="1"/>
  <c r="D2425" i="1"/>
  <c r="A2426" i="1"/>
  <c r="B2426" i="1"/>
  <c r="C2426" i="1"/>
  <c r="D2426" i="1"/>
  <c r="A2427" i="1"/>
  <c r="B2427" i="1"/>
  <c r="C2427" i="1"/>
  <c r="D2427" i="1"/>
  <c r="A2428" i="1"/>
  <c r="B2428" i="1"/>
  <c r="C2428" i="1"/>
  <c r="D2428" i="1"/>
  <c r="A2429" i="1"/>
  <c r="B2429" i="1"/>
  <c r="C2429" i="1"/>
  <c r="D2429" i="1"/>
  <c r="A2430" i="1"/>
  <c r="B2430" i="1"/>
  <c r="C2430" i="1"/>
  <c r="D2430" i="1"/>
  <c r="A2431" i="1"/>
  <c r="B2431" i="1"/>
  <c r="C2431" i="1"/>
  <c r="D2431" i="1"/>
  <c r="A2432" i="1"/>
  <c r="B2432" i="1"/>
  <c r="C2432" i="1"/>
  <c r="D2432" i="1"/>
  <c r="A2433" i="1"/>
  <c r="B2433" i="1"/>
  <c r="C2433" i="1"/>
  <c r="D2433" i="1"/>
  <c r="A2434" i="1"/>
  <c r="B2434" i="1"/>
  <c r="C2434" i="1"/>
  <c r="D2434" i="1"/>
  <c r="A2435" i="1"/>
  <c r="B2435" i="1"/>
  <c r="C2435" i="1"/>
  <c r="D2435" i="1"/>
  <c r="A2436" i="1"/>
  <c r="B2436" i="1"/>
  <c r="C2436" i="1"/>
  <c r="D2436" i="1"/>
  <c r="A2437" i="1"/>
  <c r="B2437" i="1"/>
  <c r="C2437" i="1"/>
  <c r="D2437" i="1"/>
  <c r="A2438" i="1"/>
  <c r="B2438" i="1"/>
  <c r="C2438" i="1"/>
  <c r="D2438" i="1"/>
  <c r="A2439" i="1"/>
  <c r="B2439" i="1"/>
  <c r="C2439" i="1"/>
  <c r="D2439" i="1"/>
  <c r="A2440" i="1"/>
  <c r="B2440" i="1"/>
  <c r="C2440" i="1"/>
  <c r="D2440" i="1"/>
  <c r="A2441" i="1"/>
  <c r="B2441" i="1"/>
  <c r="C2441" i="1"/>
  <c r="D2441" i="1"/>
  <c r="A2442" i="1"/>
  <c r="B2442" i="1"/>
  <c r="C2442" i="1"/>
  <c r="D2442" i="1"/>
  <c r="A2443" i="1"/>
  <c r="B2443" i="1"/>
  <c r="C2443" i="1"/>
  <c r="D2443" i="1"/>
  <c r="A2444" i="1"/>
  <c r="B2444" i="1"/>
  <c r="C2444" i="1"/>
  <c r="D2444" i="1"/>
  <c r="A2445" i="1"/>
  <c r="B2445" i="1"/>
  <c r="C2445" i="1"/>
  <c r="D2445" i="1"/>
  <c r="A2446" i="1"/>
  <c r="B2446" i="1"/>
  <c r="C2446" i="1"/>
  <c r="D2446" i="1"/>
  <c r="A2447" i="1"/>
  <c r="B2447" i="1"/>
  <c r="C2447" i="1"/>
  <c r="D2447" i="1"/>
  <c r="A2448" i="1"/>
  <c r="B2448" i="1"/>
  <c r="C2448" i="1"/>
  <c r="D2448" i="1"/>
  <c r="A2449" i="1"/>
  <c r="B2449" i="1"/>
  <c r="C2449" i="1"/>
  <c r="D2449" i="1"/>
  <c r="A2450" i="1"/>
  <c r="B2450" i="1"/>
  <c r="C2450" i="1"/>
  <c r="D2450" i="1"/>
  <c r="A2451" i="1"/>
  <c r="B2451" i="1"/>
  <c r="C2451" i="1"/>
  <c r="D2451" i="1"/>
  <c r="A2452" i="1"/>
  <c r="B2452" i="1"/>
  <c r="C2452" i="1"/>
  <c r="D2452" i="1"/>
  <c r="A2453" i="1"/>
  <c r="B2453" i="1"/>
  <c r="C2453" i="1"/>
  <c r="D2453" i="1"/>
  <c r="A2454" i="1"/>
  <c r="B2454" i="1"/>
  <c r="C2454" i="1"/>
  <c r="D2454" i="1"/>
  <c r="A2455" i="1"/>
  <c r="B2455" i="1"/>
  <c r="C2455" i="1"/>
  <c r="D2455" i="1"/>
  <c r="A2456" i="1"/>
  <c r="B2456" i="1"/>
  <c r="C2456" i="1"/>
  <c r="D2456" i="1"/>
  <c r="A2457" i="1"/>
  <c r="B2457" i="1"/>
  <c r="C2457" i="1"/>
  <c r="D2457" i="1"/>
  <c r="A2458" i="1"/>
  <c r="B2458" i="1"/>
  <c r="C2458" i="1"/>
  <c r="D2458" i="1"/>
  <c r="A2459" i="1"/>
  <c r="B2459" i="1"/>
  <c r="C2459" i="1"/>
  <c r="D2459" i="1"/>
  <c r="A2460" i="1"/>
  <c r="B2460" i="1"/>
  <c r="C2460" i="1"/>
  <c r="D2460" i="1"/>
  <c r="A2461" i="1"/>
  <c r="B2461" i="1"/>
  <c r="C2461" i="1"/>
  <c r="D2461" i="1"/>
  <c r="A2462" i="1"/>
  <c r="B2462" i="1"/>
  <c r="C2462" i="1"/>
  <c r="D2462" i="1"/>
  <c r="A2463" i="1"/>
  <c r="B2463" i="1"/>
  <c r="C2463" i="1"/>
  <c r="D2463" i="1"/>
  <c r="A2464" i="1"/>
  <c r="B2464" i="1"/>
  <c r="C2464" i="1"/>
  <c r="D2464" i="1"/>
  <c r="A2465" i="1"/>
  <c r="B2465" i="1"/>
  <c r="C2465" i="1"/>
  <c r="D2465" i="1"/>
  <c r="A2466" i="1"/>
  <c r="B2466" i="1"/>
  <c r="C2466" i="1"/>
  <c r="D2466" i="1"/>
  <c r="A2467" i="1"/>
  <c r="B2467" i="1"/>
  <c r="C2467" i="1"/>
  <c r="D2467" i="1"/>
  <c r="A2468" i="1"/>
  <c r="B2468" i="1"/>
  <c r="C2468" i="1"/>
  <c r="D2468" i="1"/>
  <c r="A2469" i="1"/>
  <c r="B2469" i="1"/>
  <c r="C2469" i="1"/>
  <c r="D2469" i="1"/>
  <c r="A2470" i="1"/>
  <c r="B2470" i="1"/>
  <c r="C2470" i="1"/>
  <c r="D2470" i="1"/>
  <c r="A2471" i="1"/>
  <c r="B2471" i="1"/>
  <c r="C2471" i="1"/>
  <c r="D2471" i="1"/>
  <c r="A2472" i="1"/>
  <c r="B2472" i="1"/>
  <c r="C2472" i="1"/>
  <c r="A2473" i="1"/>
  <c r="B2473" i="1"/>
  <c r="C2473" i="1"/>
  <c r="D2473" i="1"/>
  <c r="A2474" i="1"/>
  <c r="B2474" i="1"/>
  <c r="C2474" i="1"/>
  <c r="D2474" i="1"/>
  <c r="A2475" i="1"/>
  <c r="B2475" i="1"/>
  <c r="C2475" i="1"/>
  <c r="A2476" i="1"/>
  <c r="B2476" i="1"/>
  <c r="C2476" i="1"/>
  <c r="D2476" i="1"/>
  <c r="A2477" i="1"/>
  <c r="B2477" i="1"/>
  <c r="C2477" i="1"/>
  <c r="D2477" i="1"/>
  <c r="A2478" i="1"/>
  <c r="B2478" i="1"/>
  <c r="C2478" i="1"/>
  <c r="A2479" i="1"/>
  <c r="B2479" i="1"/>
  <c r="C2479" i="1"/>
  <c r="D2479" i="1"/>
  <c r="A2480" i="1"/>
  <c r="B2480" i="1"/>
  <c r="C2480" i="1"/>
  <c r="D2480" i="1"/>
  <c r="A2481" i="1"/>
  <c r="B2481" i="1"/>
  <c r="C2481" i="1"/>
  <c r="D2481" i="1"/>
  <c r="A2482" i="1"/>
  <c r="B2482" i="1"/>
  <c r="C2482" i="1"/>
  <c r="D2482" i="1"/>
  <c r="A2483" i="1"/>
  <c r="B2483" i="1"/>
  <c r="C2483" i="1"/>
  <c r="D2483" i="1"/>
  <c r="A2484" i="1"/>
  <c r="B2484" i="1"/>
  <c r="C2484" i="1"/>
  <c r="D2484" i="1"/>
  <c r="A2485" i="1"/>
  <c r="B2485" i="1"/>
  <c r="C2485" i="1"/>
  <c r="D2485" i="1"/>
  <c r="A2486" i="1"/>
  <c r="B2486" i="1"/>
  <c r="C2486" i="1"/>
  <c r="D2486" i="1"/>
  <c r="A2487" i="1"/>
  <c r="B2487" i="1"/>
  <c r="C2487" i="1"/>
  <c r="D2487" i="1"/>
  <c r="A2488" i="1"/>
  <c r="B2488" i="1"/>
  <c r="C2488" i="1"/>
  <c r="D2488" i="1"/>
  <c r="A2489" i="1"/>
  <c r="B2489" i="1"/>
  <c r="C2489" i="1"/>
  <c r="D2489" i="1"/>
  <c r="A2490" i="1"/>
  <c r="B2490" i="1"/>
  <c r="C2490" i="1"/>
  <c r="D2490" i="1"/>
  <c r="A2491" i="1"/>
  <c r="B2491" i="1"/>
  <c r="C2491" i="1"/>
  <c r="D2491" i="1"/>
  <c r="A2492" i="1"/>
  <c r="B2492" i="1"/>
  <c r="C2492" i="1"/>
  <c r="D2492" i="1"/>
  <c r="A2493" i="1"/>
  <c r="B2493" i="1"/>
  <c r="C2493" i="1"/>
  <c r="D2493" i="1"/>
  <c r="A2494" i="1"/>
  <c r="B2494" i="1"/>
  <c r="C2494" i="1"/>
  <c r="D2494" i="1"/>
  <c r="A2495" i="1"/>
  <c r="B2495" i="1"/>
  <c r="C2495" i="1"/>
  <c r="D2495" i="1"/>
  <c r="A2496" i="1"/>
  <c r="B2496" i="1"/>
  <c r="C2496" i="1"/>
  <c r="D2496" i="1"/>
  <c r="A2497" i="1"/>
  <c r="B2497" i="1"/>
  <c r="C2497" i="1"/>
  <c r="D2497" i="1"/>
  <c r="A2498" i="1"/>
  <c r="B2498" i="1"/>
  <c r="C2498" i="1"/>
  <c r="D2498" i="1"/>
  <c r="A2499" i="1"/>
  <c r="B2499" i="1"/>
  <c r="C2499" i="1"/>
  <c r="D2499" i="1"/>
  <c r="A2500" i="1"/>
  <c r="B2500" i="1"/>
  <c r="C2500" i="1"/>
  <c r="D2500" i="1"/>
  <c r="A2501" i="1"/>
  <c r="B2501" i="1"/>
  <c r="C2501" i="1"/>
  <c r="D2501" i="1"/>
  <c r="A2502" i="1"/>
  <c r="B2502" i="1"/>
  <c r="C2502" i="1"/>
  <c r="D2502" i="1"/>
  <c r="A2503" i="1"/>
  <c r="B2503" i="1"/>
  <c r="C2503" i="1"/>
  <c r="D2503" i="1"/>
  <c r="A2504" i="1"/>
  <c r="B2504" i="1"/>
  <c r="C2504" i="1"/>
  <c r="D2504" i="1"/>
  <c r="A2505" i="1"/>
  <c r="B2505" i="1"/>
  <c r="C2505" i="1"/>
  <c r="D2505" i="1"/>
  <c r="A2506" i="1"/>
  <c r="B2506" i="1"/>
  <c r="C2506" i="1"/>
  <c r="D2506" i="1"/>
  <c r="A2507" i="1"/>
  <c r="B2507" i="1"/>
  <c r="C2507" i="1"/>
  <c r="D2507" i="1"/>
  <c r="A2508" i="1"/>
  <c r="B2508" i="1"/>
  <c r="C2508" i="1"/>
  <c r="D2508" i="1"/>
  <c r="A2509" i="1"/>
  <c r="B2509" i="1"/>
  <c r="C2509" i="1"/>
  <c r="D2509" i="1"/>
  <c r="A2510" i="1"/>
  <c r="B2510" i="1"/>
  <c r="C2510" i="1"/>
  <c r="D2510" i="1"/>
  <c r="A2511" i="1"/>
  <c r="B2511" i="1"/>
  <c r="C2511" i="1"/>
  <c r="D2511" i="1"/>
  <c r="A2512" i="1"/>
  <c r="B2512" i="1"/>
  <c r="C2512" i="1"/>
  <c r="D2512" i="1"/>
  <c r="A2513" i="1"/>
  <c r="B2513" i="1"/>
  <c r="C2513" i="1"/>
  <c r="D2513" i="1"/>
  <c r="A2514" i="1"/>
  <c r="B2514" i="1"/>
  <c r="C2514" i="1"/>
  <c r="D2514" i="1"/>
  <c r="A2515" i="1"/>
  <c r="B2515" i="1"/>
  <c r="C2515" i="1"/>
  <c r="D2515" i="1"/>
  <c r="A2516" i="1"/>
  <c r="B2516" i="1"/>
  <c r="C2516" i="1"/>
  <c r="D2516" i="1"/>
  <c r="A2517" i="1"/>
  <c r="B2517" i="1"/>
  <c r="C2517" i="1"/>
  <c r="D2517" i="1"/>
  <c r="A2518" i="1"/>
  <c r="B2518" i="1"/>
  <c r="C2518" i="1"/>
  <c r="D2518" i="1"/>
  <c r="A2519" i="1"/>
  <c r="B2519" i="1"/>
  <c r="C2519" i="1"/>
  <c r="D2519" i="1"/>
  <c r="A2520" i="1"/>
  <c r="B2520" i="1"/>
  <c r="C2520" i="1"/>
  <c r="D2520" i="1"/>
  <c r="A2521" i="1"/>
  <c r="B2521" i="1"/>
  <c r="C2521" i="1"/>
  <c r="D2521" i="1"/>
  <c r="A2522" i="1"/>
  <c r="B2522" i="1"/>
  <c r="C2522" i="1"/>
  <c r="D2522" i="1"/>
  <c r="A2523" i="1"/>
  <c r="B2523" i="1"/>
  <c r="C2523" i="1"/>
  <c r="D2523" i="1"/>
  <c r="A2524" i="1"/>
  <c r="B2524" i="1"/>
  <c r="C2524" i="1"/>
  <c r="D2524" i="1"/>
  <c r="A2525" i="1"/>
  <c r="B2525" i="1"/>
  <c r="C2525" i="1"/>
  <c r="D2525" i="1"/>
  <c r="A2526" i="1"/>
  <c r="B2526" i="1"/>
  <c r="C2526" i="1"/>
  <c r="D2526" i="1"/>
  <c r="A2527" i="1"/>
  <c r="B2527" i="1"/>
  <c r="C2527" i="1"/>
  <c r="D2527" i="1"/>
  <c r="A2528" i="1"/>
  <c r="B2528" i="1"/>
  <c r="C2528" i="1"/>
  <c r="D2528" i="1"/>
  <c r="A2529" i="1"/>
  <c r="B2529" i="1"/>
  <c r="C2529" i="1"/>
  <c r="D2529" i="1"/>
  <c r="A2530" i="1"/>
  <c r="B2530" i="1"/>
  <c r="C2530" i="1"/>
  <c r="D2530" i="1"/>
  <c r="A2531" i="1"/>
  <c r="B2531" i="1"/>
  <c r="C2531" i="1"/>
  <c r="D2531" i="1"/>
  <c r="A2532" i="1"/>
  <c r="B2532" i="1"/>
  <c r="C2532" i="1"/>
  <c r="D2532" i="1"/>
  <c r="A2533" i="1"/>
  <c r="B2533" i="1"/>
  <c r="C2533" i="1"/>
  <c r="D2533" i="1"/>
  <c r="A2534" i="1"/>
  <c r="B2534" i="1"/>
  <c r="C2534" i="1"/>
  <c r="D2534" i="1"/>
  <c r="A2535" i="1"/>
  <c r="B2535" i="1"/>
  <c r="C2535" i="1"/>
  <c r="D2535" i="1"/>
  <c r="A2536" i="1"/>
  <c r="B2536" i="1"/>
  <c r="C2536" i="1"/>
  <c r="D2536" i="1"/>
  <c r="A2537" i="1"/>
  <c r="B2537" i="1"/>
  <c r="C2537" i="1"/>
  <c r="D2537" i="1"/>
  <c r="A2538" i="1"/>
  <c r="B2538" i="1"/>
  <c r="C2538" i="1"/>
  <c r="D2538" i="1"/>
  <c r="A2539" i="1"/>
  <c r="B2539" i="1"/>
  <c r="C2539" i="1"/>
  <c r="D2539" i="1"/>
  <c r="A2540" i="1"/>
  <c r="B2540" i="1"/>
  <c r="C2540" i="1"/>
  <c r="D2540" i="1"/>
  <c r="A2541" i="1"/>
  <c r="B2541" i="1"/>
  <c r="C2541" i="1"/>
  <c r="D2541" i="1"/>
  <c r="A2542" i="1"/>
  <c r="B2542" i="1"/>
  <c r="C2542" i="1"/>
  <c r="D2542" i="1"/>
  <c r="A2543" i="1"/>
  <c r="B2543" i="1"/>
  <c r="C2543" i="1"/>
  <c r="D2543" i="1"/>
  <c r="A2544" i="1"/>
  <c r="B2544" i="1"/>
  <c r="C2544" i="1"/>
  <c r="A2545" i="1"/>
  <c r="B2545" i="1"/>
  <c r="C2545" i="1"/>
  <c r="D2545" i="1"/>
  <c r="A2546" i="1"/>
  <c r="B2546" i="1"/>
  <c r="C2546" i="1"/>
  <c r="D2546" i="1"/>
  <c r="A2547" i="1"/>
  <c r="B2547" i="1"/>
  <c r="C2547" i="1"/>
  <c r="D2547" i="1"/>
  <c r="A2548" i="1"/>
  <c r="B2548" i="1"/>
  <c r="C2548" i="1"/>
  <c r="D2548" i="1"/>
  <c r="A2549" i="1"/>
  <c r="B2549" i="1"/>
  <c r="C2549" i="1"/>
  <c r="D2549" i="1"/>
  <c r="A2550" i="1"/>
  <c r="B2550" i="1"/>
  <c r="C2550" i="1"/>
  <c r="D2550" i="1"/>
  <c r="A2551" i="1"/>
  <c r="B2551" i="1"/>
  <c r="C2551" i="1"/>
  <c r="D2551" i="1"/>
  <c r="A2552" i="1"/>
  <c r="B2552" i="1"/>
  <c r="C2552" i="1"/>
  <c r="D2552" i="1"/>
  <c r="A2553" i="1"/>
  <c r="B2553" i="1"/>
  <c r="C2553" i="1"/>
  <c r="A2554" i="1"/>
  <c r="B2554" i="1"/>
  <c r="C2554" i="1"/>
  <c r="D2554" i="1"/>
  <c r="A2555" i="1"/>
  <c r="B2555" i="1"/>
  <c r="C2555" i="1"/>
  <c r="A2556" i="1"/>
  <c r="B2556" i="1"/>
  <c r="C2556" i="1"/>
  <c r="D2556" i="1"/>
  <c r="A2557" i="1"/>
  <c r="B2557" i="1"/>
  <c r="C2557" i="1"/>
  <c r="D2557" i="1"/>
  <c r="A2558" i="1"/>
  <c r="B2558" i="1"/>
  <c r="C2558" i="1"/>
  <c r="D2558" i="1"/>
  <c r="A2559" i="1"/>
  <c r="B2559" i="1"/>
  <c r="C2559" i="1"/>
  <c r="D2559" i="1"/>
  <c r="A2560" i="1"/>
  <c r="B2560" i="1"/>
  <c r="C2560" i="1"/>
  <c r="D2560" i="1"/>
  <c r="A2561" i="1"/>
  <c r="B2561" i="1"/>
  <c r="C2561" i="1"/>
  <c r="D2561" i="1"/>
  <c r="A2562" i="1"/>
  <c r="B2562" i="1"/>
  <c r="C2562" i="1"/>
  <c r="A2563" i="1"/>
  <c r="B2563" i="1"/>
  <c r="C2563" i="1"/>
  <c r="D2563" i="1"/>
  <c r="A2564" i="1"/>
  <c r="B2564" i="1"/>
  <c r="C2564" i="1"/>
  <c r="D2564" i="1"/>
  <c r="A2565" i="1"/>
  <c r="B2565" i="1"/>
  <c r="C2565" i="1"/>
  <c r="D2565" i="1"/>
  <c r="A2566" i="1"/>
  <c r="B2566" i="1"/>
  <c r="C2566" i="1"/>
  <c r="D2566" i="1"/>
  <c r="A2567" i="1"/>
  <c r="B2567" i="1"/>
  <c r="C2567" i="1"/>
  <c r="A2568" i="1"/>
  <c r="B2568" i="1"/>
  <c r="C2568" i="1"/>
  <c r="D2568" i="1"/>
  <c r="A2569" i="1"/>
  <c r="B2569" i="1"/>
  <c r="C2569" i="1"/>
  <c r="D2569" i="1"/>
  <c r="A2570" i="1"/>
  <c r="B2570" i="1"/>
  <c r="C2570" i="1"/>
  <c r="D2570" i="1"/>
  <c r="A2571" i="1"/>
  <c r="B2571" i="1"/>
  <c r="C2571" i="1"/>
  <c r="D2571" i="1"/>
  <c r="A2572" i="1"/>
  <c r="B2572" i="1"/>
  <c r="C2572" i="1"/>
  <c r="D2572" i="1"/>
  <c r="A2573" i="1"/>
  <c r="B2573" i="1"/>
  <c r="C2573" i="1"/>
  <c r="D2573" i="1"/>
  <c r="A2574" i="1"/>
  <c r="B2574" i="1"/>
  <c r="C2574" i="1"/>
  <c r="D2574" i="1"/>
  <c r="A2575" i="1"/>
  <c r="B2575" i="1"/>
  <c r="C2575" i="1"/>
  <c r="D2575" i="1"/>
  <c r="A2576" i="1"/>
  <c r="B2576" i="1"/>
  <c r="C2576" i="1"/>
  <c r="D2576" i="1"/>
  <c r="A2577" i="1"/>
  <c r="B2577" i="1"/>
  <c r="C2577" i="1"/>
  <c r="D2577" i="1"/>
  <c r="A2578" i="1"/>
  <c r="B2578" i="1"/>
  <c r="C2578" i="1"/>
  <c r="D2578" i="1"/>
  <c r="A2579" i="1"/>
  <c r="B2579" i="1"/>
  <c r="C2579" i="1"/>
  <c r="D2579" i="1"/>
  <c r="A2580" i="1"/>
  <c r="B2580" i="1"/>
  <c r="C2580" i="1"/>
  <c r="D2580" i="1"/>
  <c r="A2581" i="1"/>
  <c r="B2581" i="1"/>
  <c r="C2581" i="1"/>
  <c r="D2581" i="1"/>
  <c r="A2582" i="1"/>
  <c r="B2582" i="1"/>
  <c r="C2582" i="1"/>
  <c r="D2582" i="1"/>
  <c r="A2583" i="1"/>
  <c r="B2583" i="1"/>
  <c r="C2583" i="1"/>
  <c r="D2583" i="1"/>
  <c r="A2584" i="1"/>
  <c r="B2584" i="1"/>
  <c r="C2584" i="1"/>
  <c r="D2584" i="1"/>
  <c r="A2585" i="1"/>
  <c r="B2585" i="1"/>
  <c r="C2585" i="1"/>
  <c r="D2585" i="1"/>
  <c r="A2586" i="1"/>
  <c r="B2586" i="1"/>
  <c r="C2586" i="1"/>
  <c r="D2586" i="1"/>
  <c r="A2587" i="1"/>
  <c r="B2587" i="1"/>
  <c r="C2587" i="1"/>
  <c r="D2587" i="1"/>
  <c r="A2588" i="1"/>
  <c r="B2588" i="1"/>
  <c r="C2588" i="1"/>
  <c r="D2588" i="1"/>
  <c r="A2589" i="1"/>
  <c r="B2589" i="1"/>
  <c r="C2589" i="1"/>
  <c r="D2589" i="1"/>
  <c r="A2590" i="1"/>
  <c r="B2590" i="1"/>
  <c r="C2590" i="1"/>
  <c r="D2590" i="1"/>
  <c r="A2591" i="1"/>
  <c r="B2591" i="1"/>
  <c r="C2591" i="1"/>
  <c r="D2591" i="1"/>
  <c r="A2592" i="1"/>
  <c r="B2592" i="1"/>
  <c r="C2592" i="1"/>
  <c r="D2592" i="1"/>
  <c r="A2593" i="1"/>
  <c r="B2593" i="1"/>
  <c r="C2593" i="1"/>
  <c r="D2593" i="1"/>
  <c r="A2594" i="1"/>
  <c r="B2594" i="1"/>
  <c r="C2594" i="1"/>
  <c r="D2594" i="1"/>
  <c r="A2595" i="1"/>
  <c r="B2595" i="1"/>
  <c r="C2595" i="1"/>
  <c r="D2595" i="1"/>
  <c r="A2596" i="1"/>
  <c r="B2596" i="1"/>
  <c r="C2596" i="1"/>
  <c r="D2596" i="1"/>
  <c r="A2597" i="1"/>
  <c r="B2597" i="1"/>
  <c r="C2597" i="1"/>
  <c r="D2597" i="1"/>
  <c r="A2598" i="1"/>
  <c r="B2598" i="1"/>
  <c r="C2598" i="1"/>
  <c r="D2598" i="1"/>
  <c r="A2599" i="1"/>
  <c r="B2599" i="1"/>
  <c r="C2599" i="1"/>
  <c r="D2599" i="1"/>
  <c r="A2600" i="1"/>
  <c r="B2600" i="1"/>
  <c r="C2600" i="1"/>
  <c r="D2600" i="1"/>
  <c r="A2601" i="1"/>
  <c r="B2601" i="1"/>
  <c r="C2601" i="1"/>
  <c r="D2601" i="1"/>
  <c r="A2602" i="1"/>
  <c r="B2602" i="1"/>
  <c r="C2602" i="1"/>
  <c r="D2602" i="1"/>
  <c r="A2603" i="1"/>
  <c r="B2603" i="1"/>
  <c r="C2603" i="1"/>
  <c r="D2603" i="1"/>
  <c r="A2604" i="1"/>
  <c r="B2604" i="1"/>
  <c r="C2604" i="1"/>
  <c r="D2604" i="1"/>
  <c r="A2605" i="1"/>
  <c r="B2605" i="1"/>
  <c r="C2605" i="1"/>
  <c r="D2605" i="1"/>
  <c r="A2606" i="1"/>
  <c r="B2606" i="1"/>
  <c r="C2606" i="1"/>
  <c r="D2606" i="1"/>
  <c r="A2607" i="1"/>
  <c r="B2607" i="1"/>
  <c r="C2607" i="1"/>
  <c r="D2607" i="1"/>
  <c r="A2608" i="1"/>
  <c r="B2608" i="1"/>
  <c r="C2608" i="1"/>
  <c r="D2608" i="1"/>
  <c r="A2609" i="1"/>
  <c r="B2609" i="1"/>
  <c r="C2609" i="1"/>
  <c r="D2609" i="1"/>
  <c r="A2610" i="1"/>
  <c r="B2610" i="1"/>
  <c r="C2610" i="1"/>
  <c r="D2610" i="1"/>
  <c r="A2611" i="1"/>
  <c r="B2611" i="1"/>
  <c r="C2611" i="1"/>
  <c r="D2611" i="1"/>
  <c r="A2612" i="1"/>
  <c r="B2612" i="1"/>
  <c r="C2612" i="1"/>
  <c r="D2612" i="1"/>
  <c r="A2613" i="1"/>
  <c r="B2613" i="1"/>
  <c r="C2613" i="1"/>
  <c r="D2613" i="1"/>
  <c r="A2614" i="1"/>
  <c r="B2614" i="1"/>
  <c r="C2614" i="1"/>
  <c r="D2614" i="1"/>
  <c r="A2615" i="1"/>
  <c r="B2615" i="1"/>
  <c r="C2615" i="1"/>
  <c r="D2615" i="1"/>
  <c r="A2616" i="1"/>
  <c r="B2616" i="1"/>
  <c r="C2616" i="1"/>
  <c r="A2617" i="1"/>
  <c r="B2617" i="1"/>
  <c r="C2617" i="1"/>
  <c r="D2617" i="1"/>
  <c r="A2618" i="1"/>
  <c r="B2618" i="1"/>
  <c r="C2618" i="1"/>
  <c r="D2618" i="1"/>
  <c r="A2619" i="1"/>
  <c r="B2619" i="1"/>
  <c r="C2619" i="1"/>
  <c r="D2619" i="1"/>
  <c r="A2620" i="1"/>
  <c r="B2620" i="1"/>
  <c r="C2620" i="1"/>
  <c r="D2620" i="1"/>
  <c r="A2621" i="1"/>
  <c r="B2621" i="1"/>
  <c r="C2621" i="1"/>
  <c r="D2621" i="1"/>
  <c r="A2622" i="1"/>
  <c r="B2622" i="1"/>
  <c r="C2622" i="1"/>
  <c r="D2622" i="1"/>
  <c r="A2623" i="1"/>
  <c r="B2623" i="1"/>
  <c r="C2623" i="1"/>
  <c r="D2623" i="1"/>
  <c r="A2624" i="1"/>
  <c r="B2624" i="1"/>
  <c r="C2624" i="1"/>
  <c r="D2624" i="1"/>
  <c r="A2625" i="1"/>
  <c r="B2625" i="1"/>
  <c r="C2625" i="1"/>
  <c r="D2625" i="1"/>
  <c r="A2626" i="1"/>
  <c r="B2626" i="1"/>
  <c r="C2626" i="1"/>
  <c r="D2626" i="1"/>
  <c r="A2627" i="1"/>
  <c r="B2627" i="1"/>
  <c r="C2627" i="1"/>
  <c r="D2627" i="1"/>
  <c r="A2628" i="1"/>
  <c r="B2628" i="1"/>
  <c r="C2628" i="1"/>
  <c r="D2628" i="1"/>
  <c r="A2629" i="1"/>
  <c r="B2629" i="1"/>
  <c r="C2629" i="1"/>
  <c r="D2629" i="1"/>
  <c r="A2630" i="1"/>
  <c r="B2630" i="1"/>
  <c r="C2630" i="1"/>
  <c r="D2630" i="1"/>
  <c r="A2631" i="1"/>
  <c r="B2631" i="1"/>
  <c r="C2631" i="1"/>
  <c r="D2631" i="1"/>
  <c r="A2632" i="1"/>
  <c r="B2632" i="1"/>
  <c r="C2632" i="1"/>
  <c r="D2632" i="1"/>
  <c r="A2633" i="1"/>
  <c r="B2633" i="1"/>
  <c r="C2633" i="1"/>
  <c r="D2633" i="1"/>
  <c r="A2634" i="1"/>
  <c r="B2634" i="1"/>
  <c r="C2634" i="1"/>
  <c r="D2634" i="1"/>
  <c r="A2635" i="1"/>
  <c r="B2635" i="1"/>
  <c r="C2635" i="1"/>
  <c r="D2635" i="1"/>
  <c r="A2636" i="1"/>
  <c r="B2636" i="1"/>
  <c r="C2636" i="1"/>
  <c r="D2636" i="1"/>
  <c r="A2637" i="1"/>
  <c r="B2637" i="1"/>
  <c r="C2637" i="1"/>
  <c r="D2637" i="1"/>
  <c r="A2638" i="1"/>
  <c r="B2638" i="1"/>
  <c r="C2638" i="1"/>
  <c r="D2638" i="1"/>
  <c r="A2639" i="1"/>
  <c r="B2639" i="1"/>
  <c r="C2639" i="1"/>
  <c r="D2639" i="1"/>
  <c r="A2640" i="1"/>
  <c r="B2640" i="1"/>
  <c r="C2640" i="1"/>
  <c r="D2640" i="1"/>
  <c r="A2641" i="1"/>
  <c r="B2641" i="1"/>
  <c r="C2641" i="1"/>
  <c r="D2641" i="1"/>
  <c r="A2642" i="1"/>
  <c r="B2642" i="1"/>
  <c r="C2642" i="1"/>
  <c r="D2642" i="1"/>
  <c r="A2643" i="1"/>
  <c r="B2643" i="1"/>
  <c r="C2643" i="1"/>
  <c r="D2643" i="1"/>
  <c r="A2644" i="1"/>
  <c r="B2644" i="1"/>
  <c r="C2644" i="1"/>
  <c r="D2644" i="1"/>
  <c r="A2645" i="1"/>
  <c r="B2645" i="1"/>
  <c r="C2645" i="1"/>
  <c r="D2645" i="1"/>
  <c r="A2646" i="1"/>
  <c r="B2646" i="1"/>
  <c r="C2646" i="1"/>
  <c r="D2646" i="1"/>
  <c r="A2647" i="1"/>
  <c r="B2647" i="1"/>
  <c r="C2647" i="1"/>
  <c r="D2647" i="1"/>
  <c r="A2648" i="1"/>
  <c r="B2648" i="1"/>
  <c r="C2648" i="1"/>
  <c r="D2648" i="1"/>
  <c r="A2649" i="1"/>
  <c r="B2649" i="1"/>
  <c r="C2649" i="1"/>
  <c r="D2649" i="1"/>
  <c r="A2650" i="1"/>
  <c r="B2650" i="1"/>
  <c r="C2650" i="1"/>
  <c r="D2650" i="1"/>
  <c r="A2651" i="1"/>
  <c r="B2651" i="1"/>
  <c r="C2651" i="1"/>
  <c r="D2651" i="1"/>
  <c r="A2652" i="1"/>
  <c r="B2652" i="1"/>
  <c r="C2652" i="1"/>
  <c r="D2652" i="1"/>
  <c r="A2653" i="1"/>
  <c r="B2653" i="1"/>
  <c r="C2653" i="1"/>
  <c r="D2653" i="1"/>
  <c r="A2654" i="1"/>
  <c r="B2654" i="1"/>
  <c r="C2654" i="1"/>
  <c r="D2654" i="1"/>
  <c r="A2655" i="1"/>
  <c r="B2655" i="1"/>
  <c r="C2655" i="1"/>
  <c r="D2655" i="1"/>
  <c r="A2656" i="1"/>
  <c r="B2656" i="1"/>
  <c r="C2656" i="1"/>
  <c r="D2656" i="1"/>
  <c r="A2657" i="1"/>
  <c r="B2657" i="1"/>
  <c r="C2657" i="1"/>
  <c r="D2657" i="1"/>
  <c r="A2658" i="1"/>
  <c r="B2658" i="1"/>
  <c r="C2658" i="1"/>
  <c r="D2658" i="1"/>
  <c r="A2659" i="1"/>
  <c r="B2659" i="1"/>
  <c r="C2659" i="1"/>
  <c r="D2659" i="1"/>
  <c r="A2660" i="1"/>
  <c r="B2660" i="1"/>
  <c r="C2660" i="1"/>
  <c r="D2660" i="1"/>
  <c r="A2661" i="1"/>
  <c r="B2661" i="1"/>
  <c r="C2661" i="1"/>
  <c r="D2661" i="1"/>
  <c r="A2662" i="1"/>
  <c r="B2662" i="1"/>
  <c r="C2662" i="1"/>
  <c r="D2662" i="1"/>
  <c r="A2663" i="1"/>
  <c r="B2663" i="1"/>
  <c r="C2663" i="1"/>
  <c r="D2663" i="1"/>
  <c r="A2664" i="1"/>
  <c r="B2664" i="1"/>
  <c r="C2664" i="1"/>
  <c r="D2664" i="1"/>
  <c r="A2665" i="1"/>
  <c r="B2665" i="1"/>
  <c r="C2665" i="1"/>
  <c r="D2665" i="1"/>
  <c r="A2666" i="1"/>
  <c r="B2666" i="1"/>
  <c r="C2666" i="1"/>
  <c r="D2666" i="1"/>
  <c r="A2667" i="1"/>
  <c r="B2667" i="1"/>
  <c r="C2667" i="1"/>
  <c r="D2667" i="1"/>
  <c r="A2668" i="1"/>
  <c r="B2668" i="1"/>
  <c r="C2668" i="1"/>
  <c r="D2668" i="1"/>
  <c r="A2669" i="1"/>
  <c r="B2669" i="1"/>
  <c r="C2669" i="1"/>
  <c r="D2669" i="1"/>
  <c r="A2670" i="1"/>
  <c r="B2670" i="1"/>
  <c r="C2670" i="1"/>
  <c r="D2670" i="1"/>
  <c r="A2671" i="1"/>
  <c r="B2671" i="1"/>
  <c r="C2671" i="1"/>
  <c r="D2671" i="1"/>
  <c r="A2672" i="1"/>
  <c r="B2672" i="1"/>
  <c r="C2672" i="1"/>
  <c r="D2672" i="1"/>
  <c r="A2673" i="1"/>
  <c r="B2673" i="1"/>
  <c r="C2673" i="1"/>
  <c r="D2673" i="1"/>
  <c r="A2674" i="1"/>
  <c r="B2674" i="1"/>
  <c r="C2674" i="1"/>
  <c r="A2675" i="1"/>
  <c r="B2675" i="1"/>
  <c r="C2675" i="1"/>
  <c r="D2675" i="1"/>
  <c r="A2676" i="1"/>
  <c r="B2676" i="1"/>
  <c r="C2676" i="1"/>
  <c r="D2676" i="1"/>
  <c r="A2677" i="1"/>
  <c r="B2677" i="1"/>
  <c r="C2677" i="1"/>
  <c r="D2677" i="1"/>
  <c r="A2678" i="1"/>
  <c r="B2678" i="1"/>
  <c r="C2678" i="1"/>
  <c r="A2679" i="1"/>
  <c r="B2679" i="1"/>
  <c r="C2679" i="1"/>
  <c r="D2679" i="1"/>
  <c r="A2680" i="1"/>
  <c r="B2680" i="1"/>
  <c r="C2680" i="1"/>
  <c r="D2680" i="1"/>
  <c r="A2681" i="1"/>
  <c r="B2681" i="1"/>
  <c r="C2681" i="1"/>
  <c r="D2681" i="1"/>
  <c r="A2682" i="1"/>
  <c r="B2682" i="1"/>
  <c r="C2682" i="1"/>
  <c r="D2682" i="1"/>
  <c r="A2683" i="1"/>
  <c r="B2683" i="1"/>
  <c r="C2683" i="1"/>
  <c r="D2683" i="1"/>
  <c r="A2684" i="1"/>
  <c r="B2684" i="1"/>
  <c r="C2684" i="1"/>
  <c r="D2684" i="1"/>
  <c r="A2685" i="1"/>
  <c r="B2685" i="1"/>
  <c r="C2685" i="1"/>
  <c r="D2685" i="1"/>
  <c r="A2686" i="1"/>
  <c r="B2686" i="1"/>
  <c r="C2686" i="1"/>
  <c r="D2686" i="1"/>
  <c r="A2687" i="1"/>
  <c r="B2687" i="1"/>
  <c r="C2687" i="1"/>
  <c r="D2687" i="1"/>
  <c r="A2688" i="1"/>
  <c r="B2688" i="1"/>
  <c r="C2688" i="1"/>
  <c r="D2688" i="1"/>
  <c r="A2689" i="1"/>
  <c r="B2689" i="1"/>
  <c r="C2689" i="1"/>
  <c r="D2689" i="1"/>
  <c r="A2690" i="1"/>
  <c r="B2690" i="1"/>
  <c r="C2690" i="1"/>
  <c r="D2690" i="1"/>
  <c r="A2691" i="1"/>
  <c r="B2691" i="1"/>
  <c r="C2691" i="1"/>
  <c r="D2691" i="1"/>
  <c r="A2692" i="1"/>
  <c r="B2692" i="1"/>
  <c r="C2692" i="1"/>
  <c r="D2692" i="1"/>
  <c r="A2693" i="1"/>
  <c r="B2693" i="1"/>
  <c r="C2693" i="1"/>
  <c r="D2693" i="1"/>
  <c r="A2694" i="1"/>
  <c r="B2694" i="1"/>
  <c r="C2694" i="1"/>
  <c r="D2694" i="1"/>
  <c r="A2695" i="1"/>
  <c r="B2695" i="1"/>
  <c r="C2695" i="1"/>
  <c r="D2695" i="1"/>
  <c r="A2696" i="1"/>
  <c r="B2696" i="1"/>
  <c r="C2696" i="1"/>
  <c r="D2696" i="1"/>
  <c r="A2697" i="1"/>
  <c r="B2697" i="1"/>
  <c r="C2697" i="1"/>
  <c r="D2697" i="1"/>
  <c r="A2698" i="1"/>
  <c r="B2698" i="1"/>
  <c r="C2698" i="1"/>
  <c r="D2698" i="1"/>
  <c r="A2699" i="1"/>
  <c r="B2699" i="1"/>
  <c r="C2699" i="1"/>
  <c r="D2699" i="1"/>
  <c r="A2700" i="1"/>
  <c r="B2700" i="1"/>
  <c r="C2700" i="1"/>
  <c r="D2700" i="1"/>
  <c r="A2701" i="1"/>
  <c r="B2701" i="1"/>
  <c r="C2701" i="1"/>
  <c r="D2701" i="1"/>
  <c r="A2702" i="1"/>
  <c r="B2702" i="1"/>
  <c r="C2702" i="1"/>
  <c r="D2702" i="1"/>
  <c r="A2703" i="1"/>
  <c r="B2703" i="1"/>
  <c r="C2703" i="1"/>
  <c r="D2703" i="1"/>
  <c r="A2704" i="1"/>
  <c r="B2704" i="1"/>
  <c r="C2704" i="1"/>
  <c r="D2704" i="1"/>
  <c r="A2705" i="1"/>
  <c r="B2705" i="1"/>
  <c r="C2705" i="1"/>
  <c r="D2705" i="1"/>
  <c r="A2706" i="1"/>
  <c r="B2706" i="1"/>
  <c r="C2706" i="1"/>
  <c r="D2706" i="1"/>
  <c r="A2707" i="1"/>
  <c r="B2707" i="1"/>
  <c r="C2707" i="1"/>
  <c r="D2707" i="1"/>
  <c r="A2708" i="1"/>
  <c r="B2708" i="1"/>
  <c r="C2708" i="1"/>
  <c r="D2708" i="1"/>
  <c r="A2709" i="1"/>
  <c r="B2709" i="1"/>
  <c r="C2709" i="1"/>
  <c r="D2709" i="1"/>
  <c r="A2710" i="1"/>
  <c r="B2710" i="1"/>
  <c r="C2710" i="1"/>
  <c r="D2710" i="1"/>
  <c r="A2711" i="1"/>
  <c r="B2711" i="1"/>
  <c r="C2711" i="1"/>
  <c r="D2711" i="1"/>
  <c r="A2712" i="1"/>
  <c r="B2712" i="1"/>
  <c r="C2712" i="1"/>
  <c r="D2712" i="1"/>
  <c r="A2713" i="1"/>
  <c r="B2713" i="1"/>
  <c r="C2713" i="1"/>
  <c r="D2713" i="1"/>
  <c r="A2714" i="1"/>
  <c r="B2714" i="1"/>
  <c r="C2714" i="1"/>
  <c r="D2714" i="1"/>
  <c r="A2715" i="1"/>
  <c r="B2715" i="1"/>
  <c r="C2715" i="1"/>
  <c r="D2715" i="1"/>
  <c r="A2716" i="1"/>
  <c r="B2716" i="1"/>
  <c r="C2716" i="1"/>
  <c r="D2716" i="1"/>
  <c r="A2717" i="1"/>
  <c r="B2717" i="1"/>
  <c r="C2717" i="1"/>
  <c r="D2717" i="1"/>
  <c r="A2718" i="1"/>
  <c r="B2718" i="1"/>
  <c r="C2718" i="1"/>
  <c r="D2718" i="1"/>
  <c r="A2719" i="1"/>
  <c r="B2719" i="1"/>
  <c r="C2719" i="1"/>
  <c r="D2719" i="1"/>
  <c r="A2720" i="1"/>
  <c r="B2720" i="1"/>
  <c r="C2720" i="1"/>
  <c r="D2720" i="1"/>
  <c r="A2721" i="1"/>
  <c r="B2721" i="1"/>
  <c r="C2721" i="1"/>
  <c r="D2721" i="1"/>
  <c r="A2722" i="1"/>
  <c r="B2722" i="1"/>
  <c r="C2722" i="1"/>
  <c r="D2722" i="1"/>
  <c r="A2723" i="1"/>
  <c r="B2723" i="1"/>
  <c r="C2723" i="1"/>
  <c r="D2723" i="1"/>
  <c r="A2724" i="1"/>
  <c r="B2724" i="1"/>
  <c r="C2724" i="1"/>
  <c r="D2724" i="1"/>
  <c r="A2725" i="1"/>
  <c r="B2725" i="1"/>
  <c r="C2725" i="1"/>
  <c r="D2725" i="1"/>
  <c r="A2726" i="1"/>
  <c r="B2726" i="1"/>
  <c r="C2726" i="1"/>
  <c r="D2726" i="1"/>
  <c r="A2727" i="1"/>
  <c r="B2727" i="1"/>
  <c r="C2727" i="1"/>
  <c r="D2727" i="1"/>
  <c r="A2728" i="1"/>
  <c r="B2728" i="1"/>
  <c r="C2728" i="1"/>
  <c r="D2728" i="1"/>
  <c r="A2729" i="1"/>
  <c r="B2729" i="1"/>
  <c r="C2729" i="1"/>
  <c r="D2729" i="1"/>
  <c r="A2730" i="1"/>
  <c r="B2730" i="1"/>
  <c r="C2730" i="1"/>
  <c r="D2730" i="1"/>
  <c r="A2731" i="1"/>
  <c r="B2731" i="1"/>
  <c r="C2731" i="1"/>
  <c r="D2731" i="1"/>
  <c r="A2732" i="1"/>
  <c r="B2732" i="1"/>
  <c r="C2732" i="1"/>
  <c r="D2732" i="1"/>
  <c r="A2733" i="1"/>
  <c r="B2733" i="1"/>
  <c r="C2733" i="1"/>
  <c r="D2733" i="1"/>
  <c r="A2734" i="1"/>
  <c r="B2734" i="1"/>
  <c r="C2734" i="1"/>
  <c r="D2734" i="1"/>
  <c r="A2735" i="1"/>
  <c r="B2735" i="1"/>
  <c r="C2735" i="1"/>
  <c r="D2735" i="1"/>
  <c r="A2736" i="1"/>
  <c r="B2736" i="1"/>
  <c r="C2736" i="1"/>
  <c r="D2736" i="1"/>
  <c r="A2737" i="1"/>
  <c r="B2737" i="1"/>
  <c r="C2737" i="1"/>
  <c r="D2737" i="1"/>
  <c r="A2738" i="1"/>
  <c r="B2738" i="1"/>
  <c r="C2738" i="1"/>
  <c r="D2738" i="1"/>
  <c r="A2739" i="1"/>
  <c r="B2739" i="1"/>
  <c r="C2739" i="1"/>
  <c r="A2740" i="1"/>
  <c r="B2740" i="1"/>
  <c r="C2740" i="1"/>
  <c r="D2740" i="1"/>
  <c r="A2741" i="1"/>
  <c r="B2741" i="1"/>
  <c r="C2741" i="1"/>
  <c r="D2741" i="1"/>
  <c r="A2742" i="1"/>
  <c r="B2742" i="1"/>
  <c r="C2742" i="1"/>
  <c r="A2743" i="1"/>
  <c r="B2743" i="1"/>
  <c r="C2743" i="1"/>
  <c r="D2743" i="1"/>
  <c r="A2744" i="1"/>
  <c r="B2744" i="1"/>
  <c r="C2744" i="1"/>
  <c r="D2744" i="1"/>
  <c r="A2745" i="1"/>
  <c r="B2745" i="1"/>
  <c r="C2745" i="1"/>
  <c r="D2745" i="1"/>
  <c r="A2746" i="1"/>
  <c r="B2746" i="1"/>
  <c r="C2746" i="1"/>
  <c r="D2746" i="1"/>
  <c r="A2747" i="1"/>
  <c r="B2747" i="1"/>
  <c r="C2747" i="1"/>
  <c r="D2747" i="1"/>
  <c r="A2748" i="1"/>
  <c r="B2748" i="1"/>
  <c r="C2748" i="1"/>
  <c r="D2748" i="1"/>
  <c r="A2749" i="1"/>
  <c r="B2749" i="1"/>
  <c r="C2749" i="1"/>
  <c r="D2749" i="1"/>
  <c r="A2750" i="1"/>
  <c r="B2750" i="1"/>
  <c r="C2750" i="1"/>
  <c r="D2750" i="1"/>
  <c r="A2751" i="1"/>
  <c r="B2751" i="1"/>
  <c r="C2751" i="1"/>
  <c r="D2751" i="1"/>
  <c r="A2752" i="1"/>
  <c r="B2752" i="1"/>
  <c r="C2752" i="1"/>
  <c r="A2753" i="1"/>
  <c r="B2753" i="1"/>
  <c r="C2753" i="1"/>
  <c r="D2753" i="1"/>
  <c r="A2754" i="1"/>
  <c r="B2754" i="1"/>
  <c r="C2754" i="1"/>
  <c r="D2754" i="1"/>
  <c r="A2755" i="1"/>
  <c r="B2755" i="1"/>
  <c r="C2755" i="1"/>
  <c r="D2755" i="1"/>
  <c r="A2756" i="1"/>
  <c r="B2756" i="1"/>
  <c r="C2756" i="1"/>
  <c r="D2756" i="1"/>
  <c r="A2757" i="1"/>
  <c r="B2757" i="1"/>
  <c r="C2757" i="1"/>
  <c r="D2757" i="1"/>
  <c r="A2758" i="1"/>
  <c r="B2758" i="1"/>
  <c r="C2758" i="1"/>
  <c r="D2758" i="1"/>
  <c r="A2759" i="1"/>
  <c r="B2759" i="1"/>
  <c r="C2759" i="1"/>
  <c r="D2759" i="1"/>
  <c r="A2760" i="1"/>
  <c r="B2760" i="1"/>
  <c r="C2760" i="1"/>
  <c r="D2760" i="1"/>
  <c r="A2761" i="1"/>
  <c r="B2761" i="1"/>
  <c r="C2761" i="1"/>
  <c r="D2761" i="1"/>
  <c r="A2762" i="1"/>
  <c r="B2762" i="1"/>
  <c r="C2762" i="1"/>
  <c r="D2762" i="1"/>
  <c r="A2763" i="1"/>
  <c r="B2763" i="1"/>
  <c r="C2763" i="1"/>
  <c r="D2763" i="1"/>
  <c r="A2764" i="1"/>
  <c r="B2764" i="1"/>
  <c r="C2764" i="1"/>
  <c r="D2764" i="1"/>
  <c r="A2765" i="1"/>
  <c r="B2765" i="1"/>
  <c r="C2765" i="1"/>
  <c r="D2765" i="1"/>
  <c r="A2766" i="1"/>
  <c r="B2766" i="1"/>
  <c r="C2766" i="1"/>
  <c r="D2766" i="1"/>
  <c r="A2767" i="1"/>
  <c r="B2767" i="1"/>
  <c r="C2767" i="1"/>
  <c r="D2767" i="1"/>
  <c r="A2768" i="1"/>
  <c r="B2768" i="1"/>
  <c r="C2768" i="1"/>
  <c r="D2768" i="1"/>
  <c r="A2769" i="1"/>
  <c r="B2769" i="1"/>
  <c r="C2769" i="1"/>
  <c r="D2769" i="1"/>
  <c r="A2770" i="1"/>
  <c r="B2770" i="1"/>
  <c r="C2770" i="1"/>
  <c r="D2770" i="1"/>
  <c r="A2771" i="1"/>
  <c r="B2771" i="1"/>
  <c r="C2771" i="1"/>
  <c r="D2771" i="1"/>
  <c r="A2772" i="1"/>
  <c r="B2772" i="1"/>
  <c r="C2772" i="1"/>
  <c r="A2773" i="1"/>
  <c r="B2773" i="1"/>
  <c r="C2773" i="1"/>
  <c r="D2773" i="1"/>
  <c r="A2774" i="1"/>
  <c r="B2774" i="1"/>
  <c r="C2774" i="1"/>
  <c r="D2774" i="1"/>
  <c r="A2775" i="1"/>
  <c r="B2775" i="1"/>
  <c r="C2775" i="1"/>
  <c r="D2775" i="1"/>
  <c r="A2776" i="1"/>
  <c r="B2776" i="1"/>
  <c r="C2776" i="1"/>
  <c r="D2776" i="1"/>
  <c r="A2777" i="1"/>
  <c r="B2777" i="1"/>
  <c r="C2777" i="1"/>
  <c r="A2778" i="1"/>
  <c r="B2778" i="1"/>
  <c r="C2778" i="1"/>
  <c r="D2778" i="1"/>
  <c r="A2779" i="1"/>
  <c r="B2779" i="1"/>
  <c r="C2779" i="1"/>
  <c r="D2779" i="1"/>
  <c r="A2780" i="1"/>
  <c r="B2780" i="1"/>
  <c r="C2780" i="1"/>
  <c r="D2780" i="1"/>
  <c r="A2781" i="1"/>
  <c r="B2781" i="1"/>
  <c r="C2781" i="1"/>
  <c r="D2781" i="1"/>
  <c r="A2782" i="1"/>
  <c r="B2782" i="1"/>
  <c r="C2782" i="1"/>
  <c r="D2782" i="1"/>
  <c r="A2783" i="1"/>
  <c r="B2783" i="1"/>
  <c r="C2783" i="1"/>
  <c r="D2783" i="1"/>
  <c r="A2784" i="1"/>
  <c r="B2784" i="1"/>
  <c r="C2784" i="1"/>
  <c r="D2784" i="1"/>
  <c r="A2785" i="1"/>
  <c r="B2785" i="1"/>
  <c r="C2785" i="1"/>
  <c r="D2785" i="1"/>
  <c r="A2786" i="1"/>
  <c r="B2786" i="1"/>
  <c r="C2786" i="1"/>
  <c r="D2786" i="1"/>
  <c r="A2787" i="1"/>
  <c r="B2787" i="1"/>
  <c r="C2787" i="1"/>
  <c r="D2787" i="1"/>
  <c r="A2788" i="1"/>
  <c r="B2788" i="1"/>
  <c r="C2788" i="1"/>
  <c r="D2788" i="1"/>
  <c r="A2789" i="1"/>
  <c r="B2789" i="1"/>
  <c r="C2789" i="1"/>
  <c r="D2789" i="1"/>
  <c r="A2790" i="1"/>
  <c r="B2790" i="1"/>
  <c r="C2790" i="1"/>
  <c r="D2790" i="1"/>
  <c r="A2791" i="1"/>
  <c r="B2791" i="1"/>
  <c r="C2791" i="1"/>
  <c r="D2791" i="1"/>
  <c r="A2792" i="1"/>
  <c r="B2792" i="1"/>
  <c r="C2792" i="1"/>
  <c r="D2792" i="1"/>
  <c r="A2793" i="1"/>
  <c r="B2793" i="1"/>
  <c r="C2793" i="1"/>
  <c r="D2793" i="1"/>
  <c r="A2794" i="1"/>
  <c r="B2794" i="1"/>
  <c r="C2794" i="1"/>
  <c r="D2794" i="1"/>
  <c r="A2795" i="1"/>
  <c r="B2795" i="1"/>
  <c r="C2795" i="1"/>
  <c r="D2795" i="1"/>
  <c r="A2796" i="1"/>
  <c r="B2796" i="1"/>
  <c r="C2796" i="1"/>
  <c r="D2796" i="1"/>
  <c r="A2797" i="1"/>
  <c r="B2797" i="1"/>
  <c r="C2797" i="1"/>
  <c r="D2797" i="1"/>
  <c r="A2798" i="1"/>
  <c r="B2798" i="1"/>
  <c r="C2798" i="1"/>
  <c r="D2798" i="1"/>
  <c r="A2799" i="1"/>
  <c r="B2799" i="1"/>
  <c r="C2799" i="1"/>
  <c r="D2799" i="1"/>
  <c r="A2800" i="1"/>
  <c r="B2800" i="1"/>
  <c r="C2800" i="1"/>
  <c r="D2800" i="1"/>
  <c r="A2801" i="1"/>
  <c r="B2801" i="1"/>
  <c r="C2801" i="1"/>
  <c r="D2801" i="1"/>
  <c r="A2802" i="1"/>
  <c r="B2802" i="1"/>
  <c r="C2802" i="1"/>
  <c r="D2802" i="1"/>
  <c r="A2803" i="1"/>
  <c r="B2803" i="1"/>
  <c r="C2803" i="1"/>
  <c r="D2803" i="1"/>
  <c r="A2804" i="1"/>
  <c r="B2804" i="1"/>
  <c r="C2804" i="1"/>
  <c r="D2804" i="1"/>
  <c r="A2805" i="1"/>
  <c r="B2805" i="1"/>
  <c r="C2805" i="1"/>
  <c r="D2805" i="1"/>
  <c r="A2806" i="1"/>
  <c r="B2806" i="1"/>
  <c r="C2806" i="1"/>
  <c r="D2806" i="1"/>
  <c r="A2807" i="1"/>
  <c r="B2807" i="1"/>
  <c r="C2807" i="1"/>
  <c r="D2807" i="1"/>
  <c r="A2808" i="1"/>
  <c r="B2808" i="1"/>
  <c r="C2808" i="1"/>
  <c r="D2808" i="1"/>
  <c r="A2809" i="1"/>
  <c r="B2809" i="1"/>
  <c r="C2809" i="1"/>
  <c r="D2809" i="1"/>
  <c r="A2810" i="1"/>
  <c r="B2810" i="1"/>
  <c r="C2810" i="1"/>
  <c r="D2810" i="1"/>
  <c r="A2811" i="1"/>
  <c r="B2811" i="1"/>
  <c r="C2811" i="1"/>
  <c r="D2811" i="1"/>
  <c r="A2812" i="1"/>
  <c r="B2812" i="1"/>
  <c r="C2812" i="1"/>
  <c r="D2812" i="1"/>
  <c r="A2813" i="1"/>
  <c r="B2813" i="1"/>
  <c r="C2813" i="1"/>
  <c r="D2813" i="1"/>
  <c r="A2814" i="1"/>
  <c r="B2814" i="1"/>
  <c r="C2814" i="1"/>
  <c r="D2814" i="1"/>
  <c r="A2815" i="1"/>
  <c r="B2815" i="1"/>
  <c r="C2815" i="1"/>
  <c r="D2815" i="1"/>
  <c r="A2816" i="1"/>
  <c r="B2816" i="1"/>
  <c r="C2816" i="1"/>
  <c r="D2816" i="1"/>
  <c r="A2817" i="1"/>
  <c r="B2817" i="1"/>
  <c r="C2817" i="1"/>
  <c r="D2817" i="1"/>
  <c r="A2818" i="1"/>
  <c r="B2818" i="1"/>
  <c r="C2818" i="1"/>
  <c r="D2818" i="1"/>
  <c r="A2819" i="1"/>
  <c r="B2819" i="1"/>
  <c r="C2819" i="1"/>
  <c r="D2819" i="1"/>
  <c r="A2820" i="1"/>
  <c r="B2820" i="1"/>
  <c r="C2820" i="1"/>
  <c r="D2820" i="1"/>
  <c r="A2821" i="1"/>
  <c r="B2821" i="1"/>
  <c r="C2821" i="1"/>
  <c r="D2821" i="1"/>
  <c r="A2822" i="1"/>
  <c r="B2822" i="1"/>
  <c r="C2822" i="1"/>
  <c r="D2822" i="1"/>
  <c r="A2823" i="1"/>
  <c r="B2823" i="1"/>
  <c r="C2823" i="1"/>
  <c r="D2823" i="1"/>
  <c r="A2824" i="1"/>
  <c r="B2824" i="1"/>
  <c r="C2824" i="1"/>
  <c r="D2824" i="1"/>
  <c r="A2825" i="1"/>
  <c r="B2825" i="1"/>
  <c r="C2825" i="1"/>
  <c r="D2825" i="1"/>
  <c r="A2826" i="1"/>
  <c r="B2826" i="1"/>
  <c r="C2826" i="1"/>
  <c r="D2826" i="1"/>
  <c r="A2827" i="1"/>
  <c r="B2827" i="1"/>
  <c r="C2827" i="1"/>
  <c r="D2827" i="1"/>
  <c r="A2828" i="1"/>
  <c r="B2828" i="1"/>
  <c r="C2828" i="1"/>
  <c r="D2828" i="1"/>
  <c r="A2829" i="1"/>
  <c r="B2829" i="1"/>
  <c r="C2829" i="1"/>
  <c r="D2829" i="1"/>
  <c r="A2830" i="1"/>
  <c r="B2830" i="1"/>
  <c r="C2830" i="1"/>
  <c r="D2830" i="1"/>
  <c r="A2831" i="1"/>
  <c r="B2831" i="1"/>
  <c r="C2831" i="1"/>
  <c r="D2831" i="1"/>
  <c r="A2832" i="1"/>
  <c r="B2832" i="1"/>
  <c r="C2832" i="1"/>
  <c r="D2832" i="1"/>
  <c r="A2833" i="1"/>
  <c r="B2833" i="1"/>
  <c r="C2833" i="1"/>
  <c r="D2833" i="1"/>
  <c r="A2834" i="1"/>
  <c r="B2834" i="1"/>
  <c r="C2834" i="1"/>
  <c r="D2834" i="1"/>
  <c r="A2835" i="1"/>
  <c r="B2835" i="1"/>
  <c r="C2835" i="1"/>
  <c r="D2835" i="1"/>
  <c r="A2836" i="1"/>
  <c r="B2836" i="1"/>
  <c r="C2836" i="1"/>
  <c r="D2836" i="1"/>
  <c r="A2837" i="1"/>
  <c r="B2837" i="1"/>
  <c r="C2837" i="1"/>
  <c r="D2837" i="1"/>
  <c r="A2838" i="1"/>
  <c r="B2838" i="1"/>
  <c r="C2838" i="1"/>
  <c r="D2838" i="1"/>
  <c r="A2839" i="1"/>
  <c r="B2839" i="1"/>
  <c r="C2839" i="1"/>
  <c r="D2839" i="1"/>
  <c r="A2840" i="1"/>
  <c r="B2840" i="1"/>
  <c r="C2840" i="1"/>
  <c r="D2840" i="1"/>
  <c r="A2841" i="1"/>
  <c r="B2841" i="1"/>
  <c r="C2841" i="1"/>
  <c r="D2841" i="1"/>
  <c r="A2842" i="1"/>
  <c r="B2842" i="1"/>
  <c r="C2842" i="1"/>
  <c r="D2842" i="1"/>
  <c r="A2843" i="1"/>
  <c r="B2843" i="1"/>
  <c r="C2843" i="1"/>
  <c r="D2843" i="1"/>
  <c r="A2844" i="1"/>
  <c r="B2844" i="1"/>
  <c r="C2844" i="1"/>
  <c r="D2844" i="1"/>
  <c r="A2845" i="1"/>
  <c r="B2845" i="1"/>
  <c r="C2845" i="1"/>
  <c r="D2845" i="1"/>
  <c r="A2846" i="1"/>
  <c r="B2846" i="1"/>
  <c r="C2846" i="1"/>
  <c r="D2846" i="1"/>
  <c r="A2847" i="1"/>
  <c r="B2847" i="1"/>
  <c r="C2847" i="1"/>
  <c r="D2847" i="1"/>
  <c r="A2848" i="1"/>
  <c r="B2848" i="1"/>
  <c r="C2848" i="1"/>
  <c r="D2848" i="1"/>
  <c r="A2849" i="1"/>
  <c r="B2849" i="1"/>
  <c r="C2849" i="1"/>
  <c r="D2849" i="1"/>
  <c r="A2850" i="1"/>
  <c r="B2850" i="1"/>
  <c r="C2850" i="1"/>
  <c r="D2850" i="1"/>
  <c r="A2851" i="1"/>
  <c r="B2851" i="1"/>
  <c r="C2851" i="1"/>
  <c r="D2851" i="1"/>
  <c r="A2852" i="1"/>
  <c r="B2852" i="1"/>
  <c r="C2852" i="1"/>
  <c r="D2852" i="1"/>
  <c r="A2853" i="1"/>
  <c r="B2853" i="1"/>
  <c r="C2853" i="1"/>
  <c r="D2853" i="1"/>
  <c r="A2854" i="1"/>
  <c r="B2854" i="1"/>
  <c r="C2854" i="1"/>
  <c r="D2854" i="1"/>
  <c r="A2855" i="1"/>
  <c r="B2855" i="1"/>
  <c r="C2855" i="1"/>
  <c r="D2855" i="1"/>
  <c r="A2856" i="1"/>
  <c r="B2856" i="1"/>
  <c r="C2856" i="1"/>
  <c r="D2856" i="1"/>
  <c r="A2857" i="1"/>
  <c r="B2857" i="1"/>
  <c r="C2857" i="1"/>
  <c r="D2857" i="1"/>
  <c r="A2858" i="1"/>
  <c r="B2858" i="1"/>
  <c r="C2858" i="1"/>
  <c r="D2858" i="1"/>
  <c r="A2859" i="1"/>
  <c r="B2859" i="1"/>
  <c r="C2859" i="1"/>
  <c r="D2859" i="1"/>
  <c r="A2860" i="1"/>
  <c r="B2860" i="1"/>
  <c r="C2860" i="1"/>
  <c r="D2860" i="1"/>
  <c r="A2861" i="1"/>
  <c r="B2861" i="1"/>
  <c r="C2861" i="1"/>
  <c r="D2861" i="1"/>
  <c r="A2862" i="1"/>
  <c r="B2862" i="1"/>
  <c r="C2862" i="1"/>
  <c r="D2862" i="1"/>
  <c r="A2863" i="1"/>
  <c r="B2863" i="1"/>
  <c r="C2863" i="1"/>
  <c r="D2863" i="1"/>
  <c r="A2864" i="1"/>
  <c r="B2864" i="1"/>
  <c r="C2864" i="1"/>
  <c r="D2864" i="1"/>
  <c r="A2865" i="1"/>
  <c r="B2865" i="1"/>
  <c r="C2865" i="1"/>
  <c r="D2865" i="1"/>
  <c r="A2866" i="1"/>
  <c r="B2866" i="1"/>
  <c r="C2866" i="1"/>
  <c r="D2866" i="1"/>
  <c r="A2867" i="1"/>
  <c r="B2867" i="1"/>
  <c r="C2867" i="1"/>
  <c r="D2867" i="1"/>
  <c r="A2868" i="1"/>
  <c r="B2868" i="1"/>
  <c r="C2868" i="1"/>
  <c r="D2868" i="1"/>
  <c r="A2869" i="1"/>
  <c r="B2869" i="1"/>
  <c r="C2869" i="1"/>
  <c r="A2870" i="1"/>
  <c r="B2870" i="1"/>
  <c r="C2870" i="1"/>
  <c r="D2870" i="1"/>
  <c r="A2871" i="1"/>
  <c r="B2871" i="1"/>
  <c r="C2871" i="1"/>
  <c r="D2871" i="1"/>
  <c r="A2872" i="1"/>
  <c r="B2872" i="1"/>
  <c r="C2872" i="1"/>
  <c r="D2872" i="1"/>
  <c r="A2873" i="1"/>
  <c r="B2873" i="1"/>
  <c r="C2873" i="1"/>
  <c r="D2873" i="1"/>
  <c r="A2874" i="1"/>
  <c r="B2874" i="1"/>
  <c r="C2874" i="1"/>
  <c r="D2874" i="1"/>
  <c r="A2875" i="1"/>
  <c r="B2875" i="1"/>
  <c r="C2875" i="1"/>
  <c r="D2875" i="1"/>
  <c r="A2876" i="1"/>
  <c r="B2876" i="1"/>
  <c r="C2876" i="1"/>
  <c r="D2876" i="1"/>
  <c r="A2877" i="1"/>
  <c r="B2877" i="1"/>
  <c r="C2877" i="1"/>
  <c r="D2877" i="1"/>
  <c r="A2878" i="1"/>
  <c r="B2878" i="1"/>
  <c r="C2878" i="1"/>
  <c r="D2878" i="1"/>
  <c r="A2879" i="1"/>
  <c r="B2879" i="1"/>
  <c r="C2879" i="1"/>
  <c r="D2879" i="1"/>
  <c r="A2880" i="1"/>
  <c r="B2880" i="1"/>
  <c r="C2880" i="1"/>
  <c r="D2880" i="1"/>
  <c r="A2881" i="1"/>
  <c r="B2881" i="1"/>
  <c r="C2881" i="1"/>
  <c r="D2881" i="1"/>
  <c r="A2882" i="1"/>
  <c r="B2882" i="1"/>
  <c r="C2882" i="1"/>
  <c r="D2882" i="1"/>
  <c r="A2883" i="1"/>
  <c r="B2883" i="1"/>
  <c r="C2883" i="1"/>
  <c r="D2883" i="1"/>
  <c r="A2884" i="1"/>
  <c r="B2884" i="1"/>
  <c r="C2884" i="1"/>
  <c r="D2884" i="1"/>
  <c r="A2885" i="1"/>
  <c r="B2885" i="1"/>
  <c r="C2885" i="1"/>
  <c r="D2885" i="1"/>
  <c r="A2886" i="1"/>
  <c r="B2886" i="1"/>
  <c r="C2886" i="1"/>
  <c r="D2886" i="1"/>
  <c r="A2887" i="1"/>
  <c r="B2887" i="1"/>
  <c r="C2887" i="1"/>
  <c r="D2887" i="1"/>
  <c r="A2888" i="1"/>
  <c r="B2888" i="1"/>
  <c r="C2888" i="1"/>
  <c r="D2888" i="1"/>
  <c r="A2889" i="1"/>
  <c r="B2889" i="1"/>
  <c r="C2889" i="1"/>
  <c r="D2889" i="1"/>
  <c r="A2890" i="1"/>
  <c r="B2890" i="1"/>
  <c r="C2890" i="1"/>
  <c r="D2890" i="1"/>
  <c r="A2891" i="1"/>
  <c r="B2891" i="1"/>
  <c r="C2891" i="1"/>
  <c r="D2891" i="1"/>
  <c r="A2892" i="1"/>
  <c r="B2892" i="1"/>
  <c r="C2892" i="1"/>
  <c r="D2892" i="1"/>
  <c r="A2893" i="1"/>
  <c r="B2893" i="1"/>
  <c r="C2893" i="1"/>
  <c r="D2893" i="1"/>
  <c r="A2894" i="1"/>
  <c r="B2894" i="1"/>
  <c r="C2894" i="1"/>
  <c r="D2894" i="1"/>
  <c r="A2895" i="1"/>
  <c r="B2895" i="1"/>
  <c r="C2895" i="1"/>
  <c r="D2895" i="1"/>
  <c r="A2896" i="1"/>
  <c r="B2896" i="1"/>
  <c r="C2896" i="1"/>
  <c r="D2896" i="1"/>
  <c r="A2897" i="1"/>
  <c r="B2897" i="1"/>
  <c r="C2897" i="1"/>
  <c r="D2897" i="1"/>
  <c r="A2898" i="1"/>
  <c r="B2898" i="1"/>
  <c r="C2898" i="1"/>
  <c r="D2898" i="1"/>
  <c r="A2899" i="1"/>
  <c r="B2899" i="1"/>
  <c r="C2899" i="1"/>
  <c r="D2899" i="1"/>
  <c r="A2900" i="1"/>
  <c r="B2900" i="1"/>
  <c r="C2900" i="1"/>
  <c r="D2900" i="1"/>
  <c r="A2901" i="1"/>
  <c r="B2901" i="1"/>
  <c r="C2901" i="1"/>
  <c r="A2902" i="1"/>
  <c r="B2902" i="1"/>
  <c r="C2902" i="1"/>
  <c r="D2902" i="1"/>
  <c r="A2903" i="1"/>
  <c r="B2903" i="1"/>
  <c r="C2903" i="1"/>
  <c r="D2903" i="1"/>
  <c r="A2904" i="1"/>
  <c r="B2904" i="1"/>
  <c r="C2904" i="1"/>
  <c r="D2904" i="1"/>
  <c r="A2905" i="1"/>
  <c r="B2905" i="1"/>
  <c r="C2905" i="1"/>
  <c r="D2905" i="1"/>
  <c r="A2906" i="1"/>
  <c r="B2906" i="1"/>
  <c r="C2906" i="1"/>
  <c r="D2906" i="1"/>
  <c r="A2907" i="1"/>
  <c r="B2907" i="1"/>
  <c r="C2907" i="1"/>
  <c r="D2907" i="1"/>
  <c r="A2908" i="1"/>
  <c r="B2908" i="1"/>
  <c r="C2908" i="1"/>
  <c r="D2908" i="1"/>
  <c r="A2909" i="1"/>
  <c r="B2909" i="1"/>
  <c r="C2909" i="1"/>
  <c r="D2909" i="1"/>
  <c r="A2910" i="1"/>
  <c r="B2910" i="1"/>
  <c r="C2910" i="1"/>
  <c r="D2910" i="1"/>
  <c r="A2911" i="1"/>
  <c r="B2911" i="1"/>
  <c r="C2911" i="1"/>
  <c r="D2911" i="1"/>
  <c r="A2912" i="1"/>
  <c r="B2912" i="1"/>
  <c r="C2912" i="1"/>
  <c r="D2912" i="1"/>
  <c r="A2913" i="1"/>
  <c r="B2913" i="1"/>
  <c r="C2913" i="1"/>
  <c r="D2913" i="1"/>
  <c r="A2914" i="1"/>
  <c r="B2914" i="1"/>
  <c r="C2914" i="1"/>
  <c r="D2914" i="1"/>
  <c r="A2915" i="1"/>
  <c r="B2915" i="1"/>
  <c r="C2915" i="1"/>
  <c r="D2915" i="1"/>
  <c r="A2916" i="1"/>
  <c r="B2916" i="1"/>
  <c r="C2916" i="1"/>
  <c r="D2916" i="1"/>
  <c r="A2917" i="1"/>
  <c r="B2917" i="1"/>
  <c r="C2917" i="1"/>
  <c r="D2917" i="1"/>
  <c r="A2918" i="1"/>
  <c r="B2918" i="1"/>
  <c r="C2918" i="1"/>
  <c r="D2918" i="1"/>
  <c r="A2919" i="1"/>
  <c r="B2919" i="1"/>
  <c r="C2919" i="1"/>
  <c r="D2919" i="1"/>
  <c r="A2920" i="1"/>
  <c r="B2920" i="1"/>
  <c r="C2920" i="1"/>
  <c r="D2920" i="1"/>
  <c r="A2921" i="1"/>
  <c r="B2921" i="1"/>
  <c r="C2921" i="1"/>
  <c r="D2921" i="1"/>
  <c r="A2922" i="1"/>
  <c r="B2922" i="1"/>
  <c r="C2922" i="1"/>
  <c r="D2922" i="1"/>
  <c r="A2923" i="1"/>
  <c r="B2923" i="1"/>
  <c r="C2923" i="1"/>
  <c r="D2923" i="1"/>
  <c r="A2924" i="1"/>
  <c r="B2924" i="1"/>
  <c r="C2924" i="1"/>
  <c r="D2924" i="1"/>
  <c r="A2925" i="1"/>
  <c r="B2925" i="1"/>
  <c r="C2925" i="1"/>
  <c r="D2925" i="1"/>
  <c r="A2926" i="1"/>
  <c r="B2926" i="1"/>
  <c r="C2926" i="1"/>
  <c r="D2926" i="1"/>
  <c r="A2927" i="1"/>
  <c r="B2927" i="1"/>
  <c r="C2927" i="1"/>
  <c r="A2928" i="1"/>
  <c r="B2928" i="1"/>
  <c r="C2928" i="1"/>
  <c r="D2928" i="1"/>
  <c r="A2929" i="1"/>
  <c r="B2929" i="1"/>
  <c r="C2929" i="1"/>
  <c r="D2929" i="1"/>
  <c r="A2930" i="1"/>
  <c r="B2930" i="1"/>
  <c r="C2930" i="1"/>
  <c r="D2930" i="1"/>
  <c r="A2931" i="1"/>
  <c r="B2931" i="1"/>
  <c r="C2931" i="1"/>
  <c r="D2931" i="1"/>
  <c r="A2932" i="1"/>
  <c r="B2932" i="1"/>
  <c r="C2932" i="1"/>
  <c r="D2932" i="1"/>
  <c r="A2933" i="1"/>
  <c r="B2933" i="1"/>
  <c r="C2933" i="1"/>
  <c r="D2933" i="1"/>
  <c r="A2934" i="1"/>
  <c r="B2934" i="1"/>
  <c r="C2934" i="1"/>
  <c r="D2934" i="1"/>
  <c r="A2935" i="1"/>
  <c r="B2935" i="1"/>
  <c r="C2935" i="1"/>
  <c r="D2935" i="1"/>
  <c r="A2936" i="1"/>
  <c r="B2936" i="1"/>
  <c r="C2936" i="1"/>
  <c r="D2936" i="1"/>
  <c r="A2937" i="1"/>
  <c r="B2937" i="1"/>
  <c r="C2937" i="1"/>
  <c r="D2937" i="1"/>
  <c r="A2938" i="1"/>
  <c r="B2938" i="1"/>
  <c r="C2938" i="1"/>
  <c r="D2938" i="1"/>
  <c r="A2939" i="1"/>
  <c r="B2939" i="1"/>
  <c r="C2939" i="1"/>
  <c r="D2939" i="1"/>
  <c r="A2940" i="1"/>
  <c r="B2940" i="1"/>
  <c r="C2940" i="1"/>
  <c r="D2940" i="1"/>
  <c r="A2941" i="1"/>
  <c r="B2941" i="1"/>
  <c r="C2941" i="1"/>
  <c r="D2941" i="1"/>
  <c r="A2942" i="1"/>
  <c r="B2942" i="1"/>
  <c r="C2942" i="1"/>
  <c r="A2943" i="1"/>
  <c r="B2943" i="1"/>
  <c r="C2943" i="1"/>
  <c r="D2943" i="1"/>
  <c r="A2944" i="1"/>
  <c r="B2944" i="1"/>
  <c r="C2944" i="1"/>
  <c r="D2944" i="1"/>
  <c r="A2945" i="1"/>
  <c r="B2945" i="1"/>
  <c r="C2945" i="1"/>
  <c r="D2945" i="1"/>
  <c r="A2946" i="1"/>
  <c r="B2946" i="1"/>
  <c r="C2946" i="1"/>
  <c r="D2946" i="1"/>
  <c r="A2947" i="1"/>
  <c r="B2947" i="1"/>
  <c r="C2947" i="1"/>
  <c r="D2947" i="1"/>
  <c r="A2948" i="1"/>
  <c r="B2948" i="1"/>
  <c r="C2948" i="1"/>
  <c r="D2948" i="1"/>
  <c r="A2949" i="1"/>
  <c r="B2949" i="1"/>
  <c r="C2949" i="1"/>
  <c r="A2950" i="1"/>
  <c r="B2950" i="1"/>
  <c r="C2950" i="1"/>
  <c r="D2950" i="1"/>
  <c r="A2951" i="1"/>
  <c r="B2951" i="1"/>
  <c r="C2951" i="1"/>
  <c r="D2951" i="1"/>
  <c r="A2952" i="1"/>
  <c r="B2952" i="1"/>
  <c r="C2952" i="1"/>
  <c r="D2952" i="1"/>
  <c r="A2953" i="1"/>
  <c r="B2953" i="1"/>
  <c r="C2953" i="1"/>
  <c r="D2953" i="1"/>
  <c r="A2954" i="1"/>
  <c r="B2954" i="1"/>
  <c r="C2954" i="1"/>
  <c r="D2954" i="1"/>
  <c r="A2955" i="1"/>
  <c r="B2955" i="1"/>
  <c r="C2955" i="1"/>
  <c r="D2955" i="1"/>
  <c r="A2956" i="1"/>
  <c r="B2956" i="1"/>
  <c r="C2956" i="1"/>
  <c r="D2956" i="1"/>
  <c r="A2957" i="1"/>
  <c r="B2957" i="1"/>
  <c r="C2957" i="1"/>
  <c r="D2957" i="1"/>
  <c r="A2958" i="1"/>
  <c r="B2958" i="1"/>
  <c r="C2958" i="1"/>
  <c r="D2958" i="1"/>
  <c r="A2959" i="1"/>
  <c r="B2959" i="1"/>
  <c r="C2959" i="1"/>
  <c r="D2959" i="1"/>
  <c r="A2960" i="1"/>
  <c r="B2960" i="1"/>
  <c r="C2960" i="1"/>
  <c r="A2961" i="1"/>
  <c r="B2961" i="1"/>
  <c r="C2961" i="1"/>
  <c r="D2961" i="1"/>
  <c r="A2962" i="1"/>
  <c r="B2962" i="1"/>
  <c r="C2962" i="1"/>
  <c r="D2962" i="1"/>
  <c r="A2963" i="1"/>
  <c r="B2963" i="1"/>
  <c r="C2963" i="1"/>
  <c r="D2963" i="1"/>
  <c r="A2964" i="1"/>
  <c r="B2964" i="1"/>
  <c r="C2964" i="1"/>
  <c r="D2964" i="1"/>
  <c r="A2965" i="1"/>
  <c r="B2965" i="1"/>
  <c r="C2965" i="1"/>
  <c r="D2965" i="1"/>
  <c r="A2966" i="1"/>
  <c r="B2966" i="1"/>
  <c r="C2966" i="1"/>
  <c r="D2966" i="1"/>
  <c r="A2967" i="1"/>
  <c r="B2967" i="1"/>
  <c r="C2967" i="1"/>
  <c r="D2967" i="1"/>
  <c r="A2968" i="1"/>
  <c r="B2968" i="1"/>
  <c r="C2968" i="1"/>
  <c r="D2968" i="1"/>
  <c r="A2969" i="1"/>
  <c r="B2969" i="1"/>
  <c r="C2969" i="1"/>
  <c r="D2969" i="1"/>
  <c r="A2970" i="1"/>
  <c r="B2970" i="1"/>
  <c r="C2970" i="1"/>
  <c r="D2970" i="1"/>
  <c r="A2971" i="1"/>
  <c r="B2971" i="1"/>
  <c r="C2971" i="1"/>
  <c r="D2971" i="1"/>
  <c r="A2972" i="1"/>
  <c r="B2972" i="1"/>
  <c r="C2972" i="1"/>
  <c r="D2972" i="1"/>
  <c r="A2973" i="1"/>
  <c r="B2973" i="1"/>
  <c r="C2973" i="1"/>
  <c r="D2973" i="1"/>
  <c r="A2974" i="1"/>
  <c r="B2974" i="1"/>
  <c r="C2974" i="1"/>
  <c r="D2974" i="1"/>
  <c r="A2975" i="1"/>
  <c r="B2975" i="1"/>
  <c r="C2975" i="1"/>
  <c r="D2975" i="1"/>
  <c r="A2976" i="1"/>
  <c r="B2976" i="1"/>
  <c r="C2976" i="1"/>
  <c r="D2976" i="1"/>
  <c r="A2977" i="1"/>
  <c r="B2977" i="1"/>
  <c r="C2977" i="1"/>
  <c r="D2977" i="1"/>
  <c r="A2978" i="1"/>
  <c r="B2978" i="1"/>
  <c r="C2978" i="1"/>
  <c r="D2978" i="1"/>
  <c r="A2979" i="1"/>
  <c r="B2979" i="1"/>
  <c r="C2979" i="1"/>
  <c r="D2979" i="1"/>
  <c r="A2980" i="1"/>
  <c r="B2980" i="1"/>
  <c r="C2980" i="1"/>
  <c r="D2980" i="1"/>
  <c r="A2981" i="1"/>
  <c r="B2981" i="1"/>
  <c r="C2981" i="1"/>
  <c r="D2981" i="1"/>
  <c r="A2982" i="1"/>
  <c r="B2982" i="1"/>
  <c r="C2982" i="1"/>
  <c r="A2983" i="1"/>
  <c r="B2983" i="1"/>
  <c r="C2983" i="1"/>
  <c r="D2983" i="1"/>
  <c r="A2984" i="1"/>
  <c r="B2984" i="1"/>
  <c r="C2984" i="1"/>
  <c r="D2984" i="1"/>
  <c r="A2985" i="1"/>
  <c r="B2985" i="1"/>
  <c r="C2985" i="1"/>
  <c r="D2985" i="1"/>
  <c r="A2986" i="1"/>
  <c r="B2986" i="1"/>
  <c r="C2986" i="1"/>
  <c r="D2986" i="1"/>
  <c r="A2987" i="1"/>
  <c r="B2987" i="1"/>
  <c r="C2987" i="1"/>
  <c r="D2987" i="1"/>
  <c r="A2988" i="1"/>
  <c r="B2988" i="1"/>
  <c r="C2988" i="1"/>
  <c r="D2988" i="1"/>
  <c r="A2989" i="1"/>
  <c r="B2989" i="1"/>
  <c r="C2989" i="1"/>
  <c r="D2989" i="1"/>
  <c r="A2990" i="1"/>
  <c r="B2990" i="1"/>
  <c r="C2990" i="1"/>
  <c r="D2990" i="1"/>
  <c r="A2991" i="1"/>
  <c r="B2991" i="1"/>
  <c r="C2991" i="1"/>
  <c r="D2991" i="1"/>
  <c r="A2992" i="1"/>
  <c r="B2992" i="1"/>
  <c r="C2992" i="1"/>
  <c r="D2992" i="1"/>
  <c r="A2993" i="1"/>
  <c r="B2993" i="1"/>
  <c r="C2993" i="1"/>
  <c r="D2993" i="1"/>
  <c r="A2994" i="1"/>
  <c r="B2994" i="1"/>
  <c r="C2994" i="1"/>
  <c r="D2994" i="1"/>
  <c r="A2995" i="1"/>
  <c r="B2995" i="1"/>
  <c r="C2995" i="1"/>
  <c r="D2995" i="1"/>
  <c r="A2996" i="1"/>
  <c r="B2996" i="1"/>
  <c r="C2996" i="1"/>
  <c r="D2996" i="1"/>
  <c r="A2997" i="1"/>
  <c r="B2997" i="1"/>
  <c r="C2997" i="1"/>
  <c r="D2997" i="1"/>
  <c r="A2998" i="1"/>
  <c r="B2998" i="1"/>
  <c r="C2998" i="1"/>
  <c r="D2998" i="1"/>
  <c r="A2999" i="1"/>
  <c r="B2999" i="1"/>
  <c r="C2999" i="1"/>
  <c r="D2999" i="1"/>
  <c r="A3000" i="1"/>
  <c r="B3000" i="1"/>
  <c r="C3000" i="1"/>
  <c r="D3000" i="1"/>
  <c r="A3001" i="1"/>
  <c r="B3001" i="1"/>
  <c r="C3001" i="1"/>
  <c r="D3001" i="1"/>
  <c r="A3002" i="1"/>
  <c r="B3002" i="1"/>
  <c r="C3002" i="1"/>
  <c r="D3002" i="1"/>
  <c r="A3003" i="1"/>
  <c r="B3003" i="1"/>
  <c r="C3003" i="1"/>
  <c r="D3003" i="1"/>
  <c r="A3004" i="1"/>
  <c r="B3004" i="1"/>
  <c r="C3004" i="1"/>
  <c r="D3004" i="1"/>
  <c r="A3005" i="1"/>
  <c r="B3005" i="1"/>
  <c r="C3005" i="1"/>
  <c r="D3005" i="1"/>
  <c r="A3006" i="1"/>
  <c r="B3006" i="1"/>
  <c r="C3006" i="1"/>
  <c r="D3006" i="1"/>
  <c r="A3007" i="1"/>
  <c r="B3007" i="1"/>
  <c r="C3007" i="1"/>
  <c r="D3007" i="1"/>
  <c r="A3008" i="1"/>
  <c r="B3008" i="1"/>
  <c r="C3008" i="1"/>
  <c r="D3008" i="1"/>
  <c r="A3009" i="1"/>
  <c r="B3009" i="1"/>
  <c r="C3009" i="1"/>
  <c r="D3009" i="1"/>
  <c r="A3010" i="1"/>
  <c r="B3010" i="1"/>
  <c r="C3010" i="1"/>
  <c r="D3010" i="1"/>
  <c r="A3011" i="1"/>
  <c r="B3011" i="1"/>
  <c r="C3011" i="1"/>
  <c r="D3011" i="1"/>
  <c r="A3012" i="1"/>
  <c r="B3012" i="1"/>
  <c r="C3012" i="1"/>
  <c r="D3012" i="1"/>
  <c r="A3013" i="1"/>
  <c r="B3013" i="1"/>
  <c r="C3013" i="1"/>
  <c r="D3013" i="1"/>
  <c r="A3014" i="1"/>
  <c r="B3014" i="1"/>
  <c r="C3014" i="1"/>
  <c r="D3014" i="1"/>
  <c r="A3015" i="1"/>
  <c r="B3015" i="1"/>
  <c r="C3015" i="1"/>
  <c r="D3015" i="1"/>
  <c r="A3016" i="1"/>
  <c r="B3016" i="1"/>
  <c r="C3016" i="1"/>
  <c r="D3016" i="1"/>
  <c r="A3017" i="1"/>
  <c r="B3017" i="1"/>
  <c r="C3017" i="1"/>
  <c r="D3017" i="1"/>
  <c r="A3018" i="1"/>
  <c r="B3018" i="1"/>
  <c r="C3018" i="1"/>
  <c r="D3018" i="1"/>
  <c r="A3019" i="1"/>
  <c r="B3019" i="1"/>
  <c r="C3019" i="1"/>
  <c r="D3019" i="1"/>
  <c r="A3020" i="1"/>
  <c r="B3020" i="1"/>
  <c r="C3020" i="1"/>
  <c r="D3020" i="1"/>
  <c r="A3021" i="1"/>
  <c r="B3021" i="1"/>
  <c r="C3021" i="1"/>
  <c r="D3021" i="1"/>
  <c r="A3022" i="1"/>
  <c r="B3022" i="1"/>
  <c r="C3022" i="1"/>
  <c r="D3022" i="1"/>
  <c r="A3023" i="1"/>
  <c r="B3023" i="1"/>
  <c r="C3023" i="1"/>
  <c r="D3023" i="1"/>
  <c r="A3024" i="1"/>
  <c r="B3024" i="1"/>
  <c r="C3024" i="1"/>
  <c r="D3024" i="1"/>
  <c r="A3025" i="1"/>
  <c r="B3025" i="1"/>
  <c r="C3025" i="1"/>
  <c r="D3025" i="1"/>
  <c r="A3026" i="1"/>
  <c r="B3026" i="1"/>
  <c r="C3026" i="1"/>
  <c r="D3026" i="1"/>
  <c r="A3027" i="1"/>
  <c r="B3027" i="1"/>
  <c r="C3027" i="1"/>
  <c r="D3027" i="1"/>
  <c r="A3028" i="1"/>
  <c r="B3028" i="1"/>
  <c r="C3028" i="1"/>
  <c r="D3028" i="1"/>
  <c r="A3029" i="1"/>
  <c r="B3029" i="1"/>
  <c r="C3029" i="1"/>
  <c r="D3029" i="1"/>
  <c r="A3030" i="1"/>
  <c r="B3030" i="1"/>
  <c r="C3030" i="1"/>
  <c r="D3030" i="1"/>
  <c r="A3031" i="1"/>
  <c r="B3031" i="1"/>
  <c r="C3031" i="1"/>
  <c r="D3031" i="1"/>
  <c r="A3032" i="1"/>
  <c r="B3032" i="1"/>
  <c r="C3032" i="1"/>
  <c r="D3032" i="1"/>
  <c r="A3033" i="1"/>
  <c r="B3033" i="1"/>
  <c r="C3033" i="1"/>
  <c r="D3033" i="1"/>
  <c r="A3034" i="1"/>
  <c r="B3034" i="1"/>
  <c r="C3034" i="1"/>
  <c r="D3034" i="1"/>
  <c r="A3035" i="1"/>
  <c r="B3035" i="1"/>
  <c r="C3035" i="1"/>
  <c r="D3035" i="1"/>
  <c r="A3036" i="1"/>
  <c r="B3036" i="1"/>
  <c r="C3036" i="1"/>
  <c r="D3036" i="1"/>
  <c r="A3037" i="1"/>
  <c r="B3037" i="1"/>
  <c r="C3037" i="1"/>
  <c r="D3037" i="1"/>
  <c r="A3038" i="1"/>
  <c r="B3038" i="1"/>
  <c r="C3038" i="1"/>
  <c r="D3038" i="1"/>
  <c r="A3039" i="1"/>
  <c r="B3039" i="1"/>
  <c r="C3039" i="1"/>
  <c r="D3039" i="1"/>
  <c r="A3040" i="1"/>
  <c r="B3040" i="1"/>
  <c r="C3040" i="1"/>
  <c r="D3040" i="1"/>
  <c r="A3041" i="1"/>
  <c r="B3041" i="1"/>
  <c r="C3041" i="1"/>
  <c r="D3041" i="1"/>
  <c r="A3042" i="1"/>
  <c r="B3042" i="1"/>
  <c r="C3042" i="1"/>
  <c r="D3042" i="1"/>
  <c r="A3043" i="1"/>
  <c r="B3043" i="1"/>
  <c r="C3043" i="1"/>
  <c r="D3043" i="1"/>
  <c r="A3044" i="1"/>
  <c r="B3044" i="1"/>
  <c r="C3044" i="1"/>
  <c r="D3044" i="1"/>
  <c r="A3045" i="1"/>
  <c r="B3045" i="1"/>
  <c r="C3045" i="1"/>
  <c r="D3045" i="1"/>
  <c r="A3046" i="1"/>
  <c r="B3046" i="1"/>
  <c r="C3046" i="1"/>
  <c r="D3046" i="1"/>
  <c r="A3047" i="1"/>
  <c r="B3047" i="1"/>
  <c r="C3047" i="1"/>
  <c r="D3047" i="1"/>
  <c r="A3048" i="1"/>
  <c r="B3048" i="1"/>
  <c r="C3048" i="1"/>
  <c r="D3048" i="1"/>
  <c r="A3049" i="1"/>
  <c r="B3049" i="1"/>
  <c r="C3049" i="1"/>
  <c r="D3049" i="1"/>
  <c r="A3050" i="1"/>
  <c r="B3050" i="1"/>
  <c r="C3050" i="1"/>
  <c r="D3050" i="1"/>
  <c r="A3051" i="1"/>
  <c r="B3051" i="1"/>
  <c r="C3051" i="1"/>
  <c r="D3051" i="1"/>
  <c r="A3052" i="1"/>
  <c r="B3052" i="1"/>
  <c r="C3052" i="1"/>
  <c r="D3052" i="1"/>
  <c r="A3053" i="1"/>
  <c r="B3053" i="1"/>
  <c r="C3053" i="1"/>
  <c r="D3053" i="1"/>
  <c r="A3054" i="1"/>
  <c r="B3054" i="1"/>
  <c r="C3054" i="1"/>
  <c r="D3054" i="1"/>
  <c r="A3055" i="1"/>
  <c r="B3055" i="1"/>
  <c r="C3055" i="1"/>
  <c r="D3055" i="1"/>
  <c r="A3056" i="1"/>
  <c r="B3056" i="1"/>
  <c r="C3056" i="1"/>
  <c r="D3056" i="1"/>
  <c r="A3057" i="1"/>
  <c r="B3057" i="1"/>
  <c r="C3057" i="1"/>
  <c r="D3057" i="1"/>
  <c r="A3058" i="1"/>
  <c r="B3058" i="1"/>
  <c r="C3058" i="1"/>
  <c r="D3058" i="1"/>
  <c r="A3059" i="1"/>
  <c r="B3059" i="1"/>
  <c r="C3059" i="1"/>
  <c r="D3059" i="1"/>
  <c r="A3060" i="1"/>
  <c r="B3060" i="1"/>
  <c r="C3060" i="1"/>
  <c r="D3060" i="1"/>
  <c r="A3061" i="1"/>
  <c r="B3061" i="1"/>
  <c r="C3061" i="1"/>
  <c r="A3062" i="1"/>
  <c r="B3062" i="1"/>
  <c r="C3062" i="1"/>
  <c r="D3062" i="1"/>
  <c r="A3063" i="1"/>
  <c r="B3063" i="1"/>
  <c r="C3063" i="1"/>
  <c r="D3063" i="1"/>
  <c r="A3064" i="1"/>
  <c r="B3064" i="1"/>
  <c r="C3064" i="1"/>
  <c r="D3064" i="1"/>
  <c r="A3065" i="1"/>
  <c r="B3065" i="1"/>
  <c r="C3065" i="1"/>
  <c r="D3065" i="1"/>
  <c r="A3066" i="1"/>
  <c r="B3066" i="1"/>
  <c r="C3066" i="1"/>
  <c r="D3066" i="1"/>
  <c r="A3067" i="1"/>
  <c r="B3067" i="1"/>
  <c r="C3067" i="1"/>
  <c r="D3067" i="1"/>
  <c r="A3068" i="1"/>
  <c r="B3068" i="1"/>
  <c r="C3068" i="1"/>
  <c r="D3068" i="1"/>
  <c r="A3069" i="1"/>
  <c r="B3069" i="1"/>
  <c r="C3069" i="1"/>
  <c r="D3069" i="1"/>
  <c r="A3070" i="1"/>
  <c r="B3070" i="1"/>
  <c r="C3070" i="1"/>
  <c r="D3070" i="1"/>
  <c r="A3071" i="1"/>
  <c r="B3071" i="1"/>
  <c r="C3071" i="1"/>
  <c r="D3071" i="1"/>
  <c r="A3072" i="1"/>
  <c r="B3072" i="1"/>
  <c r="C3072" i="1"/>
  <c r="D3072" i="1"/>
  <c r="A3073" i="1"/>
  <c r="B3073" i="1"/>
  <c r="C3073" i="1"/>
  <c r="D3073" i="1"/>
  <c r="A3074" i="1"/>
  <c r="B3074" i="1"/>
  <c r="C3074" i="1"/>
  <c r="A3075" i="1"/>
  <c r="B3075" i="1"/>
  <c r="C3075" i="1"/>
  <c r="D3075" i="1"/>
  <c r="A3076" i="1"/>
  <c r="B3076" i="1"/>
  <c r="C3076" i="1"/>
  <c r="A3077" i="1"/>
  <c r="B3077" i="1"/>
  <c r="C3077" i="1"/>
  <c r="D3077" i="1"/>
  <c r="A3078" i="1"/>
  <c r="B3078" i="1"/>
  <c r="C3078" i="1"/>
  <c r="D3078" i="1"/>
  <c r="A3079" i="1"/>
  <c r="B3079" i="1"/>
  <c r="C3079" i="1"/>
  <c r="D3079" i="1"/>
  <c r="A3080" i="1"/>
  <c r="B3080" i="1"/>
  <c r="C3080" i="1"/>
  <c r="D3080" i="1"/>
  <c r="A3081" i="1"/>
  <c r="B3081" i="1"/>
  <c r="C3081" i="1"/>
  <c r="D3081" i="1"/>
  <c r="A3082" i="1"/>
  <c r="B3082" i="1"/>
  <c r="C3082" i="1"/>
  <c r="A3083" i="1"/>
  <c r="B3083" i="1"/>
  <c r="C3083" i="1"/>
  <c r="D3083" i="1"/>
  <c r="A3084" i="1"/>
  <c r="B3084" i="1"/>
  <c r="C3084" i="1"/>
  <c r="D3084" i="1"/>
  <c r="A3085" i="1"/>
  <c r="B3085" i="1"/>
  <c r="C3085" i="1"/>
  <c r="D3085" i="1"/>
  <c r="A3086" i="1"/>
  <c r="B3086" i="1"/>
  <c r="C3086" i="1"/>
  <c r="D3086" i="1"/>
  <c r="A3087" i="1"/>
  <c r="B3087" i="1"/>
  <c r="C3087" i="1"/>
  <c r="D3087" i="1"/>
  <c r="A3088" i="1"/>
  <c r="B3088" i="1"/>
  <c r="C3088" i="1"/>
  <c r="D3088" i="1"/>
  <c r="A3089" i="1"/>
  <c r="B3089" i="1"/>
  <c r="C3089" i="1"/>
  <c r="D3089" i="1"/>
  <c r="A3090" i="1"/>
  <c r="B3090" i="1"/>
  <c r="C3090" i="1"/>
  <c r="D3090" i="1"/>
  <c r="A3091" i="1"/>
  <c r="B3091" i="1"/>
  <c r="C3091" i="1"/>
  <c r="D3091" i="1"/>
  <c r="A3092" i="1"/>
  <c r="B3092" i="1"/>
  <c r="C3092" i="1"/>
  <c r="D3092" i="1"/>
  <c r="A3093" i="1"/>
  <c r="B3093" i="1"/>
  <c r="C3093" i="1"/>
  <c r="D3093" i="1"/>
  <c r="A3094" i="1"/>
  <c r="B3094" i="1"/>
  <c r="C3094" i="1"/>
  <c r="D3094" i="1"/>
  <c r="A3095" i="1"/>
  <c r="B3095" i="1"/>
  <c r="C3095" i="1"/>
  <c r="D3095" i="1"/>
  <c r="A3096" i="1"/>
  <c r="B3096" i="1"/>
  <c r="C3096" i="1"/>
  <c r="D3096" i="1"/>
  <c r="A3097" i="1"/>
  <c r="B3097" i="1"/>
  <c r="C3097" i="1"/>
  <c r="D3097" i="1"/>
  <c r="A3098" i="1"/>
  <c r="B3098" i="1"/>
  <c r="C3098" i="1"/>
  <c r="D3098" i="1"/>
  <c r="A3099" i="1"/>
  <c r="B3099" i="1"/>
  <c r="C3099" i="1"/>
  <c r="D3099" i="1"/>
  <c r="A3100" i="1"/>
  <c r="B3100" i="1"/>
  <c r="C3100" i="1"/>
  <c r="D3100" i="1"/>
  <c r="A3101" i="1"/>
  <c r="B3101" i="1"/>
  <c r="C3101" i="1"/>
  <c r="D3101" i="1"/>
  <c r="A3102" i="1"/>
  <c r="B3102" i="1"/>
  <c r="C3102" i="1"/>
  <c r="D3102" i="1"/>
  <c r="A3103" i="1"/>
  <c r="B3103" i="1"/>
  <c r="C3103" i="1"/>
  <c r="D3103" i="1"/>
  <c r="A3104" i="1"/>
  <c r="B3104" i="1"/>
  <c r="C3104" i="1"/>
  <c r="D3104" i="1"/>
  <c r="A3105" i="1"/>
  <c r="B3105" i="1"/>
  <c r="C3105" i="1"/>
  <c r="D3105" i="1"/>
  <c r="A3106" i="1"/>
  <c r="B3106" i="1"/>
  <c r="C3106" i="1"/>
  <c r="D3106" i="1"/>
  <c r="A3107" i="1"/>
  <c r="B3107" i="1"/>
  <c r="C3107" i="1"/>
  <c r="D3107" i="1"/>
  <c r="A3108" i="1"/>
  <c r="B3108" i="1"/>
  <c r="C3108" i="1"/>
  <c r="D3108" i="1"/>
  <c r="A3109" i="1"/>
  <c r="B3109" i="1"/>
  <c r="C3109" i="1"/>
  <c r="D3109" i="1"/>
  <c r="A3110" i="1"/>
  <c r="B3110" i="1"/>
  <c r="C3110" i="1"/>
  <c r="D3110" i="1"/>
  <c r="A3111" i="1"/>
  <c r="B3111" i="1"/>
  <c r="C3111" i="1"/>
  <c r="D3111" i="1"/>
  <c r="A3112" i="1"/>
  <c r="B3112" i="1"/>
  <c r="C3112" i="1"/>
  <c r="D3112" i="1"/>
  <c r="A3113" i="1"/>
  <c r="B3113" i="1"/>
  <c r="C3113" i="1"/>
  <c r="A3114" i="1"/>
  <c r="B3114" i="1"/>
  <c r="C3114" i="1"/>
  <c r="D3114" i="1"/>
  <c r="A3115" i="1"/>
  <c r="B3115" i="1"/>
  <c r="C3115" i="1"/>
  <c r="D3115" i="1"/>
  <c r="A3116" i="1"/>
  <c r="B3116" i="1"/>
  <c r="C3116" i="1"/>
  <c r="D3116" i="1"/>
  <c r="A3117" i="1"/>
  <c r="B3117" i="1"/>
  <c r="C3117" i="1"/>
  <c r="D3117" i="1"/>
  <c r="A3118" i="1"/>
  <c r="B3118" i="1"/>
  <c r="C3118" i="1"/>
  <c r="D3118" i="1"/>
  <c r="A3119" i="1"/>
  <c r="B3119" i="1"/>
  <c r="C3119" i="1"/>
  <c r="D3119" i="1"/>
  <c r="A3120" i="1"/>
  <c r="B3120" i="1"/>
  <c r="C3120" i="1"/>
  <c r="D3120" i="1"/>
  <c r="A3121" i="1"/>
  <c r="B3121" i="1"/>
  <c r="C3121" i="1"/>
  <c r="D3121" i="1"/>
  <c r="A3122" i="1"/>
  <c r="B3122" i="1"/>
  <c r="C3122" i="1"/>
  <c r="D3122" i="1"/>
  <c r="A3123" i="1"/>
  <c r="B3123" i="1"/>
  <c r="C3123" i="1"/>
  <c r="D3123" i="1"/>
  <c r="A3124" i="1"/>
  <c r="B3124" i="1"/>
  <c r="C3124" i="1"/>
  <c r="D3124" i="1"/>
  <c r="A3125" i="1"/>
  <c r="B3125" i="1"/>
  <c r="C3125" i="1"/>
  <c r="D3125" i="1"/>
  <c r="A3126" i="1"/>
  <c r="B3126" i="1"/>
  <c r="C3126" i="1"/>
  <c r="D3126" i="1"/>
  <c r="A3127" i="1"/>
  <c r="B3127" i="1"/>
  <c r="C3127" i="1"/>
  <c r="D3127" i="1"/>
  <c r="A3128" i="1"/>
  <c r="B3128" i="1"/>
  <c r="C3128" i="1"/>
  <c r="D3128" i="1"/>
  <c r="A3129" i="1"/>
  <c r="B3129" i="1"/>
  <c r="C3129" i="1"/>
  <c r="D3129" i="1"/>
  <c r="A3130" i="1"/>
  <c r="B3130" i="1"/>
  <c r="C3130" i="1"/>
  <c r="D3130" i="1"/>
  <c r="A3131" i="1"/>
  <c r="B3131" i="1"/>
  <c r="C3131" i="1"/>
  <c r="D3131" i="1"/>
  <c r="A3132" i="1"/>
  <c r="B3132" i="1"/>
  <c r="C3132" i="1"/>
  <c r="D3132" i="1"/>
  <c r="A3133" i="1"/>
  <c r="B3133" i="1"/>
  <c r="C3133" i="1"/>
  <c r="D3133" i="1"/>
  <c r="A3134" i="1"/>
  <c r="B3134" i="1"/>
  <c r="C3134" i="1"/>
  <c r="D3134" i="1"/>
  <c r="A3135" i="1"/>
  <c r="B3135" i="1"/>
  <c r="C3135" i="1"/>
  <c r="D3135" i="1"/>
  <c r="A3136" i="1"/>
  <c r="B3136" i="1"/>
  <c r="C3136" i="1"/>
  <c r="D3136" i="1"/>
  <c r="A3137" i="1"/>
  <c r="B3137" i="1"/>
  <c r="C3137" i="1"/>
  <c r="D3137" i="1"/>
  <c r="A3138" i="1"/>
  <c r="B3138" i="1"/>
  <c r="C3138" i="1"/>
  <c r="A3139" i="1"/>
  <c r="B3139" i="1"/>
  <c r="C3139" i="1"/>
  <c r="D3139" i="1"/>
  <c r="A3140" i="1"/>
  <c r="B3140" i="1"/>
  <c r="C3140" i="1"/>
  <c r="D3140" i="1"/>
  <c r="A3141" i="1"/>
  <c r="B3141" i="1"/>
  <c r="C3141" i="1"/>
  <c r="D3141" i="1"/>
  <c r="A3142" i="1"/>
  <c r="B3142" i="1"/>
  <c r="C3142" i="1"/>
  <c r="D3142" i="1"/>
  <c r="A3143" i="1"/>
  <c r="B3143" i="1"/>
  <c r="C3143" i="1"/>
  <c r="D3143" i="1"/>
  <c r="A3144" i="1"/>
  <c r="B3144" i="1"/>
  <c r="C3144" i="1"/>
  <c r="D3144" i="1"/>
  <c r="A3145" i="1"/>
  <c r="B3145" i="1"/>
  <c r="C3145" i="1"/>
  <c r="D3145" i="1"/>
  <c r="A3146" i="1"/>
  <c r="B3146" i="1"/>
  <c r="C3146" i="1"/>
  <c r="D3146" i="1"/>
  <c r="A3147" i="1"/>
  <c r="B3147" i="1"/>
  <c r="C3147" i="1"/>
  <c r="D3147" i="1"/>
  <c r="A3148" i="1"/>
  <c r="B3148" i="1"/>
  <c r="C3148" i="1"/>
  <c r="D3148" i="1"/>
  <c r="A3149" i="1"/>
  <c r="B3149" i="1"/>
  <c r="C3149" i="1"/>
  <c r="D3149" i="1"/>
  <c r="A3150" i="1"/>
  <c r="B3150" i="1"/>
  <c r="C3150" i="1"/>
  <c r="D3150" i="1"/>
  <c r="A3151" i="1"/>
  <c r="B3151" i="1"/>
  <c r="C3151" i="1"/>
  <c r="D3151" i="1"/>
  <c r="A3152" i="1"/>
  <c r="B3152" i="1"/>
  <c r="C3152" i="1"/>
  <c r="A3153" i="1"/>
  <c r="B3153" i="1"/>
  <c r="C3153" i="1"/>
  <c r="D3153" i="1"/>
  <c r="A3154" i="1"/>
  <c r="B3154" i="1"/>
  <c r="C3154" i="1"/>
  <c r="D3154" i="1"/>
  <c r="A3155" i="1"/>
  <c r="B3155" i="1"/>
  <c r="C3155" i="1"/>
  <c r="D3155" i="1"/>
  <c r="A3156" i="1"/>
  <c r="B3156" i="1"/>
  <c r="C3156" i="1"/>
  <c r="D3156" i="1"/>
  <c r="A3157" i="1"/>
  <c r="B3157" i="1"/>
  <c r="C3157" i="1"/>
  <c r="D3157" i="1"/>
  <c r="A3158" i="1"/>
  <c r="B3158" i="1"/>
  <c r="C3158" i="1"/>
  <c r="D3158" i="1"/>
  <c r="A3159" i="1"/>
  <c r="B3159" i="1"/>
  <c r="C3159" i="1"/>
  <c r="D3159" i="1"/>
  <c r="A3160" i="1"/>
  <c r="B3160" i="1"/>
  <c r="C3160" i="1"/>
  <c r="D3160" i="1"/>
  <c r="A3161" i="1"/>
  <c r="B3161" i="1"/>
  <c r="C3161" i="1"/>
  <c r="D3161" i="1"/>
  <c r="A3162" i="1"/>
  <c r="B3162" i="1"/>
  <c r="C3162" i="1"/>
  <c r="D3162" i="1"/>
  <c r="A3163" i="1"/>
  <c r="B3163" i="1"/>
  <c r="C3163" i="1"/>
  <c r="D3163" i="1"/>
  <c r="A3164" i="1"/>
  <c r="B3164" i="1"/>
  <c r="C3164" i="1"/>
  <c r="D3164" i="1"/>
  <c r="A3165" i="1"/>
  <c r="B3165" i="1"/>
  <c r="C3165" i="1"/>
  <c r="D3165" i="1"/>
  <c r="A3166" i="1"/>
  <c r="B3166" i="1"/>
  <c r="C3166" i="1"/>
  <c r="D3166" i="1"/>
  <c r="A3167" i="1"/>
  <c r="B3167" i="1"/>
  <c r="C3167" i="1"/>
  <c r="D3167" i="1"/>
  <c r="A3168" i="1"/>
  <c r="B3168" i="1"/>
  <c r="C3168" i="1"/>
  <c r="D3168" i="1"/>
  <c r="A3169" i="1"/>
  <c r="B3169" i="1"/>
  <c r="C3169" i="1"/>
  <c r="D3169" i="1"/>
  <c r="A3170" i="1"/>
  <c r="B3170" i="1"/>
  <c r="C3170" i="1"/>
  <c r="D3170" i="1"/>
  <c r="A3171" i="1"/>
  <c r="B3171" i="1"/>
  <c r="C3171" i="1"/>
  <c r="D3171" i="1"/>
  <c r="A3172" i="1"/>
  <c r="B3172" i="1"/>
  <c r="C3172" i="1"/>
  <c r="D3172" i="1"/>
  <c r="A3173" i="1"/>
  <c r="B3173" i="1"/>
  <c r="C3173" i="1"/>
  <c r="D3173" i="1"/>
  <c r="A3174" i="1"/>
  <c r="B3174" i="1"/>
  <c r="C3174" i="1"/>
  <c r="D3174" i="1"/>
  <c r="A3175" i="1"/>
  <c r="B3175" i="1"/>
  <c r="C3175" i="1"/>
  <c r="D3175" i="1"/>
  <c r="A3176" i="1"/>
  <c r="B3176" i="1"/>
  <c r="C3176" i="1"/>
  <c r="D3176" i="1"/>
  <c r="A3177" i="1"/>
  <c r="B3177" i="1"/>
  <c r="C3177" i="1"/>
  <c r="D3177" i="1"/>
  <c r="A3178" i="1"/>
  <c r="B3178" i="1"/>
  <c r="C3178" i="1"/>
  <c r="D3178" i="1"/>
  <c r="A3179" i="1"/>
  <c r="B3179" i="1"/>
  <c r="C3179" i="1"/>
  <c r="D3179" i="1"/>
  <c r="A3180" i="1"/>
  <c r="B3180" i="1"/>
  <c r="C3180" i="1"/>
  <c r="D3180" i="1"/>
  <c r="A3181" i="1"/>
  <c r="B3181" i="1"/>
  <c r="C3181" i="1"/>
  <c r="D3181" i="1"/>
  <c r="A3182" i="1"/>
  <c r="B3182" i="1"/>
  <c r="C3182" i="1"/>
  <c r="D3182" i="1"/>
  <c r="A3183" i="1"/>
  <c r="B3183" i="1"/>
  <c r="C3183" i="1"/>
  <c r="D3183" i="1"/>
  <c r="A3184" i="1"/>
  <c r="B3184" i="1"/>
  <c r="C3184" i="1"/>
  <c r="D3184" i="1"/>
  <c r="A3185" i="1"/>
  <c r="B3185" i="1"/>
  <c r="C3185" i="1"/>
  <c r="D3185" i="1"/>
  <c r="A3186" i="1"/>
  <c r="B3186" i="1"/>
  <c r="C3186" i="1"/>
  <c r="D3186" i="1"/>
  <c r="A3187" i="1"/>
  <c r="B3187" i="1"/>
  <c r="C3187" i="1"/>
  <c r="D3187" i="1"/>
  <c r="A3188" i="1"/>
  <c r="B3188" i="1"/>
  <c r="C3188" i="1"/>
  <c r="D3188" i="1"/>
  <c r="A3189" i="1"/>
  <c r="B3189" i="1"/>
  <c r="C3189" i="1"/>
  <c r="D3189" i="1"/>
  <c r="A3190" i="1"/>
  <c r="B3190" i="1"/>
  <c r="C3190" i="1"/>
  <c r="D3190" i="1"/>
  <c r="A3191" i="1"/>
  <c r="B3191" i="1"/>
  <c r="C3191" i="1"/>
  <c r="D3191" i="1"/>
  <c r="A3192" i="1"/>
  <c r="B3192" i="1"/>
  <c r="C3192" i="1"/>
  <c r="D3192" i="1"/>
  <c r="A3193" i="1"/>
  <c r="B3193" i="1"/>
  <c r="C3193" i="1"/>
  <c r="D3193" i="1"/>
  <c r="A3194" i="1"/>
  <c r="B3194" i="1"/>
  <c r="C3194" i="1"/>
  <c r="A3195" i="1"/>
  <c r="B3195" i="1"/>
  <c r="C3195" i="1"/>
  <c r="D3195" i="1"/>
  <c r="A3196" i="1"/>
  <c r="B3196" i="1"/>
  <c r="C3196" i="1"/>
  <c r="D3196" i="1"/>
  <c r="A3197" i="1"/>
  <c r="B3197" i="1"/>
  <c r="C3197" i="1"/>
  <c r="A3198" i="1"/>
  <c r="B3198" i="1"/>
  <c r="C3198" i="1"/>
  <c r="D3198" i="1"/>
  <c r="A3199" i="1"/>
  <c r="B3199" i="1"/>
  <c r="C3199" i="1"/>
  <c r="D3199" i="1"/>
  <c r="A3200" i="1"/>
  <c r="B3200" i="1"/>
  <c r="C3200" i="1"/>
  <c r="D3200" i="1"/>
  <c r="A3201" i="1"/>
  <c r="B3201" i="1"/>
  <c r="C3201" i="1"/>
  <c r="D3201" i="1"/>
  <c r="A3202" i="1"/>
  <c r="B3202" i="1"/>
  <c r="C3202" i="1"/>
  <c r="D3202" i="1"/>
  <c r="A3203" i="1"/>
  <c r="B3203" i="1"/>
  <c r="C3203" i="1"/>
  <c r="D3203" i="1"/>
  <c r="A3204" i="1"/>
  <c r="B3204" i="1"/>
  <c r="C3204" i="1"/>
  <c r="A3205" i="1"/>
  <c r="B3205" i="1"/>
  <c r="C3205" i="1"/>
  <c r="D3205" i="1"/>
  <c r="A3206" i="1"/>
  <c r="B3206" i="1"/>
  <c r="C3206" i="1"/>
  <c r="D3206" i="1"/>
  <c r="A3207" i="1"/>
  <c r="B3207" i="1"/>
  <c r="C3207" i="1"/>
  <c r="D3207" i="1"/>
  <c r="A3208" i="1"/>
  <c r="B3208" i="1"/>
  <c r="C3208" i="1"/>
  <c r="D3208" i="1"/>
  <c r="A3209" i="1"/>
  <c r="B3209" i="1"/>
  <c r="C3209" i="1"/>
  <c r="D3209" i="1"/>
  <c r="A3210" i="1"/>
  <c r="B3210" i="1"/>
  <c r="C3210" i="1"/>
  <c r="D3210" i="1"/>
  <c r="A3211" i="1"/>
  <c r="B3211" i="1"/>
  <c r="C3211" i="1"/>
  <c r="D3211" i="1"/>
  <c r="A3212" i="1"/>
  <c r="B3212" i="1"/>
  <c r="C3212" i="1"/>
  <c r="D3212" i="1"/>
  <c r="A3213" i="1"/>
  <c r="B3213" i="1"/>
  <c r="C3213" i="1"/>
  <c r="D3213" i="1"/>
  <c r="A3214" i="1"/>
  <c r="B3214" i="1"/>
  <c r="C3214" i="1"/>
  <c r="D3214" i="1"/>
  <c r="A3215" i="1"/>
  <c r="B3215" i="1"/>
  <c r="C3215" i="1"/>
  <c r="D3215" i="1"/>
  <c r="A3216" i="1"/>
  <c r="B3216" i="1"/>
  <c r="C3216" i="1"/>
  <c r="D3216" i="1"/>
  <c r="A3217" i="1"/>
  <c r="B3217" i="1"/>
  <c r="C3217" i="1"/>
  <c r="D3217" i="1"/>
  <c r="A3218" i="1"/>
  <c r="B3218" i="1"/>
  <c r="C3218" i="1"/>
  <c r="D3218" i="1"/>
  <c r="A3219" i="1"/>
  <c r="B3219" i="1"/>
  <c r="C3219" i="1"/>
  <c r="D3219" i="1"/>
  <c r="A3220" i="1"/>
  <c r="B3220" i="1"/>
  <c r="C3220" i="1"/>
  <c r="D3220" i="1"/>
  <c r="A3221" i="1"/>
  <c r="B3221" i="1"/>
  <c r="C3221" i="1"/>
  <c r="D3221" i="1"/>
  <c r="A3222" i="1"/>
  <c r="B3222" i="1"/>
  <c r="C3222" i="1"/>
  <c r="D3222" i="1"/>
  <c r="A3223" i="1"/>
  <c r="B3223" i="1"/>
  <c r="C3223" i="1"/>
  <c r="D3223" i="1"/>
  <c r="A3224" i="1"/>
  <c r="B3224" i="1"/>
  <c r="C3224" i="1"/>
  <c r="D3224" i="1"/>
  <c r="A3225" i="1"/>
  <c r="B3225" i="1"/>
  <c r="C3225" i="1"/>
  <c r="D3225" i="1"/>
  <c r="A3226" i="1"/>
  <c r="B3226" i="1"/>
  <c r="C3226" i="1"/>
  <c r="D3226" i="1"/>
  <c r="A3227" i="1"/>
  <c r="B3227" i="1"/>
  <c r="C3227" i="1"/>
  <c r="D3227" i="1"/>
  <c r="A3228" i="1"/>
  <c r="B3228" i="1"/>
  <c r="C3228" i="1"/>
  <c r="D3228" i="1"/>
  <c r="A3229" i="1"/>
  <c r="B3229" i="1"/>
  <c r="C3229" i="1"/>
  <c r="D3229" i="1"/>
  <c r="A3230" i="1"/>
  <c r="B3230" i="1"/>
  <c r="C3230" i="1"/>
  <c r="D3230" i="1"/>
  <c r="A3231" i="1"/>
  <c r="B3231" i="1"/>
  <c r="C3231" i="1"/>
  <c r="D3231" i="1"/>
  <c r="A3232" i="1"/>
  <c r="B3232" i="1"/>
  <c r="C3232" i="1"/>
  <c r="D3232" i="1"/>
  <c r="A3233" i="1"/>
  <c r="B3233" i="1"/>
  <c r="C3233" i="1"/>
  <c r="D3233" i="1"/>
  <c r="A3234" i="1"/>
  <c r="B3234" i="1"/>
  <c r="C3234" i="1"/>
  <c r="D3234" i="1"/>
  <c r="A3235" i="1"/>
  <c r="B3235" i="1"/>
  <c r="C3235" i="1"/>
  <c r="D3235" i="1"/>
  <c r="A3236" i="1"/>
  <c r="B3236" i="1"/>
  <c r="C3236" i="1"/>
  <c r="D3236" i="1"/>
  <c r="A3237" i="1"/>
  <c r="B3237" i="1"/>
  <c r="C3237" i="1"/>
  <c r="D3237" i="1"/>
  <c r="A3238" i="1"/>
  <c r="B3238" i="1"/>
  <c r="C3238" i="1"/>
  <c r="D3238" i="1"/>
  <c r="A3239" i="1"/>
  <c r="B3239" i="1"/>
  <c r="C3239" i="1"/>
  <c r="D3239" i="1"/>
  <c r="A3240" i="1"/>
  <c r="B3240" i="1"/>
  <c r="C3240" i="1"/>
  <c r="D3240" i="1"/>
  <c r="A3241" i="1"/>
  <c r="B3241" i="1"/>
  <c r="C3241" i="1"/>
  <c r="D3241" i="1"/>
  <c r="A3242" i="1"/>
  <c r="B3242" i="1"/>
  <c r="C3242" i="1"/>
  <c r="D3242" i="1"/>
  <c r="A3243" i="1"/>
  <c r="B3243" i="1"/>
  <c r="C3243" i="1"/>
  <c r="D3243" i="1"/>
  <c r="A3244" i="1"/>
  <c r="B3244" i="1"/>
  <c r="C3244" i="1"/>
  <c r="D3244" i="1"/>
  <c r="A3245" i="1"/>
  <c r="B3245" i="1"/>
  <c r="C3245" i="1"/>
  <c r="D3245" i="1"/>
  <c r="A3246" i="1"/>
  <c r="B3246" i="1"/>
  <c r="C3246" i="1"/>
  <c r="D3246" i="1"/>
  <c r="A3247" i="1"/>
  <c r="B3247" i="1"/>
  <c r="C3247" i="1"/>
  <c r="D3247" i="1"/>
  <c r="A3248" i="1"/>
  <c r="B3248" i="1"/>
  <c r="C3248" i="1"/>
  <c r="D3248" i="1"/>
  <c r="A3249" i="1"/>
  <c r="B3249" i="1"/>
  <c r="C3249" i="1"/>
  <c r="D3249" i="1"/>
  <c r="A3250" i="1"/>
  <c r="B3250" i="1"/>
  <c r="C3250" i="1"/>
  <c r="D3250" i="1"/>
  <c r="A3251" i="1"/>
  <c r="B3251" i="1"/>
  <c r="C3251" i="1"/>
  <c r="D3251" i="1"/>
  <c r="A3252" i="1"/>
  <c r="B3252" i="1"/>
  <c r="C3252" i="1"/>
  <c r="D3252" i="1"/>
  <c r="A3253" i="1"/>
  <c r="B3253" i="1"/>
  <c r="C3253" i="1"/>
  <c r="D3253" i="1"/>
  <c r="A3254" i="1"/>
  <c r="B3254" i="1"/>
  <c r="C3254" i="1"/>
  <c r="D3254" i="1"/>
  <c r="A3255" i="1"/>
  <c r="B3255" i="1"/>
  <c r="C3255" i="1"/>
  <c r="D3255" i="1"/>
  <c r="A3256" i="1"/>
  <c r="B3256" i="1"/>
  <c r="C3256" i="1"/>
  <c r="D3256" i="1"/>
  <c r="A3257" i="1"/>
  <c r="B3257" i="1"/>
  <c r="C3257" i="1"/>
  <c r="A3258" i="1"/>
  <c r="B3258" i="1"/>
  <c r="C3258" i="1"/>
  <c r="D3258" i="1"/>
  <c r="A3259" i="1"/>
  <c r="B3259" i="1"/>
  <c r="C3259" i="1"/>
  <c r="D3259" i="1"/>
  <c r="A3260" i="1"/>
  <c r="B3260" i="1"/>
  <c r="C3260" i="1"/>
  <c r="D3260" i="1"/>
  <c r="A3261" i="1"/>
  <c r="B3261" i="1"/>
  <c r="C3261" i="1"/>
  <c r="D3261" i="1"/>
  <c r="A3262" i="1"/>
  <c r="B3262" i="1"/>
  <c r="C3262" i="1"/>
  <c r="D3262" i="1"/>
  <c r="A3263" i="1"/>
  <c r="B3263" i="1"/>
  <c r="C3263" i="1"/>
  <c r="D3263" i="1"/>
  <c r="A3264" i="1"/>
  <c r="B3264" i="1"/>
  <c r="C3264" i="1"/>
  <c r="D3264" i="1"/>
  <c r="A3265" i="1"/>
  <c r="B3265" i="1"/>
  <c r="C3265" i="1"/>
  <c r="D3265" i="1"/>
  <c r="A3266" i="1"/>
  <c r="B3266" i="1"/>
  <c r="C3266" i="1"/>
  <c r="D3266" i="1"/>
  <c r="A3267" i="1"/>
  <c r="B3267" i="1"/>
  <c r="C3267" i="1"/>
  <c r="D3267" i="1"/>
  <c r="A3268" i="1"/>
  <c r="B3268" i="1"/>
  <c r="C3268" i="1"/>
  <c r="D3268" i="1"/>
  <c r="A3269" i="1"/>
  <c r="B3269" i="1"/>
  <c r="C3269" i="1"/>
  <c r="D3269" i="1"/>
  <c r="A3270" i="1"/>
  <c r="B3270" i="1"/>
  <c r="C3270" i="1"/>
  <c r="D3270" i="1"/>
  <c r="A3271" i="1"/>
  <c r="B3271" i="1"/>
  <c r="C3271" i="1"/>
  <c r="D3271" i="1"/>
  <c r="A3272" i="1"/>
  <c r="B3272" i="1"/>
  <c r="C3272" i="1"/>
  <c r="D3272" i="1"/>
  <c r="A3273" i="1"/>
  <c r="B3273" i="1"/>
  <c r="C3273" i="1"/>
  <c r="D3273" i="1"/>
  <c r="A3274" i="1"/>
  <c r="B3274" i="1"/>
  <c r="C3274" i="1"/>
  <c r="D3274" i="1"/>
  <c r="A3275" i="1"/>
  <c r="B3275" i="1"/>
  <c r="C3275" i="1"/>
  <c r="D3275" i="1"/>
  <c r="A3276" i="1"/>
  <c r="B3276" i="1"/>
  <c r="C3276" i="1"/>
  <c r="D3276" i="1"/>
  <c r="A3277" i="1"/>
  <c r="B3277" i="1"/>
  <c r="C3277" i="1"/>
  <c r="D3277" i="1"/>
  <c r="A3278" i="1"/>
  <c r="B3278" i="1"/>
  <c r="C3278" i="1"/>
  <c r="D3278" i="1"/>
  <c r="A3279" i="1"/>
  <c r="B3279" i="1"/>
  <c r="C3279" i="1"/>
  <c r="A3280" i="1"/>
  <c r="B3280" i="1"/>
  <c r="C3280" i="1"/>
  <c r="D3280" i="1"/>
  <c r="A3281" i="1"/>
  <c r="B3281" i="1"/>
  <c r="C3281" i="1"/>
  <c r="D3281" i="1"/>
  <c r="A3282" i="1"/>
  <c r="B3282" i="1"/>
  <c r="C3282" i="1"/>
  <c r="A3283" i="1"/>
  <c r="B3283" i="1"/>
  <c r="C3283" i="1"/>
  <c r="D3283" i="1"/>
  <c r="A3284" i="1"/>
  <c r="B3284" i="1"/>
  <c r="C3284" i="1"/>
  <c r="D3284" i="1"/>
  <c r="A3285" i="1"/>
  <c r="B3285" i="1"/>
  <c r="C3285" i="1"/>
  <c r="D3285" i="1"/>
  <c r="A3286" i="1"/>
  <c r="B3286" i="1"/>
  <c r="C3286" i="1"/>
  <c r="D3286" i="1"/>
  <c r="A3287" i="1"/>
  <c r="B3287" i="1"/>
  <c r="C3287" i="1"/>
  <c r="D3287" i="1"/>
  <c r="A3288" i="1"/>
  <c r="B3288" i="1"/>
  <c r="C3288" i="1"/>
  <c r="D3288" i="1"/>
  <c r="A3289" i="1"/>
  <c r="B3289" i="1"/>
  <c r="C3289" i="1"/>
  <c r="D3289" i="1"/>
  <c r="A3290" i="1"/>
  <c r="B3290" i="1"/>
  <c r="C3290" i="1"/>
  <c r="D3290" i="1"/>
  <c r="A3291" i="1"/>
  <c r="B3291" i="1"/>
  <c r="C3291" i="1"/>
  <c r="D3291" i="1"/>
  <c r="A3292" i="1"/>
  <c r="B3292" i="1"/>
  <c r="C3292" i="1"/>
  <c r="D3292" i="1"/>
  <c r="A3293" i="1"/>
  <c r="B3293" i="1"/>
  <c r="C3293" i="1"/>
  <c r="D3293" i="1"/>
  <c r="A3294" i="1"/>
  <c r="B3294" i="1"/>
  <c r="C3294" i="1"/>
  <c r="D3294" i="1"/>
  <c r="A3295" i="1"/>
  <c r="B3295" i="1"/>
  <c r="C3295" i="1"/>
  <c r="D3295" i="1"/>
  <c r="A3296" i="1"/>
  <c r="B3296" i="1"/>
  <c r="C3296" i="1"/>
  <c r="D3296" i="1"/>
  <c r="A3297" i="1"/>
  <c r="B3297" i="1"/>
  <c r="C3297" i="1"/>
  <c r="D3297" i="1"/>
  <c r="A3298" i="1"/>
  <c r="B3298" i="1"/>
  <c r="C3298" i="1"/>
  <c r="D3298" i="1"/>
  <c r="A3299" i="1"/>
  <c r="B3299" i="1"/>
  <c r="C3299" i="1"/>
  <c r="D3299" i="1"/>
  <c r="A3300" i="1"/>
  <c r="B3300" i="1"/>
  <c r="C3300" i="1"/>
  <c r="D3300" i="1"/>
  <c r="A3301" i="1"/>
  <c r="B3301" i="1"/>
  <c r="C3301" i="1"/>
  <c r="D3301" i="1"/>
  <c r="A3302" i="1"/>
  <c r="B3302" i="1"/>
  <c r="C3302" i="1"/>
  <c r="D3302" i="1"/>
  <c r="A3303" i="1"/>
  <c r="B3303" i="1"/>
  <c r="C3303" i="1"/>
  <c r="D3303" i="1"/>
  <c r="A3304" i="1"/>
  <c r="B3304" i="1"/>
  <c r="C3304" i="1"/>
  <c r="D3304" i="1"/>
  <c r="A3305" i="1"/>
  <c r="B3305" i="1"/>
  <c r="C3305" i="1"/>
  <c r="D3305" i="1"/>
  <c r="A3306" i="1"/>
  <c r="B3306" i="1"/>
  <c r="C3306" i="1"/>
  <c r="D3306" i="1"/>
  <c r="A3307" i="1"/>
  <c r="B3307" i="1"/>
  <c r="C3307" i="1"/>
  <c r="D3307" i="1"/>
  <c r="A3308" i="1"/>
  <c r="B3308" i="1"/>
  <c r="C3308" i="1"/>
  <c r="D3308" i="1"/>
  <c r="A3309" i="1"/>
  <c r="B3309" i="1"/>
  <c r="C3309" i="1"/>
  <c r="D3309" i="1"/>
  <c r="A3310" i="1"/>
  <c r="B3310" i="1"/>
  <c r="C3310" i="1"/>
  <c r="D3310" i="1"/>
  <c r="A3311" i="1"/>
  <c r="B3311" i="1"/>
  <c r="C3311" i="1"/>
  <c r="A3312" i="1"/>
  <c r="B3312" i="1"/>
  <c r="C3312" i="1"/>
  <c r="D3312" i="1"/>
  <c r="A3313" i="1"/>
  <c r="B3313" i="1"/>
  <c r="C3313" i="1"/>
  <c r="D3313" i="1"/>
  <c r="A3314" i="1"/>
  <c r="B3314" i="1"/>
  <c r="C3314" i="1"/>
  <c r="D3314" i="1"/>
  <c r="A3315" i="1"/>
  <c r="B3315" i="1"/>
  <c r="C3315" i="1"/>
  <c r="D3315" i="1"/>
  <c r="A3316" i="1"/>
  <c r="B3316" i="1"/>
  <c r="C3316" i="1"/>
  <c r="D3316" i="1"/>
  <c r="A3317" i="1"/>
  <c r="B3317" i="1"/>
  <c r="C3317" i="1"/>
  <c r="A3318" i="1"/>
  <c r="B3318" i="1"/>
  <c r="C3318" i="1"/>
  <c r="D3318" i="1"/>
  <c r="A3319" i="1"/>
  <c r="B3319" i="1"/>
  <c r="C3319" i="1"/>
  <c r="D3319" i="1"/>
  <c r="A3320" i="1"/>
  <c r="B3320" i="1"/>
  <c r="C3320" i="1"/>
  <c r="D3320" i="1"/>
  <c r="A3321" i="1"/>
  <c r="B3321" i="1"/>
  <c r="C3321" i="1"/>
  <c r="D3321" i="1"/>
  <c r="A3322" i="1"/>
  <c r="B3322" i="1"/>
  <c r="C3322" i="1"/>
  <c r="D3322" i="1"/>
  <c r="A3323" i="1"/>
  <c r="B3323" i="1"/>
  <c r="C3323" i="1"/>
  <c r="D3323" i="1"/>
  <c r="A3324" i="1"/>
  <c r="B3324" i="1"/>
  <c r="C3324" i="1"/>
  <c r="D3324" i="1"/>
  <c r="A3325" i="1"/>
  <c r="B3325" i="1"/>
  <c r="C3325" i="1"/>
  <c r="D3325" i="1"/>
  <c r="A3326" i="1"/>
  <c r="B3326" i="1"/>
  <c r="C3326" i="1"/>
  <c r="D3326" i="1"/>
  <c r="A3327" i="1"/>
  <c r="B3327" i="1"/>
  <c r="C3327" i="1"/>
  <c r="A3328" i="1"/>
  <c r="B3328" i="1"/>
  <c r="C3328" i="1"/>
  <c r="D3328" i="1"/>
  <c r="A3329" i="1"/>
  <c r="B3329" i="1"/>
  <c r="C3329" i="1"/>
  <c r="D3329" i="1"/>
  <c r="A3330" i="1"/>
  <c r="B3330" i="1"/>
  <c r="C3330" i="1"/>
  <c r="D3330" i="1"/>
  <c r="A3331" i="1"/>
  <c r="B3331" i="1"/>
  <c r="C3331" i="1"/>
  <c r="D3331" i="1"/>
  <c r="A3332" i="1"/>
  <c r="B3332" i="1"/>
  <c r="C3332" i="1"/>
  <c r="D3332" i="1"/>
  <c r="A3333" i="1"/>
  <c r="B3333" i="1"/>
  <c r="C3333" i="1"/>
  <c r="D3333" i="1"/>
  <c r="A3334" i="1"/>
  <c r="B3334" i="1"/>
  <c r="C3334" i="1"/>
  <c r="D3334" i="1"/>
  <c r="A3335" i="1"/>
  <c r="B3335" i="1"/>
  <c r="C3335" i="1"/>
  <c r="D3335" i="1"/>
  <c r="A3336" i="1"/>
  <c r="B3336" i="1"/>
  <c r="C3336" i="1"/>
  <c r="D3336" i="1"/>
  <c r="A3337" i="1"/>
  <c r="B3337" i="1"/>
  <c r="C3337" i="1"/>
  <c r="D3337" i="1"/>
  <c r="A3338" i="1"/>
  <c r="B3338" i="1"/>
  <c r="C3338" i="1"/>
  <c r="D3338" i="1"/>
  <c r="A3339" i="1"/>
  <c r="B3339" i="1"/>
  <c r="C3339" i="1"/>
  <c r="D3339" i="1"/>
  <c r="A3340" i="1"/>
  <c r="B3340" i="1"/>
  <c r="C3340" i="1"/>
  <c r="D3340" i="1"/>
  <c r="A3341" i="1"/>
  <c r="B3341" i="1"/>
  <c r="C3341" i="1"/>
  <c r="D3341" i="1"/>
  <c r="A3342" i="1"/>
  <c r="B3342" i="1"/>
  <c r="C3342" i="1"/>
  <c r="A3343" i="1"/>
  <c r="B3343" i="1"/>
  <c r="C3343" i="1"/>
  <c r="D3343" i="1"/>
  <c r="A3344" i="1"/>
  <c r="B3344" i="1"/>
  <c r="C3344" i="1"/>
  <c r="D3344" i="1"/>
  <c r="A3345" i="1"/>
  <c r="B3345" i="1"/>
  <c r="C3345" i="1"/>
  <c r="D3345" i="1"/>
  <c r="A3346" i="1"/>
  <c r="B3346" i="1"/>
  <c r="C3346" i="1"/>
  <c r="D3346" i="1"/>
  <c r="A3347" i="1"/>
  <c r="B3347" i="1"/>
  <c r="C3347" i="1"/>
  <c r="D3347" i="1"/>
  <c r="A3348" i="1"/>
  <c r="B3348" i="1"/>
  <c r="C3348" i="1"/>
  <c r="D3348" i="1"/>
  <c r="A3349" i="1"/>
  <c r="B3349" i="1"/>
  <c r="C3349" i="1"/>
  <c r="D3349" i="1"/>
  <c r="A3350" i="1"/>
  <c r="B3350" i="1"/>
  <c r="C3350" i="1"/>
  <c r="D3350" i="1"/>
  <c r="A3351" i="1"/>
  <c r="B3351" i="1"/>
  <c r="C3351" i="1"/>
  <c r="D3351" i="1"/>
  <c r="A3352" i="1"/>
  <c r="B3352" i="1"/>
  <c r="C3352" i="1"/>
  <c r="D3352" i="1"/>
  <c r="A3353" i="1"/>
  <c r="B3353" i="1"/>
  <c r="C3353" i="1"/>
  <c r="D3353" i="1"/>
  <c r="A3354" i="1"/>
  <c r="B3354" i="1"/>
  <c r="C3354" i="1"/>
  <c r="D3354" i="1"/>
  <c r="A3355" i="1"/>
  <c r="B3355" i="1"/>
  <c r="C3355" i="1"/>
  <c r="D3355" i="1"/>
  <c r="A3356" i="1"/>
  <c r="B3356" i="1"/>
  <c r="C3356" i="1"/>
  <c r="D3356" i="1"/>
  <c r="A3357" i="1"/>
  <c r="B3357" i="1"/>
  <c r="C3357" i="1"/>
  <c r="D3357" i="1"/>
  <c r="A3358" i="1"/>
  <c r="B3358" i="1"/>
  <c r="C3358" i="1"/>
  <c r="D3358" i="1"/>
  <c r="A3359" i="1"/>
  <c r="B3359" i="1"/>
  <c r="C3359" i="1"/>
  <c r="D3359" i="1"/>
  <c r="A3360" i="1"/>
  <c r="B3360" i="1"/>
  <c r="C3360" i="1"/>
  <c r="D3360" i="1"/>
  <c r="A3361" i="1"/>
  <c r="B3361" i="1"/>
  <c r="C3361" i="1"/>
  <c r="D3361" i="1"/>
  <c r="A3362" i="1"/>
  <c r="B3362" i="1"/>
  <c r="C3362" i="1"/>
  <c r="D3362" i="1"/>
  <c r="A3363" i="1"/>
  <c r="B3363" i="1"/>
  <c r="C3363" i="1"/>
  <c r="D3363" i="1"/>
  <c r="A3364" i="1"/>
  <c r="B3364" i="1"/>
  <c r="C3364" i="1"/>
  <c r="D3364" i="1"/>
  <c r="A3365" i="1"/>
  <c r="B3365" i="1"/>
  <c r="C3365" i="1"/>
  <c r="D3365" i="1"/>
  <c r="A3366" i="1"/>
  <c r="B3366" i="1"/>
  <c r="C3366" i="1"/>
  <c r="D3366" i="1"/>
  <c r="A3367" i="1"/>
  <c r="B3367" i="1"/>
  <c r="C3367" i="1"/>
  <c r="D3367" i="1"/>
  <c r="A3368" i="1"/>
  <c r="B3368" i="1"/>
  <c r="C3368" i="1"/>
  <c r="D3368" i="1"/>
  <c r="A3369" i="1"/>
  <c r="B3369" i="1"/>
  <c r="C3369" i="1"/>
  <c r="D3369" i="1"/>
  <c r="A3370" i="1"/>
  <c r="B3370" i="1"/>
  <c r="C3370" i="1"/>
  <c r="D3370" i="1"/>
  <c r="A3371" i="1"/>
  <c r="B3371" i="1"/>
  <c r="C3371" i="1"/>
  <c r="D3371" i="1"/>
  <c r="A3372" i="1"/>
  <c r="B3372" i="1"/>
  <c r="C3372" i="1"/>
  <c r="D3372" i="1"/>
  <c r="A3373" i="1"/>
  <c r="B3373" i="1"/>
  <c r="C3373" i="1"/>
  <c r="D3373" i="1"/>
  <c r="A3374" i="1"/>
  <c r="B3374" i="1"/>
  <c r="C3374" i="1"/>
  <c r="D3374" i="1"/>
  <c r="A3375" i="1"/>
  <c r="B3375" i="1"/>
  <c r="C3375" i="1"/>
  <c r="D3375" i="1"/>
  <c r="A3376" i="1"/>
  <c r="B3376" i="1"/>
  <c r="C3376" i="1"/>
  <c r="D3376" i="1"/>
  <c r="A3377" i="1"/>
  <c r="B3377" i="1"/>
  <c r="C3377" i="1"/>
  <c r="D3377" i="1"/>
  <c r="A3378" i="1"/>
  <c r="B3378" i="1"/>
  <c r="C3378" i="1"/>
  <c r="D3378" i="1"/>
  <c r="A3379" i="1"/>
  <c r="B3379" i="1"/>
  <c r="C3379" i="1"/>
  <c r="D3379" i="1"/>
  <c r="A3380" i="1"/>
  <c r="B3380" i="1"/>
  <c r="C3380" i="1"/>
  <c r="D3380" i="1"/>
  <c r="A3381" i="1"/>
  <c r="B3381" i="1"/>
  <c r="C3381" i="1"/>
  <c r="A3382" i="1"/>
  <c r="B3382" i="1"/>
  <c r="C3382" i="1"/>
  <c r="D3382" i="1"/>
  <c r="A3383" i="1"/>
  <c r="B3383" i="1"/>
  <c r="C3383" i="1"/>
  <c r="D3383" i="1"/>
  <c r="A3384" i="1"/>
  <c r="B3384" i="1"/>
  <c r="C3384" i="1"/>
  <c r="D3384" i="1"/>
  <c r="A3385" i="1"/>
  <c r="B3385" i="1"/>
  <c r="C3385" i="1"/>
  <c r="D3385" i="1"/>
  <c r="A3386" i="1"/>
  <c r="B3386" i="1"/>
  <c r="C3386" i="1"/>
  <c r="D3386" i="1"/>
  <c r="A3387" i="1"/>
  <c r="B3387" i="1"/>
  <c r="C3387" i="1"/>
  <c r="D3387" i="1"/>
  <c r="A3388" i="1"/>
  <c r="B3388" i="1"/>
  <c r="C3388" i="1"/>
  <c r="D3388" i="1"/>
  <c r="A3389" i="1"/>
  <c r="B3389" i="1"/>
  <c r="C3389" i="1"/>
  <c r="D3389" i="1"/>
  <c r="A3390" i="1"/>
  <c r="B3390" i="1"/>
  <c r="C3390" i="1"/>
  <c r="D3390" i="1"/>
  <c r="A3391" i="1"/>
  <c r="B3391" i="1"/>
  <c r="C3391" i="1"/>
  <c r="D3391" i="1"/>
  <c r="A3392" i="1"/>
  <c r="B3392" i="1"/>
  <c r="C3392" i="1"/>
  <c r="D3392" i="1"/>
  <c r="A3393" i="1"/>
  <c r="B3393" i="1"/>
  <c r="C3393" i="1"/>
  <c r="D3393" i="1"/>
  <c r="A3394" i="1"/>
  <c r="B3394" i="1"/>
  <c r="C3394" i="1"/>
  <c r="D3394" i="1"/>
  <c r="A3395" i="1"/>
  <c r="B3395" i="1"/>
  <c r="C3395" i="1"/>
  <c r="D3395" i="1"/>
  <c r="A3396" i="1"/>
  <c r="B3396" i="1"/>
  <c r="C3396" i="1"/>
  <c r="D3396" i="1"/>
  <c r="A3397" i="1"/>
  <c r="B3397" i="1"/>
  <c r="C3397" i="1"/>
  <c r="D3397" i="1"/>
  <c r="A3398" i="1"/>
  <c r="B3398" i="1"/>
  <c r="C3398" i="1"/>
  <c r="D3398" i="1"/>
  <c r="A3399" i="1"/>
  <c r="B3399" i="1"/>
  <c r="C3399" i="1"/>
  <c r="D3399" i="1"/>
  <c r="A3400" i="1"/>
  <c r="B3400" i="1"/>
  <c r="C3400" i="1"/>
  <c r="D3400" i="1"/>
  <c r="A3401" i="1"/>
  <c r="B3401" i="1"/>
  <c r="C3401" i="1"/>
  <c r="A3402" i="1"/>
  <c r="B3402" i="1"/>
  <c r="C3402" i="1"/>
  <c r="D3402" i="1"/>
  <c r="A3403" i="1"/>
  <c r="B3403" i="1"/>
  <c r="C3403" i="1"/>
  <c r="D3403" i="1"/>
  <c r="A3404" i="1"/>
  <c r="B3404" i="1"/>
  <c r="C3404" i="1"/>
  <c r="D3404" i="1"/>
  <c r="A3405" i="1"/>
  <c r="B3405" i="1"/>
  <c r="C3405" i="1"/>
  <c r="D3405" i="1"/>
  <c r="A3406" i="1"/>
  <c r="B3406" i="1"/>
  <c r="C3406" i="1"/>
  <c r="D3406" i="1"/>
  <c r="A3407" i="1"/>
  <c r="B3407" i="1"/>
  <c r="C3407" i="1"/>
  <c r="D3407" i="1"/>
  <c r="A3408" i="1"/>
  <c r="B3408" i="1"/>
  <c r="C3408" i="1"/>
  <c r="D3408" i="1"/>
  <c r="A3409" i="1"/>
  <c r="B3409" i="1"/>
  <c r="C3409" i="1"/>
  <c r="D3409" i="1"/>
  <c r="A3410" i="1"/>
  <c r="B3410" i="1"/>
  <c r="C3410" i="1"/>
  <c r="D3410" i="1"/>
  <c r="A3411" i="1"/>
  <c r="B3411" i="1"/>
  <c r="C3411" i="1"/>
  <c r="D3411" i="1"/>
  <c r="A3412" i="1"/>
  <c r="B3412" i="1"/>
  <c r="C3412" i="1"/>
  <c r="D3412" i="1"/>
  <c r="A3413" i="1"/>
  <c r="B3413" i="1"/>
  <c r="C3413" i="1"/>
  <c r="D3413" i="1"/>
  <c r="A3414" i="1"/>
  <c r="B3414" i="1"/>
  <c r="C3414" i="1"/>
  <c r="D3414" i="1"/>
  <c r="A3415" i="1"/>
  <c r="B3415" i="1"/>
  <c r="C3415" i="1"/>
  <c r="D3415" i="1"/>
  <c r="A3416" i="1"/>
  <c r="B3416" i="1"/>
  <c r="C3416" i="1"/>
  <c r="D3416" i="1"/>
  <c r="A3417" i="1"/>
  <c r="B3417" i="1"/>
  <c r="C3417" i="1"/>
  <c r="D3417" i="1"/>
  <c r="A3418" i="1"/>
  <c r="B3418" i="1"/>
  <c r="C3418" i="1"/>
  <c r="D3418" i="1"/>
  <c r="A3419" i="1"/>
  <c r="B3419" i="1"/>
  <c r="C3419" i="1"/>
  <c r="D3419" i="1"/>
  <c r="A3420" i="1"/>
  <c r="B3420" i="1"/>
  <c r="C3420" i="1"/>
  <c r="D3420" i="1"/>
  <c r="A3421" i="1"/>
  <c r="B3421" i="1"/>
  <c r="C3421" i="1"/>
  <c r="D3421" i="1"/>
  <c r="A3422" i="1"/>
  <c r="B3422" i="1"/>
  <c r="C3422" i="1"/>
  <c r="D3422" i="1"/>
  <c r="A3423" i="1"/>
  <c r="B3423" i="1"/>
  <c r="C3423" i="1"/>
  <c r="D3423" i="1"/>
  <c r="A3424" i="1"/>
  <c r="B3424" i="1"/>
  <c r="C3424" i="1"/>
  <c r="D3424" i="1"/>
  <c r="A3425" i="1"/>
  <c r="B3425" i="1"/>
  <c r="C3425" i="1"/>
  <c r="D3425" i="1"/>
  <c r="A3426" i="1"/>
  <c r="B3426" i="1"/>
  <c r="C3426" i="1"/>
  <c r="D3426" i="1"/>
  <c r="A3427" i="1"/>
  <c r="B3427" i="1"/>
  <c r="C3427" i="1"/>
  <c r="D3427" i="1"/>
  <c r="A3428" i="1"/>
  <c r="B3428" i="1"/>
  <c r="C3428" i="1"/>
  <c r="D3428" i="1"/>
  <c r="A3429" i="1"/>
  <c r="B3429" i="1"/>
  <c r="C3429" i="1"/>
  <c r="D3429" i="1"/>
  <c r="A3430" i="1"/>
  <c r="B3430" i="1"/>
  <c r="C3430" i="1"/>
  <c r="D3430" i="1"/>
  <c r="A3431" i="1"/>
  <c r="B3431" i="1"/>
  <c r="C3431" i="1"/>
  <c r="D3431" i="1"/>
  <c r="A3432" i="1"/>
  <c r="B3432" i="1"/>
  <c r="C3432" i="1"/>
  <c r="D3432" i="1"/>
  <c r="A3433" i="1"/>
  <c r="B3433" i="1"/>
  <c r="C3433" i="1"/>
  <c r="D3433" i="1"/>
  <c r="A3434" i="1"/>
  <c r="B3434" i="1"/>
  <c r="C3434" i="1"/>
  <c r="D3434" i="1"/>
  <c r="A3435" i="1"/>
  <c r="B3435" i="1"/>
  <c r="C3435" i="1"/>
  <c r="D3435" i="1"/>
  <c r="A3436" i="1"/>
  <c r="B3436" i="1"/>
  <c r="C3436" i="1"/>
  <c r="D3436" i="1"/>
  <c r="A3437" i="1"/>
  <c r="B3437" i="1"/>
  <c r="C3437" i="1"/>
  <c r="D3437" i="1"/>
  <c r="A3438" i="1"/>
  <c r="B3438" i="1"/>
  <c r="C3438" i="1"/>
  <c r="D3438" i="1"/>
  <c r="A3439" i="1"/>
  <c r="B3439" i="1"/>
  <c r="C3439" i="1"/>
  <c r="D3439" i="1"/>
  <c r="A3440" i="1"/>
  <c r="B3440" i="1"/>
  <c r="C3440" i="1"/>
  <c r="D3440" i="1"/>
  <c r="A3441" i="1"/>
  <c r="B3441" i="1"/>
  <c r="C3441" i="1"/>
  <c r="D3441" i="1"/>
  <c r="A3442" i="1"/>
  <c r="B3442" i="1"/>
  <c r="C3442" i="1"/>
  <c r="D3442" i="1"/>
  <c r="A3443" i="1"/>
  <c r="B3443" i="1"/>
  <c r="C3443" i="1"/>
  <c r="D3443" i="1"/>
  <c r="A3444" i="1"/>
  <c r="B3444" i="1"/>
  <c r="C3444" i="1"/>
  <c r="D3444" i="1"/>
  <c r="A3445" i="1"/>
  <c r="B3445" i="1"/>
  <c r="C3445" i="1"/>
  <c r="D3445" i="1"/>
  <c r="A3446" i="1"/>
  <c r="B3446" i="1"/>
  <c r="C3446" i="1"/>
  <c r="D3446" i="1"/>
  <c r="A3447" i="1"/>
  <c r="B3447" i="1"/>
  <c r="C3447" i="1"/>
  <c r="D3447" i="1"/>
  <c r="A3448" i="1"/>
  <c r="B3448" i="1"/>
  <c r="C3448" i="1"/>
  <c r="D3448" i="1"/>
  <c r="A3449" i="1"/>
  <c r="B3449" i="1"/>
  <c r="C3449" i="1"/>
  <c r="D3449" i="1"/>
  <c r="A3450" i="1"/>
  <c r="B3450" i="1"/>
  <c r="C3450" i="1"/>
  <c r="D3450" i="1"/>
  <c r="A3451" i="1"/>
  <c r="B3451" i="1"/>
  <c r="C3451" i="1"/>
  <c r="D3451" i="1"/>
  <c r="A3452" i="1"/>
  <c r="B3452" i="1"/>
  <c r="C3452" i="1"/>
  <c r="D3452" i="1"/>
  <c r="A3453" i="1"/>
  <c r="B3453" i="1"/>
  <c r="C3453" i="1"/>
  <c r="D3453" i="1"/>
  <c r="A3454" i="1"/>
  <c r="B3454" i="1"/>
  <c r="C3454" i="1"/>
  <c r="D3454" i="1"/>
  <c r="A3455" i="1"/>
  <c r="B3455" i="1"/>
  <c r="C3455" i="1"/>
  <c r="D3455" i="1"/>
  <c r="A3456" i="1"/>
  <c r="B3456" i="1"/>
  <c r="C3456" i="1"/>
  <c r="D3456" i="1"/>
  <c r="A3457" i="1"/>
  <c r="B3457" i="1"/>
  <c r="C3457" i="1"/>
  <c r="D3457" i="1"/>
  <c r="A3458" i="1"/>
  <c r="B3458" i="1"/>
  <c r="C3458" i="1"/>
  <c r="D3458" i="1"/>
  <c r="A3459" i="1"/>
  <c r="B3459" i="1"/>
  <c r="C3459" i="1"/>
  <c r="D3459" i="1"/>
  <c r="A3460" i="1"/>
  <c r="B3460" i="1"/>
  <c r="C3460" i="1"/>
  <c r="D3460" i="1"/>
  <c r="A3461" i="1"/>
  <c r="B3461" i="1"/>
  <c r="C3461" i="1"/>
  <c r="D3461" i="1"/>
  <c r="A3462" i="1"/>
  <c r="B3462" i="1"/>
  <c r="C3462" i="1"/>
  <c r="D3462" i="1"/>
  <c r="A3463" i="1"/>
  <c r="B3463" i="1"/>
  <c r="C3463" i="1"/>
  <c r="D3463" i="1"/>
  <c r="A3464" i="1"/>
  <c r="B3464" i="1"/>
  <c r="C3464" i="1"/>
  <c r="D3464" i="1"/>
  <c r="A3465" i="1"/>
  <c r="B3465" i="1"/>
  <c r="C3465" i="1"/>
  <c r="D3465" i="1"/>
  <c r="A3466" i="1"/>
  <c r="B3466" i="1"/>
  <c r="C3466" i="1"/>
  <c r="D3466" i="1"/>
  <c r="A3467" i="1"/>
  <c r="B3467" i="1"/>
  <c r="C3467" i="1"/>
  <c r="D3467" i="1"/>
  <c r="A3468" i="1"/>
  <c r="B3468" i="1"/>
  <c r="C3468" i="1"/>
  <c r="D3468" i="1"/>
  <c r="A3469" i="1"/>
  <c r="B3469" i="1"/>
  <c r="C3469" i="1"/>
  <c r="D3469" i="1"/>
  <c r="A3470" i="1"/>
  <c r="B3470" i="1"/>
  <c r="C3470" i="1"/>
  <c r="D3470" i="1"/>
  <c r="A3471" i="1"/>
  <c r="B3471" i="1"/>
  <c r="C3471" i="1"/>
  <c r="D3471" i="1"/>
  <c r="A3472" i="1"/>
  <c r="B3472" i="1"/>
  <c r="C3472" i="1"/>
  <c r="D3472" i="1"/>
  <c r="A3473" i="1"/>
  <c r="B3473" i="1"/>
  <c r="C3473" i="1"/>
  <c r="D3473" i="1"/>
  <c r="A3474" i="1"/>
  <c r="B3474" i="1"/>
  <c r="C3474" i="1"/>
  <c r="D3474" i="1"/>
  <c r="A3475" i="1"/>
  <c r="B3475" i="1"/>
  <c r="C3475" i="1"/>
  <c r="D3475" i="1"/>
  <c r="A3476" i="1"/>
  <c r="B3476" i="1"/>
  <c r="C3476" i="1"/>
  <c r="D3476" i="1"/>
  <c r="A3477" i="1"/>
  <c r="B3477" i="1"/>
  <c r="C3477" i="1"/>
  <c r="D3477" i="1"/>
  <c r="A3478" i="1"/>
  <c r="B3478" i="1"/>
  <c r="C3478" i="1"/>
  <c r="D3478" i="1"/>
  <c r="A3479" i="1"/>
  <c r="B3479" i="1"/>
  <c r="C3479" i="1"/>
  <c r="D3479" i="1"/>
  <c r="A3480" i="1"/>
  <c r="B3480" i="1"/>
  <c r="C3480" i="1"/>
  <c r="D3480" i="1"/>
  <c r="A3481" i="1"/>
  <c r="B3481" i="1"/>
  <c r="C3481" i="1"/>
  <c r="D3481" i="1"/>
  <c r="A3482" i="1"/>
  <c r="B3482" i="1"/>
  <c r="C3482" i="1"/>
  <c r="D3482" i="1"/>
  <c r="A3483" i="1"/>
  <c r="B3483" i="1"/>
  <c r="C3483" i="1"/>
  <c r="D3483" i="1"/>
  <c r="A3484" i="1"/>
  <c r="B3484" i="1"/>
  <c r="C3484" i="1"/>
  <c r="A3485" i="1"/>
  <c r="B3485" i="1"/>
  <c r="C3485" i="1"/>
  <c r="D3485" i="1"/>
  <c r="A3486" i="1"/>
  <c r="B3486" i="1"/>
  <c r="C3486" i="1"/>
  <c r="D3486" i="1"/>
  <c r="A3487" i="1"/>
  <c r="B3487" i="1"/>
  <c r="C3487" i="1"/>
  <c r="D3487" i="1"/>
  <c r="A3488" i="1"/>
  <c r="B3488" i="1"/>
  <c r="C3488" i="1"/>
  <c r="D3488" i="1"/>
  <c r="A3489" i="1"/>
  <c r="B3489" i="1"/>
  <c r="C3489" i="1"/>
  <c r="D3489" i="1"/>
  <c r="A3490" i="1"/>
  <c r="B3490" i="1"/>
  <c r="C3490" i="1"/>
  <c r="D3490" i="1"/>
  <c r="A3491" i="1"/>
  <c r="B3491" i="1"/>
  <c r="C3491" i="1"/>
  <c r="D3491" i="1"/>
  <c r="A3492" i="1"/>
  <c r="B3492" i="1"/>
  <c r="C3492" i="1"/>
  <c r="D3492" i="1"/>
  <c r="A3493" i="1"/>
  <c r="B3493" i="1"/>
  <c r="C3493" i="1"/>
  <c r="D3493" i="1"/>
  <c r="A3494" i="1"/>
  <c r="B3494" i="1"/>
  <c r="C3494" i="1"/>
  <c r="D3494" i="1"/>
  <c r="A3495" i="1"/>
  <c r="B3495" i="1"/>
  <c r="C3495" i="1"/>
  <c r="D3495" i="1"/>
  <c r="A3496" i="1"/>
  <c r="B3496" i="1"/>
  <c r="C3496" i="1"/>
  <c r="A3497" i="1"/>
  <c r="B3497" i="1"/>
  <c r="C3497" i="1"/>
  <c r="A3498" i="1"/>
  <c r="B3498" i="1"/>
  <c r="C3498" i="1"/>
  <c r="D3498" i="1"/>
  <c r="A3499" i="1"/>
  <c r="B3499" i="1"/>
  <c r="C3499" i="1"/>
  <c r="D3499" i="1"/>
  <c r="A3500" i="1"/>
  <c r="B3500" i="1"/>
  <c r="C3500" i="1"/>
  <c r="D3500" i="1"/>
  <c r="A3501" i="1"/>
  <c r="B3501" i="1"/>
  <c r="C3501" i="1"/>
  <c r="D3501" i="1"/>
  <c r="A3502" i="1"/>
  <c r="B3502" i="1"/>
  <c r="C3502" i="1"/>
  <c r="D3502" i="1"/>
  <c r="A3503" i="1"/>
  <c r="B3503" i="1"/>
  <c r="C3503" i="1"/>
  <c r="D3503" i="1"/>
  <c r="A3504" i="1"/>
  <c r="B3504" i="1"/>
  <c r="C3504" i="1"/>
  <c r="D3504" i="1"/>
  <c r="A3505" i="1"/>
  <c r="B3505" i="1"/>
  <c r="C3505" i="1"/>
  <c r="D3505" i="1"/>
  <c r="A3506" i="1"/>
  <c r="B3506" i="1"/>
  <c r="C3506" i="1"/>
  <c r="D3506" i="1"/>
  <c r="A3507" i="1"/>
  <c r="B3507" i="1"/>
  <c r="C3507" i="1"/>
  <c r="D3507" i="1"/>
  <c r="A3508" i="1"/>
  <c r="B3508" i="1"/>
  <c r="C3508" i="1"/>
  <c r="D3508" i="1"/>
  <c r="A3509" i="1"/>
  <c r="B3509" i="1"/>
  <c r="C3509" i="1"/>
  <c r="D3509" i="1"/>
  <c r="A3510" i="1"/>
  <c r="B3510" i="1"/>
  <c r="C3510" i="1"/>
  <c r="A3511" i="1"/>
  <c r="B3511" i="1"/>
  <c r="C3511" i="1"/>
  <c r="D3511" i="1"/>
  <c r="A3512" i="1"/>
  <c r="B3512" i="1"/>
  <c r="C3512" i="1"/>
  <c r="D3512" i="1"/>
  <c r="A3513" i="1"/>
  <c r="B3513" i="1"/>
  <c r="C3513" i="1"/>
  <c r="D3513" i="1"/>
  <c r="A3514" i="1"/>
  <c r="B3514" i="1"/>
  <c r="C3514" i="1"/>
  <c r="D3514" i="1"/>
  <c r="A3515" i="1"/>
  <c r="B3515" i="1"/>
  <c r="C3515" i="1"/>
  <c r="D3515" i="1"/>
  <c r="A3516" i="1"/>
  <c r="B3516" i="1"/>
  <c r="C3516" i="1"/>
  <c r="D3516" i="1"/>
  <c r="A3517" i="1"/>
  <c r="B3517" i="1"/>
  <c r="C3517" i="1"/>
  <c r="D3517" i="1"/>
  <c r="A3518" i="1"/>
  <c r="B3518" i="1"/>
  <c r="C3518" i="1"/>
  <c r="D3518" i="1"/>
  <c r="A3519" i="1"/>
  <c r="B3519" i="1"/>
  <c r="C3519" i="1"/>
  <c r="D3519" i="1"/>
  <c r="A3520" i="1"/>
  <c r="B3520" i="1"/>
  <c r="C3520" i="1"/>
  <c r="D3520" i="1"/>
  <c r="A3521" i="1"/>
  <c r="B3521" i="1"/>
  <c r="C3521" i="1"/>
  <c r="D3521" i="1"/>
  <c r="A3522" i="1"/>
  <c r="B3522" i="1"/>
  <c r="C3522" i="1"/>
  <c r="D3522" i="1"/>
  <c r="A3523" i="1"/>
  <c r="B3523" i="1"/>
  <c r="C3523" i="1"/>
  <c r="D3523" i="1"/>
  <c r="A3524" i="1"/>
  <c r="B3524" i="1"/>
  <c r="C3524" i="1"/>
  <c r="D3524" i="1"/>
  <c r="A3525" i="1"/>
  <c r="B3525" i="1"/>
  <c r="C3525" i="1"/>
  <c r="D3525" i="1"/>
  <c r="A3526" i="1"/>
  <c r="B3526" i="1"/>
  <c r="C3526" i="1"/>
  <c r="D3526" i="1"/>
  <c r="A3527" i="1"/>
  <c r="B3527" i="1"/>
  <c r="C3527" i="1"/>
  <c r="D3527" i="1"/>
  <c r="A3528" i="1"/>
  <c r="B3528" i="1"/>
  <c r="C3528" i="1"/>
  <c r="D3528" i="1"/>
  <c r="A3529" i="1"/>
  <c r="B3529" i="1"/>
  <c r="C3529" i="1"/>
  <c r="D3529" i="1"/>
  <c r="A3530" i="1"/>
  <c r="B3530" i="1"/>
  <c r="C3530" i="1"/>
  <c r="D3530" i="1"/>
  <c r="A3531" i="1"/>
  <c r="B3531" i="1"/>
  <c r="C3531" i="1"/>
  <c r="D3531" i="1"/>
  <c r="A3532" i="1"/>
  <c r="B3532" i="1"/>
  <c r="C3532" i="1"/>
  <c r="D3532" i="1"/>
  <c r="A3533" i="1"/>
  <c r="B3533" i="1"/>
  <c r="C3533" i="1"/>
  <c r="D3533" i="1"/>
  <c r="A3534" i="1"/>
  <c r="B3534" i="1"/>
  <c r="C3534" i="1"/>
  <c r="A3535" i="1"/>
  <c r="B3535" i="1"/>
  <c r="C3535" i="1"/>
  <c r="D3535" i="1"/>
  <c r="A3536" i="1"/>
  <c r="B3536" i="1"/>
  <c r="C3536" i="1"/>
  <c r="D3536" i="1"/>
  <c r="A3537" i="1"/>
  <c r="B3537" i="1"/>
  <c r="C3537" i="1"/>
  <c r="D3537" i="1"/>
  <c r="A3538" i="1"/>
  <c r="B3538" i="1"/>
  <c r="C3538" i="1"/>
  <c r="D3538" i="1"/>
  <c r="A3539" i="1"/>
  <c r="B3539" i="1"/>
  <c r="C3539" i="1"/>
  <c r="A3540" i="1"/>
  <c r="B3540" i="1"/>
  <c r="C3540" i="1"/>
  <c r="D3540" i="1"/>
  <c r="A3541" i="1"/>
  <c r="B3541" i="1"/>
  <c r="C3541" i="1"/>
  <c r="D3541" i="1"/>
  <c r="A3542" i="1"/>
  <c r="B3542" i="1"/>
  <c r="C3542" i="1"/>
  <c r="A3543" i="1"/>
  <c r="B3543" i="1"/>
  <c r="C3543" i="1"/>
  <c r="D3543" i="1"/>
  <c r="A3544" i="1"/>
  <c r="B3544" i="1"/>
  <c r="C3544" i="1"/>
  <c r="D3544" i="1"/>
  <c r="A3545" i="1"/>
  <c r="B3545" i="1"/>
  <c r="C3545" i="1"/>
  <c r="D3545" i="1"/>
  <c r="A3546" i="1"/>
  <c r="B3546" i="1"/>
  <c r="C3546" i="1"/>
  <c r="D3546" i="1"/>
  <c r="A3547" i="1"/>
  <c r="B3547" i="1"/>
  <c r="C3547" i="1"/>
  <c r="D3547" i="1"/>
  <c r="A3548" i="1"/>
  <c r="B3548" i="1"/>
  <c r="C3548" i="1"/>
  <c r="D3548" i="1"/>
  <c r="A3549" i="1"/>
  <c r="B3549" i="1"/>
  <c r="C3549" i="1"/>
  <c r="D3549" i="1"/>
  <c r="A3550" i="1"/>
  <c r="B3550" i="1"/>
  <c r="C3550" i="1"/>
  <c r="D3550" i="1"/>
  <c r="A3551" i="1"/>
  <c r="B3551" i="1"/>
  <c r="C3551" i="1"/>
  <c r="D3551" i="1"/>
  <c r="A3552" i="1"/>
  <c r="B3552" i="1"/>
  <c r="C3552" i="1"/>
  <c r="D3552" i="1"/>
  <c r="A3553" i="1"/>
  <c r="B3553" i="1"/>
  <c r="C3553" i="1"/>
  <c r="D3553" i="1"/>
  <c r="A3554" i="1"/>
  <c r="B3554" i="1"/>
  <c r="C3554" i="1"/>
  <c r="D3554" i="1"/>
  <c r="A3555" i="1"/>
  <c r="B3555" i="1"/>
  <c r="C3555" i="1"/>
  <c r="D3555" i="1"/>
  <c r="A3556" i="1"/>
  <c r="B3556" i="1"/>
  <c r="C3556" i="1"/>
  <c r="D3556" i="1"/>
  <c r="A3557" i="1"/>
  <c r="B3557" i="1"/>
  <c r="C3557" i="1"/>
  <c r="D3557" i="1"/>
  <c r="A3558" i="1"/>
  <c r="B3558" i="1"/>
  <c r="C3558" i="1"/>
  <c r="D3558" i="1"/>
  <c r="A3559" i="1"/>
  <c r="B3559" i="1"/>
  <c r="C3559" i="1"/>
  <c r="D3559" i="1"/>
  <c r="A3560" i="1"/>
  <c r="B3560" i="1"/>
  <c r="C3560" i="1"/>
  <c r="D3560" i="1"/>
  <c r="A3561" i="1"/>
  <c r="B3561" i="1"/>
  <c r="C3561" i="1"/>
  <c r="D3561" i="1"/>
  <c r="A3562" i="1"/>
  <c r="B3562" i="1"/>
  <c r="C3562" i="1"/>
  <c r="D3562" i="1"/>
  <c r="A3563" i="1"/>
  <c r="B3563" i="1"/>
  <c r="C3563" i="1"/>
  <c r="D3563" i="1"/>
  <c r="A3564" i="1"/>
  <c r="B3564" i="1"/>
  <c r="C3564" i="1"/>
  <c r="D3564" i="1"/>
  <c r="A3565" i="1"/>
  <c r="B3565" i="1"/>
  <c r="C3565" i="1"/>
  <c r="D3565" i="1"/>
  <c r="A3566" i="1"/>
  <c r="B3566" i="1"/>
  <c r="C3566" i="1"/>
  <c r="D3566" i="1"/>
  <c r="A3567" i="1"/>
  <c r="B3567" i="1"/>
  <c r="C3567" i="1"/>
  <c r="D3567" i="1"/>
  <c r="A3568" i="1"/>
  <c r="B3568" i="1"/>
  <c r="C3568" i="1"/>
  <c r="D3568" i="1"/>
  <c r="A3569" i="1"/>
  <c r="B3569" i="1"/>
  <c r="C3569" i="1"/>
  <c r="D3569" i="1"/>
  <c r="A3570" i="1"/>
  <c r="B3570" i="1"/>
  <c r="C3570" i="1"/>
  <c r="D3570" i="1"/>
  <c r="A3571" i="1"/>
  <c r="B3571" i="1"/>
  <c r="C3571" i="1"/>
  <c r="D3571" i="1"/>
  <c r="A3572" i="1"/>
  <c r="B3572" i="1"/>
  <c r="C3572" i="1"/>
  <c r="D3572" i="1"/>
  <c r="A3573" i="1"/>
  <c r="B3573" i="1"/>
  <c r="C3573" i="1"/>
  <c r="D3573" i="1"/>
  <c r="A3574" i="1"/>
  <c r="B3574" i="1"/>
  <c r="C3574" i="1"/>
  <c r="D3574" i="1"/>
  <c r="A3575" i="1"/>
  <c r="B3575" i="1"/>
  <c r="C3575" i="1"/>
  <c r="D3575" i="1"/>
  <c r="A3576" i="1"/>
  <c r="B3576" i="1"/>
  <c r="C3576" i="1"/>
  <c r="D3576" i="1"/>
  <c r="A3577" i="1"/>
  <c r="B3577" i="1"/>
  <c r="C3577" i="1"/>
  <c r="D3577" i="1"/>
  <c r="A3578" i="1"/>
  <c r="B3578" i="1"/>
  <c r="C3578" i="1"/>
  <c r="D3578" i="1"/>
  <c r="A3579" i="1"/>
  <c r="B3579" i="1"/>
  <c r="C3579" i="1"/>
  <c r="D3579" i="1"/>
  <c r="A3580" i="1"/>
  <c r="B3580" i="1"/>
  <c r="C3580" i="1"/>
  <c r="D3580" i="1"/>
  <c r="A3581" i="1"/>
  <c r="B3581" i="1"/>
  <c r="C3581" i="1"/>
  <c r="D3581" i="1"/>
  <c r="A3582" i="1"/>
  <c r="B3582" i="1"/>
  <c r="C3582" i="1"/>
  <c r="D3582" i="1"/>
  <c r="A3583" i="1"/>
  <c r="B3583" i="1"/>
  <c r="C3583" i="1"/>
  <c r="D3583" i="1"/>
  <c r="A3584" i="1"/>
  <c r="B3584" i="1"/>
  <c r="C3584" i="1"/>
  <c r="D3584" i="1"/>
  <c r="A3585" i="1"/>
  <c r="B3585" i="1"/>
  <c r="C3585" i="1"/>
  <c r="D3585" i="1"/>
  <c r="A3586" i="1"/>
  <c r="B3586" i="1"/>
  <c r="C3586" i="1"/>
  <c r="D3586" i="1"/>
  <c r="A3587" i="1"/>
  <c r="B3587" i="1"/>
  <c r="C3587" i="1"/>
  <c r="D3587" i="1"/>
  <c r="A3588" i="1"/>
  <c r="B3588" i="1"/>
  <c r="C3588" i="1"/>
  <c r="D3588" i="1"/>
  <c r="A3589" i="1"/>
  <c r="B3589" i="1"/>
  <c r="C3589" i="1"/>
  <c r="D3589" i="1"/>
  <c r="A3590" i="1"/>
  <c r="B3590" i="1"/>
  <c r="C3590" i="1"/>
  <c r="D3590" i="1"/>
  <c r="A3591" i="1"/>
  <c r="B3591" i="1"/>
  <c r="C3591" i="1"/>
  <c r="D3591" i="1"/>
  <c r="A3592" i="1"/>
  <c r="B3592" i="1"/>
  <c r="C3592" i="1"/>
  <c r="D3592" i="1"/>
  <c r="A3593" i="1"/>
  <c r="B3593" i="1"/>
  <c r="C3593" i="1"/>
  <c r="A3594" i="1"/>
  <c r="B3594" i="1"/>
  <c r="C3594" i="1"/>
  <c r="D3594" i="1"/>
  <c r="A3595" i="1"/>
  <c r="B3595" i="1"/>
  <c r="C3595" i="1"/>
  <c r="D3595" i="1"/>
  <c r="A3596" i="1"/>
  <c r="B3596" i="1"/>
  <c r="C3596" i="1"/>
  <c r="D3596" i="1"/>
  <c r="A3597" i="1"/>
  <c r="B3597" i="1"/>
  <c r="C3597" i="1"/>
  <c r="D3597" i="1"/>
  <c r="A3598" i="1"/>
  <c r="B3598" i="1"/>
  <c r="C3598" i="1"/>
  <c r="A3599" i="1"/>
  <c r="B3599" i="1"/>
  <c r="C3599" i="1"/>
  <c r="D3599" i="1"/>
  <c r="A3600" i="1"/>
  <c r="B3600" i="1"/>
  <c r="C3600" i="1"/>
  <c r="D3600" i="1"/>
  <c r="A3601" i="1"/>
  <c r="B3601" i="1"/>
  <c r="C3601" i="1"/>
  <c r="D3601" i="1"/>
  <c r="A3602" i="1"/>
  <c r="B3602" i="1"/>
  <c r="C3602" i="1"/>
  <c r="A3603" i="1"/>
  <c r="B3603" i="1"/>
  <c r="C3603" i="1"/>
  <c r="D3603" i="1"/>
  <c r="A3604" i="1"/>
  <c r="B3604" i="1"/>
  <c r="C3604" i="1"/>
  <c r="D3604" i="1"/>
  <c r="A3605" i="1"/>
  <c r="B3605" i="1"/>
  <c r="C3605" i="1"/>
  <c r="D3605" i="1"/>
  <c r="A3606" i="1"/>
  <c r="B3606" i="1"/>
  <c r="C3606" i="1"/>
  <c r="D3606" i="1"/>
  <c r="A3607" i="1"/>
  <c r="B3607" i="1"/>
  <c r="C3607" i="1"/>
  <c r="D3607" i="1"/>
  <c r="A3608" i="1"/>
  <c r="B3608" i="1"/>
  <c r="C3608" i="1"/>
  <c r="D3608" i="1"/>
  <c r="A3609" i="1"/>
  <c r="B3609" i="1"/>
  <c r="C3609" i="1"/>
  <c r="D3609" i="1"/>
  <c r="A3610" i="1"/>
  <c r="B3610" i="1"/>
  <c r="C3610" i="1"/>
  <c r="D3610" i="1"/>
  <c r="A3611" i="1"/>
  <c r="B3611" i="1"/>
  <c r="C3611" i="1"/>
  <c r="D3611" i="1"/>
  <c r="A3612" i="1"/>
  <c r="B3612" i="1"/>
  <c r="C3612" i="1"/>
  <c r="D3612" i="1"/>
  <c r="A3613" i="1"/>
  <c r="B3613" i="1"/>
  <c r="C3613" i="1"/>
  <c r="D3613" i="1"/>
  <c r="A3614" i="1"/>
  <c r="B3614" i="1"/>
  <c r="C3614" i="1"/>
  <c r="D3614" i="1"/>
  <c r="A3615" i="1"/>
  <c r="B3615" i="1"/>
  <c r="C3615" i="1"/>
  <c r="D3615" i="1"/>
  <c r="A3616" i="1"/>
  <c r="B3616" i="1"/>
  <c r="C3616" i="1"/>
  <c r="D3616" i="1"/>
  <c r="A3617" i="1"/>
  <c r="B3617" i="1"/>
  <c r="C3617" i="1"/>
  <c r="D3617" i="1"/>
  <c r="A3618" i="1"/>
  <c r="B3618" i="1"/>
  <c r="C3618" i="1"/>
  <c r="D3618" i="1"/>
  <c r="A3619" i="1"/>
  <c r="B3619" i="1"/>
  <c r="C3619" i="1"/>
  <c r="D3619" i="1"/>
  <c r="A3620" i="1"/>
  <c r="B3620" i="1"/>
  <c r="C3620" i="1"/>
  <c r="D3620" i="1"/>
  <c r="A3621" i="1"/>
  <c r="B3621" i="1"/>
  <c r="C3621" i="1"/>
  <c r="D3621" i="1"/>
  <c r="A3622" i="1"/>
  <c r="B3622" i="1"/>
  <c r="C3622" i="1"/>
  <c r="D3622" i="1"/>
  <c r="A3623" i="1"/>
  <c r="B3623" i="1"/>
  <c r="C3623" i="1"/>
  <c r="D3623" i="1"/>
  <c r="A3624" i="1"/>
  <c r="B3624" i="1"/>
  <c r="C3624" i="1"/>
  <c r="D3624" i="1"/>
  <c r="A3625" i="1"/>
  <c r="B3625" i="1"/>
  <c r="C3625" i="1"/>
  <c r="D3625" i="1"/>
  <c r="A3626" i="1"/>
  <c r="B3626" i="1"/>
  <c r="C3626" i="1"/>
  <c r="D3626" i="1"/>
  <c r="A3627" i="1"/>
  <c r="B3627" i="1"/>
  <c r="C3627" i="1"/>
  <c r="D3627" i="1"/>
  <c r="A3628" i="1"/>
  <c r="B3628" i="1"/>
  <c r="C3628" i="1"/>
  <c r="D3628" i="1"/>
  <c r="A3629" i="1"/>
  <c r="B3629" i="1"/>
  <c r="C3629" i="1"/>
  <c r="D3629" i="1"/>
  <c r="A3630" i="1"/>
  <c r="B3630" i="1"/>
  <c r="C3630" i="1"/>
  <c r="D3630" i="1"/>
  <c r="A3631" i="1"/>
  <c r="B3631" i="1"/>
  <c r="C3631" i="1"/>
  <c r="D3631" i="1"/>
  <c r="A3632" i="1"/>
  <c r="B3632" i="1"/>
  <c r="C3632" i="1"/>
  <c r="D3632" i="1"/>
  <c r="A3633" i="1"/>
  <c r="B3633" i="1"/>
  <c r="C3633" i="1"/>
  <c r="D3633" i="1"/>
  <c r="A3634" i="1"/>
  <c r="B3634" i="1"/>
  <c r="C3634" i="1"/>
  <c r="D3634" i="1"/>
  <c r="A3635" i="1"/>
  <c r="B3635" i="1"/>
  <c r="C3635" i="1"/>
  <c r="D3635" i="1"/>
  <c r="A3636" i="1"/>
  <c r="B3636" i="1"/>
  <c r="C3636" i="1"/>
  <c r="D3636" i="1"/>
  <c r="A3637" i="1"/>
  <c r="B3637" i="1"/>
  <c r="C3637" i="1"/>
  <c r="D3637" i="1"/>
  <c r="A3638" i="1"/>
  <c r="B3638" i="1"/>
  <c r="C3638" i="1"/>
  <c r="D3638" i="1"/>
  <c r="A3639" i="1"/>
  <c r="B3639" i="1"/>
  <c r="C3639" i="1"/>
  <c r="D3639" i="1"/>
  <c r="A3640" i="1"/>
  <c r="B3640" i="1"/>
  <c r="C3640" i="1"/>
  <c r="D3640" i="1"/>
  <c r="A3641" i="1"/>
  <c r="B3641" i="1"/>
  <c r="C3641" i="1"/>
  <c r="D3641" i="1"/>
  <c r="A3642" i="1"/>
  <c r="B3642" i="1"/>
  <c r="C3642" i="1"/>
  <c r="D3642" i="1"/>
  <c r="A3643" i="1"/>
  <c r="B3643" i="1"/>
  <c r="C3643" i="1"/>
  <c r="D3643" i="1"/>
  <c r="A3644" i="1"/>
  <c r="B3644" i="1"/>
  <c r="C3644" i="1"/>
  <c r="D3644" i="1"/>
  <c r="A3645" i="1"/>
  <c r="B3645" i="1"/>
  <c r="C3645" i="1"/>
  <c r="D3645" i="1"/>
  <c r="A3646" i="1"/>
  <c r="B3646" i="1"/>
  <c r="C3646" i="1"/>
  <c r="D3646" i="1"/>
  <c r="A3647" i="1"/>
  <c r="B3647" i="1"/>
  <c r="C3647" i="1"/>
  <c r="D3647" i="1"/>
  <c r="A3648" i="1"/>
  <c r="B3648" i="1"/>
  <c r="C3648" i="1"/>
  <c r="D3648" i="1"/>
  <c r="A3649" i="1"/>
  <c r="B3649" i="1"/>
  <c r="C3649" i="1"/>
  <c r="D3649" i="1"/>
  <c r="A3650" i="1"/>
  <c r="B3650" i="1"/>
  <c r="C3650" i="1"/>
  <c r="D3650" i="1"/>
  <c r="A3651" i="1"/>
  <c r="B3651" i="1"/>
  <c r="C3651" i="1"/>
  <c r="D3651" i="1"/>
  <c r="A3652" i="1"/>
  <c r="B3652" i="1"/>
  <c r="C3652" i="1"/>
  <c r="D3652" i="1"/>
  <c r="A3653" i="1"/>
  <c r="B3653" i="1"/>
  <c r="C3653" i="1"/>
  <c r="D3653" i="1"/>
  <c r="A3654" i="1"/>
  <c r="B3654" i="1"/>
  <c r="C3654" i="1"/>
  <c r="D3654" i="1"/>
  <c r="A3655" i="1"/>
  <c r="B3655" i="1"/>
  <c r="C3655" i="1"/>
  <c r="D3655" i="1"/>
  <c r="A3656" i="1"/>
  <c r="B3656" i="1"/>
  <c r="C3656" i="1"/>
  <c r="D3656" i="1"/>
  <c r="A3657" i="1"/>
  <c r="B3657" i="1"/>
  <c r="C3657" i="1"/>
  <c r="D3657" i="1"/>
  <c r="A3658" i="1"/>
  <c r="B3658" i="1"/>
  <c r="C3658" i="1"/>
  <c r="D3658" i="1"/>
  <c r="A3659" i="1"/>
  <c r="B3659" i="1"/>
  <c r="C3659" i="1"/>
  <c r="D3659" i="1"/>
  <c r="A3660" i="1"/>
  <c r="B3660" i="1"/>
  <c r="C3660" i="1"/>
  <c r="D3660" i="1"/>
  <c r="A3661" i="1"/>
  <c r="B3661" i="1"/>
  <c r="C3661" i="1"/>
  <c r="D3661" i="1"/>
  <c r="A3662" i="1"/>
  <c r="B3662" i="1"/>
  <c r="C3662" i="1"/>
  <c r="D3662" i="1"/>
  <c r="A3663" i="1"/>
  <c r="B3663" i="1"/>
  <c r="C3663" i="1"/>
  <c r="D3663" i="1"/>
  <c r="A3664" i="1"/>
  <c r="B3664" i="1"/>
  <c r="C3664" i="1"/>
  <c r="D3664" i="1"/>
  <c r="A3665" i="1"/>
  <c r="B3665" i="1"/>
  <c r="C3665" i="1"/>
  <c r="D3665" i="1"/>
  <c r="A3666" i="1"/>
  <c r="B3666" i="1"/>
  <c r="C3666" i="1"/>
  <c r="D3666" i="1"/>
  <c r="A3667" i="1"/>
  <c r="B3667" i="1"/>
  <c r="C3667" i="1"/>
  <c r="D3667" i="1"/>
  <c r="A3668" i="1"/>
  <c r="B3668" i="1"/>
  <c r="C3668" i="1"/>
  <c r="D3668" i="1"/>
  <c r="A3669" i="1"/>
  <c r="B3669" i="1"/>
  <c r="C3669" i="1"/>
  <c r="D3669" i="1"/>
  <c r="A3670" i="1"/>
  <c r="B3670" i="1"/>
  <c r="C3670" i="1"/>
  <c r="D3670" i="1"/>
  <c r="A3671" i="1"/>
  <c r="B3671" i="1"/>
  <c r="C3671" i="1"/>
  <c r="A3672" i="1"/>
  <c r="B3672" i="1"/>
  <c r="C3672" i="1"/>
  <c r="D3672" i="1"/>
  <c r="A3673" i="1"/>
  <c r="B3673" i="1"/>
  <c r="C3673" i="1"/>
  <c r="D3673" i="1"/>
  <c r="A3674" i="1"/>
  <c r="B3674" i="1"/>
  <c r="C3674" i="1"/>
  <c r="D3674" i="1"/>
  <c r="A3675" i="1"/>
  <c r="B3675" i="1"/>
  <c r="C3675" i="1"/>
  <c r="D3675" i="1"/>
  <c r="A3676" i="1"/>
  <c r="B3676" i="1"/>
  <c r="C3676" i="1"/>
  <c r="D3676" i="1"/>
  <c r="A3677" i="1"/>
  <c r="B3677" i="1"/>
  <c r="C3677" i="1"/>
  <c r="D3677" i="1"/>
  <c r="A3678" i="1"/>
  <c r="B3678" i="1"/>
  <c r="C3678" i="1"/>
  <c r="D3678" i="1"/>
  <c r="A3679" i="1"/>
  <c r="B3679" i="1"/>
  <c r="C3679" i="1"/>
  <c r="D3679" i="1"/>
  <c r="A3680" i="1"/>
  <c r="B3680" i="1"/>
  <c r="C3680" i="1"/>
  <c r="D3680" i="1"/>
  <c r="A3681" i="1"/>
  <c r="B3681" i="1"/>
  <c r="C3681" i="1"/>
  <c r="D3681" i="1"/>
  <c r="A3682" i="1"/>
  <c r="B3682" i="1"/>
  <c r="C3682" i="1"/>
  <c r="D3682" i="1"/>
  <c r="A3683" i="1"/>
  <c r="B3683" i="1"/>
  <c r="C3683" i="1"/>
  <c r="D3683" i="1"/>
  <c r="A3684" i="1"/>
  <c r="B3684" i="1"/>
  <c r="C3684" i="1"/>
  <c r="D3684" i="1"/>
  <c r="A3685" i="1"/>
  <c r="B3685" i="1"/>
  <c r="C3685" i="1"/>
  <c r="D3685" i="1"/>
  <c r="A3686" i="1"/>
  <c r="B3686" i="1"/>
  <c r="C3686" i="1"/>
  <c r="D3686" i="1"/>
  <c r="A3687" i="1"/>
  <c r="B3687" i="1"/>
  <c r="C3687" i="1"/>
  <c r="D3687" i="1"/>
  <c r="A3688" i="1"/>
  <c r="B3688" i="1"/>
  <c r="C3688" i="1"/>
  <c r="D3688" i="1"/>
  <c r="A3689" i="1"/>
  <c r="B3689" i="1"/>
  <c r="C3689" i="1"/>
  <c r="D3689" i="1"/>
  <c r="A3690" i="1"/>
  <c r="B3690" i="1"/>
  <c r="C3690" i="1"/>
  <c r="D3690" i="1"/>
  <c r="A3691" i="1"/>
  <c r="B3691" i="1"/>
  <c r="C3691" i="1"/>
  <c r="D3691" i="1"/>
  <c r="A3692" i="1"/>
  <c r="B3692" i="1"/>
  <c r="C3692" i="1"/>
  <c r="A3693" i="1"/>
  <c r="B3693" i="1"/>
  <c r="C3693" i="1"/>
  <c r="D3693" i="1"/>
  <c r="A3694" i="1"/>
  <c r="B3694" i="1"/>
  <c r="C3694" i="1"/>
  <c r="D3694" i="1"/>
  <c r="A3695" i="1"/>
  <c r="B3695" i="1"/>
  <c r="C3695" i="1"/>
  <c r="D3695" i="1"/>
  <c r="A3696" i="1"/>
  <c r="B3696" i="1"/>
  <c r="C3696" i="1"/>
  <c r="D3696" i="1"/>
  <c r="A3697" i="1"/>
  <c r="B3697" i="1"/>
  <c r="C3697" i="1"/>
  <c r="D3697" i="1"/>
  <c r="A3698" i="1"/>
  <c r="B3698" i="1"/>
  <c r="C3698" i="1"/>
  <c r="A3699" i="1"/>
  <c r="B3699" i="1"/>
  <c r="C3699" i="1"/>
  <c r="D3699" i="1"/>
  <c r="A3700" i="1"/>
  <c r="B3700" i="1"/>
  <c r="C3700" i="1"/>
  <c r="D3700" i="1"/>
  <c r="A3701" i="1"/>
  <c r="B3701" i="1"/>
  <c r="C3701" i="1"/>
  <c r="D3701" i="1"/>
  <c r="A3702" i="1"/>
  <c r="B3702" i="1"/>
  <c r="C3702" i="1"/>
  <c r="D3702" i="1"/>
  <c r="A3703" i="1"/>
  <c r="B3703" i="1"/>
  <c r="C3703" i="1"/>
  <c r="D3703" i="1"/>
  <c r="A3704" i="1"/>
  <c r="B3704" i="1"/>
  <c r="C3704" i="1"/>
  <c r="D3704" i="1"/>
  <c r="A3705" i="1"/>
  <c r="B3705" i="1"/>
  <c r="C3705" i="1"/>
  <c r="D3705" i="1"/>
  <c r="A3706" i="1"/>
  <c r="B3706" i="1"/>
  <c r="C3706" i="1"/>
  <c r="D3706" i="1"/>
  <c r="A3707" i="1"/>
  <c r="B3707" i="1"/>
  <c r="C3707" i="1"/>
  <c r="D3707" i="1"/>
  <c r="A3708" i="1"/>
  <c r="B3708" i="1"/>
  <c r="C3708" i="1"/>
  <c r="D3708" i="1"/>
  <c r="A3709" i="1"/>
  <c r="B3709" i="1"/>
  <c r="C3709" i="1"/>
  <c r="D3709" i="1"/>
  <c r="A3710" i="1"/>
  <c r="B3710" i="1"/>
  <c r="C3710" i="1"/>
  <c r="D3710" i="1"/>
  <c r="A3711" i="1"/>
  <c r="B3711" i="1"/>
  <c r="C3711" i="1"/>
  <c r="D3711" i="1"/>
  <c r="A3712" i="1"/>
  <c r="B3712" i="1"/>
  <c r="C3712" i="1"/>
  <c r="D3712" i="1"/>
  <c r="A3713" i="1"/>
  <c r="B3713" i="1"/>
  <c r="C3713" i="1"/>
  <c r="D3713" i="1"/>
  <c r="A3714" i="1"/>
  <c r="B3714" i="1"/>
  <c r="C3714" i="1"/>
  <c r="D3714" i="1"/>
  <c r="A3715" i="1"/>
  <c r="B3715" i="1"/>
  <c r="C3715" i="1"/>
  <c r="D3715" i="1"/>
  <c r="A3716" i="1"/>
  <c r="B3716" i="1"/>
  <c r="C3716" i="1"/>
  <c r="D3716" i="1"/>
  <c r="A3717" i="1"/>
  <c r="B3717" i="1"/>
  <c r="C3717" i="1"/>
  <c r="D3717" i="1"/>
  <c r="A3718" i="1"/>
  <c r="B3718" i="1"/>
  <c r="C3718" i="1"/>
  <c r="D3718" i="1"/>
  <c r="A3719" i="1"/>
  <c r="B3719" i="1"/>
  <c r="C3719" i="1"/>
  <c r="D3719" i="1"/>
  <c r="A3720" i="1"/>
  <c r="B3720" i="1"/>
  <c r="C3720" i="1"/>
  <c r="D3720" i="1"/>
  <c r="A3721" i="1"/>
  <c r="B3721" i="1"/>
  <c r="C3721" i="1"/>
  <c r="D3721" i="1"/>
  <c r="A3722" i="1"/>
  <c r="B3722" i="1"/>
  <c r="C3722" i="1"/>
  <c r="D3722" i="1"/>
  <c r="A3723" i="1"/>
  <c r="B3723" i="1"/>
  <c r="C3723" i="1"/>
  <c r="D3723" i="1"/>
  <c r="A3724" i="1"/>
  <c r="B3724" i="1"/>
  <c r="C3724" i="1"/>
  <c r="D3724" i="1"/>
  <c r="A3725" i="1"/>
  <c r="B3725" i="1"/>
  <c r="C3725" i="1"/>
  <c r="D3725" i="1"/>
  <c r="A3726" i="1"/>
  <c r="B3726" i="1"/>
  <c r="C3726" i="1"/>
  <c r="D3726" i="1"/>
  <c r="A3727" i="1"/>
  <c r="B3727" i="1"/>
  <c r="C3727" i="1"/>
  <c r="D3727" i="1"/>
  <c r="A3728" i="1"/>
  <c r="B3728" i="1"/>
  <c r="C3728" i="1"/>
  <c r="D3728" i="1"/>
  <c r="A3729" i="1"/>
  <c r="B3729" i="1"/>
  <c r="C3729" i="1"/>
  <c r="D3729" i="1"/>
  <c r="A3730" i="1"/>
  <c r="B3730" i="1"/>
  <c r="C3730" i="1"/>
  <c r="D3730" i="1"/>
  <c r="A3731" i="1"/>
  <c r="B3731" i="1"/>
  <c r="C3731" i="1"/>
  <c r="A3732" i="1"/>
  <c r="B3732" i="1"/>
  <c r="C3732" i="1"/>
  <c r="D3732" i="1"/>
  <c r="A3733" i="1"/>
  <c r="B3733" i="1"/>
  <c r="C3733" i="1"/>
  <c r="D3733" i="1"/>
  <c r="A3734" i="1"/>
  <c r="B3734" i="1"/>
  <c r="C3734" i="1"/>
  <c r="D3734" i="1"/>
  <c r="A3735" i="1"/>
  <c r="B3735" i="1"/>
  <c r="C3735" i="1"/>
  <c r="D3735" i="1"/>
  <c r="A3736" i="1"/>
  <c r="B3736" i="1"/>
  <c r="C3736" i="1"/>
  <c r="D3736" i="1"/>
  <c r="A3737" i="1"/>
  <c r="B3737" i="1"/>
  <c r="C3737" i="1"/>
  <c r="D3737" i="1"/>
  <c r="A3738" i="1"/>
  <c r="B3738" i="1"/>
  <c r="C3738" i="1"/>
  <c r="D3738" i="1"/>
  <c r="A3739" i="1"/>
  <c r="B3739" i="1"/>
  <c r="C3739" i="1"/>
  <c r="D3739" i="1"/>
  <c r="A3740" i="1"/>
  <c r="B3740" i="1"/>
  <c r="C3740" i="1"/>
  <c r="D3740" i="1"/>
  <c r="A3741" i="1"/>
  <c r="B3741" i="1"/>
  <c r="C3741" i="1"/>
  <c r="D3741" i="1"/>
  <c r="A3742" i="1"/>
  <c r="B3742" i="1"/>
  <c r="C3742" i="1"/>
  <c r="D3742" i="1"/>
  <c r="A3743" i="1"/>
  <c r="B3743" i="1"/>
  <c r="C3743" i="1"/>
  <c r="D3743" i="1"/>
  <c r="A3744" i="1"/>
  <c r="B3744" i="1"/>
  <c r="C3744" i="1"/>
  <c r="D3744" i="1"/>
  <c r="A3745" i="1"/>
  <c r="B3745" i="1"/>
  <c r="C3745" i="1"/>
  <c r="A3746" i="1"/>
  <c r="B3746" i="1"/>
  <c r="C3746" i="1"/>
  <c r="D3746" i="1"/>
  <c r="A3747" i="1"/>
  <c r="B3747" i="1"/>
  <c r="C3747" i="1"/>
  <c r="D3747" i="1"/>
  <c r="A3748" i="1"/>
  <c r="B3748" i="1"/>
  <c r="C3748" i="1"/>
  <c r="D3748" i="1"/>
  <c r="A3749" i="1"/>
  <c r="B3749" i="1"/>
  <c r="C3749" i="1"/>
  <c r="D3749" i="1"/>
  <c r="A3750" i="1"/>
  <c r="B3750" i="1"/>
  <c r="C3750" i="1"/>
  <c r="D3750" i="1"/>
  <c r="A3751" i="1"/>
  <c r="B3751" i="1"/>
  <c r="C3751" i="1"/>
  <c r="D3751" i="1"/>
  <c r="A3752" i="1"/>
  <c r="B3752" i="1"/>
  <c r="C3752" i="1"/>
  <c r="D3752" i="1"/>
  <c r="A3753" i="1"/>
  <c r="B3753" i="1"/>
  <c r="C3753" i="1"/>
  <c r="D3753" i="1"/>
  <c r="A3754" i="1"/>
  <c r="B3754" i="1"/>
  <c r="C3754" i="1"/>
  <c r="D3754" i="1"/>
  <c r="A3755" i="1"/>
  <c r="B3755" i="1"/>
  <c r="C3755" i="1"/>
  <c r="D3755" i="1"/>
  <c r="A3756" i="1"/>
  <c r="B3756" i="1"/>
  <c r="C3756" i="1"/>
  <c r="D3756" i="1"/>
  <c r="A3757" i="1"/>
  <c r="B3757" i="1"/>
  <c r="C3757" i="1"/>
  <c r="D3757" i="1"/>
  <c r="A3758" i="1"/>
  <c r="B3758" i="1"/>
  <c r="C3758" i="1"/>
  <c r="D3758" i="1"/>
  <c r="A3759" i="1"/>
  <c r="B3759" i="1"/>
  <c r="C3759" i="1"/>
  <c r="D3759" i="1"/>
  <c r="A3760" i="1"/>
  <c r="B3760" i="1"/>
  <c r="C3760" i="1"/>
  <c r="D3760" i="1"/>
  <c r="A3761" i="1"/>
  <c r="B3761" i="1"/>
  <c r="C3761" i="1"/>
  <c r="D3761" i="1"/>
  <c r="A3762" i="1"/>
  <c r="B3762" i="1"/>
  <c r="C3762" i="1"/>
  <c r="D3762" i="1"/>
  <c r="A3763" i="1"/>
  <c r="B3763" i="1"/>
  <c r="C3763" i="1"/>
  <c r="A3764" i="1"/>
  <c r="B3764" i="1"/>
  <c r="C3764" i="1"/>
  <c r="D3764" i="1"/>
  <c r="A3765" i="1"/>
  <c r="B3765" i="1"/>
  <c r="C3765" i="1"/>
  <c r="D3765" i="1"/>
  <c r="A3766" i="1"/>
  <c r="B3766" i="1"/>
  <c r="C3766" i="1"/>
  <c r="D3766" i="1"/>
  <c r="A3767" i="1"/>
  <c r="B3767" i="1"/>
  <c r="C3767" i="1"/>
  <c r="D3767" i="1"/>
  <c r="A3768" i="1"/>
  <c r="B3768" i="1"/>
  <c r="C3768" i="1"/>
  <c r="D3768" i="1"/>
  <c r="A3769" i="1"/>
  <c r="B3769" i="1"/>
  <c r="C3769" i="1"/>
  <c r="D3769" i="1"/>
  <c r="A3770" i="1"/>
  <c r="B3770" i="1"/>
  <c r="C3770" i="1"/>
  <c r="D3770" i="1"/>
  <c r="A3771" i="1"/>
  <c r="B3771" i="1"/>
  <c r="C3771" i="1"/>
  <c r="D3771" i="1"/>
  <c r="A3772" i="1"/>
  <c r="B3772" i="1"/>
  <c r="C3772" i="1"/>
  <c r="D3772" i="1"/>
  <c r="A3773" i="1"/>
  <c r="B3773" i="1"/>
  <c r="C3773" i="1"/>
  <c r="D3773" i="1"/>
  <c r="A3774" i="1"/>
  <c r="B3774" i="1"/>
  <c r="C3774" i="1"/>
  <c r="D3774" i="1"/>
  <c r="A3775" i="1"/>
  <c r="B3775" i="1"/>
  <c r="C3775" i="1"/>
  <c r="D3775" i="1"/>
  <c r="A3776" i="1"/>
  <c r="B3776" i="1"/>
  <c r="C3776" i="1"/>
  <c r="D3776" i="1"/>
  <c r="A3777" i="1"/>
  <c r="B3777" i="1"/>
  <c r="C3777" i="1"/>
  <c r="D3777" i="1"/>
  <c r="A3778" i="1"/>
  <c r="B3778" i="1"/>
  <c r="C3778" i="1"/>
  <c r="D3778" i="1"/>
  <c r="A3779" i="1"/>
  <c r="B3779" i="1"/>
  <c r="C3779" i="1"/>
  <c r="A3780" i="1"/>
  <c r="B3780" i="1"/>
  <c r="C3780" i="1"/>
  <c r="D3780" i="1"/>
  <c r="A3781" i="1"/>
  <c r="B3781" i="1"/>
  <c r="C3781" i="1"/>
  <c r="D3781" i="1"/>
  <c r="A3782" i="1"/>
  <c r="B3782" i="1"/>
  <c r="C3782" i="1"/>
  <c r="D3782" i="1"/>
  <c r="A3783" i="1"/>
  <c r="B3783" i="1"/>
  <c r="C3783" i="1"/>
  <c r="D3783" i="1"/>
  <c r="A3784" i="1"/>
  <c r="B3784" i="1"/>
  <c r="C3784" i="1"/>
  <c r="D3784" i="1"/>
  <c r="A3785" i="1"/>
  <c r="B3785" i="1"/>
  <c r="C3785" i="1"/>
  <c r="D3785" i="1"/>
  <c r="A3786" i="1"/>
  <c r="B3786" i="1"/>
  <c r="C3786" i="1"/>
  <c r="D3786" i="1"/>
  <c r="A3787" i="1"/>
  <c r="B3787" i="1"/>
  <c r="C3787" i="1"/>
  <c r="D3787" i="1"/>
  <c r="A3788" i="1"/>
  <c r="B3788" i="1"/>
  <c r="C3788" i="1"/>
  <c r="D3788" i="1"/>
  <c r="A3789" i="1"/>
  <c r="B3789" i="1"/>
  <c r="C3789" i="1"/>
  <c r="A3790" i="1"/>
  <c r="B3790" i="1"/>
  <c r="C3790" i="1"/>
  <c r="D3790" i="1"/>
  <c r="A3791" i="1"/>
  <c r="B3791" i="1"/>
  <c r="C3791" i="1"/>
  <c r="D3791" i="1"/>
  <c r="A3792" i="1"/>
  <c r="B3792" i="1"/>
  <c r="C3792" i="1"/>
  <c r="D3792" i="1"/>
  <c r="A3793" i="1"/>
  <c r="B3793" i="1"/>
  <c r="C3793" i="1"/>
  <c r="D3793" i="1"/>
  <c r="A3794" i="1"/>
  <c r="B3794" i="1"/>
  <c r="C3794" i="1"/>
  <c r="D3794" i="1"/>
  <c r="A3795" i="1"/>
  <c r="B3795" i="1"/>
  <c r="C3795" i="1"/>
  <c r="D3795" i="1"/>
  <c r="A3796" i="1"/>
  <c r="B3796" i="1"/>
  <c r="C3796" i="1"/>
  <c r="D3796" i="1"/>
  <c r="A3797" i="1"/>
  <c r="B3797" i="1"/>
  <c r="C3797" i="1"/>
  <c r="D3797" i="1"/>
  <c r="A3798" i="1"/>
  <c r="B3798" i="1"/>
  <c r="C3798" i="1"/>
  <c r="D3798" i="1"/>
  <c r="A3799" i="1"/>
  <c r="B3799" i="1"/>
  <c r="C3799" i="1"/>
  <c r="D3799" i="1"/>
  <c r="A3800" i="1"/>
  <c r="B3800" i="1"/>
  <c r="C3800" i="1"/>
  <c r="D3800" i="1"/>
  <c r="A3801" i="1"/>
  <c r="B3801" i="1"/>
  <c r="C3801" i="1"/>
  <c r="D3801" i="1"/>
  <c r="A3802" i="1"/>
  <c r="B3802" i="1"/>
  <c r="C3802" i="1"/>
  <c r="D3802" i="1"/>
  <c r="A3803" i="1"/>
  <c r="B3803" i="1"/>
  <c r="C3803" i="1"/>
  <c r="D3803" i="1"/>
  <c r="A3804" i="1"/>
  <c r="B3804" i="1"/>
  <c r="C3804" i="1"/>
  <c r="D3804" i="1"/>
  <c r="A3805" i="1"/>
  <c r="B3805" i="1"/>
  <c r="C3805" i="1"/>
  <c r="A3806" i="1"/>
  <c r="B3806" i="1"/>
  <c r="C3806" i="1"/>
  <c r="D3806" i="1"/>
  <c r="A3807" i="1"/>
  <c r="B3807" i="1"/>
  <c r="C3807" i="1"/>
  <c r="D3807" i="1"/>
  <c r="A3808" i="1"/>
  <c r="B3808" i="1"/>
  <c r="C3808" i="1"/>
  <c r="D3808" i="1"/>
  <c r="A3809" i="1"/>
  <c r="B3809" i="1"/>
  <c r="C3809" i="1"/>
  <c r="D3809" i="1"/>
  <c r="A3810" i="1"/>
  <c r="B3810" i="1"/>
  <c r="C3810" i="1"/>
  <c r="D3810" i="1"/>
  <c r="A3811" i="1"/>
  <c r="B3811" i="1"/>
  <c r="C3811" i="1"/>
  <c r="D3811" i="1"/>
  <c r="A3812" i="1"/>
  <c r="B3812" i="1"/>
  <c r="C3812" i="1"/>
  <c r="D3812" i="1"/>
  <c r="A3813" i="1"/>
  <c r="B3813" i="1"/>
  <c r="C3813" i="1"/>
  <c r="D3813" i="1"/>
  <c r="A3814" i="1"/>
  <c r="B3814" i="1"/>
  <c r="C3814" i="1"/>
  <c r="D3814" i="1"/>
  <c r="A3815" i="1"/>
  <c r="B3815" i="1"/>
  <c r="C3815" i="1"/>
  <c r="A3816" i="1"/>
  <c r="B3816" i="1"/>
  <c r="C3816" i="1"/>
  <c r="D3816" i="1"/>
  <c r="A3817" i="1"/>
  <c r="B3817" i="1"/>
  <c r="C3817" i="1"/>
  <c r="D3817" i="1"/>
  <c r="A3818" i="1"/>
  <c r="B3818" i="1"/>
  <c r="C3818" i="1"/>
  <c r="D3818" i="1"/>
  <c r="A3819" i="1"/>
  <c r="B3819" i="1"/>
  <c r="C3819" i="1"/>
  <c r="D3819" i="1"/>
  <c r="A3820" i="1"/>
  <c r="B3820" i="1"/>
  <c r="C3820" i="1"/>
  <c r="D3820" i="1"/>
  <c r="A3821" i="1"/>
  <c r="B3821" i="1"/>
  <c r="C3821" i="1"/>
  <c r="D3821" i="1"/>
  <c r="A3822" i="1"/>
  <c r="B3822" i="1"/>
  <c r="C3822" i="1"/>
  <c r="A3823" i="1"/>
  <c r="B3823" i="1"/>
  <c r="C3823" i="1"/>
  <c r="D3823" i="1"/>
  <c r="A3824" i="1"/>
  <c r="B3824" i="1"/>
  <c r="C3824" i="1"/>
  <c r="D3824" i="1"/>
  <c r="A3825" i="1"/>
  <c r="B3825" i="1"/>
  <c r="C3825" i="1"/>
  <c r="D3825" i="1"/>
  <c r="A3826" i="1"/>
  <c r="B3826" i="1"/>
  <c r="C3826" i="1"/>
  <c r="D3826" i="1"/>
  <c r="A3827" i="1"/>
  <c r="B3827" i="1"/>
  <c r="C3827" i="1"/>
  <c r="D3827" i="1"/>
  <c r="A3828" i="1"/>
  <c r="B3828" i="1"/>
  <c r="C3828" i="1"/>
  <c r="D3828" i="1"/>
  <c r="A3829" i="1"/>
  <c r="B3829" i="1"/>
  <c r="C3829" i="1"/>
  <c r="D3829" i="1"/>
  <c r="A3830" i="1"/>
  <c r="B3830" i="1"/>
  <c r="C3830" i="1"/>
  <c r="D3830" i="1"/>
  <c r="A3831" i="1"/>
  <c r="B3831" i="1"/>
  <c r="C3831" i="1"/>
  <c r="D3831" i="1"/>
  <c r="A3832" i="1"/>
  <c r="B3832" i="1"/>
  <c r="C3832" i="1"/>
  <c r="D3832" i="1"/>
  <c r="A3833" i="1"/>
  <c r="B3833" i="1"/>
  <c r="C3833" i="1"/>
  <c r="D3833" i="1"/>
  <c r="A3834" i="1"/>
  <c r="B3834" i="1"/>
  <c r="C3834" i="1"/>
  <c r="D3834" i="1"/>
  <c r="A3835" i="1"/>
  <c r="B3835" i="1"/>
  <c r="C3835" i="1"/>
  <c r="D3835" i="1"/>
  <c r="A3836" i="1"/>
  <c r="B3836" i="1"/>
  <c r="C3836" i="1"/>
  <c r="D3836" i="1"/>
  <c r="A3837" i="1"/>
  <c r="B3837" i="1"/>
  <c r="C3837" i="1"/>
  <c r="D3837" i="1"/>
  <c r="A3838" i="1"/>
  <c r="B3838" i="1"/>
  <c r="C3838" i="1"/>
  <c r="D3838" i="1"/>
  <c r="A3839" i="1"/>
  <c r="B3839" i="1"/>
  <c r="C3839" i="1"/>
  <c r="D3839" i="1"/>
  <c r="A3840" i="1"/>
  <c r="B3840" i="1"/>
  <c r="C3840" i="1"/>
  <c r="D3840" i="1"/>
  <c r="A3841" i="1"/>
  <c r="B3841" i="1"/>
  <c r="C3841" i="1"/>
  <c r="D3841" i="1"/>
  <c r="A3842" i="1"/>
  <c r="B3842" i="1"/>
  <c r="C3842" i="1"/>
  <c r="D3842" i="1"/>
  <c r="A3843" i="1"/>
  <c r="B3843" i="1"/>
  <c r="C3843" i="1"/>
  <c r="D3843" i="1"/>
  <c r="A3844" i="1"/>
  <c r="B3844" i="1"/>
  <c r="C3844" i="1"/>
  <c r="D3844" i="1"/>
  <c r="A3845" i="1"/>
  <c r="B3845" i="1"/>
  <c r="C3845" i="1"/>
  <c r="D3845" i="1"/>
  <c r="A3846" i="1"/>
  <c r="B3846" i="1"/>
  <c r="C3846" i="1"/>
  <c r="D3846" i="1"/>
  <c r="A3847" i="1"/>
  <c r="B3847" i="1"/>
  <c r="C3847" i="1"/>
  <c r="D3847" i="1"/>
  <c r="A3848" i="1"/>
  <c r="B3848" i="1"/>
  <c r="C3848" i="1"/>
  <c r="D3848" i="1"/>
  <c r="A3849" i="1"/>
  <c r="B3849" i="1"/>
  <c r="C3849" i="1"/>
  <c r="D3849" i="1"/>
  <c r="A3850" i="1"/>
  <c r="B3850" i="1"/>
  <c r="C3850" i="1"/>
  <c r="D3850" i="1"/>
  <c r="A3851" i="1"/>
  <c r="B3851" i="1"/>
  <c r="C3851" i="1"/>
  <c r="D3851" i="1"/>
  <c r="A3852" i="1"/>
  <c r="B3852" i="1"/>
  <c r="C3852" i="1"/>
  <c r="D3852" i="1"/>
  <c r="A3853" i="1"/>
  <c r="B3853" i="1"/>
  <c r="C3853" i="1"/>
  <c r="D3853" i="1"/>
  <c r="A3854" i="1"/>
  <c r="B3854" i="1"/>
  <c r="C3854" i="1"/>
  <c r="D3854" i="1"/>
  <c r="A3855" i="1"/>
  <c r="B3855" i="1"/>
  <c r="C3855" i="1"/>
  <c r="D3855" i="1"/>
  <c r="A3856" i="1"/>
  <c r="B3856" i="1"/>
  <c r="C3856" i="1"/>
  <c r="D3856" i="1"/>
  <c r="A3857" i="1"/>
  <c r="B3857" i="1"/>
  <c r="C3857" i="1"/>
  <c r="D3857" i="1"/>
  <c r="A3858" i="1"/>
  <c r="B3858" i="1"/>
  <c r="C3858" i="1"/>
  <c r="D3858" i="1"/>
  <c r="A3859" i="1"/>
  <c r="B3859" i="1"/>
  <c r="C3859" i="1"/>
  <c r="D3859" i="1"/>
  <c r="A3860" i="1"/>
  <c r="B3860" i="1"/>
  <c r="C3860" i="1"/>
  <c r="D3860" i="1"/>
  <c r="A3861" i="1"/>
  <c r="B3861" i="1"/>
  <c r="C3861" i="1"/>
  <c r="D3861" i="1"/>
  <c r="A3862" i="1"/>
  <c r="B3862" i="1"/>
  <c r="C3862" i="1"/>
  <c r="D3862" i="1"/>
  <c r="A3863" i="1"/>
  <c r="B3863" i="1"/>
  <c r="C3863" i="1"/>
  <c r="D3863" i="1"/>
  <c r="A3864" i="1"/>
  <c r="B3864" i="1"/>
  <c r="C3864" i="1"/>
  <c r="D3864" i="1"/>
  <c r="A3865" i="1"/>
  <c r="B3865" i="1"/>
  <c r="C3865" i="1"/>
  <c r="D3865" i="1"/>
  <c r="A3866" i="1"/>
  <c r="B3866" i="1"/>
  <c r="C3866" i="1"/>
  <c r="D3866" i="1"/>
  <c r="A3867" i="1"/>
  <c r="B3867" i="1"/>
  <c r="C3867" i="1"/>
  <c r="D3867" i="1"/>
  <c r="A3868" i="1"/>
  <c r="B3868" i="1"/>
  <c r="C3868" i="1"/>
  <c r="D3868" i="1"/>
  <c r="A3869" i="1"/>
  <c r="B3869" i="1"/>
  <c r="C3869" i="1"/>
  <c r="D3869" i="1"/>
  <c r="A3870" i="1"/>
  <c r="B3870" i="1"/>
  <c r="C3870" i="1"/>
  <c r="D3870" i="1"/>
  <c r="A3871" i="1"/>
  <c r="B3871" i="1"/>
  <c r="C3871" i="1"/>
  <c r="D3871" i="1"/>
  <c r="A3872" i="1"/>
  <c r="B3872" i="1"/>
  <c r="C3872" i="1"/>
  <c r="D3872" i="1"/>
  <c r="A3873" i="1"/>
  <c r="B3873" i="1"/>
  <c r="C3873" i="1"/>
  <c r="D3873" i="1"/>
  <c r="A3874" i="1"/>
  <c r="B3874" i="1"/>
  <c r="C3874" i="1"/>
  <c r="D3874" i="1"/>
  <c r="A3875" i="1"/>
  <c r="B3875" i="1"/>
  <c r="C3875" i="1"/>
  <c r="D3875" i="1"/>
  <c r="A3876" i="1"/>
  <c r="B3876" i="1"/>
  <c r="C3876" i="1"/>
  <c r="D3876" i="1"/>
  <c r="A3877" i="1"/>
  <c r="B3877" i="1"/>
  <c r="C3877" i="1"/>
  <c r="D3877" i="1"/>
  <c r="A3878" i="1"/>
  <c r="B3878" i="1"/>
  <c r="C3878" i="1"/>
  <c r="D3878" i="1"/>
  <c r="A3879" i="1"/>
  <c r="B3879" i="1"/>
  <c r="C3879" i="1"/>
  <c r="D3879" i="1"/>
  <c r="A3880" i="1"/>
  <c r="B3880" i="1"/>
  <c r="C3880" i="1"/>
  <c r="D3880" i="1"/>
  <c r="A3881" i="1"/>
  <c r="B3881" i="1"/>
  <c r="C3881" i="1"/>
  <c r="D3881" i="1"/>
  <c r="A3882" i="1"/>
  <c r="B3882" i="1"/>
  <c r="C3882" i="1"/>
  <c r="D3882" i="1"/>
  <c r="A3883" i="1"/>
  <c r="B3883" i="1"/>
  <c r="C3883" i="1"/>
  <c r="D3883" i="1"/>
  <c r="A3884" i="1"/>
  <c r="B3884" i="1"/>
  <c r="C3884" i="1"/>
  <c r="D3884" i="1"/>
  <c r="A3885" i="1"/>
  <c r="B3885" i="1"/>
  <c r="C3885" i="1"/>
  <c r="D3885" i="1"/>
  <c r="A3886" i="1"/>
  <c r="B3886" i="1"/>
  <c r="C3886" i="1"/>
  <c r="A3887" i="1"/>
  <c r="B3887" i="1"/>
  <c r="C3887" i="1"/>
  <c r="D3887" i="1"/>
  <c r="A3888" i="1"/>
  <c r="B3888" i="1"/>
  <c r="C3888" i="1"/>
  <c r="D3888" i="1"/>
  <c r="A3889" i="1"/>
  <c r="B3889" i="1"/>
  <c r="C3889" i="1"/>
  <c r="D3889" i="1"/>
  <c r="A3890" i="1"/>
  <c r="B3890" i="1"/>
  <c r="C3890" i="1"/>
  <c r="D3890" i="1"/>
  <c r="A3891" i="1"/>
  <c r="B3891" i="1"/>
  <c r="C3891" i="1"/>
  <c r="D3891" i="1"/>
  <c r="A3892" i="1"/>
  <c r="B3892" i="1"/>
  <c r="C3892" i="1"/>
  <c r="D3892" i="1"/>
  <c r="A3893" i="1"/>
  <c r="B3893" i="1"/>
  <c r="C3893" i="1"/>
  <c r="D3893" i="1"/>
  <c r="A3894" i="1"/>
  <c r="B3894" i="1"/>
  <c r="C3894" i="1"/>
  <c r="D3894" i="1"/>
  <c r="A3895" i="1"/>
  <c r="B3895" i="1"/>
  <c r="C3895" i="1"/>
  <c r="D3895" i="1"/>
  <c r="A3896" i="1"/>
  <c r="B3896" i="1"/>
  <c r="C3896" i="1"/>
  <c r="D3896" i="1"/>
  <c r="A3897" i="1"/>
  <c r="B3897" i="1"/>
  <c r="C3897" i="1"/>
  <c r="D3897" i="1"/>
  <c r="A3898" i="1"/>
  <c r="B3898" i="1"/>
  <c r="C3898" i="1"/>
  <c r="D3898" i="1"/>
  <c r="A3899" i="1"/>
  <c r="B3899" i="1"/>
  <c r="C3899" i="1"/>
  <c r="D3899" i="1"/>
  <c r="A3900" i="1"/>
  <c r="B3900" i="1"/>
  <c r="C3900" i="1"/>
  <c r="D3900" i="1"/>
  <c r="A3901" i="1"/>
  <c r="B3901" i="1"/>
  <c r="C3901" i="1"/>
  <c r="D3901" i="1"/>
  <c r="A3902" i="1"/>
  <c r="B3902" i="1"/>
  <c r="C3902" i="1"/>
  <c r="D3902" i="1"/>
  <c r="A3903" i="1"/>
  <c r="B3903" i="1"/>
  <c r="C3903" i="1"/>
  <c r="D3903" i="1"/>
  <c r="A3904" i="1"/>
  <c r="B3904" i="1"/>
  <c r="C3904" i="1"/>
  <c r="D3904" i="1"/>
  <c r="A3905" i="1"/>
  <c r="B3905" i="1"/>
  <c r="C3905" i="1"/>
  <c r="D3905" i="1"/>
  <c r="A3906" i="1"/>
  <c r="B3906" i="1"/>
  <c r="C3906" i="1"/>
  <c r="D3906" i="1"/>
  <c r="A3907" i="1"/>
  <c r="B3907" i="1"/>
  <c r="C3907" i="1"/>
  <c r="D3907" i="1"/>
  <c r="A3908" i="1"/>
  <c r="B3908" i="1"/>
  <c r="C3908" i="1"/>
  <c r="D3908" i="1"/>
  <c r="A3909" i="1"/>
  <c r="B3909" i="1"/>
  <c r="C3909" i="1"/>
  <c r="D3909" i="1"/>
  <c r="A3910" i="1"/>
  <c r="B3910" i="1"/>
  <c r="C3910" i="1"/>
  <c r="D3910" i="1"/>
  <c r="A3911" i="1"/>
  <c r="B3911" i="1"/>
  <c r="C3911" i="1"/>
  <c r="D3911" i="1"/>
  <c r="A3912" i="1"/>
  <c r="B3912" i="1"/>
  <c r="C3912" i="1"/>
  <c r="D3912" i="1"/>
  <c r="A3913" i="1"/>
  <c r="B3913" i="1"/>
  <c r="C3913" i="1"/>
  <c r="D3913" i="1"/>
  <c r="A3914" i="1"/>
  <c r="B3914" i="1"/>
  <c r="C3914" i="1"/>
  <c r="D3914" i="1"/>
  <c r="A3915" i="1"/>
  <c r="B3915" i="1"/>
  <c r="C3915" i="1"/>
  <c r="D3915" i="1"/>
  <c r="A3916" i="1"/>
  <c r="B3916" i="1"/>
  <c r="C3916" i="1"/>
  <c r="D3916" i="1"/>
  <c r="A3917" i="1"/>
  <c r="B3917" i="1"/>
  <c r="C3917" i="1"/>
  <c r="D3917" i="1"/>
  <c r="A3918" i="1"/>
  <c r="B3918" i="1"/>
  <c r="C3918" i="1"/>
  <c r="D3918" i="1"/>
  <c r="A3919" i="1"/>
  <c r="B3919" i="1"/>
  <c r="C3919" i="1"/>
  <c r="D3919" i="1"/>
  <c r="A3920" i="1"/>
  <c r="B3920" i="1"/>
  <c r="C3920" i="1"/>
  <c r="D3920" i="1"/>
  <c r="A3921" i="1"/>
  <c r="B3921" i="1"/>
  <c r="C3921" i="1"/>
  <c r="D3921" i="1"/>
  <c r="A3922" i="1"/>
  <c r="B3922" i="1"/>
  <c r="C3922" i="1"/>
  <c r="D3922" i="1"/>
  <c r="A3923" i="1"/>
  <c r="B3923" i="1"/>
  <c r="C3923" i="1"/>
  <c r="D3923" i="1"/>
  <c r="A3924" i="1"/>
  <c r="B3924" i="1"/>
  <c r="C3924" i="1"/>
  <c r="D3924" i="1"/>
  <c r="A3925" i="1"/>
  <c r="B3925" i="1"/>
  <c r="C3925" i="1"/>
  <c r="D3925" i="1"/>
  <c r="A3926" i="1"/>
  <c r="B3926" i="1"/>
  <c r="C3926" i="1"/>
  <c r="D3926" i="1"/>
  <c r="A3927" i="1"/>
  <c r="B3927" i="1"/>
  <c r="C3927" i="1"/>
  <c r="D3927" i="1"/>
  <c r="A3928" i="1"/>
  <c r="B3928" i="1"/>
  <c r="C3928" i="1"/>
  <c r="D3928" i="1"/>
  <c r="A3929" i="1"/>
  <c r="B3929" i="1"/>
  <c r="C3929" i="1"/>
  <c r="D3929" i="1"/>
  <c r="A3930" i="1"/>
  <c r="B3930" i="1"/>
  <c r="C3930" i="1"/>
  <c r="D3930" i="1"/>
  <c r="A3931" i="1"/>
  <c r="B3931" i="1"/>
  <c r="C3931" i="1"/>
  <c r="D3931" i="1"/>
  <c r="A3932" i="1"/>
  <c r="B3932" i="1"/>
  <c r="C3932" i="1"/>
  <c r="D3932" i="1"/>
  <c r="A3933" i="1"/>
  <c r="B3933" i="1"/>
  <c r="C3933" i="1"/>
  <c r="D3933" i="1"/>
  <c r="A3934" i="1"/>
  <c r="B3934" i="1"/>
  <c r="C3934" i="1"/>
  <c r="D3934" i="1"/>
  <c r="A3935" i="1"/>
  <c r="B3935" i="1"/>
  <c r="C3935" i="1"/>
  <c r="D3935" i="1"/>
  <c r="A3936" i="1"/>
  <c r="B3936" i="1"/>
  <c r="C3936" i="1"/>
  <c r="D3936" i="1"/>
  <c r="A3937" i="1"/>
  <c r="B3937" i="1"/>
  <c r="C3937" i="1"/>
  <c r="D3937" i="1"/>
  <c r="A3938" i="1"/>
  <c r="B3938" i="1"/>
  <c r="C3938" i="1"/>
  <c r="D3938" i="1"/>
  <c r="A3939" i="1"/>
  <c r="B3939" i="1"/>
  <c r="C3939" i="1"/>
  <c r="D3939" i="1"/>
  <c r="A3940" i="1"/>
  <c r="B3940" i="1"/>
  <c r="C3940" i="1"/>
  <c r="D3940" i="1"/>
  <c r="A3941" i="1"/>
  <c r="B3941" i="1"/>
  <c r="C3941" i="1"/>
  <c r="D3941" i="1"/>
  <c r="A3942" i="1"/>
  <c r="B3942" i="1"/>
  <c r="C3942" i="1"/>
  <c r="D3942" i="1"/>
  <c r="A3943" i="1"/>
  <c r="B3943" i="1"/>
  <c r="C3943" i="1"/>
  <c r="D3943" i="1"/>
  <c r="A3944" i="1"/>
  <c r="B3944" i="1"/>
  <c r="C3944" i="1"/>
  <c r="D3944" i="1"/>
  <c r="A3945" i="1"/>
  <c r="B3945" i="1"/>
  <c r="C3945" i="1"/>
  <c r="D3945" i="1"/>
  <c r="A3946" i="1"/>
  <c r="B3946" i="1"/>
  <c r="C3946" i="1"/>
  <c r="D3946" i="1"/>
  <c r="A3947" i="1"/>
  <c r="B3947" i="1"/>
  <c r="C3947" i="1"/>
  <c r="D3947" i="1"/>
  <c r="A3948" i="1"/>
  <c r="B3948" i="1"/>
  <c r="C3948" i="1"/>
  <c r="D3948" i="1"/>
  <c r="A3949" i="1"/>
  <c r="B3949" i="1"/>
  <c r="C3949" i="1"/>
  <c r="D3949" i="1"/>
  <c r="A3950" i="1"/>
  <c r="B3950" i="1"/>
  <c r="C3950" i="1"/>
  <c r="D3950" i="1"/>
  <c r="A3951" i="1"/>
  <c r="B3951" i="1"/>
  <c r="C3951" i="1"/>
  <c r="D3951" i="1"/>
  <c r="A3952" i="1"/>
  <c r="B3952" i="1"/>
  <c r="C3952" i="1"/>
  <c r="D3952" i="1"/>
  <c r="A3953" i="1"/>
  <c r="B3953" i="1"/>
  <c r="C3953" i="1"/>
  <c r="D3953" i="1"/>
  <c r="A3954" i="1"/>
  <c r="B3954" i="1"/>
  <c r="C3954" i="1"/>
  <c r="D3954" i="1"/>
  <c r="A3955" i="1"/>
  <c r="B3955" i="1"/>
  <c r="C3955" i="1"/>
  <c r="D3955" i="1"/>
  <c r="A3956" i="1"/>
  <c r="B3956" i="1"/>
  <c r="C3956" i="1"/>
  <c r="D3956" i="1"/>
  <c r="A3957" i="1"/>
  <c r="B3957" i="1"/>
  <c r="C3957" i="1"/>
  <c r="D3957" i="1"/>
  <c r="A3958" i="1"/>
  <c r="B3958" i="1"/>
  <c r="C3958" i="1"/>
  <c r="D3958" i="1"/>
  <c r="A3959" i="1"/>
  <c r="B3959" i="1"/>
  <c r="C3959" i="1"/>
  <c r="D3959" i="1"/>
  <c r="A3960" i="1"/>
  <c r="B3960" i="1"/>
  <c r="C3960" i="1"/>
  <c r="D3960" i="1"/>
  <c r="A3961" i="1"/>
  <c r="B3961" i="1"/>
  <c r="C3961" i="1"/>
  <c r="D3961" i="1"/>
  <c r="A3962" i="1"/>
  <c r="B3962" i="1"/>
  <c r="C3962" i="1"/>
  <c r="D3962" i="1"/>
  <c r="A3963" i="1"/>
  <c r="B3963" i="1"/>
  <c r="C3963" i="1"/>
  <c r="D3963" i="1"/>
  <c r="A3964" i="1"/>
  <c r="B3964" i="1"/>
  <c r="C3964" i="1"/>
  <c r="D3964" i="1"/>
  <c r="A3965" i="1"/>
  <c r="B3965" i="1"/>
  <c r="C3965" i="1"/>
  <c r="D3965" i="1"/>
  <c r="A3966" i="1"/>
  <c r="B3966" i="1"/>
  <c r="C3966" i="1"/>
  <c r="D3966" i="1"/>
  <c r="A3967" i="1"/>
  <c r="B3967" i="1"/>
  <c r="C3967" i="1"/>
  <c r="D3967" i="1"/>
  <c r="A3968" i="1"/>
  <c r="B3968" i="1"/>
  <c r="C3968" i="1"/>
  <c r="D3968" i="1"/>
  <c r="A3969" i="1"/>
  <c r="B3969" i="1"/>
  <c r="C3969" i="1"/>
  <c r="D3969" i="1"/>
  <c r="A3970" i="1"/>
  <c r="B3970" i="1"/>
  <c r="C3970" i="1"/>
  <c r="D3970" i="1"/>
  <c r="A3971" i="1"/>
  <c r="B3971" i="1"/>
  <c r="C3971" i="1"/>
  <c r="D3971" i="1"/>
  <c r="A3972" i="1"/>
  <c r="B3972" i="1"/>
  <c r="C3972" i="1"/>
  <c r="D3972" i="1"/>
  <c r="A3973" i="1"/>
  <c r="B3973" i="1"/>
  <c r="C3973" i="1"/>
  <c r="D3973" i="1"/>
  <c r="A3974" i="1"/>
  <c r="B3974" i="1"/>
  <c r="C3974" i="1"/>
  <c r="D3974" i="1"/>
  <c r="A3975" i="1"/>
  <c r="B3975" i="1"/>
  <c r="C3975" i="1"/>
  <c r="D3975" i="1"/>
  <c r="A3976" i="1"/>
  <c r="B3976" i="1"/>
  <c r="C3976" i="1"/>
  <c r="D3976" i="1"/>
  <c r="A3977" i="1"/>
  <c r="B3977" i="1"/>
  <c r="C3977" i="1"/>
  <c r="D3977" i="1"/>
  <c r="A3978" i="1"/>
  <c r="B3978" i="1"/>
  <c r="C3978" i="1"/>
  <c r="D3978" i="1"/>
  <c r="A3979" i="1"/>
  <c r="B3979" i="1"/>
  <c r="C3979" i="1"/>
  <c r="D3979" i="1"/>
  <c r="A3980" i="1"/>
  <c r="B3980" i="1"/>
  <c r="C3980" i="1"/>
  <c r="D3980" i="1"/>
  <c r="A3981" i="1"/>
  <c r="B3981" i="1"/>
  <c r="C3981" i="1"/>
  <c r="D3981" i="1"/>
  <c r="A3982" i="1"/>
  <c r="B3982" i="1"/>
  <c r="C3982" i="1"/>
  <c r="D3982" i="1"/>
  <c r="A3983" i="1"/>
  <c r="B3983" i="1"/>
  <c r="C3983" i="1"/>
  <c r="D3983" i="1"/>
  <c r="A3984" i="1"/>
  <c r="B3984" i="1"/>
  <c r="C3984" i="1"/>
  <c r="D3984" i="1"/>
  <c r="A3985" i="1"/>
  <c r="B3985" i="1"/>
  <c r="C3985" i="1"/>
  <c r="D3985" i="1"/>
  <c r="A3986" i="1"/>
  <c r="B3986" i="1"/>
  <c r="C3986" i="1"/>
  <c r="D3986" i="1"/>
  <c r="A3987" i="1"/>
  <c r="B3987" i="1"/>
  <c r="C3987" i="1"/>
  <c r="D3987" i="1"/>
  <c r="A3988" i="1"/>
  <c r="B3988" i="1"/>
  <c r="C3988" i="1"/>
  <c r="D3988" i="1"/>
  <c r="A3989" i="1"/>
  <c r="B3989" i="1"/>
  <c r="C3989" i="1"/>
  <c r="D3989" i="1"/>
  <c r="A3990" i="1"/>
  <c r="B3990" i="1"/>
  <c r="C3990" i="1"/>
  <c r="D3990" i="1"/>
  <c r="A3991" i="1"/>
  <c r="B3991" i="1"/>
  <c r="C3991" i="1"/>
  <c r="D3991" i="1"/>
  <c r="A3992" i="1"/>
  <c r="B3992" i="1"/>
  <c r="C3992" i="1"/>
  <c r="D3992" i="1"/>
  <c r="A3993" i="1"/>
  <c r="B3993" i="1"/>
  <c r="C3993" i="1"/>
  <c r="D3993" i="1"/>
  <c r="A3994" i="1"/>
  <c r="B3994" i="1"/>
  <c r="C3994" i="1"/>
  <c r="D3994" i="1"/>
  <c r="A3995" i="1"/>
  <c r="B3995" i="1"/>
  <c r="C3995" i="1"/>
  <c r="D3995" i="1"/>
  <c r="A3996" i="1"/>
  <c r="B3996" i="1"/>
  <c r="C3996" i="1"/>
  <c r="D3996" i="1"/>
  <c r="A3997" i="1"/>
  <c r="B3997" i="1"/>
  <c r="C3997" i="1"/>
  <c r="D3997" i="1"/>
  <c r="A3998" i="1"/>
  <c r="B3998" i="1"/>
  <c r="C3998" i="1"/>
  <c r="A3999" i="1"/>
  <c r="B3999" i="1"/>
  <c r="C3999" i="1"/>
  <c r="D3999" i="1"/>
  <c r="A4000" i="1"/>
  <c r="B4000" i="1"/>
  <c r="C4000" i="1"/>
  <c r="D4000" i="1"/>
  <c r="A4001" i="1"/>
  <c r="B4001" i="1"/>
  <c r="C4001" i="1"/>
  <c r="D4001" i="1"/>
  <c r="A4002" i="1"/>
  <c r="B4002" i="1"/>
  <c r="C4002" i="1"/>
  <c r="D4002" i="1"/>
  <c r="A4003" i="1"/>
  <c r="B4003" i="1"/>
  <c r="C4003" i="1"/>
  <c r="D4003" i="1"/>
  <c r="A4004" i="1"/>
  <c r="B4004" i="1"/>
  <c r="C4004" i="1"/>
  <c r="D4004" i="1"/>
  <c r="A4005" i="1"/>
  <c r="B4005" i="1"/>
  <c r="C4005" i="1"/>
  <c r="D4005" i="1"/>
  <c r="A4006" i="1"/>
  <c r="B4006" i="1"/>
  <c r="C4006" i="1"/>
  <c r="D4006" i="1"/>
  <c r="A4007" i="1"/>
  <c r="B4007" i="1"/>
  <c r="C4007" i="1"/>
  <c r="D4007" i="1"/>
  <c r="A4008" i="1"/>
  <c r="B4008" i="1"/>
  <c r="C4008" i="1"/>
  <c r="D4008" i="1"/>
  <c r="A4009" i="1"/>
  <c r="B4009" i="1"/>
  <c r="C4009" i="1"/>
  <c r="D4009" i="1"/>
  <c r="A4010" i="1"/>
  <c r="B4010" i="1"/>
  <c r="C4010" i="1"/>
  <c r="A4011" i="1"/>
  <c r="B4011" i="1"/>
  <c r="C4011" i="1"/>
  <c r="D4011" i="1"/>
  <c r="A4012" i="1"/>
  <c r="B4012" i="1"/>
  <c r="C4012" i="1"/>
  <c r="D4012" i="1"/>
  <c r="A4013" i="1"/>
  <c r="B4013" i="1"/>
  <c r="C4013" i="1"/>
  <c r="D4013" i="1"/>
  <c r="A4014" i="1"/>
  <c r="B4014" i="1"/>
  <c r="C4014" i="1"/>
  <c r="D4014" i="1"/>
  <c r="A4015" i="1"/>
  <c r="B4015" i="1"/>
  <c r="C4015" i="1"/>
  <c r="D4015" i="1"/>
  <c r="A4016" i="1"/>
  <c r="B4016" i="1"/>
  <c r="C4016" i="1"/>
  <c r="D4016" i="1"/>
  <c r="A4017" i="1"/>
  <c r="B4017" i="1"/>
  <c r="C4017" i="1"/>
  <c r="D4017" i="1"/>
  <c r="A4018" i="1"/>
  <c r="B4018" i="1"/>
  <c r="C4018" i="1"/>
  <c r="D4018" i="1"/>
  <c r="A4019" i="1"/>
  <c r="B4019" i="1"/>
  <c r="C4019" i="1"/>
  <c r="D4019" i="1"/>
  <c r="A4020" i="1"/>
  <c r="B4020" i="1"/>
  <c r="C4020" i="1"/>
  <c r="D4020" i="1"/>
  <c r="A4021" i="1"/>
  <c r="B4021" i="1"/>
  <c r="C4021" i="1"/>
  <c r="D4021" i="1"/>
  <c r="A4022" i="1"/>
  <c r="B4022" i="1"/>
  <c r="C4022" i="1"/>
  <c r="D4022" i="1"/>
  <c r="A4023" i="1"/>
  <c r="B4023" i="1"/>
  <c r="C4023" i="1"/>
  <c r="D4023" i="1"/>
  <c r="A4024" i="1"/>
  <c r="B4024" i="1"/>
  <c r="C4024" i="1"/>
  <c r="D4024" i="1"/>
  <c r="A4025" i="1"/>
  <c r="B4025" i="1"/>
  <c r="C4025" i="1"/>
  <c r="D4025" i="1"/>
  <c r="A4026" i="1"/>
  <c r="B4026" i="1"/>
  <c r="C4026" i="1"/>
  <c r="D4026" i="1"/>
  <c r="A4027" i="1"/>
  <c r="B4027" i="1"/>
  <c r="C4027" i="1"/>
  <c r="A4028" i="1"/>
  <c r="B4028" i="1"/>
  <c r="C4028" i="1"/>
  <c r="D4028" i="1"/>
  <c r="A4029" i="1"/>
  <c r="B4029" i="1"/>
  <c r="C4029" i="1"/>
  <c r="D4029" i="1"/>
  <c r="A4030" i="1"/>
  <c r="B4030" i="1"/>
  <c r="C4030" i="1"/>
  <c r="D4030" i="1"/>
  <c r="A4031" i="1"/>
  <c r="B4031" i="1"/>
  <c r="C4031" i="1"/>
  <c r="D4031" i="1"/>
  <c r="A4032" i="1"/>
  <c r="B4032" i="1"/>
  <c r="C4032" i="1"/>
  <c r="D4032" i="1"/>
  <c r="A4033" i="1"/>
  <c r="B4033" i="1"/>
  <c r="C4033" i="1"/>
  <c r="D4033" i="1"/>
  <c r="A4034" i="1"/>
  <c r="B4034" i="1"/>
  <c r="C4034" i="1"/>
  <c r="D4034" i="1"/>
  <c r="A4035" i="1"/>
  <c r="B4035" i="1"/>
  <c r="C4035" i="1"/>
  <c r="D4035" i="1"/>
  <c r="A4036" i="1"/>
  <c r="B4036" i="1"/>
  <c r="C4036" i="1"/>
  <c r="D4036" i="1"/>
  <c r="A4037" i="1"/>
  <c r="B4037" i="1"/>
  <c r="C4037" i="1"/>
  <c r="D4037" i="1"/>
  <c r="A4038" i="1"/>
  <c r="B4038" i="1"/>
  <c r="C4038" i="1"/>
  <c r="D4038" i="1"/>
  <c r="A4039" i="1"/>
  <c r="B4039" i="1"/>
  <c r="C4039" i="1"/>
  <c r="D4039" i="1"/>
  <c r="A4040" i="1"/>
  <c r="B4040" i="1"/>
  <c r="C4040" i="1"/>
  <c r="D4040" i="1"/>
  <c r="A4041" i="1"/>
  <c r="B4041" i="1"/>
  <c r="C4041" i="1"/>
  <c r="D4041" i="1"/>
  <c r="A4042" i="1"/>
  <c r="B4042" i="1"/>
  <c r="C4042" i="1"/>
  <c r="D4042" i="1"/>
  <c r="A4043" i="1"/>
  <c r="B4043" i="1"/>
  <c r="C4043" i="1"/>
  <c r="D4043" i="1"/>
  <c r="A4044" i="1"/>
  <c r="B4044" i="1"/>
  <c r="C4044" i="1"/>
  <c r="D4044" i="1"/>
  <c r="A4045" i="1"/>
  <c r="B4045" i="1"/>
  <c r="C4045" i="1"/>
  <c r="D4045" i="1"/>
  <c r="A4046" i="1"/>
  <c r="B4046" i="1"/>
  <c r="C4046" i="1"/>
  <c r="D4046" i="1"/>
  <c r="A4047" i="1"/>
  <c r="B4047" i="1"/>
  <c r="C4047" i="1"/>
  <c r="D4047" i="1"/>
  <c r="A4048" i="1"/>
  <c r="B4048" i="1"/>
  <c r="C4048" i="1"/>
  <c r="D4048" i="1"/>
  <c r="A4049" i="1"/>
  <c r="B4049" i="1"/>
  <c r="C4049" i="1"/>
  <c r="D4049" i="1"/>
  <c r="A4050" i="1"/>
  <c r="B4050" i="1"/>
  <c r="C4050" i="1"/>
  <c r="D4050" i="1"/>
  <c r="A4051" i="1"/>
  <c r="B4051" i="1"/>
  <c r="C4051" i="1"/>
  <c r="D4051" i="1"/>
  <c r="A4052" i="1"/>
  <c r="B4052" i="1"/>
  <c r="C4052" i="1"/>
  <c r="D4052" i="1"/>
  <c r="A4053" i="1"/>
  <c r="B4053" i="1"/>
  <c r="C4053" i="1"/>
  <c r="D4053" i="1"/>
  <c r="A4054" i="1"/>
  <c r="B4054" i="1"/>
  <c r="C4054" i="1"/>
  <c r="A4055" i="1"/>
  <c r="B4055" i="1"/>
  <c r="C4055" i="1"/>
  <c r="D4055" i="1"/>
  <c r="A4056" i="1"/>
  <c r="B4056" i="1"/>
  <c r="C4056" i="1"/>
  <c r="D4056" i="1"/>
  <c r="A4057" i="1"/>
  <c r="B4057" i="1"/>
  <c r="C4057" i="1"/>
  <c r="D4057" i="1"/>
  <c r="A4058" i="1"/>
  <c r="B4058" i="1"/>
  <c r="C4058" i="1"/>
  <c r="A4059" i="1"/>
  <c r="B4059" i="1"/>
  <c r="C4059" i="1"/>
  <c r="D4059" i="1"/>
  <c r="A4060" i="1"/>
  <c r="B4060" i="1"/>
  <c r="C4060" i="1"/>
  <c r="D4060" i="1"/>
  <c r="A4061" i="1"/>
  <c r="B4061" i="1"/>
  <c r="C4061" i="1"/>
  <c r="D4061" i="1"/>
  <c r="A4062" i="1"/>
  <c r="B4062" i="1"/>
  <c r="C4062" i="1"/>
  <c r="D4062" i="1"/>
  <c r="A4063" i="1"/>
  <c r="B4063" i="1"/>
  <c r="C4063" i="1"/>
  <c r="D4063" i="1"/>
  <c r="A4064" i="1"/>
  <c r="B4064" i="1"/>
  <c r="C4064" i="1"/>
  <c r="D4064" i="1"/>
  <c r="A4065" i="1"/>
  <c r="B4065" i="1"/>
  <c r="C4065" i="1"/>
  <c r="D4065" i="1"/>
  <c r="A4066" i="1"/>
  <c r="B4066" i="1"/>
  <c r="C4066" i="1"/>
  <c r="D4066" i="1"/>
  <c r="A4067" i="1"/>
  <c r="B4067" i="1"/>
  <c r="C4067" i="1"/>
  <c r="D4067" i="1"/>
  <c r="A4068" i="1"/>
  <c r="B4068" i="1"/>
  <c r="C4068" i="1"/>
  <c r="D4068" i="1"/>
  <c r="A4069" i="1"/>
  <c r="B4069" i="1"/>
  <c r="C4069" i="1"/>
  <c r="D4069" i="1"/>
  <c r="A4070" i="1"/>
  <c r="B4070" i="1"/>
  <c r="C4070" i="1"/>
  <c r="D4070" i="1"/>
  <c r="A4071" i="1"/>
  <c r="B4071" i="1"/>
  <c r="C4071" i="1"/>
  <c r="D4071" i="1"/>
  <c r="A4072" i="1"/>
  <c r="B4072" i="1"/>
  <c r="C4072" i="1"/>
  <c r="D4072" i="1"/>
  <c r="A4073" i="1"/>
  <c r="B4073" i="1"/>
  <c r="C4073" i="1"/>
  <c r="D4073" i="1"/>
  <c r="A4074" i="1"/>
  <c r="B4074" i="1"/>
  <c r="C4074" i="1"/>
  <c r="D4074" i="1"/>
  <c r="A4075" i="1"/>
  <c r="B4075" i="1"/>
  <c r="C4075" i="1"/>
  <c r="D4075" i="1"/>
  <c r="A4076" i="1"/>
  <c r="B4076" i="1"/>
  <c r="C4076" i="1"/>
  <c r="D4076" i="1"/>
  <c r="A4077" i="1"/>
  <c r="B4077" i="1"/>
  <c r="C4077" i="1"/>
  <c r="D4077" i="1"/>
  <c r="A4078" i="1"/>
  <c r="B4078" i="1"/>
  <c r="C4078" i="1"/>
  <c r="D4078" i="1"/>
  <c r="A4079" i="1"/>
  <c r="B4079" i="1"/>
  <c r="C4079" i="1"/>
  <c r="D4079" i="1"/>
  <c r="A4080" i="1"/>
  <c r="B4080" i="1"/>
  <c r="C4080" i="1"/>
  <c r="D4080" i="1"/>
  <c r="A4081" i="1"/>
  <c r="B4081" i="1"/>
  <c r="C4081" i="1"/>
  <c r="D4081" i="1"/>
  <c r="A4082" i="1"/>
  <c r="B4082" i="1"/>
  <c r="C4082" i="1"/>
  <c r="D4082" i="1"/>
  <c r="A4083" i="1"/>
  <c r="B4083" i="1"/>
  <c r="C4083" i="1"/>
  <c r="D4083" i="1"/>
  <c r="A4084" i="1"/>
  <c r="B4084" i="1"/>
  <c r="C4084" i="1"/>
  <c r="A4085" i="1"/>
  <c r="B4085" i="1"/>
  <c r="C4085" i="1"/>
  <c r="D4085" i="1"/>
  <c r="A4086" i="1"/>
  <c r="B4086" i="1"/>
  <c r="C4086" i="1"/>
  <c r="D4086" i="1"/>
  <c r="A4087" i="1"/>
  <c r="B4087" i="1"/>
  <c r="C4087" i="1"/>
  <c r="D4087" i="1"/>
  <c r="A4088" i="1"/>
  <c r="B4088" i="1"/>
  <c r="C4088" i="1"/>
  <c r="D4088" i="1"/>
  <c r="A4089" i="1"/>
  <c r="B4089" i="1"/>
  <c r="C4089" i="1"/>
  <c r="D4089" i="1"/>
  <c r="A4090" i="1"/>
  <c r="B4090" i="1"/>
  <c r="C4090" i="1"/>
  <c r="D4090" i="1"/>
  <c r="A4091" i="1"/>
  <c r="B4091" i="1"/>
  <c r="C4091" i="1"/>
  <c r="D4091" i="1"/>
  <c r="A4092" i="1"/>
  <c r="B4092" i="1"/>
  <c r="C4092" i="1"/>
  <c r="D4092" i="1"/>
  <c r="A4093" i="1"/>
  <c r="B4093" i="1"/>
  <c r="C4093" i="1"/>
  <c r="D4093" i="1"/>
  <c r="A4094" i="1"/>
  <c r="B4094" i="1"/>
  <c r="C4094" i="1"/>
  <c r="D4094" i="1"/>
  <c r="A4095" i="1"/>
  <c r="B4095" i="1"/>
  <c r="C4095" i="1"/>
  <c r="D4095" i="1"/>
  <c r="A4096" i="1"/>
  <c r="B4096" i="1"/>
  <c r="C4096" i="1"/>
  <c r="D4096" i="1"/>
  <c r="A4097" i="1"/>
  <c r="B4097" i="1"/>
  <c r="C4097" i="1"/>
  <c r="D4097" i="1"/>
  <c r="A4098" i="1"/>
  <c r="B4098" i="1"/>
  <c r="C4098" i="1"/>
  <c r="D4098" i="1"/>
  <c r="A4099" i="1"/>
  <c r="B4099" i="1"/>
  <c r="C4099" i="1"/>
  <c r="D4099" i="1"/>
  <c r="A4100" i="1"/>
  <c r="B4100" i="1"/>
  <c r="C4100" i="1"/>
  <c r="D4100" i="1"/>
  <c r="A4101" i="1"/>
  <c r="B4101" i="1"/>
  <c r="C4101" i="1"/>
  <c r="D4101" i="1"/>
  <c r="A4102" i="1"/>
  <c r="B4102" i="1"/>
  <c r="C4102" i="1"/>
  <c r="D4102" i="1"/>
  <c r="A4103" i="1"/>
  <c r="B4103" i="1"/>
  <c r="C4103" i="1"/>
  <c r="D4103" i="1"/>
  <c r="A4104" i="1"/>
  <c r="B4104" i="1"/>
  <c r="C4104" i="1"/>
  <c r="D4104" i="1"/>
  <c r="A4105" i="1"/>
  <c r="B4105" i="1"/>
  <c r="C4105" i="1"/>
  <c r="D4105" i="1"/>
  <c r="A4106" i="1"/>
  <c r="B4106" i="1"/>
  <c r="C4106" i="1"/>
  <c r="D4106" i="1"/>
  <c r="A4107" i="1"/>
  <c r="B4107" i="1"/>
  <c r="C4107" i="1"/>
  <c r="D4107" i="1"/>
  <c r="A4108" i="1"/>
  <c r="B4108" i="1"/>
  <c r="C4108" i="1"/>
  <c r="A4109" i="1"/>
  <c r="B4109" i="1"/>
  <c r="C4109" i="1"/>
  <c r="A4110" i="1"/>
  <c r="B4110" i="1"/>
  <c r="C4110" i="1"/>
  <c r="D4110" i="1"/>
  <c r="A4111" i="1"/>
  <c r="B4111" i="1"/>
  <c r="C4111" i="1"/>
  <c r="D4111" i="1"/>
  <c r="A4112" i="1"/>
  <c r="B4112" i="1"/>
  <c r="C4112" i="1"/>
  <c r="D4112" i="1"/>
  <c r="A4113" i="1"/>
  <c r="B4113" i="1"/>
  <c r="C4113" i="1"/>
  <c r="D4113" i="1"/>
  <c r="A4114" i="1"/>
  <c r="B4114" i="1"/>
  <c r="C4114" i="1"/>
  <c r="D4114" i="1"/>
  <c r="A4115" i="1"/>
  <c r="B4115" i="1"/>
  <c r="C4115" i="1"/>
  <c r="D4115" i="1"/>
  <c r="A4116" i="1"/>
  <c r="B4116" i="1"/>
  <c r="C4116" i="1"/>
  <c r="D4116" i="1"/>
  <c r="A4117" i="1"/>
  <c r="B4117" i="1"/>
  <c r="C4117" i="1"/>
  <c r="D4117" i="1"/>
  <c r="A4118" i="1"/>
  <c r="B4118" i="1"/>
  <c r="C4118" i="1"/>
  <c r="D4118" i="1"/>
  <c r="A4119" i="1"/>
  <c r="B4119" i="1"/>
  <c r="C4119" i="1"/>
  <c r="D4119" i="1"/>
  <c r="A4120" i="1"/>
  <c r="B4120" i="1"/>
  <c r="C4120" i="1"/>
  <c r="D4120" i="1"/>
  <c r="A4121" i="1"/>
  <c r="B4121" i="1"/>
  <c r="C4121" i="1"/>
  <c r="D4121" i="1"/>
  <c r="A4122" i="1"/>
  <c r="B4122" i="1"/>
  <c r="C4122" i="1"/>
  <c r="D4122" i="1"/>
  <c r="A4123" i="1"/>
  <c r="B4123" i="1"/>
  <c r="C4123" i="1"/>
  <c r="D4123" i="1"/>
  <c r="A4124" i="1"/>
  <c r="B4124" i="1"/>
  <c r="C4124" i="1"/>
  <c r="D4124" i="1"/>
  <c r="A4125" i="1"/>
  <c r="B4125" i="1"/>
  <c r="C4125" i="1"/>
  <c r="D4125" i="1"/>
  <c r="A4126" i="1"/>
  <c r="B4126" i="1"/>
  <c r="C4126" i="1"/>
  <c r="D4126" i="1"/>
  <c r="A4127" i="1"/>
  <c r="B4127" i="1"/>
  <c r="C4127" i="1"/>
  <c r="D4127" i="1"/>
  <c r="A4128" i="1"/>
  <c r="B4128" i="1"/>
  <c r="C4128" i="1"/>
  <c r="D4128" i="1"/>
  <c r="A4129" i="1"/>
  <c r="B4129" i="1"/>
  <c r="C4129" i="1"/>
  <c r="D4129" i="1"/>
  <c r="A4130" i="1"/>
  <c r="B4130" i="1"/>
  <c r="C4130" i="1"/>
  <c r="D4130" i="1"/>
  <c r="A4131" i="1"/>
  <c r="B4131" i="1"/>
  <c r="C4131" i="1"/>
  <c r="A4132" i="1"/>
  <c r="B4132" i="1"/>
  <c r="C4132" i="1"/>
  <c r="D4132" i="1"/>
  <c r="A4133" i="1"/>
  <c r="B4133" i="1"/>
  <c r="C4133" i="1"/>
  <c r="D4133" i="1"/>
  <c r="A4134" i="1"/>
  <c r="B4134" i="1"/>
  <c r="C4134" i="1"/>
  <c r="D4134" i="1"/>
  <c r="A4135" i="1"/>
  <c r="B4135" i="1"/>
  <c r="C4135" i="1"/>
  <c r="D4135" i="1"/>
  <c r="A4136" i="1"/>
  <c r="B4136" i="1"/>
  <c r="C4136" i="1"/>
  <c r="D4136" i="1"/>
  <c r="A4137" i="1"/>
  <c r="B4137" i="1"/>
  <c r="C4137" i="1"/>
  <c r="D4137" i="1"/>
  <c r="A4138" i="1"/>
  <c r="B4138" i="1"/>
  <c r="C4138" i="1"/>
  <c r="D4138" i="1"/>
  <c r="A4139" i="1"/>
  <c r="B4139" i="1"/>
  <c r="C4139" i="1"/>
  <c r="D4139" i="1"/>
  <c r="A4140" i="1"/>
  <c r="B4140" i="1"/>
  <c r="C4140" i="1"/>
  <c r="D4140" i="1"/>
  <c r="A4141" i="1"/>
  <c r="B4141" i="1"/>
  <c r="C4141" i="1"/>
  <c r="D4141" i="1"/>
  <c r="A4142" i="1"/>
  <c r="B4142" i="1"/>
  <c r="C4142" i="1"/>
  <c r="D4142" i="1"/>
  <c r="A4143" i="1"/>
  <c r="B4143" i="1"/>
  <c r="C4143" i="1"/>
  <c r="D4143" i="1"/>
  <c r="A4144" i="1"/>
  <c r="B4144" i="1"/>
  <c r="C4144" i="1"/>
  <c r="D4144" i="1"/>
  <c r="A4145" i="1"/>
  <c r="B4145" i="1"/>
  <c r="C4145" i="1"/>
  <c r="D4145" i="1"/>
  <c r="A4146" i="1"/>
  <c r="B4146" i="1"/>
  <c r="C4146" i="1"/>
  <c r="D4146" i="1"/>
  <c r="A4147" i="1"/>
  <c r="B4147" i="1"/>
  <c r="C4147" i="1"/>
  <c r="D4147" i="1"/>
  <c r="A4148" i="1"/>
  <c r="B4148" i="1"/>
  <c r="C4148" i="1"/>
  <c r="D4148" i="1"/>
  <c r="A4149" i="1"/>
  <c r="B4149" i="1"/>
  <c r="C4149" i="1"/>
  <c r="D4149" i="1"/>
  <c r="A4150" i="1"/>
  <c r="B4150" i="1"/>
  <c r="C4150" i="1"/>
  <c r="D4150" i="1"/>
  <c r="A4151" i="1"/>
  <c r="B4151" i="1"/>
  <c r="C4151" i="1"/>
  <c r="D4151" i="1"/>
  <c r="A4152" i="1"/>
  <c r="B4152" i="1"/>
  <c r="C4152" i="1"/>
  <c r="D4152" i="1"/>
  <c r="A4153" i="1"/>
  <c r="B4153" i="1"/>
  <c r="C4153" i="1"/>
  <c r="D4153" i="1"/>
  <c r="A4154" i="1"/>
  <c r="B4154" i="1"/>
  <c r="C4154" i="1"/>
  <c r="D4154" i="1"/>
  <c r="A4155" i="1"/>
  <c r="B4155" i="1"/>
  <c r="C4155" i="1"/>
  <c r="D4155" i="1"/>
  <c r="A4156" i="1"/>
  <c r="B4156" i="1"/>
  <c r="C4156" i="1"/>
  <c r="A4157" i="1"/>
  <c r="B4157" i="1"/>
  <c r="C4157" i="1"/>
  <c r="D4157" i="1"/>
  <c r="A4158" i="1"/>
  <c r="B4158" i="1"/>
  <c r="C4158" i="1"/>
  <c r="D4158" i="1"/>
  <c r="A4159" i="1"/>
  <c r="B4159" i="1"/>
  <c r="C4159" i="1"/>
  <c r="D4159" i="1"/>
  <c r="A4160" i="1"/>
  <c r="B4160" i="1"/>
  <c r="C4160" i="1"/>
  <c r="D4160" i="1"/>
  <c r="A4161" i="1"/>
  <c r="B4161" i="1"/>
  <c r="C4161" i="1"/>
  <c r="D4161" i="1"/>
  <c r="A4162" i="1"/>
  <c r="B4162" i="1"/>
  <c r="C4162" i="1"/>
  <c r="D4162" i="1"/>
  <c r="A4163" i="1"/>
  <c r="B4163" i="1"/>
  <c r="C4163" i="1"/>
  <c r="D4163" i="1"/>
  <c r="A4164" i="1"/>
  <c r="B4164" i="1"/>
  <c r="C4164" i="1"/>
  <c r="D4164" i="1"/>
  <c r="A4165" i="1"/>
  <c r="B4165" i="1"/>
  <c r="C4165" i="1"/>
  <c r="D4165" i="1"/>
  <c r="A4166" i="1"/>
  <c r="B4166" i="1"/>
  <c r="C4166" i="1"/>
  <c r="D4166" i="1"/>
  <c r="A4167" i="1"/>
  <c r="B4167" i="1"/>
  <c r="C4167" i="1"/>
  <c r="D4167" i="1"/>
  <c r="A4168" i="1"/>
  <c r="B4168" i="1"/>
  <c r="C4168" i="1"/>
  <c r="D4168" i="1"/>
  <c r="A4169" i="1"/>
  <c r="B4169" i="1"/>
  <c r="C4169" i="1"/>
  <c r="D4169" i="1"/>
  <c r="A4170" i="1"/>
  <c r="B4170" i="1"/>
  <c r="C4170" i="1"/>
  <c r="D4170" i="1"/>
  <c r="A4171" i="1"/>
  <c r="B4171" i="1"/>
  <c r="C4171" i="1"/>
  <c r="D4171" i="1"/>
  <c r="A4172" i="1"/>
  <c r="B4172" i="1"/>
  <c r="C4172" i="1"/>
  <c r="D4172" i="1"/>
  <c r="A4173" i="1"/>
  <c r="B4173" i="1"/>
  <c r="C4173" i="1"/>
  <c r="D4173" i="1"/>
  <c r="A4174" i="1"/>
  <c r="B4174" i="1"/>
  <c r="C4174" i="1"/>
  <c r="D4174" i="1"/>
  <c r="A4175" i="1"/>
  <c r="B4175" i="1"/>
  <c r="C4175" i="1"/>
  <c r="D4175" i="1"/>
  <c r="A4176" i="1"/>
  <c r="B4176" i="1"/>
  <c r="C4176" i="1"/>
  <c r="D4176" i="1"/>
  <c r="A4177" i="1"/>
  <c r="B4177" i="1"/>
  <c r="C4177" i="1"/>
  <c r="D4177" i="1"/>
  <c r="A4178" i="1"/>
  <c r="B4178" i="1"/>
  <c r="C4178" i="1"/>
  <c r="D4178" i="1"/>
  <c r="A4179" i="1"/>
  <c r="B4179" i="1"/>
  <c r="C4179" i="1"/>
  <c r="D4179" i="1"/>
  <c r="A4180" i="1"/>
  <c r="B4180" i="1"/>
  <c r="C4180" i="1"/>
  <c r="D4180" i="1"/>
  <c r="A4181" i="1"/>
  <c r="B4181" i="1"/>
  <c r="C4181" i="1"/>
  <c r="D4181" i="1"/>
  <c r="A4182" i="1"/>
  <c r="B4182" i="1"/>
  <c r="C4182" i="1"/>
  <c r="D4182" i="1"/>
  <c r="A4183" i="1"/>
  <c r="B4183" i="1"/>
  <c r="C4183" i="1"/>
  <c r="D4183" i="1"/>
  <c r="A4184" i="1"/>
  <c r="B4184" i="1"/>
  <c r="C4184" i="1"/>
  <c r="D4184" i="1"/>
  <c r="A4185" i="1"/>
  <c r="B4185" i="1"/>
  <c r="C4185" i="1"/>
  <c r="D4185" i="1"/>
  <c r="A4186" i="1"/>
  <c r="B4186" i="1"/>
  <c r="C4186" i="1"/>
  <c r="D4186" i="1"/>
  <c r="A4187" i="1"/>
  <c r="B4187" i="1"/>
  <c r="C4187" i="1"/>
  <c r="D4187" i="1"/>
  <c r="A4188" i="1"/>
  <c r="B4188" i="1"/>
  <c r="C4188" i="1"/>
  <c r="A4189" i="1"/>
  <c r="B4189" i="1"/>
  <c r="C4189" i="1"/>
  <c r="D4189" i="1"/>
  <c r="A4190" i="1"/>
  <c r="B4190" i="1"/>
  <c r="C4190" i="1"/>
  <c r="D4190" i="1"/>
  <c r="A4191" i="1"/>
  <c r="B4191" i="1"/>
  <c r="C4191" i="1"/>
  <c r="D4191" i="1"/>
  <c r="A4192" i="1"/>
  <c r="B4192" i="1"/>
  <c r="C4192" i="1"/>
  <c r="D4192" i="1"/>
  <c r="A4193" i="1"/>
  <c r="B4193" i="1"/>
  <c r="C4193" i="1"/>
  <c r="D4193" i="1"/>
  <c r="A4194" i="1"/>
  <c r="B4194" i="1"/>
  <c r="C4194" i="1"/>
  <c r="D4194" i="1"/>
  <c r="A4195" i="1"/>
  <c r="B4195" i="1"/>
  <c r="C4195" i="1"/>
  <c r="D4195" i="1"/>
  <c r="A4196" i="1"/>
  <c r="B4196" i="1"/>
  <c r="C4196" i="1"/>
  <c r="D4196" i="1"/>
  <c r="A4197" i="1"/>
  <c r="B4197" i="1"/>
  <c r="C4197" i="1"/>
  <c r="D4197" i="1"/>
  <c r="A4198" i="1"/>
  <c r="B4198" i="1"/>
  <c r="C4198" i="1"/>
  <c r="D4198" i="1"/>
  <c r="A4199" i="1"/>
  <c r="B4199" i="1"/>
  <c r="C4199" i="1"/>
  <c r="D4199" i="1"/>
  <c r="A4200" i="1"/>
  <c r="B4200" i="1"/>
  <c r="C4200" i="1"/>
  <c r="D4200" i="1"/>
  <c r="A4201" i="1"/>
  <c r="B4201" i="1"/>
  <c r="C4201" i="1"/>
  <c r="D4201" i="1"/>
  <c r="A4202" i="1"/>
  <c r="B4202" i="1"/>
  <c r="C4202" i="1"/>
  <c r="D4202" i="1"/>
  <c r="A4203" i="1"/>
  <c r="B4203" i="1"/>
  <c r="C4203" i="1"/>
  <c r="D4203" i="1"/>
  <c r="A4204" i="1"/>
  <c r="B4204" i="1"/>
  <c r="C4204" i="1"/>
  <c r="D4204" i="1"/>
  <c r="A4205" i="1"/>
  <c r="B4205" i="1"/>
  <c r="C4205" i="1"/>
  <c r="D4205" i="1"/>
  <c r="A4206" i="1"/>
  <c r="B4206" i="1"/>
  <c r="C4206" i="1"/>
  <c r="D4206" i="1"/>
  <c r="A4207" i="1"/>
  <c r="B4207" i="1"/>
  <c r="C4207" i="1"/>
  <c r="D4207" i="1"/>
  <c r="A4208" i="1"/>
  <c r="B4208" i="1"/>
  <c r="C4208" i="1"/>
  <c r="D4208" i="1"/>
  <c r="A4209" i="1"/>
  <c r="B4209" i="1"/>
  <c r="C4209" i="1"/>
  <c r="D4209" i="1"/>
  <c r="A4210" i="1"/>
  <c r="B4210" i="1"/>
  <c r="C4210" i="1"/>
  <c r="A4211" i="1"/>
  <c r="B4211" i="1"/>
  <c r="C4211" i="1"/>
  <c r="D4211" i="1"/>
  <c r="A4212" i="1"/>
  <c r="B4212" i="1"/>
  <c r="C4212" i="1"/>
  <c r="D4212" i="1"/>
  <c r="A4213" i="1"/>
  <c r="B4213" i="1"/>
  <c r="C4213" i="1"/>
  <c r="D4213" i="1"/>
  <c r="A4214" i="1"/>
  <c r="B4214" i="1"/>
  <c r="C4214" i="1"/>
  <c r="D4214" i="1"/>
  <c r="A4215" i="1"/>
  <c r="B4215" i="1"/>
  <c r="C4215" i="1"/>
  <c r="D4215" i="1"/>
  <c r="A4216" i="1"/>
  <c r="B4216" i="1"/>
  <c r="C4216" i="1"/>
  <c r="D4216" i="1"/>
  <c r="A4217" i="1"/>
  <c r="B4217" i="1"/>
  <c r="C4217" i="1"/>
  <c r="D4217" i="1"/>
  <c r="A4218" i="1"/>
  <c r="B4218" i="1"/>
  <c r="C4218" i="1"/>
  <c r="D4218" i="1"/>
  <c r="A4219" i="1"/>
  <c r="B4219" i="1"/>
  <c r="C4219" i="1"/>
  <c r="D4219" i="1"/>
  <c r="A4220" i="1"/>
  <c r="B4220" i="1"/>
  <c r="C4220" i="1"/>
  <c r="A4221" i="1"/>
  <c r="B4221" i="1"/>
  <c r="C4221" i="1"/>
  <c r="D4221" i="1"/>
  <c r="A4222" i="1"/>
  <c r="B4222" i="1"/>
  <c r="C4222" i="1"/>
  <c r="D4222" i="1"/>
  <c r="A4223" i="1"/>
  <c r="B4223" i="1"/>
  <c r="C4223" i="1"/>
  <c r="D4223" i="1"/>
  <c r="A4224" i="1"/>
  <c r="B4224" i="1"/>
  <c r="C4224" i="1"/>
  <c r="D4224" i="1"/>
  <c r="A4225" i="1"/>
  <c r="B4225" i="1"/>
  <c r="C4225" i="1"/>
  <c r="D4225" i="1"/>
  <c r="A4226" i="1"/>
  <c r="B4226" i="1"/>
  <c r="C4226" i="1"/>
  <c r="D4226" i="1"/>
  <c r="A4227" i="1"/>
  <c r="B4227" i="1"/>
  <c r="C4227" i="1"/>
  <c r="D4227" i="1"/>
  <c r="A4228" i="1"/>
  <c r="B4228" i="1"/>
  <c r="C4228" i="1"/>
  <c r="D4228" i="1"/>
  <c r="A4229" i="1"/>
  <c r="B4229" i="1"/>
  <c r="C4229" i="1"/>
  <c r="D4229" i="1"/>
  <c r="A4230" i="1"/>
  <c r="B4230" i="1"/>
  <c r="C4230" i="1"/>
  <c r="D4230" i="1"/>
  <c r="A4231" i="1"/>
  <c r="B4231" i="1"/>
  <c r="C4231" i="1"/>
  <c r="A4232" i="1"/>
  <c r="B4232" i="1"/>
  <c r="C4232" i="1"/>
  <c r="D4232" i="1"/>
  <c r="A4233" i="1"/>
  <c r="B4233" i="1"/>
  <c r="C4233" i="1"/>
  <c r="D4233" i="1"/>
  <c r="A4234" i="1"/>
  <c r="B4234" i="1"/>
  <c r="C4234" i="1"/>
  <c r="D4234" i="1"/>
  <c r="A4235" i="1"/>
  <c r="B4235" i="1"/>
  <c r="C4235" i="1"/>
  <c r="D4235" i="1"/>
  <c r="A4236" i="1"/>
  <c r="B4236" i="1"/>
  <c r="C4236" i="1"/>
  <c r="D4236" i="1"/>
  <c r="A4237" i="1"/>
  <c r="B4237" i="1"/>
  <c r="C4237" i="1"/>
  <c r="D4237" i="1"/>
  <c r="A4238" i="1"/>
  <c r="B4238" i="1"/>
  <c r="C4238" i="1"/>
  <c r="D4238" i="1"/>
  <c r="A4239" i="1"/>
  <c r="B4239" i="1"/>
  <c r="C4239" i="1"/>
  <c r="D4239" i="1"/>
  <c r="A4240" i="1"/>
  <c r="B4240" i="1"/>
  <c r="C4240" i="1"/>
  <c r="D4240" i="1"/>
  <c r="A4241" i="1"/>
  <c r="B4241" i="1"/>
  <c r="C4241" i="1"/>
  <c r="D4241" i="1"/>
  <c r="A4242" i="1"/>
  <c r="B4242" i="1"/>
  <c r="C4242" i="1"/>
  <c r="D4242" i="1"/>
  <c r="A4243" i="1"/>
  <c r="B4243" i="1"/>
  <c r="C4243" i="1"/>
  <c r="D4243" i="1"/>
  <c r="A4244" i="1"/>
  <c r="B4244" i="1"/>
  <c r="C4244" i="1"/>
  <c r="A4245" i="1"/>
  <c r="B4245" i="1"/>
  <c r="C4245" i="1"/>
  <c r="A4246" i="1"/>
  <c r="B4246" i="1"/>
  <c r="C4246" i="1"/>
  <c r="D4246" i="1"/>
  <c r="A4247" i="1"/>
  <c r="B4247" i="1"/>
  <c r="C4247" i="1"/>
  <c r="D4247" i="1"/>
  <c r="A4248" i="1"/>
  <c r="B4248" i="1"/>
  <c r="C4248" i="1"/>
  <c r="D4248" i="1"/>
  <c r="A4249" i="1"/>
  <c r="B4249" i="1"/>
  <c r="C4249" i="1"/>
  <c r="D4249" i="1"/>
  <c r="A4250" i="1"/>
  <c r="B4250" i="1"/>
  <c r="C4250" i="1"/>
  <c r="D4250" i="1"/>
  <c r="A4251" i="1"/>
  <c r="B4251" i="1"/>
  <c r="C4251" i="1"/>
  <c r="D4251" i="1"/>
  <c r="A4252" i="1"/>
  <c r="B4252" i="1"/>
  <c r="C4252" i="1"/>
  <c r="D4252" i="1"/>
  <c r="A4253" i="1"/>
  <c r="B4253" i="1"/>
  <c r="C4253" i="1"/>
  <c r="D4253" i="1"/>
  <c r="A4254" i="1"/>
  <c r="B4254" i="1"/>
  <c r="C4254" i="1"/>
  <c r="D4254" i="1"/>
  <c r="A4255" i="1"/>
  <c r="B4255" i="1"/>
  <c r="C4255" i="1"/>
  <c r="A4256" i="1"/>
  <c r="B4256" i="1"/>
  <c r="C4256" i="1"/>
  <c r="D4256" i="1"/>
  <c r="A4257" i="1"/>
  <c r="B4257" i="1"/>
  <c r="C4257" i="1"/>
  <c r="D4257" i="1"/>
  <c r="A4258" i="1"/>
  <c r="B4258" i="1"/>
  <c r="C4258" i="1"/>
  <c r="D4258" i="1"/>
  <c r="A4259" i="1"/>
  <c r="B4259" i="1"/>
  <c r="C4259" i="1"/>
  <c r="D4259" i="1"/>
  <c r="A4260" i="1"/>
  <c r="B4260" i="1"/>
  <c r="C4260" i="1"/>
  <c r="D4260" i="1"/>
  <c r="A4261" i="1"/>
  <c r="B4261" i="1"/>
  <c r="C4261" i="1"/>
  <c r="D4261" i="1"/>
  <c r="A4262" i="1"/>
  <c r="B4262" i="1"/>
  <c r="C4262" i="1"/>
  <c r="D4262" i="1"/>
  <c r="A4263" i="1"/>
  <c r="B4263" i="1"/>
  <c r="C4263" i="1"/>
  <c r="D4263" i="1"/>
  <c r="A4264" i="1"/>
  <c r="B4264" i="1"/>
  <c r="C4264" i="1"/>
  <c r="D4264" i="1"/>
  <c r="A4265" i="1"/>
  <c r="B4265" i="1"/>
  <c r="C4265" i="1"/>
  <c r="D4265" i="1"/>
  <c r="A4266" i="1"/>
  <c r="B4266" i="1"/>
  <c r="C4266" i="1"/>
  <c r="D4266" i="1"/>
  <c r="A4267" i="1"/>
  <c r="B4267" i="1"/>
  <c r="C4267" i="1"/>
  <c r="D4267" i="1"/>
  <c r="A4268" i="1"/>
  <c r="B4268" i="1"/>
  <c r="C4268" i="1"/>
  <c r="D4268" i="1"/>
  <c r="A4269" i="1"/>
  <c r="B4269" i="1"/>
  <c r="C4269" i="1"/>
  <c r="D4269" i="1"/>
  <c r="A4270" i="1"/>
  <c r="B4270" i="1"/>
  <c r="C4270" i="1"/>
  <c r="D4270" i="1"/>
  <c r="A4271" i="1"/>
  <c r="B4271" i="1"/>
  <c r="C4271" i="1"/>
  <c r="D4271" i="1"/>
  <c r="A4272" i="1"/>
  <c r="B4272" i="1"/>
  <c r="C4272" i="1"/>
  <c r="D4272" i="1"/>
  <c r="A4273" i="1"/>
  <c r="B4273" i="1"/>
  <c r="C4273" i="1"/>
  <c r="D4273" i="1"/>
  <c r="A4274" i="1"/>
  <c r="B4274" i="1"/>
  <c r="C4274" i="1"/>
  <c r="D4274" i="1"/>
  <c r="A4275" i="1"/>
  <c r="B4275" i="1"/>
  <c r="C4275" i="1"/>
  <c r="D4275" i="1"/>
  <c r="A4276" i="1"/>
  <c r="B4276" i="1"/>
  <c r="C4276" i="1"/>
  <c r="D4276" i="1"/>
  <c r="A4277" i="1"/>
  <c r="B4277" i="1"/>
  <c r="C4277" i="1"/>
  <c r="D4277" i="1"/>
  <c r="A4278" i="1"/>
  <c r="B4278" i="1"/>
  <c r="C4278" i="1"/>
  <c r="D4278" i="1"/>
  <c r="A4279" i="1"/>
  <c r="B4279" i="1"/>
  <c r="C4279" i="1"/>
  <c r="D4279" i="1"/>
  <c r="A4280" i="1"/>
  <c r="B4280" i="1"/>
  <c r="C4280" i="1"/>
  <c r="D4280" i="1"/>
  <c r="A4281" i="1"/>
  <c r="B4281" i="1"/>
  <c r="C4281" i="1"/>
  <c r="D4281" i="1"/>
  <c r="A4282" i="1"/>
  <c r="B4282" i="1"/>
  <c r="C4282" i="1"/>
  <c r="D4282" i="1"/>
  <c r="A4283" i="1"/>
  <c r="B4283" i="1"/>
  <c r="C4283" i="1"/>
  <c r="D4283" i="1"/>
  <c r="A4284" i="1"/>
  <c r="B4284" i="1"/>
  <c r="C4284" i="1"/>
  <c r="D4284" i="1"/>
  <c r="A4285" i="1"/>
  <c r="B4285" i="1"/>
  <c r="C4285" i="1"/>
  <c r="D4285" i="1"/>
  <c r="A4286" i="1"/>
  <c r="B4286" i="1"/>
  <c r="C4286" i="1"/>
  <c r="D4286" i="1"/>
  <c r="A4287" i="1"/>
  <c r="B4287" i="1"/>
  <c r="C4287" i="1"/>
  <c r="D4287" i="1"/>
  <c r="A4288" i="1"/>
  <c r="B4288" i="1"/>
  <c r="C4288" i="1"/>
  <c r="D4288" i="1"/>
  <c r="A4289" i="1"/>
  <c r="B4289" i="1"/>
  <c r="C4289" i="1"/>
  <c r="D4289" i="1"/>
  <c r="A4290" i="1"/>
  <c r="B4290" i="1"/>
  <c r="C4290" i="1"/>
  <c r="D4290" i="1"/>
  <c r="A4291" i="1"/>
  <c r="B4291" i="1"/>
  <c r="C4291" i="1"/>
  <c r="D4291" i="1"/>
  <c r="A4292" i="1"/>
  <c r="B4292" i="1"/>
  <c r="C4292" i="1"/>
  <c r="D4292" i="1"/>
  <c r="A4293" i="1"/>
  <c r="B4293" i="1"/>
  <c r="C4293" i="1"/>
  <c r="D4293" i="1"/>
  <c r="A4294" i="1"/>
  <c r="B4294" i="1"/>
  <c r="C4294" i="1"/>
  <c r="D4294" i="1"/>
  <c r="A4295" i="1"/>
  <c r="B4295" i="1"/>
  <c r="C4295" i="1"/>
  <c r="D4295" i="1"/>
  <c r="A4296" i="1"/>
  <c r="B4296" i="1"/>
  <c r="C4296" i="1"/>
  <c r="D4296" i="1"/>
  <c r="A4297" i="1"/>
  <c r="B4297" i="1"/>
  <c r="C4297" i="1"/>
  <c r="D4297" i="1"/>
  <c r="A4298" i="1"/>
  <c r="B4298" i="1"/>
  <c r="C4298" i="1"/>
  <c r="D4298" i="1"/>
  <c r="A4299" i="1"/>
  <c r="B4299" i="1"/>
  <c r="C4299" i="1"/>
  <c r="A4300" i="1"/>
  <c r="B4300" i="1"/>
  <c r="C4300" i="1"/>
  <c r="D4300" i="1"/>
  <c r="A4301" i="1"/>
  <c r="B4301" i="1"/>
  <c r="C4301" i="1"/>
  <c r="D4301" i="1"/>
  <c r="A4302" i="1"/>
  <c r="B4302" i="1"/>
  <c r="C4302" i="1"/>
  <c r="D4302" i="1"/>
  <c r="A4303" i="1"/>
  <c r="B4303" i="1"/>
  <c r="C4303" i="1"/>
  <c r="A4304" i="1"/>
  <c r="B4304" i="1"/>
  <c r="C4304" i="1"/>
  <c r="D4304" i="1"/>
  <c r="A4305" i="1"/>
  <c r="B4305" i="1"/>
  <c r="C4305" i="1"/>
  <c r="D4305" i="1"/>
  <c r="A4306" i="1"/>
  <c r="B4306" i="1"/>
  <c r="C4306" i="1"/>
  <c r="D4306" i="1"/>
  <c r="A4307" i="1"/>
  <c r="B4307" i="1"/>
  <c r="C4307" i="1"/>
  <c r="D4307" i="1"/>
  <c r="A4308" i="1"/>
  <c r="B4308" i="1"/>
  <c r="C4308" i="1"/>
  <c r="A4309" i="1"/>
  <c r="B4309" i="1"/>
  <c r="C4309" i="1"/>
  <c r="D4309" i="1"/>
  <c r="A4310" i="1"/>
  <c r="B4310" i="1"/>
  <c r="C4310" i="1"/>
  <c r="D4310" i="1"/>
  <c r="A4311" i="1"/>
  <c r="B4311" i="1"/>
  <c r="C4311" i="1"/>
  <c r="D4311" i="1"/>
  <c r="A4312" i="1"/>
  <c r="B4312" i="1"/>
  <c r="C4312" i="1"/>
  <c r="D4312" i="1"/>
  <c r="A4313" i="1"/>
  <c r="B4313" i="1"/>
  <c r="C4313" i="1"/>
  <c r="D4313" i="1"/>
  <c r="A4314" i="1"/>
  <c r="B4314" i="1"/>
  <c r="C4314" i="1"/>
  <c r="D4314" i="1"/>
  <c r="A4315" i="1"/>
  <c r="B4315" i="1"/>
  <c r="C4315" i="1"/>
  <c r="D4315" i="1"/>
  <c r="A4316" i="1"/>
  <c r="B4316" i="1"/>
  <c r="C4316" i="1"/>
  <c r="D4316" i="1"/>
  <c r="A4317" i="1"/>
  <c r="B4317" i="1"/>
  <c r="C4317" i="1"/>
  <c r="D4317" i="1"/>
  <c r="A4318" i="1"/>
  <c r="B4318" i="1"/>
  <c r="C4318" i="1"/>
  <c r="D4318" i="1"/>
  <c r="A4319" i="1"/>
  <c r="B4319" i="1"/>
  <c r="C4319" i="1"/>
  <c r="D4319" i="1"/>
  <c r="A4320" i="1"/>
  <c r="B4320" i="1"/>
  <c r="C4320" i="1"/>
  <c r="D4320" i="1"/>
  <c r="A4321" i="1"/>
  <c r="B4321" i="1"/>
  <c r="C4321" i="1"/>
  <c r="D4321" i="1"/>
  <c r="A4322" i="1"/>
  <c r="B4322" i="1"/>
  <c r="C4322" i="1"/>
  <c r="D4322" i="1"/>
  <c r="A4323" i="1"/>
  <c r="B4323" i="1"/>
  <c r="C4323" i="1"/>
  <c r="D4323" i="1"/>
  <c r="A4324" i="1"/>
  <c r="B4324" i="1"/>
  <c r="C4324" i="1"/>
  <c r="D4324" i="1"/>
  <c r="A4325" i="1"/>
  <c r="B4325" i="1"/>
  <c r="C4325" i="1"/>
  <c r="D4325" i="1"/>
  <c r="A4326" i="1"/>
  <c r="B4326" i="1"/>
  <c r="C4326" i="1"/>
  <c r="D4326" i="1"/>
  <c r="A4327" i="1"/>
  <c r="B4327" i="1"/>
  <c r="C4327" i="1"/>
  <c r="D4327" i="1"/>
  <c r="A4328" i="1"/>
  <c r="B4328" i="1"/>
  <c r="C4328" i="1"/>
  <c r="D4328" i="1"/>
  <c r="A4329" i="1"/>
  <c r="B4329" i="1"/>
  <c r="C4329" i="1"/>
  <c r="D4329" i="1"/>
  <c r="A4330" i="1"/>
  <c r="B4330" i="1"/>
  <c r="C4330" i="1"/>
  <c r="D4330" i="1"/>
  <c r="A4331" i="1"/>
  <c r="B4331" i="1"/>
  <c r="C4331" i="1"/>
  <c r="D4331" i="1"/>
  <c r="A4332" i="1"/>
  <c r="B4332" i="1"/>
  <c r="C4332" i="1"/>
  <c r="D4332" i="1"/>
  <c r="A4333" i="1"/>
  <c r="B4333" i="1"/>
  <c r="C4333" i="1"/>
  <c r="D4333" i="1"/>
  <c r="A4334" i="1"/>
  <c r="B4334" i="1"/>
  <c r="C4334" i="1"/>
  <c r="A4335" i="1"/>
  <c r="B4335" i="1"/>
  <c r="C4335" i="1"/>
  <c r="D4335" i="1"/>
  <c r="A4336" i="1"/>
  <c r="B4336" i="1"/>
  <c r="C4336" i="1"/>
  <c r="A4337" i="1"/>
  <c r="B4337" i="1"/>
  <c r="C4337" i="1"/>
  <c r="D4337" i="1"/>
  <c r="A4338" i="1"/>
  <c r="B4338" i="1"/>
  <c r="C4338" i="1"/>
  <c r="D4338" i="1"/>
  <c r="A4339" i="1"/>
  <c r="B4339" i="1"/>
  <c r="C4339" i="1"/>
  <c r="D4339" i="1"/>
  <c r="A4340" i="1"/>
  <c r="B4340" i="1"/>
  <c r="C4340" i="1"/>
  <c r="D4340" i="1"/>
  <c r="A4341" i="1"/>
  <c r="B4341" i="1"/>
  <c r="C4341" i="1"/>
  <c r="D4341" i="1"/>
  <c r="A4342" i="1"/>
  <c r="B4342" i="1"/>
  <c r="C4342" i="1"/>
  <c r="D4342" i="1"/>
  <c r="A4343" i="1"/>
  <c r="B4343" i="1"/>
  <c r="C4343" i="1"/>
  <c r="D4343" i="1"/>
  <c r="A4344" i="1"/>
  <c r="B4344" i="1"/>
  <c r="C4344" i="1"/>
  <c r="D4344" i="1"/>
  <c r="A4345" i="1"/>
  <c r="B4345" i="1"/>
  <c r="C4345" i="1"/>
  <c r="D4345" i="1"/>
  <c r="A4346" i="1"/>
  <c r="B4346" i="1"/>
  <c r="C4346" i="1"/>
  <c r="D4346" i="1"/>
  <c r="A4347" i="1"/>
  <c r="B4347" i="1"/>
  <c r="C4347" i="1"/>
  <c r="D4347" i="1"/>
  <c r="A4348" i="1"/>
  <c r="B4348" i="1"/>
  <c r="C4348" i="1"/>
  <c r="D4348" i="1"/>
  <c r="A4349" i="1"/>
  <c r="B4349" i="1"/>
  <c r="C4349" i="1"/>
  <c r="D4349" i="1"/>
  <c r="A4350" i="1"/>
  <c r="B4350" i="1"/>
  <c r="C4350" i="1"/>
  <c r="D4350" i="1"/>
  <c r="A4351" i="1"/>
  <c r="B4351" i="1"/>
  <c r="C4351" i="1"/>
  <c r="D4351" i="1"/>
  <c r="A4352" i="1"/>
  <c r="B4352" i="1"/>
  <c r="C4352" i="1"/>
  <c r="D4352" i="1"/>
  <c r="A4353" i="1"/>
  <c r="B4353" i="1"/>
  <c r="C4353" i="1"/>
  <c r="D4353" i="1"/>
  <c r="A4354" i="1"/>
  <c r="B4354" i="1"/>
  <c r="C4354" i="1"/>
  <c r="D4354" i="1"/>
  <c r="A4355" i="1"/>
  <c r="B4355" i="1"/>
  <c r="C4355" i="1"/>
  <c r="D4355" i="1"/>
  <c r="A4356" i="1"/>
  <c r="B4356" i="1"/>
  <c r="C4356" i="1"/>
  <c r="D4356" i="1"/>
  <c r="A4357" i="1"/>
  <c r="B4357" i="1"/>
  <c r="C4357" i="1"/>
  <c r="D4357" i="1"/>
  <c r="A4358" i="1"/>
  <c r="B4358" i="1"/>
  <c r="C4358" i="1"/>
  <c r="D4358" i="1"/>
  <c r="A4359" i="1"/>
  <c r="B4359" i="1"/>
  <c r="C4359" i="1"/>
  <c r="D4359" i="1"/>
  <c r="A4360" i="1"/>
  <c r="B4360" i="1"/>
  <c r="C4360" i="1"/>
  <c r="D4360" i="1"/>
  <c r="A4361" i="1"/>
  <c r="B4361" i="1"/>
  <c r="C4361" i="1"/>
  <c r="D4361" i="1"/>
  <c r="A4362" i="1"/>
  <c r="B4362" i="1"/>
  <c r="C4362" i="1"/>
  <c r="D4362" i="1"/>
  <c r="A4363" i="1"/>
  <c r="B4363" i="1"/>
  <c r="C4363" i="1"/>
  <c r="D4363" i="1"/>
  <c r="A4364" i="1"/>
  <c r="B4364" i="1"/>
  <c r="C4364" i="1"/>
  <c r="D4364" i="1"/>
  <c r="A4365" i="1"/>
  <c r="B4365" i="1"/>
  <c r="C4365" i="1"/>
  <c r="D4365" i="1"/>
  <c r="A4366" i="1"/>
  <c r="B4366" i="1"/>
  <c r="C4366" i="1"/>
  <c r="A4367" i="1"/>
  <c r="B4367" i="1"/>
  <c r="C4367" i="1"/>
  <c r="D4367" i="1"/>
  <c r="A4368" i="1"/>
  <c r="B4368" i="1"/>
  <c r="C4368" i="1"/>
  <c r="D4368" i="1"/>
  <c r="A4369" i="1"/>
  <c r="B4369" i="1"/>
  <c r="C4369" i="1"/>
  <c r="D4369" i="1"/>
  <c r="A4370" i="1"/>
  <c r="B4370" i="1"/>
  <c r="C4370" i="1"/>
  <c r="D4370" i="1"/>
  <c r="A4371" i="1"/>
  <c r="B4371" i="1"/>
  <c r="C4371" i="1"/>
  <c r="D4371" i="1"/>
  <c r="A4372" i="1"/>
  <c r="B4372" i="1"/>
  <c r="C4372" i="1"/>
  <c r="D4372" i="1"/>
  <c r="A4373" i="1"/>
  <c r="B4373" i="1"/>
  <c r="C4373" i="1"/>
  <c r="D4373" i="1"/>
  <c r="A4374" i="1"/>
  <c r="B4374" i="1"/>
  <c r="C4374" i="1"/>
  <c r="D4374" i="1"/>
  <c r="A4375" i="1"/>
  <c r="B4375" i="1"/>
  <c r="C4375" i="1"/>
  <c r="D4375" i="1"/>
  <c r="A4376" i="1"/>
  <c r="B4376" i="1"/>
  <c r="C4376" i="1"/>
  <c r="D4376" i="1"/>
  <c r="A4377" i="1"/>
  <c r="B4377" i="1"/>
  <c r="C4377" i="1"/>
  <c r="D4377" i="1"/>
  <c r="A4378" i="1"/>
  <c r="B4378" i="1"/>
  <c r="C4378" i="1"/>
  <c r="D4378" i="1"/>
  <c r="A4379" i="1"/>
  <c r="B4379" i="1"/>
  <c r="C4379" i="1"/>
  <c r="D4379" i="1"/>
  <c r="A4380" i="1"/>
  <c r="B4380" i="1"/>
  <c r="C4380" i="1"/>
  <c r="D4380" i="1"/>
  <c r="A4381" i="1"/>
  <c r="B4381" i="1"/>
  <c r="C4381" i="1"/>
  <c r="D4381" i="1"/>
  <c r="A4382" i="1"/>
  <c r="B4382" i="1"/>
  <c r="C4382" i="1"/>
  <c r="D4382" i="1"/>
  <c r="A4383" i="1"/>
  <c r="B4383" i="1"/>
  <c r="C4383" i="1"/>
  <c r="D4383" i="1"/>
  <c r="A4384" i="1"/>
  <c r="B4384" i="1"/>
  <c r="C4384" i="1"/>
  <c r="D4384" i="1"/>
  <c r="A4385" i="1"/>
  <c r="B4385" i="1"/>
  <c r="C4385" i="1"/>
  <c r="D4385" i="1"/>
  <c r="A4386" i="1"/>
  <c r="B4386" i="1"/>
  <c r="C4386" i="1"/>
  <c r="D4386" i="1"/>
  <c r="A4387" i="1"/>
  <c r="B4387" i="1"/>
  <c r="C4387" i="1"/>
  <c r="D4387" i="1"/>
  <c r="A4388" i="1"/>
  <c r="B4388" i="1"/>
  <c r="C4388" i="1"/>
  <c r="D4388" i="1"/>
  <c r="A4389" i="1"/>
  <c r="B4389" i="1"/>
  <c r="C4389" i="1"/>
  <c r="D4389" i="1"/>
  <c r="A4390" i="1"/>
  <c r="B4390" i="1"/>
  <c r="C4390" i="1"/>
  <c r="D4390" i="1"/>
  <c r="A4391" i="1"/>
  <c r="B4391" i="1"/>
  <c r="C4391" i="1"/>
  <c r="D4391" i="1"/>
  <c r="A4392" i="1"/>
  <c r="B4392" i="1"/>
  <c r="C4392" i="1"/>
  <c r="D4392" i="1"/>
  <c r="A4393" i="1"/>
  <c r="B4393" i="1"/>
  <c r="C4393" i="1"/>
  <c r="D4393" i="1"/>
  <c r="A4394" i="1"/>
  <c r="B4394" i="1"/>
  <c r="C4394" i="1"/>
  <c r="D4394" i="1"/>
  <c r="A4395" i="1"/>
  <c r="B4395" i="1"/>
  <c r="C4395" i="1"/>
  <c r="D4395" i="1"/>
  <c r="A4396" i="1"/>
  <c r="B4396" i="1"/>
  <c r="C4396" i="1"/>
  <c r="D4396" i="1"/>
  <c r="A4397" i="1"/>
  <c r="B4397" i="1"/>
  <c r="C4397" i="1"/>
  <c r="D4397" i="1"/>
  <c r="A4398" i="1"/>
  <c r="B4398" i="1"/>
  <c r="C4398" i="1"/>
  <c r="D4398" i="1"/>
  <c r="A4399" i="1"/>
  <c r="B4399" i="1"/>
  <c r="C4399" i="1"/>
  <c r="D4399" i="1"/>
  <c r="A4400" i="1"/>
  <c r="B4400" i="1"/>
  <c r="C4400" i="1"/>
  <c r="D4400" i="1"/>
  <c r="A4401" i="1"/>
  <c r="B4401" i="1"/>
  <c r="C4401" i="1"/>
  <c r="D4401" i="1"/>
  <c r="A4402" i="1"/>
  <c r="B4402" i="1"/>
  <c r="C4402" i="1"/>
  <c r="D4402" i="1"/>
  <c r="A4403" i="1"/>
  <c r="B4403" i="1"/>
  <c r="C4403" i="1"/>
  <c r="D4403" i="1"/>
  <c r="A4404" i="1"/>
  <c r="B4404" i="1"/>
  <c r="C4404" i="1"/>
  <c r="D4404" i="1"/>
  <c r="A4405" i="1"/>
  <c r="B4405" i="1"/>
  <c r="C4405" i="1"/>
  <c r="D4405" i="1"/>
  <c r="A4406" i="1"/>
  <c r="B4406" i="1"/>
  <c r="C4406" i="1"/>
  <c r="D4406" i="1"/>
  <c r="A4407" i="1"/>
  <c r="B4407" i="1"/>
  <c r="C4407" i="1"/>
  <c r="D4407" i="1"/>
  <c r="A4408" i="1"/>
  <c r="B4408" i="1"/>
  <c r="C4408" i="1"/>
  <c r="D4408" i="1"/>
  <c r="A4409" i="1"/>
  <c r="B4409" i="1"/>
  <c r="C4409" i="1"/>
  <c r="D4409" i="1"/>
  <c r="A4410" i="1"/>
  <c r="B4410" i="1"/>
  <c r="C4410" i="1"/>
  <c r="D4410" i="1"/>
  <c r="A4411" i="1"/>
  <c r="B4411" i="1"/>
  <c r="C4411" i="1"/>
  <c r="D4411" i="1"/>
  <c r="A4412" i="1"/>
  <c r="B4412" i="1"/>
  <c r="C4412" i="1"/>
  <c r="D4412" i="1"/>
  <c r="A4413" i="1"/>
  <c r="B4413" i="1"/>
  <c r="C4413" i="1"/>
  <c r="D4413" i="1"/>
  <c r="A4414" i="1"/>
  <c r="B4414" i="1"/>
  <c r="C4414" i="1"/>
  <c r="D4414" i="1"/>
  <c r="A4415" i="1"/>
  <c r="B4415" i="1"/>
  <c r="C4415" i="1"/>
  <c r="D4415" i="1"/>
  <c r="A4416" i="1"/>
  <c r="B4416" i="1"/>
  <c r="C4416" i="1"/>
  <c r="D4416" i="1"/>
  <c r="A4417" i="1"/>
  <c r="B4417" i="1"/>
  <c r="C4417" i="1"/>
  <c r="D4417" i="1"/>
  <c r="A4418" i="1"/>
  <c r="B4418" i="1"/>
  <c r="C4418" i="1"/>
  <c r="D4418" i="1"/>
  <c r="A4419" i="1"/>
  <c r="B4419" i="1"/>
  <c r="C4419" i="1"/>
  <c r="D4419" i="1"/>
  <c r="A4420" i="1"/>
  <c r="B4420" i="1"/>
  <c r="C4420" i="1"/>
  <c r="D4420" i="1"/>
  <c r="A4421" i="1"/>
  <c r="B4421" i="1"/>
  <c r="C4421" i="1"/>
  <c r="D4421" i="1"/>
  <c r="A4422" i="1"/>
  <c r="B4422" i="1"/>
  <c r="C4422" i="1"/>
  <c r="D4422" i="1"/>
  <c r="A4423" i="1"/>
  <c r="B4423" i="1"/>
  <c r="C4423" i="1"/>
  <c r="D4423" i="1"/>
  <c r="A4424" i="1"/>
  <c r="B4424" i="1"/>
  <c r="C4424" i="1"/>
  <c r="D4424" i="1"/>
  <c r="A4425" i="1"/>
  <c r="B4425" i="1"/>
  <c r="C4425" i="1"/>
  <c r="D4425" i="1"/>
  <c r="A4426" i="1"/>
  <c r="B4426" i="1"/>
  <c r="C4426" i="1"/>
  <c r="D4426" i="1"/>
  <c r="A4427" i="1"/>
  <c r="B4427" i="1"/>
  <c r="C4427" i="1"/>
  <c r="D4427" i="1"/>
  <c r="A4428" i="1"/>
  <c r="B4428" i="1"/>
  <c r="C4428" i="1"/>
  <c r="D4428" i="1"/>
  <c r="A4429" i="1"/>
  <c r="B4429" i="1"/>
  <c r="C4429" i="1"/>
  <c r="D4429" i="1"/>
  <c r="A4430" i="1"/>
  <c r="B4430" i="1"/>
  <c r="C4430" i="1"/>
  <c r="D4430" i="1"/>
  <c r="A4431" i="1"/>
  <c r="B4431" i="1"/>
  <c r="C4431" i="1"/>
  <c r="D4431" i="1"/>
  <c r="A4432" i="1"/>
  <c r="B4432" i="1"/>
  <c r="C4432" i="1"/>
  <c r="D4432" i="1"/>
  <c r="A4433" i="1"/>
  <c r="B4433" i="1"/>
  <c r="C4433" i="1"/>
  <c r="D4433" i="1"/>
  <c r="A4434" i="1"/>
  <c r="B4434" i="1"/>
  <c r="C4434" i="1"/>
  <c r="D4434" i="1"/>
  <c r="A4435" i="1"/>
  <c r="B4435" i="1"/>
  <c r="C4435" i="1"/>
  <c r="D4435" i="1"/>
  <c r="A4436" i="1"/>
  <c r="B4436" i="1"/>
  <c r="C4436" i="1"/>
  <c r="D4436" i="1"/>
  <c r="A4437" i="1"/>
  <c r="B4437" i="1"/>
  <c r="C4437" i="1"/>
  <c r="D4437" i="1"/>
  <c r="A4438" i="1"/>
  <c r="B4438" i="1"/>
  <c r="C4438" i="1"/>
  <c r="D4438" i="1"/>
  <c r="A4439" i="1"/>
  <c r="B4439" i="1"/>
  <c r="C4439" i="1"/>
  <c r="D4439" i="1"/>
  <c r="A4440" i="1"/>
  <c r="B4440" i="1"/>
  <c r="C4440" i="1"/>
  <c r="D4440" i="1"/>
  <c r="A4441" i="1"/>
  <c r="B4441" i="1"/>
  <c r="C4441" i="1"/>
  <c r="D4441" i="1"/>
  <c r="A4442" i="1"/>
  <c r="B4442" i="1"/>
  <c r="C4442" i="1"/>
  <c r="D4442" i="1"/>
  <c r="A4443" i="1"/>
  <c r="B4443" i="1"/>
  <c r="C4443" i="1"/>
  <c r="D4443" i="1"/>
  <c r="A4444" i="1"/>
  <c r="B4444" i="1"/>
  <c r="C4444" i="1"/>
  <c r="D4444" i="1"/>
  <c r="A4445" i="1"/>
  <c r="B4445" i="1"/>
  <c r="C4445" i="1"/>
  <c r="D4445" i="1"/>
  <c r="A4446" i="1"/>
  <c r="B4446" i="1"/>
  <c r="C4446" i="1"/>
  <c r="D4446" i="1"/>
  <c r="A4447" i="1"/>
  <c r="B4447" i="1"/>
  <c r="C4447" i="1"/>
  <c r="D4447" i="1"/>
  <c r="A4448" i="1"/>
  <c r="B4448" i="1"/>
  <c r="C4448" i="1"/>
  <c r="D4448" i="1"/>
  <c r="A4449" i="1"/>
  <c r="B4449" i="1"/>
  <c r="C4449" i="1"/>
  <c r="D4449" i="1"/>
  <c r="A4450" i="1"/>
  <c r="B4450" i="1"/>
  <c r="C4450" i="1"/>
  <c r="D4450" i="1"/>
  <c r="A4451" i="1"/>
  <c r="B4451" i="1"/>
  <c r="C4451" i="1"/>
  <c r="D4451" i="1"/>
  <c r="A4452" i="1"/>
  <c r="B4452" i="1"/>
  <c r="C4452" i="1"/>
  <c r="D4452" i="1"/>
  <c r="A4453" i="1"/>
  <c r="B4453" i="1"/>
  <c r="C4453" i="1"/>
  <c r="D4453" i="1"/>
  <c r="A4454" i="1"/>
  <c r="B4454" i="1"/>
  <c r="C4454" i="1"/>
  <c r="D4454" i="1"/>
  <c r="A4455" i="1"/>
  <c r="B4455" i="1"/>
  <c r="C4455" i="1"/>
  <c r="D4455" i="1"/>
  <c r="A4456" i="1"/>
  <c r="B4456" i="1"/>
  <c r="C4456" i="1"/>
  <c r="D4456" i="1"/>
  <c r="A4457" i="1"/>
  <c r="B4457" i="1"/>
  <c r="C4457" i="1"/>
  <c r="D4457" i="1"/>
  <c r="A4458" i="1"/>
  <c r="B4458" i="1"/>
  <c r="C4458" i="1"/>
  <c r="D4458" i="1"/>
  <c r="A4459" i="1"/>
  <c r="B4459" i="1"/>
  <c r="C4459" i="1"/>
  <c r="D4459" i="1"/>
  <c r="A4460" i="1"/>
  <c r="B4460" i="1"/>
  <c r="C4460" i="1"/>
  <c r="D4460" i="1"/>
  <c r="A4461" i="1"/>
  <c r="B4461" i="1"/>
  <c r="C4461" i="1"/>
  <c r="D4461" i="1"/>
  <c r="A4462" i="1"/>
  <c r="B4462" i="1"/>
  <c r="C4462" i="1"/>
  <c r="D4462" i="1"/>
  <c r="A4463" i="1"/>
  <c r="B4463" i="1"/>
  <c r="C4463" i="1"/>
  <c r="D4463" i="1"/>
  <c r="A4464" i="1"/>
  <c r="B4464" i="1"/>
  <c r="C4464" i="1"/>
  <c r="D4464" i="1"/>
  <c r="A4465" i="1"/>
  <c r="B4465" i="1"/>
  <c r="C4465" i="1"/>
  <c r="D4465" i="1"/>
  <c r="A4466" i="1"/>
  <c r="B4466" i="1"/>
  <c r="C4466" i="1"/>
  <c r="D4466" i="1"/>
  <c r="A4467" i="1"/>
  <c r="B4467" i="1"/>
  <c r="C4467" i="1"/>
  <c r="D4467" i="1"/>
  <c r="A4468" i="1"/>
  <c r="B4468" i="1"/>
  <c r="C4468" i="1"/>
  <c r="D4468" i="1"/>
  <c r="A4469" i="1"/>
  <c r="B4469" i="1"/>
  <c r="C4469" i="1"/>
  <c r="D4469" i="1"/>
  <c r="A4470" i="1"/>
  <c r="B4470" i="1"/>
  <c r="C4470" i="1"/>
  <c r="D4470" i="1"/>
  <c r="A4471" i="1"/>
  <c r="B4471" i="1"/>
  <c r="C4471" i="1"/>
  <c r="D4471" i="1"/>
  <c r="A4472" i="1"/>
  <c r="B4472" i="1"/>
  <c r="C4472" i="1"/>
  <c r="D4472" i="1"/>
  <c r="A4473" i="1"/>
  <c r="B4473" i="1"/>
  <c r="C4473" i="1"/>
  <c r="D4473" i="1"/>
  <c r="A4474" i="1"/>
  <c r="B4474" i="1"/>
  <c r="C4474" i="1"/>
  <c r="D4474" i="1"/>
  <c r="A4475" i="1"/>
  <c r="B4475" i="1"/>
  <c r="C4475" i="1"/>
  <c r="D4475" i="1"/>
  <c r="A4476" i="1"/>
  <c r="B4476" i="1"/>
  <c r="C4476" i="1"/>
  <c r="D4476" i="1"/>
  <c r="A4477" i="1"/>
  <c r="B4477" i="1"/>
  <c r="C4477" i="1"/>
  <c r="D4477" i="1"/>
  <c r="A4478" i="1"/>
  <c r="B4478" i="1"/>
  <c r="C4478" i="1"/>
  <c r="D4478" i="1"/>
  <c r="A4479" i="1"/>
  <c r="B4479" i="1"/>
  <c r="C4479" i="1"/>
  <c r="D4479" i="1"/>
  <c r="A4480" i="1"/>
  <c r="B4480" i="1"/>
  <c r="C4480" i="1"/>
  <c r="D4480" i="1"/>
  <c r="A4481" i="1"/>
  <c r="B4481" i="1"/>
  <c r="C4481" i="1"/>
  <c r="A4482" i="1"/>
  <c r="B4482" i="1"/>
  <c r="C4482" i="1"/>
  <c r="D4482" i="1"/>
  <c r="A4483" i="1"/>
  <c r="B4483" i="1"/>
  <c r="C4483" i="1"/>
  <c r="D4483" i="1"/>
  <c r="A4484" i="1"/>
  <c r="B4484" i="1"/>
  <c r="C4484" i="1"/>
  <c r="D4484" i="1"/>
  <c r="A4485" i="1"/>
  <c r="B4485" i="1"/>
  <c r="C4485" i="1"/>
  <c r="D4485" i="1"/>
  <c r="A4486" i="1"/>
  <c r="B4486" i="1"/>
  <c r="C4486" i="1"/>
  <c r="D4486" i="1"/>
  <c r="A4487" i="1"/>
  <c r="B4487" i="1"/>
  <c r="C4487" i="1"/>
  <c r="D4487" i="1"/>
  <c r="A4488" i="1"/>
  <c r="B4488" i="1"/>
  <c r="C4488" i="1"/>
  <c r="D4488" i="1"/>
  <c r="A4489" i="1"/>
  <c r="B4489" i="1"/>
  <c r="C4489" i="1"/>
  <c r="D4489" i="1"/>
  <c r="A4490" i="1"/>
  <c r="B4490" i="1"/>
  <c r="C4490" i="1"/>
  <c r="D4490" i="1"/>
  <c r="A4491" i="1"/>
  <c r="B4491" i="1"/>
  <c r="C4491" i="1"/>
  <c r="D4491" i="1"/>
  <c r="A4492" i="1"/>
  <c r="B4492" i="1"/>
  <c r="C4492" i="1"/>
  <c r="D4492" i="1"/>
  <c r="A4493" i="1"/>
  <c r="B4493" i="1"/>
  <c r="C4493" i="1"/>
  <c r="D4493" i="1"/>
  <c r="A4494" i="1"/>
  <c r="B4494" i="1"/>
  <c r="C4494" i="1"/>
  <c r="D4494" i="1"/>
  <c r="A4495" i="1"/>
  <c r="B4495" i="1"/>
  <c r="C4495" i="1"/>
  <c r="D4495" i="1"/>
  <c r="A4496" i="1"/>
  <c r="B4496" i="1"/>
  <c r="C4496" i="1"/>
  <c r="D4496" i="1"/>
  <c r="A4497" i="1"/>
  <c r="B4497" i="1"/>
  <c r="C4497" i="1"/>
  <c r="D4497" i="1"/>
  <c r="A4498" i="1"/>
  <c r="B4498" i="1"/>
  <c r="C4498" i="1"/>
  <c r="D4498" i="1"/>
  <c r="A4499" i="1"/>
  <c r="B4499" i="1"/>
  <c r="C4499" i="1"/>
  <c r="D4499" i="1"/>
  <c r="A4500" i="1"/>
  <c r="B4500" i="1"/>
  <c r="C4500" i="1"/>
  <c r="D4500" i="1"/>
  <c r="A4501" i="1"/>
  <c r="B4501" i="1"/>
  <c r="C4501" i="1"/>
  <c r="D4501" i="1"/>
  <c r="A4502" i="1"/>
  <c r="B4502" i="1"/>
  <c r="C4502" i="1"/>
  <c r="D4502" i="1"/>
  <c r="A4503" i="1"/>
  <c r="B4503" i="1"/>
  <c r="C4503" i="1"/>
  <c r="D4503" i="1"/>
  <c r="A4504" i="1"/>
  <c r="B4504" i="1"/>
  <c r="C4504" i="1"/>
  <c r="D4504" i="1"/>
  <c r="A4505" i="1"/>
  <c r="B4505" i="1"/>
  <c r="C4505" i="1"/>
  <c r="D4505" i="1"/>
  <c r="A4506" i="1"/>
  <c r="B4506" i="1"/>
  <c r="C4506" i="1"/>
  <c r="D4506" i="1"/>
  <c r="A4507" i="1"/>
  <c r="B4507" i="1"/>
  <c r="C4507" i="1"/>
  <c r="D4507" i="1"/>
  <c r="A4508" i="1"/>
  <c r="B4508" i="1"/>
  <c r="C4508" i="1"/>
  <c r="D4508" i="1"/>
  <c r="A4509" i="1"/>
  <c r="B4509" i="1"/>
  <c r="C4509" i="1"/>
  <c r="D4509" i="1"/>
  <c r="A4510" i="1"/>
  <c r="B4510" i="1"/>
  <c r="C4510" i="1"/>
  <c r="D4510" i="1"/>
  <c r="A4511" i="1"/>
  <c r="B4511" i="1"/>
  <c r="C4511" i="1"/>
  <c r="D4511" i="1"/>
  <c r="A4512" i="1"/>
  <c r="B4512" i="1"/>
  <c r="C4512" i="1"/>
  <c r="D4512" i="1"/>
  <c r="A4513" i="1"/>
  <c r="B4513" i="1"/>
  <c r="C4513" i="1"/>
  <c r="D4513" i="1"/>
  <c r="A4514" i="1"/>
  <c r="B4514" i="1"/>
  <c r="C4514" i="1"/>
  <c r="D4514" i="1"/>
  <c r="A4515" i="1"/>
  <c r="B4515" i="1"/>
  <c r="C4515" i="1"/>
  <c r="D4515" i="1"/>
  <c r="A4516" i="1"/>
  <c r="B4516" i="1"/>
  <c r="C4516" i="1"/>
  <c r="D4516" i="1"/>
  <c r="A4517" i="1"/>
  <c r="B4517" i="1"/>
  <c r="C4517" i="1"/>
  <c r="D4517" i="1"/>
  <c r="A4518" i="1"/>
  <c r="B4518" i="1"/>
  <c r="C4518" i="1"/>
  <c r="D4518" i="1"/>
  <c r="A4519" i="1"/>
  <c r="B4519" i="1"/>
  <c r="C4519" i="1"/>
  <c r="D4519" i="1"/>
  <c r="A4520" i="1"/>
  <c r="B4520" i="1"/>
  <c r="C4520" i="1"/>
  <c r="D4520" i="1"/>
  <c r="A4521" i="1"/>
  <c r="B4521" i="1"/>
  <c r="C4521" i="1"/>
  <c r="D4521" i="1"/>
  <c r="A4522" i="1"/>
  <c r="B4522" i="1"/>
  <c r="C4522" i="1"/>
  <c r="D4522" i="1"/>
  <c r="A4523" i="1"/>
  <c r="B4523" i="1"/>
  <c r="C4523" i="1"/>
  <c r="D4523" i="1"/>
  <c r="A4524" i="1"/>
  <c r="B4524" i="1"/>
  <c r="C4524" i="1"/>
  <c r="D4524" i="1"/>
  <c r="A4525" i="1"/>
  <c r="B4525" i="1"/>
  <c r="C4525" i="1"/>
  <c r="D4525" i="1"/>
  <c r="A4526" i="1"/>
  <c r="B4526" i="1"/>
  <c r="C4526" i="1"/>
  <c r="D4526" i="1"/>
  <c r="A4527" i="1"/>
  <c r="B4527" i="1"/>
  <c r="C4527" i="1"/>
  <c r="D4527" i="1"/>
  <c r="A4528" i="1"/>
  <c r="B4528" i="1"/>
  <c r="C4528" i="1"/>
  <c r="D4528" i="1"/>
  <c r="A4529" i="1"/>
  <c r="B4529" i="1"/>
  <c r="C4529" i="1"/>
  <c r="D4529" i="1"/>
  <c r="A4530" i="1"/>
  <c r="B4530" i="1"/>
  <c r="C4530" i="1"/>
  <c r="D4530" i="1"/>
  <c r="A4531" i="1"/>
  <c r="B4531" i="1"/>
  <c r="C4531" i="1"/>
  <c r="D4531" i="1"/>
  <c r="A4532" i="1"/>
  <c r="B4532" i="1"/>
  <c r="C4532" i="1"/>
  <c r="D4532" i="1"/>
  <c r="A4533" i="1"/>
  <c r="B4533" i="1"/>
  <c r="C4533" i="1"/>
  <c r="D4533" i="1"/>
  <c r="A4534" i="1"/>
  <c r="B4534" i="1"/>
  <c r="C4534" i="1"/>
  <c r="D4534" i="1"/>
  <c r="A4535" i="1"/>
  <c r="B4535" i="1"/>
  <c r="C4535" i="1"/>
  <c r="D4535" i="1"/>
  <c r="A4536" i="1"/>
  <c r="B4536" i="1"/>
  <c r="C4536" i="1"/>
  <c r="D4536" i="1"/>
  <c r="A4537" i="1"/>
  <c r="B4537" i="1"/>
  <c r="C4537" i="1"/>
  <c r="D4537" i="1"/>
  <c r="A4538" i="1"/>
  <c r="B4538" i="1"/>
  <c r="C4538" i="1"/>
  <c r="D4538" i="1"/>
  <c r="A4539" i="1"/>
  <c r="B4539" i="1"/>
  <c r="C4539" i="1"/>
  <c r="D4539" i="1"/>
  <c r="A4540" i="1"/>
  <c r="B4540" i="1"/>
  <c r="C4540" i="1"/>
  <c r="D4540" i="1"/>
  <c r="A4541" i="1"/>
  <c r="B4541" i="1"/>
  <c r="C4541" i="1"/>
  <c r="D4541" i="1"/>
  <c r="A4542" i="1"/>
  <c r="B4542" i="1"/>
  <c r="C4542" i="1"/>
  <c r="D4542" i="1"/>
  <c r="A4543" i="1"/>
  <c r="B4543" i="1"/>
  <c r="C4543" i="1"/>
  <c r="D4543" i="1"/>
  <c r="A4544" i="1"/>
  <c r="B4544" i="1"/>
  <c r="C4544" i="1"/>
  <c r="D4544" i="1"/>
  <c r="A4545" i="1"/>
  <c r="B4545" i="1"/>
  <c r="C4545" i="1"/>
  <c r="D4545" i="1"/>
  <c r="A4546" i="1"/>
  <c r="B4546" i="1"/>
  <c r="C4546" i="1"/>
  <c r="D4546" i="1"/>
  <c r="A4547" i="1"/>
  <c r="B4547" i="1"/>
  <c r="C4547" i="1"/>
  <c r="D4547" i="1"/>
  <c r="A4548" i="1"/>
  <c r="B4548" i="1"/>
  <c r="C4548" i="1"/>
  <c r="D4548" i="1"/>
  <c r="A4549" i="1"/>
  <c r="B4549" i="1"/>
  <c r="C4549" i="1"/>
  <c r="D4549" i="1"/>
  <c r="A4550" i="1"/>
  <c r="B4550" i="1"/>
  <c r="C4550" i="1"/>
  <c r="D4550" i="1"/>
  <c r="A4551" i="1"/>
  <c r="B4551" i="1"/>
  <c r="C4551" i="1"/>
  <c r="D4551" i="1"/>
  <c r="A4552" i="1"/>
  <c r="B4552" i="1"/>
  <c r="C4552" i="1"/>
  <c r="D4552" i="1"/>
  <c r="A4553" i="1"/>
  <c r="B4553" i="1"/>
  <c r="C4553" i="1"/>
  <c r="D4553" i="1"/>
  <c r="A4554" i="1"/>
  <c r="B4554" i="1"/>
  <c r="C4554" i="1"/>
  <c r="A4555" i="1"/>
  <c r="B4555" i="1"/>
  <c r="C4555" i="1"/>
  <c r="D4555" i="1"/>
  <c r="A4556" i="1"/>
  <c r="B4556" i="1"/>
  <c r="C4556" i="1"/>
  <c r="D4556" i="1"/>
  <c r="A4557" i="1"/>
  <c r="B4557" i="1"/>
  <c r="C4557" i="1"/>
  <c r="D4557" i="1"/>
  <c r="A4558" i="1"/>
  <c r="B4558" i="1"/>
  <c r="C4558" i="1"/>
  <c r="D4558" i="1"/>
  <c r="A4559" i="1"/>
  <c r="B4559" i="1"/>
  <c r="C4559" i="1"/>
  <c r="D4559" i="1"/>
  <c r="A4560" i="1"/>
  <c r="B4560" i="1"/>
  <c r="C4560" i="1"/>
  <c r="D4560" i="1"/>
  <c r="A4561" i="1"/>
  <c r="B4561" i="1"/>
  <c r="C4561" i="1"/>
  <c r="D4561" i="1"/>
  <c r="A4562" i="1"/>
  <c r="B4562" i="1"/>
  <c r="C4562" i="1"/>
  <c r="D4562" i="1"/>
  <c r="A4563" i="1"/>
  <c r="B4563" i="1"/>
  <c r="C4563" i="1"/>
  <c r="D4563" i="1"/>
  <c r="A4564" i="1"/>
  <c r="B4564" i="1"/>
  <c r="C4564" i="1"/>
  <c r="D4564" i="1"/>
  <c r="A4565" i="1"/>
  <c r="B4565" i="1"/>
  <c r="C4565" i="1"/>
  <c r="D4565" i="1"/>
  <c r="A4566" i="1"/>
  <c r="B4566" i="1"/>
  <c r="C4566" i="1"/>
  <c r="D4566" i="1"/>
  <c r="A4567" i="1"/>
  <c r="B4567" i="1"/>
  <c r="C4567" i="1"/>
  <c r="D4567" i="1"/>
  <c r="A4568" i="1"/>
  <c r="B4568" i="1"/>
  <c r="C4568" i="1"/>
  <c r="D4568" i="1"/>
  <c r="A4569" i="1"/>
  <c r="B4569" i="1"/>
  <c r="C4569" i="1"/>
  <c r="D4569" i="1"/>
  <c r="A4570" i="1"/>
  <c r="B4570" i="1"/>
  <c r="C4570" i="1"/>
  <c r="D4570" i="1"/>
  <c r="A4571" i="1"/>
  <c r="B4571" i="1"/>
  <c r="C4571" i="1"/>
  <c r="D4571" i="1"/>
  <c r="A4572" i="1"/>
  <c r="B4572" i="1"/>
  <c r="C4572" i="1"/>
  <c r="D4572" i="1"/>
  <c r="A4573" i="1"/>
  <c r="B4573" i="1"/>
  <c r="C4573" i="1"/>
  <c r="D4573" i="1"/>
  <c r="A4574" i="1"/>
  <c r="B4574" i="1"/>
  <c r="C4574" i="1"/>
  <c r="D4574" i="1"/>
  <c r="A4575" i="1"/>
  <c r="B4575" i="1"/>
  <c r="C4575" i="1"/>
  <c r="D4575" i="1"/>
  <c r="A4576" i="1"/>
  <c r="B4576" i="1"/>
  <c r="C4576" i="1"/>
  <c r="D4576" i="1"/>
  <c r="A4577" i="1"/>
  <c r="B4577" i="1"/>
  <c r="C4577" i="1"/>
  <c r="D4577" i="1"/>
  <c r="A4578" i="1"/>
  <c r="B4578" i="1"/>
  <c r="C4578" i="1"/>
  <c r="D4578" i="1"/>
  <c r="A4579" i="1"/>
  <c r="B4579" i="1"/>
  <c r="C4579" i="1"/>
  <c r="D4579" i="1"/>
  <c r="A4580" i="1"/>
  <c r="B4580" i="1"/>
  <c r="C4580" i="1"/>
  <c r="D4580" i="1"/>
  <c r="A4581" i="1"/>
  <c r="B4581" i="1"/>
  <c r="C4581" i="1"/>
  <c r="D4581" i="1"/>
  <c r="A4582" i="1"/>
  <c r="B4582" i="1"/>
  <c r="C4582" i="1"/>
  <c r="D4582" i="1"/>
  <c r="A4583" i="1"/>
  <c r="B4583" i="1"/>
  <c r="C4583" i="1"/>
  <c r="D4583" i="1"/>
  <c r="A4584" i="1"/>
  <c r="B4584" i="1"/>
  <c r="C4584" i="1"/>
  <c r="D4584" i="1"/>
  <c r="A4585" i="1"/>
  <c r="B4585" i="1"/>
  <c r="C4585" i="1"/>
  <c r="D4585" i="1"/>
  <c r="A4586" i="1"/>
  <c r="B4586" i="1"/>
  <c r="C4586" i="1"/>
  <c r="D4586" i="1"/>
  <c r="A4587" i="1"/>
  <c r="B4587" i="1"/>
  <c r="C4587" i="1"/>
  <c r="D4587" i="1"/>
  <c r="A4588" i="1"/>
  <c r="B4588" i="1"/>
  <c r="C4588" i="1"/>
  <c r="D4588" i="1"/>
  <c r="A4589" i="1"/>
  <c r="B4589" i="1"/>
  <c r="C4589" i="1"/>
  <c r="D4589" i="1"/>
  <c r="A4590" i="1"/>
  <c r="B4590" i="1"/>
  <c r="C4590" i="1"/>
  <c r="D4590" i="1"/>
  <c r="A4591" i="1"/>
  <c r="B4591" i="1"/>
  <c r="C4591" i="1"/>
  <c r="D4591" i="1"/>
  <c r="A4592" i="1"/>
  <c r="B4592" i="1"/>
  <c r="C4592" i="1"/>
  <c r="D4592" i="1"/>
  <c r="A4593" i="1"/>
  <c r="B4593" i="1"/>
  <c r="C4593" i="1"/>
  <c r="D4593" i="1"/>
  <c r="A4594" i="1"/>
  <c r="B4594" i="1"/>
  <c r="C4594" i="1"/>
  <c r="D4594" i="1"/>
  <c r="A4595" i="1"/>
  <c r="B4595" i="1"/>
  <c r="C4595" i="1"/>
  <c r="D4595" i="1"/>
  <c r="A4596" i="1"/>
  <c r="B4596" i="1"/>
  <c r="C4596" i="1"/>
  <c r="D4596" i="1"/>
  <c r="A4597" i="1"/>
  <c r="B4597" i="1"/>
  <c r="C4597" i="1"/>
  <c r="D4597" i="1"/>
  <c r="A4598" i="1"/>
  <c r="B4598" i="1"/>
  <c r="C4598" i="1"/>
  <c r="D4598" i="1"/>
  <c r="A4599" i="1"/>
  <c r="B4599" i="1"/>
  <c r="C4599" i="1"/>
  <c r="D4599" i="1"/>
  <c r="A4600" i="1"/>
  <c r="B4600" i="1"/>
  <c r="C4600" i="1"/>
  <c r="A4601" i="1"/>
  <c r="B4601" i="1"/>
  <c r="C4601" i="1"/>
  <c r="D4601" i="1"/>
  <c r="A4602" i="1"/>
  <c r="B4602" i="1"/>
  <c r="C4602" i="1"/>
  <c r="D4602" i="1"/>
  <c r="A4603" i="1"/>
  <c r="B4603" i="1"/>
  <c r="C4603" i="1"/>
  <c r="D4603" i="1"/>
  <c r="A4604" i="1"/>
  <c r="B4604" i="1"/>
  <c r="C4604" i="1"/>
  <c r="D4604" i="1"/>
  <c r="A4605" i="1"/>
  <c r="B4605" i="1"/>
  <c r="C4605" i="1"/>
  <c r="D4605" i="1"/>
  <c r="A4606" i="1"/>
  <c r="B4606" i="1"/>
  <c r="C4606" i="1"/>
  <c r="D4606" i="1"/>
  <c r="A4607" i="1"/>
  <c r="B4607" i="1"/>
  <c r="C4607" i="1"/>
  <c r="D4607" i="1"/>
  <c r="A4608" i="1"/>
  <c r="B4608" i="1"/>
  <c r="C4608" i="1"/>
  <c r="D4608" i="1"/>
  <c r="A4609" i="1"/>
  <c r="B4609" i="1"/>
  <c r="C4609" i="1"/>
  <c r="D4609" i="1"/>
  <c r="A4610" i="1"/>
  <c r="B4610" i="1"/>
  <c r="C4610" i="1"/>
  <c r="D4610" i="1"/>
  <c r="A4611" i="1"/>
  <c r="B4611" i="1"/>
  <c r="C4611" i="1"/>
  <c r="D4611" i="1"/>
  <c r="A4612" i="1"/>
  <c r="B4612" i="1"/>
  <c r="C4612" i="1"/>
  <c r="D4612" i="1"/>
  <c r="A4613" i="1"/>
  <c r="B4613" i="1"/>
  <c r="C4613" i="1"/>
  <c r="D4613" i="1"/>
  <c r="A4614" i="1"/>
  <c r="B4614" i="1"/>
  <c r="C4614" i="1"/>
  <c r="D4614" i="1"/>
  <c r="A4615" i="1"/>
  <c r="B4615" i="1"/>
  <c r="C4615" i="1"/>
  <c r="D4615" i="1"/>
  <c r="A4616" i="1"/>
  <c r="B4616" i="1"/>
  <c r="C4616" i="1"/>
  <c r="D4616" i="1"/>
  <c r="A4617" i="1"/>
  <c r="B4617" i="1"/>
  <c r="C4617" i="1"/>
  <c r="D4617" i="1"/>
  <c r="A4618" i="1"/>
  <c r="B4618" i="1"/>
  <c r="C4618" i="1"/>
  <c r="D4618" i="1"/>
  <c r="A4619" i="1"/>
  <c r="B4619" i="1"/>
  <c r="C4619" i="1"/>
  <c r="D4619" i="1"/>
  <c r="A4620" i="1"/>
  <c r="B4620" i="1"/>
  <c r="C4620" i="1"/>
  <c r="D4620" i="1"/>
  <c r="A4621" i="1"/>
  <c r="B4621" i="1"/>
  <c r="C4621" i="1"/>
  <c r="D4621" i="1"/>
  <c r="A4622" i="1"/>
  <c r="B4622" i="1"/>
  <c r="C4622" i="1"/>
  <c r="D4622" i="1"/>
  <c r="A4623" i="1"/>
  <c r="B4623" i="1"/>
  <c r="C4623" i="1"/>
  <c r="D4623" i="1"/>
  <c r="A4624" i="1"/>
  <c r="B4624" i="1"/>
  <c r="C4624" i="1"/>
  <c r="D4624" i="1"/>
  <c r="A4625" i="1"/>
  <c r="B4625" i="1"/>
  <c r="C4625" i="1"/>
  <c r="D4625" i="1"/>
  <c r="A4626" i="1"/>
  <c r="B4626" i="1"/>
  <c r="C4626" i="1"/>
  <c r="D4626" i="1"/>
  <c r="A4627" i="1"/>
  <c r="B4627" i="1"/>
  <c r="C4627" i="1"/>
  <c r="D4627" i="1"/>
  <c r="A4628" i="1"/>
  <c r="B4628" i="1"/>
  <c r="C4628" i="1"/>
  <c r="D4628" i="1"/>
  <c r="A4629" i="1"/>
  <c r="B4629" i="1"/>
  <c r="C4629" i="1"/>
  <c r="D4629" i="1"/>
  <c r="A4630" i="1"/>
  <c r="B4630" i="1"/>
  <c r="C4630" i="1"/>
  <c r="D4630" i="1"/>
  <c r="A4631" i="1"/>
  <c r="B4631" i="1"/>
  <c r="C4631" i="1"/>
  <c r="D4631" i="1"/>
  <c r="A4632" i="1"/>
  <c r="B4632" i="1"/>
  <c r="C4632" i="1"/>
  <c r="D4632" i="1"/>
  <c r="A4633" i="1"/>
  <c r="B4633" i="1"/>
  <c r="C4633" i="1"/>
  <c r="D4633" i="1"/>
  <c r="A4634" i="1"/>
  <c r="B4634" i="1"/>
  <c r="C4634" i="1"/>
  <c r="D4634" i="1"/>
  <c r="A4635" i="1"/>
  <c r="B4635" i="1"/>
  <c r="C4635" i="1"/>
  <c r="D4635" i="1"/>
  <c r="A4636" i="1"/>
  <c r="B4636" i="1"/>
  <c r="C4636" i="1"/>
  <c r="D4636" i="1"/>
  <c r="A4637" i="1"/>
  <c r="B4637" i="1"/>
  <c r="C4637" i="1"/>
  <c r="D4637" i="1"/>
  <c r="A4638" i="1"/>
  <c r="B4638" i="1"/>
  <c r="C4638" i="1"/>
  <c r="D4638" i="1"/>
  <c r="A4639" i="1"/>
  <c r="B4639" i="1"/>
  <c r="C4639" i="1"/>
  <c r="D4639" i="1"/>
  <c r="A4640" i="1"/>
  <c r="B4640" i="1"/>
  <c r="C4640" i="1"/>
  <c r="D4640" i="1"/>
  <c r="A4641" i="1"/>
  <c r="B4641" i="1"/>
  <c r="C4641" i="1"/>
  <c r="D4641" i="1"/>
  <c r="A4642" i="1"/>
  <c r="B4642" i="1"/>
  <c r="C4642" i="1"/>
  <c r="D4642" i="1"/>
  <c r="A4643" i="1"/>
  <c r="B4643" i="1"/>
  <c r="C4643" i="1"/>
  <c r="D4643" i="1"/>
  <c r="A4644" i="1"/>
  <c r="B4644" i="1"/>
  <c r="C4644" i="1"/>
  <c r="D4644" i="1"/>
  <c r="A4645" i="1"/>
  <c r="B4645" i="1"/>
  <c r="C4645" i="1"/>
  <c r="D4645" i="1"/>
  <c r="A4646" i="1"/>
  <c r="B4646" i="1"/>
  <c r="C4646" i="1"/>
  <c r="D4646" i="1"/>
  <c r="A4647" i="1"/>
  <c r="B4647" i="1"/>
  <c r="C4647" i="1"/>
  <c r="D4647" i="1"/>
  <c r="A4648" i="1"/>
  <c r="B4648" i="1"/>
  <c r="C4648" i="1"/>
  <c r="D4648" i="1"/>
  <c r="A4649" i="1"/>
  <c r="B4649" i="1"/>
  <c r="C4649" i="1"/>
  <c r="D4649" i="1"/>
  <c r="A4650" i="1"/>
  <c r="B4650" i="1"/>
  <c r="C4650" i="1"/>
  <c r="D4650" i="1"/>
  <c r="A4651" i="1"/>
  <c r="B4651" i="1"/>
  <c r="C4651" i="1"/>
  <c r="D4651" i="1"/>
  <c r="A4652" i="1"/>
  <c r="B4652" i="1"/>
  <c r="C4652" i="1"/>
  <c r="D4652" i="1"/>
  <c r="A4653" i="1"/>
  <c r="B4653" i="1"/>
  <c r="C4653" i="1"/>
  <c r="D4653" i="1"/>
  <c r="A4654" i="1"/>
  <c r="B4654" i="1"/>
  <c r="C4654" i="1"/>
  <c r="D4654" i="1"/>
  <c r="A4655" i="1"/>
  <c r="B4655" i="1"/>
  <c r="C4655" i="1"/>
  <c r="D4655" i="1"/>
  <c r="A4656" i="1"/>
  <c r="B4656" i="1"/>
  <c r="C4656" i="1"/>
  <c r="D4656" i="1"/>
  <c r="A4657" i="1"/>
  <c r="B4657" i="1"/>
  <c r="C4657" i="1"/>
  <c r="D4657" i="1"/>
  <c r="A4658" i="1"/>
  <c r="B4658" i="1"/>
  <c r="C4658" i="1"/>
  <c r="D4658" i="1"/>
  <c r="A4659" i="1"/>
  <c r="B4659" i="1"/>
  <c r="C4659" i="1"/>
  <c r="D4659" i="1"/>
  <c r="A4660" i="1"/>
  <c r="B4660" i="1"/>
  <c r="C4660" i="1"/>
  <c r="D4660" i="1"/>
  <c r="A4661" i="1"/>
  <c r="B4661" i="1"/>
  <c r="C4661" i="1"/>
  <c r="D4661" i="1"/>
  <c r="A4662" i="1"/>
  <c r="B4662" i="1"/>
  <c r="C4662" i="1"/>
  <c r="D4662" i="1"/>
  <c r="A4663" i="1"/>
  <c r="B4663" i="1"/>
  <c r="C4663" i="1"/>
  <c r="D4663" i="1"/>
  <c r="A4664" i="1"/>
  <c r="B4664" i="1"/>
  <c r="C4664" i="1"/>
  <c r="D4664" i="1"/>
  <c r="A4665" i="1"/>
  <c r="B4665" i="1"/>
  <c r="C4665" i="1"/>
  <c r="D4665" i="1"/>
  <c r="A4666" i="1"/>
  <c r="B4666" i="1"/>
  <c r="C4666" i="1"/>
  <c r="D4666" i="1"/>
  <c r="A4667" i="1"/>
  <c r="B4667" i="1"/>
  <c r="C4667" i="1"/>
  <c r="D4667" i="1"/>
  <c r="A4668" i="1"/>
  <c r="B4668" i="1"/>
  <c r="C4668" i="1"/>
  <c r="D4668" i="1"/>
  <c r="A4669" i="1"/>
  <c r="B4669" i="1"/>
  <c r="C4669" i="1"/>
  <c r="D4669" i="1"/>
  <c r="A4670" i="1"/>
  <c r="B4670" i="1"/>
  <c r="C4670" i="1"/>
  <c r="D4670" i="1"/>
  <c r="A4671" i="1"/>
  <c r="B4671" i="1"/>
  <c r="C4671" i="1"/>
  <c r="D4671" i="1"/>
  <c r="A4672" i="1"/>
  <c r="B4672" i="1"/>
  <c r="C4672" i="1"/>
  <c r="D4672" i="1"/>
  <c r="A4673" i="1"/>
  <c r="B4673" i="1"/>
  <c r="C4673" i="1"/>
  <c r="D4673" i="1"/>
  <c r="A4674" i="1"/>
  <c r="B4674" i="1"/>
  <c r="C4674" i="1"/>
  <c r="D4674" i="1"/>
  <c r="A4675" i="1"/>
  <c r="B4675" i="1"/>
  <c r="C4675" i="1"/>
  <c r="D4675" i="1"/>
  <c r="A4676" i="1"/>
  <c r="B4676" i="1"/>
  <c r="C4676" i="1"/>
  <c r="D4676" i="1"/>
  <c r="A4677" i="1"/>
  <c r="B4677" i="1"/>
  <c r="C4677" i="1"/>
  <c r="D4677" i="1"/>
  <c r="A4678" i="1"/>
  <c r="B4678" i="1"/>
  <c r="C4678" i="1"/>
  <c r="D4678" i="1"/>
  <c r="A4679" i="1"/>
  <c r="B4679" i="1"/>
  <c r="C4679" i="1"/>
  <c r="D4679" i="1"/>
  <c r="A4680" i="1"/>
  <c r="B4680" i="1"/>
  <c r="C4680" i="1"/>
  <c r="D4680" i="1"/>
  <c r="A4681" i="1"/>
  <c r="B4681" i="1"/>
  <c r="C4681" i="1"/>
  <c r="D4681" i="1"/>
  <c r="A4682" i="1"/>
  <c r="B4682" i="1"/>
  <c r="C4682" i="1"/>
  <c r="D4682" i="1"/>
  <c r="A4683" i="1"/>
  <c r="B4683" i="1"/>
  <c r="C4683" i="1"/>
  <c r="D4683" i="1"/>
  <c r="A4684" i="1"/>
  <c r="B4684" i="1"/>
  <c r="C4684" i="1"/>
  <c r="D4684" i="1"/>
  <c r="A4685" i="1"/>
  <c r="B4685" i="1"/>
  <c r="C4685" i="1"/>
  <c r="D4685" i="1"/>
  <c r="A4686" i="1"/>
  <c r="B4686" i="1"/>
  <c r="C4686" i="1"/>
  <c r="D4686" i="1"/>
  <c r="A4687" i="1"/>
  <c r="B4687" i="1"/>
  <c r="C4687" i="1"/>
  <c r="D4687" i="1"/>
  <c r="A4688" i="1"/>
  <c r="B4688" i="1"/>
  <c r="C4688" i="1"/>
  <c r="D4688" i="1"/>
  <c r="A4689" i="1"/>
  <c r="B4689" i="1"/>
  <c r="C4689" i="1"/>
  <c r="D4689" i="1"/>
  <c r="A4690" i="1"/>
  <c r="B4690" i="1"/>
  <c r="C4690" i="1"/>
  <c r="D4690" i="1"/>
  <c r="A4691" i="1"/>
  <c r="B4691" i="1"/>
  <c r="C4691" i="1"/>
  <c r="D4691" i="1"/>
  <c r="A4692" i="1"/>
  <c r="B4692" i="1"/>
  <c r="C4692" i="1"/>
  <c r="D4692" i="1"/>
  <c r="A4693" i="1"/>
  <c r="B4693" i="1"/>
  <c r="C4693" i="1"/>
  <c r="A4694" i="1"/>
  <c r="B4694" i="1"/>
  <c r="C4694" i="1"/>
  <c r="D4694" i="1"/>
  <c r="A4695" i="1"/>
  <c r="B4695" i="1"/>
  <c r="C4695" i="1"/>
  <c r="D4695" i="1"/>
  <c r="A4696" i="1"/>
  <c r="B4696" i="1"/>
  <c r="C4696" i="1"/>
  <c r="D4696" i="1"/>
  <c r="A4697" i="1"/>
  <c r="B4697" i="1"/>
  <c r="C4697" i="1"/>
  <c r="D4697" i="1"/>
  <c r="A4698" i="1"/>
  <c r="B4698" i="1"/>
  <c r="C4698" i="1"/>
  <c r="D4698" i="1"/>
  <c r="A4699" i="1"/>
  <c r="B4699" i="1"/>
  <c r="C4699" i="1"/>
  <c r="D4699" i="1"/>
  <c r="A4700" i="1"/>
  <c r="B4700" i="1"/>
  <c r="C4700" i="1"/>
  <c r="D4700" i="1"/>
  <c r="A4701" i="1"/>
  <c r="B4701" i="1"/>
  <c r="C4701" i="1"/>
  <c r="D4701" i="1"/>
  <c r="A4702" i="1"/>
  <c r="B4702" i="1"/>
  <c r="C4702" i="1"/>
  <c r="D4702" i="1"/>
  <c r="A4703" i="1"/>
  <c r="B4703" i="1"/>
  <c r="C4703" i="1"/>
  <c r="D4703" i="1"/>
  <c r="A4704" i="1"/>
  <c r="B4704" i="1"/>
  <c r="C4704" i="1"/>
  <c r="D4704" i="1"/>
  <c r="A4705" i="1"/>
  <c r="B4705" i="1"/>
  <c r="C4705" i="1"/>
  <c r="D4705" i="1"/>
  <c r="A4706" i="1"/>
  <c r="B4706" i="1"/>
  <c r="C4706" i="1"/>
  <c r="D4706" i="1"/>
  <c r="A4707" i="1"/>
  <c r="B4707" i="1"/>
  <c r="C4707" i="1"/>
  <c r="D4707" i="1"/>
  <c r="A4708" i="1"/>
  <c r="B4708" i="1"/>
  <c r="C4708" i="1"/>
  <c r="D4708" i="1"/>
  <c r="A4709" i="1"/>
  <c r="B4709" i="1"/>
  <c r="C4709" i="1"/>
  <c r="D4709" i="1"/>
  <c r="A4710" i="1"/>
  <c r="B4710" i="1"/>
  <c r="C4710" i="1"/>
  <c r="D4710" i="1"/>
  <c r="A4711" i="1"/>
  <c r="B4711" i="1"/>
  <c r="C4711" i="1"/>
  <c r="D4711" i="1"/>
  <c r="A4712" i="1"/>
  <c r="B4712" i="1"/>
  <c r="C4712" i="1"/>
  <c r="D4712" i="1"/>
  <c r="A4713" i="1"/>
  <c r="B4713" i="1"/>
  <c r="C4713" i="1"/>
  <c r="D4713" i="1"/>
  <c r="A4714" i="1"/>
  <c r="B4714" i="1"/>
  <c r="C4714" i="1"/>
  <c r="D4714" i="1"/>
  <c r="A4715" i="1"/>
  <c r="B4715" i="1"/>
  <c r="C4715" i="1"/>
  <c r="D4715" i="1"/>
  <c r="A4716" i="1"/>
  <c r="B4716" i="1"/>
  <c r="C4716" i="1"/>
  <c r="D4716" i="1"/>
  <c r="A4717" i="1"/>
  <c r="B4717" i="1"/>
  <c r="C4717" i="1"/>
  <c r="D4717" i="1"/>
  <c r="A4718" i="1"/>
  <c r="B4718" i="1"/>
  <c r="C4718" i="1"/>
  <c r="D4718" i="1"/>
  <c r="A4719" i="1"/>
  <c r="B4719" i="1"/>
  <c r="C4719" i="1"/>
  <c r="D4719" i="1"/>
  <c r="A4720" i="1"/>
  <c r="B4720" i="1"/>
  <c r="C4720" i="1"/>
  <c r="D4720" i="1"/>
  <c r="A4721" i="1"/>
  <c r="B4721" i="1"/>
  <c r="C4721" i="1"/>
  <c r="D4721" i="1"/>
  <c r="A4722" i="1"/>
  <c r="B4722" i="1"/>
  <c r="C4722" i="1"/>
  <c r="D4722" i="1"/>
  <c r="A4723" i="1"/>
  <c r="B4723" i="1"/>
  <c r="C4723" i="1"/>
  <c r="D4723" i="1"/>
  <c r="A4724" i="1"/>
  <c r="B4724" i="1"/>
  <c r="C4724" i="1"/>
  <c r="D4724" i="1"/>
  <c r="A4725" i="1"/>
  <c r="B4725" i="1"/>
  <c r="C4725" i="1"/>
  <c r="D4725" i="1"/>
  <c r="A4726" i="1"/>
  <c r="B4726" i="1"/>
  <c r="C4726" i="1"/>
  <c r="D4726" i="1"/>
  <c r="A4727" i="1"/>
  <c r="B4727" i="1"/>
  <c r="C4727" i="1"/>
  <c r="D4727" i="1"/>
  <c r="A4728" i="1"/>
  <c r="B4728" i="1"/>
  <c r="C4728" i="1"/>
  <c r="D4728" i="1"/>
  <c r="A4729" i="1"/>
  <c r="B4729" i="1"/>
  <c r="C4729" i="1"/>
  <c r="D4729" i="1"/>
  <c r="A4730" i="1"/>
  <c r="B4730" i="1"/>
  <c r="C4730" i="1"/>
  <c r="D4730" i="1"/>
  <c r="A4731" i="1"/>
  <c r="B4731" i="1"/>
  <c r="C4731" i="1"/>
  <c r="D4731" i="1"/>
  <c r="A4732" i="1"/>
  <c r="B4732" i="1"/>
  <c r="C4732" i="1"/>
  <c r="D4732" i="1"/>
  <c r="A4733" i="1"/>
  <c r="B4733" i="1"/>
  <c r="C4733" i="1"/>
  <c r="D4733" i="1"/>
  <c r="A4734" i="1"/>
  <c r="B4734" i="1"/>
  <c r="C4734" i="1"/>
  <c r="D4734" i="1"/>
  <c r="A4735" i="1"/>
  <c r="B4735" i="1"/>
  <c r="C4735" i="1"/>
  <c r="D4735" i="1"/>
  <c r="A4736" i="1"/>
  <c r="B4736" i="1"/>
  <c r="C4736" i="1"/>
  <c r="D4736" i="1"/>
  <c r="A4737" i="1"/>
  <c r="B4737" i="1"/>
  <c r="C4737" i="1"/>
  <c r="D4737" i="1"/>
  <c r="A4738" i="1"/>
  <c r="B4738" i="1"/>
  <c r="C4738" i="1"/>
  <c r="D4738" i="1"/>
  <c r="A4739" i="1"/>
  <c r="B4739" i="1"/>
  <c r="C4739" i="1"/>
  <c r="A4740" i="1"/>
  <c r="B4740" i="1"/>
  <c r="C4740" i="1"/>
  <c r="D4740" i="1"/>
  <c r="A4741" i="1"/>
  <c r="B4741" i="1"/>
  <c r="C4741" i="1"/>
  <c r="D4741" i="1"/>
  <c r="A4742" i="1"/>
  <c r="B4742" i="1"/>
  <c r="C4742" i="1"/>
  <c r="D4742" i="1"/>
  <c r="A4743" i="1"/>
  <c r="B4743" i="1"/>
  <c r="C4743" i="1"/>
  <c r="D4743" i="1"/>
  <c r="A4744" i="1"/>
  <c r="B4744" i="1"/>
  <c r="C4744" i="1"/>
  <c r="D4744" i="1"/>
  <c r="A4745" i="1"/>
  <c r="B4745" i="1"/>
  <c r="C4745" i="1"/>
  <c r="D4745" i="1"/>
  <c r="A4746" i="1"/>
  <c r="B4746" i="1"/>
  <c r="C4746" i="1"/>
  <c r="D4746" i="1"/>
  <c r="A4747" i="1"/>
  <c r="B4747" i="1"/>
  <c r="C4747" i="1"/>
  <c r="D4747" i="1"/>
  <c r="A4748" i="1"/>
  <c r="B4748" i="1"/>
  <c r="C4748" i="1"/>
  <c r="A4749" i="1"/>
  <c r="B4749" i="1"/>
  <c r="C4749" i="1"/>
  <c r="D4749" i="1"/>
  <c r="A4750" i="1"/>
  <c r="B4750" i="1"/>
  <c r="C4750" i="1"/>
  <c r="D4750" i="1"/>
  <c r="A4751" i="1"/>
  <c r="B4751" i="1"/>
  <c r="C4751" i="1"/>
  <c r="D4751" i="1"/>
  <c r="A4752" i="1"/>
  <c r="B4752" i="1"/>
  <c r="C4752" i="1"/>
  <c r="D4752" i="1"/>
  <c r="A4753" i="1"/>
  <c r="B4753" i="1"/>
  <c r="C4753" i="1"/>
  <c r="D4753" i="1"/>
  <c r="A4754" i="1"/>
  <c r="B4754" i="1"/>
  <c r="C4754" i="1"/>
  <c r="D4754" i="1"/>
  <c r="A4755" i="1"/>
  <c r="B4755" i="1"/>
  <c r="C4755" i="1"/>
  <c r="D4755" i="1"/>
  <c r="A4756" i="1"/>
  <c r="B4756" i="1"/>
  <c r="C4756" i="1"/>
  <c r="A4757" i="1"/>
  <c r="B4757" i="1"/>
  <c r="C4757" i="1"/>
  <c r="D4757" i="1"/>
  <c r="A4758" i="1"/>
  <c r="B4758" i="1"/>
  <c r="C4758" i="1"/>
  <c r="D4758" i="1"/>
  <c r="A4759" i="1"/>
  <c r="B4759" i="1"/>
  <c r="C4759" i="1"/>
  <c r="D4759" i="1"/>
  <c r="A4760" i="1"/>
  <c r="B4760" i="1"/>
  <c r="C4760" i="1"/>
  <c r="D4760" i="1"/>
  <c r="A4761" i="1"/>
  <c r="B4761" i="1"/>
  <c r="C4761" i="1"/>
  <c r="D4761" i="1"/>
  <c r="A4762" i="1"/>
  <c r="B4762" i="1"/>
  <c r="C4762" i="1"/>
  <c r="D4762" i="1"/>
  <c r="A4763" i="1"/>
  <c r="B4763" i="1"/>
  <c r="C4763" i="1"/>
  <c r="D4763" i="1"/>
  <c r="A4764" i="1"/>
  <c r="B4764" i="1"/>
  <c r="C4764" i="1"/>
  <c r="D4764" i="1"/>
  <c r="A4765" i="1"/>
  <c r="B4765" i="1"/>
  <c r="C4765" i="1"/>
  <c r="D4765" i="1"/>
  <c r="A4766" i="1"/>
  <c r="B4766" i="1"/>
  <c r="C4766" i="1"/>
  <c r="D4766" i="1"/>
  <c r="A4767" i="1"/>
  <c r="B4767" i="1"/>
  <c r="C4767" i="1"/>
  <c r="D4767" i="1"/>
  <c r="A4768" i="1"/>
  <c r="B4768" i="1"/>
  <c r="C4768" i="1"/>
  <c r="D4768" i="1"/>
  <c r="A4769" i="1"/>
  <c r="B4769" i="1"/>
  <c r="C4769" i="1"/>
  <c r="D4769" i="1"/>
  <c r="A4770" i="1"/>
  <c r="B4770" i="1"/>
  <c r="C4770" i="1"/>
  <c r="D4770" i="1"/>
  <c r="A4771" i="1"/>
  <c r="B4771" i="1"/>
  <c r="C4771" i="1"/>
  <c r="D4771" i="1"/>
  <c r="A4772" i="1"/>
  <c r="B4772" i="1"/>
  <c r="C4772" i="1"/>
  <c r="D4772" i="1"/>
  <c r="A4773" i="1"/>
  <c r="B4773" i="1"/>
  <c r="C4773" i="1"/>
  <c r="D4773" i="1"/>
  <c r="A4774" i="1"/>
  <c r="B4774" i="1"/>
  <c r="C4774" i="1"/>
  <c r="D4774" i="1"/>
  <c r="A4775" i="1"/>
  <c r="B4775" i="1"/>
  <c r="C4775" i="1"/>
  <c r="D4775" i="1"/>
  <c r="A4776" i="1"/>
  <c r="B4776" i="1"/>
  <c r="C4776" i="1"/>
  <c r="D4776" i="1"/>
  <c r="A4777" i="1"/>
  <c r="B4777" i="1"/>
  <c r="C4777" i="1"/>
  <c r="D4777" i="1"/>
  <c r="A4778" i="1"/>
  <c r="B4778" i="1"/>
  <c r="C4778" i="1"/>
  <c r="D4778" i="1"/>
  <c r="A4779" i="1"/>
  <c r="B4779" i="1"/>
  <c r="C4779" i="1"/>
  <c r="D4779" i="1"/>
  <c r="A4780" i="1"/>
  <c r="B4780" i="1"/>
  <c r="C4780" i="1"/>
  <c r="D4780" i="1"/>
  <c r="A4781" i="1"/>
  <c r="B4781" i="1"/>
  <c r="C4781" i="1"/>
  <c r="D4781" i="1"/>
  <c r="A4782" i="1"/>
  <c r="B4782" i="1"/>
  <c r="C4782" i="1"/>
  <c r="D4782" i="1"/>
  <c r="A4783" i="1"/>
  <c r="B4783" i="1"/>
  <c r="C4783" i="1"/>
  <c r="D4783" i="1"/>
  <c r="A4784" i="1"/>
  <c r="B4784" i="1"/>
  <c r="C4784" i="1"/>
  <c r="D4784" i="1"/>
  <c r="A4785" i="1"/>
  <c r="B4785" i="1"/>
  <c r="C4785" i="1"/>
  <c r="D4785" i="1"/>
  <c r="A4786" i="1"/>
  <c r="B4786" i="1"/>
  <c r="C4786" i="1"/>
  <c r="D4786" i="1"/>
  <c r="A4787" i="1"/>
  <c r="B4787" i="1"/>
  <c r="C4787" i="1"/>
  <c r="D4787" i="1"/>
  <c r="A4788" i="1"/>
  <c r="B4788" i="1"/>
  <c r="C4788" i="1"/>
  <c r="D4788" i="1"/>
  <c r="A4789" i="1"/>
  <c r="B4789" i="1"/>
  <c r="C4789" i="1"/>
  <c r="D4789" i="1"/>
  <c r="A4790" i="1"/>
  <c r="B4790" i="1"/>
  <c r="C4790" i="1"/>
  <c r="D4790" i="1"/>
  <c r="A4791" i="1"/>
  <c r="B4791" i="1"/>
  <c r="C4791" i="1"/>
  <c r="D4791" i="1"/>
  <c r="A4792" i="1"/>
  <c r="B4792" i="1"/>
  <c r="C4792" i="1"/>
  <c r="D4792" i="1"/>
  <c r="A4793" i="1"/>
  <c r="B4793" i="1"/>
  <c r="C4793" i="1"/>
  <c r="D4793" i="1"/>
  <c r="A4794" i="1"/>
  <c r="B4794" i="1"/>
  <c r="C4794" i="1"/>
  <c r="D4794" i="1"/>
  <c r="A4795" i="1"/>
  <c r="B4795" i="1"/>
  <c r="C4795" i="1"/>
  <c r="D4795" i="1"/>
  <c r="A4796" i="1"/>
  <c r="B4796" i="1"/>
  <c r="C4796" i="1"/>
  <c r="D4796" i="1"/>
  <c r="A4797" i="1"/>
  <c r="B4797" i="1"/>
  <c r="C4797" i="1"/>
  <c r="D4797" i="1"/>
  <c r="A4798" i="1"/>
  <c r="B4798" i="1"/>
  <c r="C4798" i="1"/>
  <c r="D4798" i="1"/>
  <c r="A4799" i="1"/>
  <c r="B4799" i="1"/>
  <c r="C4799" i="1"/>
  <c r="D4799" i="1"/>
  <c r="A4800" i="1"/>
  <c r="B4800" i="1"/>
  <c r="C4800" i="1"/>
  <c r="D4800" i="1"/>
  <c r="A4801" i="1"/>
  <c r="B4801" i="1"/>
  <c r="C4801" i="1"/>
  <c r="D4801" i="1"/>
  <c r="A4802" i="1"/>
  <c r="B4802" i="1"/>
  <c r="C4802" i="1"/>
  <c r="D4802" i="1"/>
  <c r="A4803" i="1"/>
  <c r="B4803" i="1"/>
  <c r="C4803" i="1"/>
  <c r="D4803" i="1"/>
  <c r="A4804" i="1"/>
  <c r="B4804" i="1"/>
  <c r="C4804" i="1"/>
  <c r="D4804" i="1"/>
  <c r="A4805" i="1"/>
  <c r="B4805" i="1"/>
  <c r="C4805" i="1"/>
  <c r="D4805" i="1"/>
  <c r="A4806" i="1"/>
  <c r="B4806" i="1"/>
  <c r="C4806" i="1"/>
  <c r="D4806" i="1"/>
  <c r="A4807" i="1"/>
  <c r="B4807" i="1"/>
  <c r="C4807" i="1"/>
  <c r="D4807" i="1"/>
  <c r="A4808" i="1"/>
  <c r="B4808" i="1"/>
  <c r="C4808" i="1"/>
  <c r="D4808" i="1"/>
  <c r="A4809" i="1"/>
  <c r="B4809" i="1"/>
  <c r="C4809" i="1"/>
  <c r="D4809" i="1"/>
  <c r="A4810" i="1"/>
  <c r="B4810" i="1"/>
  <c r="C4810" i="1"/>
  <c r="D4810" i="1"/>
  <c r="A4811" i="1"/>
  <c r="B4811" i="1"/>
  <c r="C4811" i="1"/>
  <c r="D4811" i="1"/>
  <c r="A4812" i="1"/>
  <c r="B4812" i="1"/>
  <c r="C4812" i="1"/>
  <c r="D4812" i="1"/>
  <c r="A4813" i="1"/>
  <c r="B4813" i="1"/>
  <c r="C4813" i="1"/>
  <c r="D4813" i="1"/>
  <c r="A4814" i="1"/>
  <c r="B4814" i="1"/>
  <c r="C4814" i="1"/>
  <c r="D4814" i="1"/>
  <c r="A4815" i="1"/>
  <c r="B4815" i="1"/>
  <c r="C4815" i="1"/>
  <c r="D4815" i="1"/>
  <c r="A4816" i="1"/>
  <c r="B4816" i="1"/>
  <c r="C4816" i="1"/>
  <c r="D4816" i="1"/>
  <c r="A4817" i="1"/>
  <c r="B4817" i="1"/>
  <c r="C4817" i="1"/>
  <c r="D4817" i="1"/>
  <c r="A4818" i="1"/>
  <c r="B4818" i="1"/>
  <c r="C4818" i="1"/>
  <c r="D4818" i="1"/>
  <c r="A4819" i="1"/>
  <c r="B4819" i="1"/>
  <c r="C4819" i="1"/>
  <c r="D4819" i="1"/>
  <c r="A4820" i="1"/>
  <c r="B4820" i="1"/>
  <c r="C4820" i="1"/>
  <c r="D4820" i="1"/>
  <c r="A4821" i="1"/>
  <c r="B4821" i="1"/>
  <c r="C4821" i="1"/>
  <c r="A4822" i="1"/>
  <c r="B4822" i="1"/>
  <c r="C4822" i="1"/>
  <c r="D4822" i="1"/>
  <c r="A4823" i="1"/>
  <c r="B4823" i="1"/>
  <c r="C4823" i="1"/>
  <c r="D4823" i="1"/>
  <c r="A4824" i="1"/>
  <c r="B4824" i="1"/>
  <c r="C4824" i="1"/>
  <c r="D4824" i="1"/>
  <c r="A4825" i="1"/>
  <c r="B4825" i="1"/>
  <c r="C4825" i="1"/>
  <c r="D4825" i="1"/>
  <c r="A4826" i="1"/>
  <c r="B4826" i="1"/>
  <c r="C4826" i="1"/>
  <c r="D4826" i="1"/>
  <c r="A4827" i="1"/>
  <c r="B4827" i="1"/>
  <c r="C4827" i="1"/>
  <c r="D4827" i="1"/>
  <c r="A4828" i="1"/>
  <c r="B4828" i="1"/>
  <c r="C4828" i="1"/>
  <c r="D4828" i="1"/>
  <c r="A4829" i="1"/>
  <c r="B4829" i="1"/>
  <c r="C4829" i="1"/>
  <c r="D4829" i="1"/>
  <c r="A4830" i="1"/>
  <c r="B4830" i="1"/>
  <c r="C4830" i="1"/>
  <c r="A4831" i="1"/>
  <c r="B4831" i="1"/>
  <c r="C4831" i="1"/>
  <c r="D4831" i="1"/>
  <c r="A4832" i="1"/>
  <c r="B4832" i="1"/>
  <c r="C4832" i="1"/>
  <c r="D4832" i="1"/>
  <c r="A4833" i="1"/>
  <c r="B4833" i="1"/>
  <c r="C4833" i="1"/>
  <c r="D4833" i="1"/>
  <c r="A4834" i="1"/>
  <c r="B4834" i="1"/>
  <c r="C4834" i="1"/>
  <c r="D4834" i="1"/>
  <c r="A4835" i="1"/>
  <c r="B4835" i="1"/>
  <c r="C4835" i="1"/>
  <c r="D4835" i="1"/>
  <c r="A4836" i="1"/>
  <c r="B4836" i="1"/>
  <c r="C4836" i="1"/>
  <c r="D4836" i="1"/>
  <c r="A4837" i="1"/>
  <c r="B4837" i="1"/>
  <c r="C4837" i="1"/>
  <c r="D4837" i="1"/>
  <c r="A4838" i="1"/>
  <c r="B4838" i="1"/>
  <c r="C4838" i="1"/>
  <c r="D4838" i="1"/>
  <c r="A4839" i="1"/>
  <c r="B4839" i="1"/>
  <c r="C4839" i="1"/>
  <c r="D4839" i="1"/>
  <c r="A4840" i="1"/>
  <c r="B4840" i="1"/>
  <c r="C4840" i="1"/>
  <c r="D4840" i="1"/>
  <c r="A4841" i="1"/>
  <c r="B4841" i="1"/>
  <c r="C4841" i="1"/>
  <c r="D4841" i="1"/>
  <c r="A4842" i="1"/>
  <c r="B4842" i="1"/>
  <c r="C4842" i="1"/>
  <c r="D4842" i="1"/>
  <c r="A4843" i="1"/>
  <c r="B4843" i="1"/>
  <c r="C4843" i="1"/>
  <c r="D4843" i="1"/>
  <c r="A4844" i="1"/>
  <c r="B4844" i="1"/>
  <c r="C4844" i="1"/>
  <c r="D4844" i="1"/>
  <c r="A4845" i="1"/>
  <c r="B4845" i="1"/>
  <c r="C4845" i="1"/>
  <c r="D4845" i="1"/>
  <c r="A4846" i="1"/>
  <c r="B4846" i="1"/>
  <c r="C4846" i="1"/>
  <c r="D4846" i="1"/>
  <c r="A4847" i="1"/>
  <c r="B4847" i="1"/>
  <c r="C4847" i="1"/>
  <c r="D4847" i="1"/>
  <c r="A4848" i="1"/>
  <c r="B4848" i="1"/>
  <c r="C4848" i="1"/>
  <c r="D4848" i="1"/>
  <c r="A4849" i="1"/>
  <c r="B4849" i="1"/>
  <c r="C4849" i="1"/>
  <c r="D4849" i="1"/>
  <c r="A4850" i="1"/>
  <c r="B4850" i="1"/>
  <c r="C4850" i="1"/>
  <c r="D4850" i="1"/>
  <c r="A4851" i="1"/>
  <c r="B4851" i="1"/>
  <c r="C4851" i="1"/>
  <c r="D4851" i="1"/>
  <c r="A4852" i="1"/>
  <c r="B4852" i="1"/>
  <c r="C4852" i="1"/>
  <c r="D4852" i="1"/>
  <c r="A4853" i="1"/>
  <c r="B4853" i="1"/>
  <c r="C4853" i="1"/>
  <c r="D4853" i="1"/>
  <c r="A4854" i="1"/>
  <c r="B4854" i="1"/>
  <c r="C4854" i="1"/>
  <c r="D4854" i="1"/>
  <c r="A4855" i="1"/>
  <c r="B4855" i="1"/>
  <c r="C4855" i="1"/>
  <c r="D4855" i="1"/>
  <c r="A4856" i="1"/>
  <c r="B4856" i="1"/>
  <c r="C4856" i="1"/>
  <c r="D4856" i="1"/>
  <c r="A4857" i="1"/>
  <c r="B4857" i="1"/>
  <c r="C4857" i="1"/>
  <c r="D4857" i="1"/>
  <c r="A4858" i="1"/>
  <c r="B4858" i="1"/>
  <c r="C4858" i="1"/>
  <c r="D4858" i="1"/>
  <c r="A4859" i="1"/>
  <c r="B4859" i="1"/>
  <c r="C4859" i="1"/>
  <c r="D4859" i="1"/>
  <c r="A4860" i="1"/>
  <c r="B4860" i="1"/>
  <c r="C4860" i="1"/>
  <c r="D4860" i="1"/>
  <c r="A4861" i="1"/>
  <c r="B4861" i="1"/>
  <c r="C4861" i="1"/>
  <c r="A4862" i="1"/>
  <c r="B4862" i="1"/>
  <c r="C4862" i="1"/>
  <c r="D4862" i="1"/>
  <c r="A4863" i="1"/>
  <c r="B4863" i="1"/>
  <c r="C4863" i="1"/>
  <c r="D4863" i="1"/>
  <c r="A4864" i="1"/>
  <c r="B4864" i="1"/>
  <c r="C4864" i="1"/>
  <c r="D4864" i="1"/>
  <c r="A4865" i="1"/>
  <c r="B4865" i="1"/>
  <c r="C4865" i="1"/>
  <c r="D4865" i="1"/>
  <c r="A4866" i="1"/>
  <c r="B4866" i="1"/>
  <c r="C4866" i="1"/>
  <c r="D4866" i="1"/>
  <c r="A4867" i="1"/>
  <c r="B4867" i="1"/>
  <c r="C4867" i="1"/>
  <c r="D4867" i="1"/>
  <c r="A4868" i="1"/>
  <c r="B4868" i="1"/>
  <c r="C4868" i="1"/>
  <c r="D4868" i="1"/>
  <c r="A4869" i="1"/>
  <c r="B4869" i="1"/>
  <c r="C4869" i="1"/>
  <c r="D4869" i="1"/>
  <c r="A4870" i="1"/>
  <c r="B4870" i="1"/>
  <c r="C4870" i="1"/>
  <c r="D4870" i="1"/>
  <c r="A4871" i="1"/>
  <c r="B4871" i="1"/>
  <c r="C4871" i="1"/>
  <c r="D4871" i="1"/>
  <c r="A4872" i="1"/>
  <c r="B4872" i="1"/>
  <c r="C4872" i="1"/>
  <c r="D4872" i="1"/>
  <c r="A4873" i="1"/>
  <c r="B4873" i="1"/>
  <c r="C4873" i="1"/>
  <c r="D4873" i="1"/>
  <c r="A4874" i="1"/>
  <c r="B4874" i="1"/>
  <c r="C4874" i="1"/>
  <c r="D4874" i="1"/>
  <c r="A4875" i="1"/>
  <c r="B4875" i="1"/>
  <c r="C4875" i="1"/>
  <c r="D4875" i="1"/>
  <c r="A4876" i="1"/>
  <c r="B4876" i="1"/>
  <c r="C4876" i="1"/>
  <c r="D4876" i="1"/>
  <c r="A4877" i="1"/>
  <c r="B4877" i="1"/>
  <c r="C4877" i="1"/>
  <c r="D4877" i="1"/>
  <c r="A4878" i="1"/>
  <c r="B4878" i="1"/>
  <c r="C4878" i="1"/>
  <c r="D4878" i="1"/>
  <c r="A4879" i="1"/>
  <c r="B4879" i="1"/>
  <c r="C4879" i="1"/>
  <c r="D4879" i="1"/>
  <c r="A4880" i="1"/>
  <c r="B4880" i="1"/>
  <c r="C4880" i="1"/>
  <c r="A4881" i="1"/>
  <c r="B4881" i="1"/>
  <c r="C4881" i="1"/>
  <c r="D4881" i="1"/>
  <c r="A4882" i="1"/>
  <c r="B4882" i="1"/>
  <c r="C4882" i="1"/>
  <c r="D4882" i="1"/>
  <c r="A4883" i="1"/>
  <c r="B4883" i="1"/>
  <c r="C4883" i="1"/>
  <c r="D4883" i="1"/>
  <c r="A4884" i="1"/>
  <c r="B4884" i="1"/>
  <c r="C4884" i="1"/>
  <c r="D4884" i="1"/>
  <c r="A4885" i="1"/>
  <c r="B4885" i="1"/>
  <c r="C4885" i="1"/>
  <c r="D4885" i="1"/>
  <c r="A4886" i="1"/>
  <c r="B4886" i="1"/>
  <c r="C4886" i="1"/>
  <c r="D4886" i="1"/>
  <c r="A4887" i="1"/>
  <c r="B4887" i="1"/>
  <c r="C4887" i="1"/>
  <c r="D4887" i="1"/>
  <c r="A4888" i="1"/>
  <c r="B4888" i="1"/>
  <c r="C4888" i="1"/>
  <c r="D4888" i="1"/>
  <c r="A4889" i="1"/>
  <c r="B4889" i="1"/>
  <c r="C4889" i="1"/>
  <c r="D4889" i="1"/>
  <c r="A4890" i="1"/>
  <c r="B4890" i="1"/>
  <c r="C4890" i="1"/>
  <c r="D4890" i="1"/>
  <c r="A4891" i="1"/>
  <c r="B4891" i="1"/>
  <c r="C4891" i="1"/>
  <c r="D4891" i="1"/>
  <c r="A4892" i="1"/>
  <c r="B4892" i="1"/>
  <c r="C4892" i="1"/>
  <c r="D4892" i="1"/>
  <c r="A4893" i="1"/>
  <c r="B4893" i="1"/>
  <c r="C4893" i="1"/>
  <c r="D4893" i="1"/>
  <c r="A4894" i="1"/>
  <c r="B4894" i="1"/>
  <c r="C4894" i="1"/>
  <c r="D4894" i="1"/>
  <c r="A4895" i="1"/>
  <c r="B4895" i="1"/>
  <c r="C4895" i="1"/>
  <c r="A4896" i="1"/>
  <c r="B4896" i="1"/>
  <c r="C4896" i="1"/>
  <c r="D4896" i="1"/>
  <c r="A4897" i="1"/>
  <c r="B4897" i="1"/>
  <c r="C4897" i="1"/>
  <c r="D4897" i="1"/>
  <c r="A4898" i="1"/>
  <c r="B4898" i="1"/>
  <c r="C4898" i="1"/>
  <c r="D4898" i="1"/>
  <c r="A4899" i="1"/>
  <c r="B4899" i="1"/>
  <c r="C4899" i="1"/>
  <c r="D4899" i="1"/>
  <c r="A4900" i="1"/>
  <c r="B4900" i="1"/>
  <c r="C4900" i="1"/>
  <c r="D4900" i="1"/>
  <c r="A4901" i="1"/>
  <c r="B4901" i="1"/>
  <c r="C4901" i="1"/>
  <c r="D4901" i="1"/>
  <c r="A4902" i="1"/>
  <c r="B4902" i="1"/>
  <c r="C4902" i="1"/>
  <c r="D4902" i="1"/>
  <c r="A4903" i="1"/>
  <c r="B4903" i="1"/>
  <c r="C4903" i="1"/>
  <c r="D4903" i="1"/>
  <c r="A4904" i="1"/>
  <c r="B4904" i="1"/>
  <c r="C4904" i="1"/>
  <c r="D4904" i="1"/>
  <c r="A4905" i="1"/>
  <c r="B4905" i="1"/>
  <c r="C4905" i="1"/>
  <c r="D4905" i="1"/>
  <c r="A4906" i="1"/>
  <c r="B4906" i="1"/>
  <c r="C4906" i="1"/>
  <c r="D4906" i="1"/>
  <c r="A4907" i="1"/>
  <c r="B4907" i="1"/>
  <c r="C4907" i="1"/>
  <c r="D4907" i="1"/>
  <c r="A4908" i="1"/>
  <c r="B4908" i="1"/>
  <c r="C4908" i="1"/>
  <c r="D4908" i="1"/>
  <c r="A4909" i="1"/>
  <c r="B4909" i="1"/>
  <c r="C4909" i="1"/>
  <c r="D4909" i="1"/>
  <c r="A4910" i="1"/>
  <c r="B4910" i="1"/>
  <c r="C4910" i="1"/>
  <c r="D4910" i="1"/>
  <c r="A4911" i="1"/>
  <c r="B4911" i="1"/>
  <c r="C4911" i="1"/>
  <c r="D4911" i="1"/>
  <c r="A4912" i="1"/>
  <c r="B4912" i="1"/>
  <c r="C4912" i="1"/>
  <c r="D4912" i="1"/>
  <c r="A4913" i="1"/>
  <c r="B4913" i="1"/>
  <c r="C4913" i="1"/>
  <c r="D4913" i="1"/>
  <c r="A4914" i="1"/>
  <c r="B4914" i="1"/>
  <c r="C4914" i="1"/>
  <c r="D4914" i="1"/>
  <c r="A4915" i="1"/>
  <c r="B4915" i="1"/>
  <c r="C4915" i="1"/>
  <c r="D4915" i="1"/>
  <c r="A4916" i="1"/>
  <c r="B4916" i="1"/>
  <c r="C4916" i="1"/>
  <c r="D4916" i="1"/>
  <c r="A4917" i="1"/>
  <c r="B4917" i="1"/>
  <c r="C4917" i="1"/>
  <c r="D4917" i="1"/>
  <c r="A4918" i="1"/>
  <c r="B4918" i="1"/>
  <c r="C4918" i="1"/>
  <c r="D4918" i="1"/>
  <c r="A4919" i="1"/>
  <c r="B4919" i="1"/>
  <c r="C4919" i="1"/>
  <c r="D4919" i="1"/>
  <c r="A4920" i="1"/>
  <c r="B4920" i="1"/>
  <c r="C4920" i="1"/>
  <c r="D4920" i="1"/>
  <c r="A4921" i="1"/>
  <c r="B4921" i="1"/>
  <c r="C4921" i="1"/>
  <c r="D4921" i="1"/>
  <c r="A4922" i="1"/>
  <c r="B4922" i="1"/>
  <c r="C4922" i="1"/>
  <c r="D4922" i="1"/>
  <c r="A4923" i="1"/>
  <c r="B4923" i="1"/>
  <c r="C4923" i="1"/>
  <c r="D4923" i="1"/>
  <c r="A4924" i="1"/>
  <c r="B4924" i="1"/>
  <c r="C4924" i="1"/>
  <c r="D4924" i="1"/>
  <c r="A4925" i="1"/>
  <c r="B4925" i="1"/>
  <c r="C4925" i="1"/>
  <c r="D4925" i="1"/>
  <c r="A4926" i="1"/>
  <c r="B4926" i="1"/>
  <c r="C4926" i="1"/>
  <c r="D4926" i="1"/>
  <c r="A4927" i="1"/>
  <c r="B4927" i="1"/>
  <c r="C4927" i="1"/>
  <c r="D4927" i="1"/>
  <c r="A4928" i="1"/>
  <c r="B4928" i="1"/>
  <c r="C4928" i="1"/>
  <c r="D4928" i="1"/>
  <c r="A4929" i="1"/>
  <c r="B4929" i="1"/>
  <c r="C4929" i="1"/>
  <c r="D4929" i="1"/>
  <c r="A4930" i="1"/>
  <c r="B4930" i="1"/>
  <c r="C4930" i="1"/>
  <c r="D4930" i="1"/>
  <c r="A4931" i="1"/>
  <c r="B4931" i="1"/>
  <c r="C4931" i="1"/>
  <c r="D4931" i="1"/>
  <c r="A4932" i="1"/>
  <c r="B4932" i="1"/>
  <c r="C4932" i="1"/>
  <c r="D4932" i="1"/>
  <c r="A4933" i="1"/>
  <c r="B4933" i="1"/>
  <c r="C4933" i="1"/>
  <c r="A4934" i="1"/>
  <c r="B4934" i="1"/>
  <c r="C4934" i="1"/>
  <c r="D4934" i="1"/>
  <c r="A4935" i="1"/>
  <c r="B4935" i="1"/>
  <c r="C4935" i="1"/>
  <c r="D4935" i="1"/>
  <c r="A4936" i="1"/>
  <c r="B4936" i="1"/>
  <c r="C4936" i="1"/>
  <c r="D4936" i="1"/>
  <c r="A4937" i="1"/>
  <c r="B4937" i="1"/>
  <c r="C4937" i="1"/>
  <c r="D4937" i="1"/>
  <c r="A4938" i="1"/>
  <c r="B4938" i="1"/>
  <c r="C4938" i="1"/>
  <c r="D4938" i="1"/>
  <c r="A4939" i="1"/>
  <c r="B4939" i="1"/>
  <c r="C4939" i="1"/>
  <c r="D4939" i="1"/>
  <c r="A4940" i="1"/>
  <c r="B4940" i="1"/>
  <c r="C4940" i="1"/>
  <c r="D4940" i="1"/>
  <c r="A4941" i="1"/>
  <c r="B4941" i="1"/>
  <c r="C4941" i="1"/>
  <c r="D4941" i="1"/>
  <c r="A4942" i="1"/>
  <c r="B4942" i="1"/>
  <c r="C4942" i="1"/>
  <c r="D4942" i="1"/>
  <c r="A4943" i="1"/>
  <c r="B4943" i="1"/>
  <c r="C4943" i="1"/>
  <c r="D4943" i="1"/>
  <c r="A4944" i="1"/>
  <c r="B4944" i="1"/>
  <c r="C4944" i="1"/>
  <c r="D4944" i="1"/>
  <c r="A4945" i="1"/>
  <c r="B4945" i="1"/>
  <c r="C4945" i="1"/>
  <c r="D4945" i="1"/>
  <c r="A4946" i="1"/>
  <c r="B4946" i="1"/>
  <c r="C4946" i="1"/>
  <c r="D4946" i="1"/>
  <c r="A4947" i="1"/>
  <c r="B4947" i="1"/>
  <c r="C4947" i="1"/>
  <c r="D4947" i="1"/>
  <c r="A4948" i="1"/>
  <c r="B4948" i="1"/>
  <c r="C4948" i="1"/>
  <c r="D4948" i="1"/>
  <c r="A4949" i="1"/>
  <c r="B4949" i="1"/>
  <c r="C4949" i="1"/>
  <c r="D4949" i="1"/>
  <c r="A4950" i="1"/>
  <c r="B4950" i="1"/>
  <c r="C4950" i="1"/>
  <c r="D4950" i="1"/>
  <c r="A4951" i="1"/>
  <c r="B4951" i="1"/>
  <c r="C4951" i="1"/>
  <c r="D4951" i="1"/>
  <c r="A4952" i="1"/>
  <c r="B4952" i="1"/>
  <c r="C4952" i="1"/>
  <c r="D4952" i="1"/>
  <c r="A4953" i="1"/>
  <c r="B4953" i="1"/>
  <c r="C4953" i="1"/>
  <c r="D4953" i="1"/>
  <c r="A4954" i="1"/>
  <c r="B4954" i="1"/>
  <c r="C4954" i="1"/>
  <c r="D4954" i="1"/>
  <c r="A4955" i="1"/>
  <c r="B4955" i="1"/>
  <c r="C4955" i="1"/>
  <c r="D4955" i="1"/>
  <c r="A4956" i="1"/>
  <c r="B4956" i="1"/>
  <c r="C4956" i="1"/>
  <c r="D4956" i="1"/>
  <c r="A4957" i="1"/>
  <c r="B4957" i="1"/>
  <c r="C4957" i="1"/>
  <c r="D4957" i="1"/>
  <c r="A4958" i="1"/>
  <c r="B4958" i="1"/>
  <c r="C4958" i="1"/>
  <c r="D4958" i="1"/>
  <c r="A4959" i="1"/>
  <c r="B4959" i="1"/>
  <c r="C4959" i="1"/>
  <c r="D4959" i="1"/>
  <c r="A4960" i="1"/>
  <c r="B4960" i="1"/>
  <c r="C4960" i="1"/>
  <c r="D4960" i="1"/>
  <c r="A4961" i="1"/>
  <c r="B4961" i="1"/>
  <c r="C4961" i="1"/>
  <c r="D4961" i="1"/>
  <c r="A4962" i="1"/>
  <c r="B4962" i="1"/>
  <c r="C4962" i="1"/>
  <c r="D4962" i="1"/>
  <c r="A4963" i="1"/>
  <c r="B4963" i="1"/>
  <c r="C4963" i="1"/>
  <c r="D4963" i="1"/>
  <c r="A4964" i="1"/>
  <c r="B4964" i="1"/>
  <c r="C4964" i="1"/>
  <c r="D4964" i="1"/>
  <c r="A4965" i="1"/>
  <c r="B4965" i="1"/>
  <c r="C4965" i="1"/>
  <c r="D4965" i="1"/>
  <c r="A4966" i="1"/>
  <c r="B4966" i="1"/>
  <c r="C4966" i="1"/>
  <c r="A4967" i="1"/>
  <c r="B4967" i="1"/>
  <c r="C4967" i="1"/>
  <c r="D4967" i="1"/>
  <c r="A4968" i="1"/>
  <c r="B4968" i="1"/>
  <c r="C4968" i="1"/>
  <c r="D4968" i="1"/>
  <c r="A4969" i="1"/>
  <c r="B4969" i="1"/>
  <c r="C4969" i="1"/>
  <c r="D4969" i="1"/>
  <c r="A4970" i="1"/>
  <c r="B4970" i="1"/>
  <c r="C4970" i="1"/>
  <c r="D4970" i="1"/>
  <c r="A4971" i="1"/>
  <c r="B4971" i="1"/>
  <c r="C4971" i="1"/>
  <c r="D4971" i="1"/>
  <c r="A4972" i="1"/>
  <c r="B4972" i="1"/>
  <c r="C4972" i="1"/>
  <c r="D4972" i="1"/>
  <c r="A4973" i="1"/>
  <c r="B4973" i="1"/>
  <c r="C4973" i="1"/>
  <c r="D4973" i="1"/>
  <c r="A4974" i="1"/>
  <c r="B4974" i="1"/>
  <c r="C4974" i="1"/>
  <c r="D4974" i="1"/>
  <c r="A4975" i="1"/>
  <c r="B4975" i="1"/>
  <c r="C4975" i="1"/>
  <c r="D4975" i="1"/>
  <c r="A4976" i="1"/>
  <c r="B4976" i="1"/>
  <c r="C4976" i="1"/>
  <c r="D4976" i="1"/>
  <c r="A4977" i="1"/>
  <c r="B4977" i="1"/>
  <c r="C4977" i="1"/>
  <c r="D4977" i="1"/>
  <c r="A4978" i="1"/>
  <c r="B4978" i="1"/>
  <c r="C4978" i="1"/>
  <c r="D4978" i="1"/>
  <c r="A4979" i="1"/>
  <c r="B4979" i="1"/>
  <c r="C4979" i="1"/>
  <c r="D4979" i="1"/>
  <c r="A4980" i="1"/>
  <c r="B4980" i="1"/>
  <c r="C4980" i="1"/>
  <c r="D4980" i="1"/>
  <c r="A4981" i="1"/>
  <c r="B4981" i="1"/>
  <c r="C4981" i="1"/>
  <c r="D4981" i="1"/>
  <c r="A4982" i="1"/>
  <c r="B4982" i="1"/>
  <c r="C4982" i="1"/>
  <c r="D4982" i="1"/>
  <c r="A4983" i="1"/>
  <c r="B4983" i="1"/>
  <c r="C4983" i="1"/>
  <c r="D4983" i="1"/>
  <c r="A4984" i="1"/>
  <c r="B4984" i="1"/>
  <c r="C4984" i="1"/>
  <c r="D4984" i="1"/>
  <c r="A4985" i="1"/>
  <c r="B4985" i="1"/>
  <c r="C4985" i="1"/>
  <c r="D4985" i="1"/>
  <c r="A4986" i="1"/>
  <c r="B4986" i="1"/>
  <c r="C4986" i="1"/>
  <c r="D4986" i="1"/>
  <c r="A4987" i="1"/>
  <c r="B4987" i="1"/>
  <c r="C4987" i="1"/>
  <c r="D4987" i="1"/>
  <c r="A4988" i="1"/>
  <c r="B4988" i="1"/>
  <c r="C4988" i="1"/>
  <c r="D4988" i="1"/>
  <c r="A4989" i="1"/>
  <c r="B4989" i="1"/>
  <c r="C4989" i="1"/>
  <c r="D4989" i="1"/>
  <c r="A4990" i="1"/>
  <c r="B4990" i="1"/>
  <c r="C4990" i="1"/>
  <c r="D4990" i="1"/>
  <c r="A4991" i="1"/>
  <c r="B4991" i="1"/>
  <c r="C4991" i="1"/>
  <c r="D4991" i="1"/>
  <c r="A4992" i="1"/>
  <c r="B4992" i="1"/>
  <c r="C4992" i="1"/>
  <c r="D4992" i="1"/>
  <c r="A4993" i="1"/>
  <c r="B4993" i="1"/>
  <c r="C4993" i="1"/>
  <c r="D4993" i="1"/>
  <c r="A4994" i="1"/>
  <c r="B4994" i="1"/>
  <c r="C4994" i="1"/>
  <c r="D4994" i="1"/>
  <c r="A4995" i="1"/>
  <c r="B4995" i="1"/>
  <c r="C4995" i="1"/>
  <c r="D4995" i="1"/>
  <c r="A4996" i="1"/>
  <c r="B4996" i="1"/>
  <c r="C4996" i="1"/>
  <c r="D4996" i="1"/>
  <c r="A4997" i="1"/>
  <c r="B4997" i="1"/>
  <c r="C4997" i="1"/>
  <c r="A4998" i="1"/>
  <c r="B4998" i="1"/>
  <c r="C4998" i="1"/>
  <c r="D4998" i="1"/>
  <c r="A4999" i="1"/>
  <c r="B4999" i="1"/>
  <c r="C4999" i="1"/>
  <c r="D4999" i="1"/>
  <c r="A5000" i="1"/>
  <c r="B5000" i="1"/>
  <c r="C5000" i="1"/>
  <c r="D5000" i="1"/>
  <c r="A5001" i="1"/>
  <c r="B5001" i="1"/>
  <c r="C5001" i="1"/>
  <c r="D5001" i="1"/>
  <c r="A5002" i="1"/>
  <c r="B5002" i="1"/>
  <c r="C5002" i="1"/>
  <c r="D5002" i="1"/>
  <c r="A5003" i="1"/>
  <c r="B5003" i="1"/>
  <c r="C5003" i="1"/>
  <c r="D5003" i="1"/>
  <c r="A5004" i="1"/>
  <c r="B5004" i="1"/>
  <c r="C5004" i="1"/>
  <c r="D5004" i="1"/>
  <c r="A5005" i="1"/>
  <c r="B5005" i="1"/>
  <c r="C5005" i="1"/>
  <c r="D5005" i="1"/>
  <c r="A5006" i="1"/>
  <c r="B5006" i="1"/>
  <c r="C5006" i="1"/>
  <c r="D5006" i="1"/>
  <c r="A5007" i="1"/>
  <c r="B5007" i="1"/>
  <c r="C5007" i="1"/>
  <c r="D5007" i="1"/>
  <c r="A5008" i="1"/>
  <c r="B5008" i="1"/>
  <c r="C5008" i="1"/>
  <c r="D5008" i="1"/>
  <c r="A5009" i="1"/>
  <c r="B5009" i="1"/>
  <c r="C5009" i="1"/>
  <c r="D5009" i="1"/>
  <c r="A5010" i="1"/>
  <c r="B5010" i="1"/>
  <c r="C5010" i="1"/>
  <c r="D5010" i="1"/>
  <c r="A5011" i="1"/>
  <c r="B5011" i="1"/>
  <c r="C5011" i="1"/>
  <c r="D5011" i="1"/>
  <c r="A5012" i="1"/>
  <c r="B5012" i="1"/>
  <c r="C5012" i="1"/>
  <c r="D5012" i="1"/>
  <c r="A5013" i="1"/>
  <c r="B5013" i="1"/>
  <c r="C5013" i="1"/>
  <c r="D5013" i="1"/>
  <c r="A5014" i="1"/>
  <c r="B5014" i="1"/>
  <c r="C5014" i="1"/>
  <c r="D5014" i="1"/>
  <c r="A5015" i="1"/>
  <c r="B5015" i="1"/>
  <c r="C5015" i="1"/>
  <c r="D5015" i="1"/>
  <c r="A5016" i="1"/>
  <c r="B5016" i="1"/>
  <c r="C5016" i="1"/>
  <c r="D5016" i="1"/>
  <c r="A5017" i="1"/>
  <c r="B5017" i="1"/>
  <c r="C5017" i="1"/>
  <c r="D5017" i="1"/>
  <c r="A5018" i="1"/>
  <c r="B5018" i="1"/>
  <c r="C5018" i="1"/>
  <c r="D5018" i="1"/>
  <c r="A5019" i="1"/>
  <c r="B5019" i="1"/>
  <c r="C5019" i="1"/>
  <c r="D5019" i="1"/>
  <c r="A5020" i="1"/>
  <c r="B5020" i="1"/>
  <c r="C5020" i="1"/>
  <c r="D5020" i="1"/>
  <c r="A5021" i="1"/>
  <c r="B5021" i="1"/>
  <c r="C5021" i="1"/>
  <c r="D5021" i="1"/>
  <c r="A5022" i="1"/>
  <c r="B5022" i="1"/>
  <c r="C5022" i="1"/>
  <c r="D5022" i="1"/>
  <c r="A5023" i="1"/>
  <c r="B5023" i="1"/>
  <c r="C5023" i="1"/>
  <c r="D5023" i="1"/>
  <c r="A5024" i="1"/>
  <c r="B5024" i="1"/>
  <c r="C5024" i="1"/>
  <c r="D5024" i="1"/>
  <c r="A5025" i="1"/>
  <c r="B5025" i="1"/>
  <c r="C5025" i="1"/>
  <c r="D5025" i="1"/>
  <c r="A5026" i="1"/>
  <c r="B5026" i="1"/>
  <c r="C5026" i="1"/>
  <c r="D5026" i="1"/>
  <c r="A5027" i="1"/>
  <c r="B5027" i="1"/>
  <c r="C5027" i="1"/>
  <c r="D5027" i="1"/>
  <c r="A5028" i="1"/>
  <c r="B5028" i="1"/>
  <c r="C5028" i="1"/>
  <c r="D5028" i="1"/>
  <c r="A5029" i="1"/>
  <c r="B5029" i="1"/>
  <c r="C5029" i="1"/>
  <c r="D5029" i="1"/>
  <c r="A5030" i="1"/>
  <c r="B5030" i="1"/>
  <c r="C5030" i="1"/>
  <c r="D5030" i="1"/>
  <c r="A5031" i="1"/>
  <c r="B5031" i="1"/>
  <c r="C5031" i="1"/>
  <c r="D5031" i="1"/>
  <c r="A5032" i="1"/>
  <c r="B5032" i="1"/>
  <c r="C5032" i="1"/>
  <c r="D5032" i="1"/>
  <c r="A5033" i="1"/>
  <c r="B5033" i="1"/>
  <c r="C5033" i="1"/>
  <c r="D5033" i="1"/>
  <c r="A5034" i="1"/>
  <c r="B5034" i="1"/>
  <c r="C5034" i="1"/>
  <c r="D5034" i="1"/>
  <c r="A5035" i="1"/>
  <c r="B5035" i="1"/>
  <c r="C5035" i="1"/>
  <c r="D5035" i="1"/>
  <c r="A5036" i="1"/>
  <c r="B5036" i="1"/>
  <c r="C5036" i="1"/>
  <c r="D5036" i="1"/>
  <c r="A5037" i="1"/>
  <c r="B5037" i="1"/>
  <c r="C5037" i="1"/>
  <c r="D5037" i="1"/>
  <c r="A5038" i="1"/>
  <c r="B5038" i="1"/>
  <c r="C5038" i="1"/>
  <c r="D5038" i="1"/>
  <c r="A5039" i="1"/>
  <c r="B5039" i="1"/>
  <c r="C5039" i="1"/>
  <c r="D5039" i="1"/>
  <c r="A5040" i="1"/>
  <c r="B5040" i="1"/>
  <c r="C5040" i="1"/>
  <c r="D5040" i="1"/>
  <c r="A5041" i="1"/>
  <c r="B5041" i="1"/>
  <c r="C5041" i="1"/>
  <c r="D5041" i="1"/>
  <c r="A5042" i="1"/>
  <c r="B5042" i="1"/>
  <c r="C5042" i="1"/>
  <c r="D5042" i="1"/>
  <c r="A5043" i="1"/>
  <c r="B5043" i="1"/>
  <c r="C5043" i="1"/>
  <c r="D5043" i="1"/>
  <c r="A5044" i="1"/>
  <c r="B5044" i="1"/>
  <c r="C5044" i="1"/>
  <c r="D5044" i="1"/>
  <c r="A5045" i="1"/>
  <c r="B5045" i="1"/>
  <c r="C5045" i="1"/>
  <c r="D5045" i="1"/>
  <c r="A5046" i="1"/>
  <c r="B5046" i="1"/>
  <c r="C5046" i="1"/>
  <c r="D5046" i="1"/>
  <c r="A5047" i="1"/>
  <c r="B5047" i="1"/>
  <c r="C5047" i="1"/>
  <c r="D5047" i="1"/>
  <c r="A5048" i="1"/>
  <c r="B5048" i="1"/>
  <c r="C5048" i="1"/>
  <c r="D5048" i="1"/>
  <c r="A5049" i="1"/>
  <c r="B5049" i="1"/>
  <c r="C5049" i="1"/>
  <c r="D5049" i="1"/>
  <c r="A5050" i="1"/>
  <c r="B5050" i="1"/>
  <c r="C5050" i="1"/>
  <c r="D5050" i="1"/>
  <c r="A5051" i="1"/>
  <c r="B5051" i="1"/>
  <c r="C5051" i="1"/>
  <c r="D5051" i="1"/>
  <c r="A5052" i="1"/>
  <c r="B5052" i="1"/>
  <c r="C5052" i="1"/>
  <c r="D5052" i="1"/>
  <c r="A5053" i="1"/>
  <c r="B5053" i="1"/>
  <c r="C5053" i="1"/>
  <c r="D5053" i="1"/>
  <c r="A5054" i="1"/>
  <c r="B5054" i="1"/>
  <c r="C5054" i="1"/>
  <c r="D5054" i="1"/>
  <c r="A5055" i="1"/>
  <c r="B5055" i="1"/>
  <c r="C5055" i="1"/>
  <c r="D5055" i="1"/>
  <c r="A5056" i="1"/>
  <c r="B5056" i="1"/>
  <c r="C5056" i="1"/>
  <c r="D5056" i="1"/>
  <c r="A5057" i="1"/>
  <c r="B5057" i="1"/>
  <c r="C5057" i="1"/>
  <c r="D5057" i="1"/>
  <c r="A5058" i="1"/>
  <c r="B5058" i="1"/>
  <c r="C5058" i="1"/>
  <c r="D5058" i="1"/>
  <c r="A5059" i="1"/>
  <c r="B5059" i="1"/>
  <c r="C5059" i="1"/>
  <c r="D5059" i="1"/>
  <c r="A5060" i="1"/>
  <c r="B5060" i="1"/>
  <c r="C5060" i="1"/>
  <c r="D5060" i="1"/>
  <c r="A5061" i="1"/>
  <c r="B5061" i="1"/>
  <c r="C5061" i="1"/>
  <c r="D5061" i="1"/>
  <c r="A5062" i="1"/>
  <c r="B5062" i="1"/>
  <c r="C5062" i="1"/>
  <c r="D5062" i="1"/>
  <c r="A5063" i="1"/>
  <c r="B5063" i="1"/>
  <c r="C5063" i="1"/>
  <c r="D5063" i="1"/>
  <c r="A5064" i="1"/>
  <c r="B5064" i="1"/>
  <c r="C5064" i="1"/>
  <c r="D5064" i="1"/>
  <c r="A5065" i="1"/>
  <c r="B5065" i="1"/>
  <c r="C5065" i="1"/>
  <c r="D5065" i="1"/>
  <c r="A5066" i="1"/>
  <c r="B5066" i="1"/>
  <c r="C5066" i="1"/>
  <c r="D5066" i="1"/>
  <c r="A5067" i="1"/>
  <c r="B5067" i="1"/>
  <c r="C5067" i="1"/>
  <c r="D5067" i="1"/>
  <c r="A5068" i="1"/>
  <c r="B5068" i="1"/>
  <c r="C5068" i="1"/>
  <c r="D5068" i="1"/>
  <c r="A5069" i="1"/>
  <c r="B5069" i="1"/>
  <c r="C5069" i="1"/>
  <c r="D5069" i="1"/>
  <c r="A5070" i="1"/>
  <c r="B5070" i="1"/>
  <c r="C5070" i="1"/>
  <c r="D5070" i="1"/>
  <c r="A5071" i="1"/>
  <c r="B5071" i="1"/>
  <c r="C5071" i="1"/>
  <c r="D5071" i="1"/>
  <c r="A5072" i="1"/>
  <c r="B5072" i="1"/>
  <c r="C5072" i="1"/>
  <c r="D5072" i="1"/>
  <c r="A5073" i="1"/>
  <c r="B5073" i="1"/>
  <c r="C5073" i="1"/>
  <c r="D5073" i="1"/>
  <c r="A5074" i="1"/>
  <c r="B5074" i="1"/>
  <c r="C5074" i="1"/>
  <c r="D5074" i="1"/>
  <c r="A5075" i="1"/>
  <c r="B5075" i="1"/>
  <c r="C5075" i="1"/>
  <c r="D5075" i="1"/>
  <c r="A5076" i="1"/>
  <c r="B5076" i="1"/>
  <c r="C5076" i="1"/>
  <c r="D5076" i="1"/>
  <c r="A5077" i="1"/>
  <c r="B5077" i="1"/>
  <c r="C5077" i="1"/>
  <c r="D5077" i="1"/>
  <c r="A5078" i="1"/>
  <c r="B5078" i="1"/>
  <c r="C5078" i="1"/>
  <c r="D5078" i="1"/>
  <c r="A5079" i="1"/>
  <c r="B5079" i="1"/>
  <c r="C5079" i="1"/>
  <c r="D5079" i="1"/>
  <c r="A5080" i="1"/>
  <c r="B5080" i="1"/>
  <c r="C5080" i="1"/>
  <c r="D5080" i="1"/>
  <c r="A5081" i="1"/>
  <c r="B5081" i="1"/>
  <c r="C5081" i="1"/>
  <c r="D5081" i="1"/>
  <c r="A5082" i="1"/>
  <c r="B5082" i="1"/>
  <c r="C5082" i="1"/>
  <c r="D5082" i="1"/>
  <c r="A5083" i="1"/>
  <c r="B5083" i="1"/>
  <c r="C5083" i="1"/>
  <c r="D5083" i="1"/>
  <c r="A5084" i="1"/>
  <c r="B5084" i="1"/>
  <c r="C5084" i="1"/>
  <c r="D5084" i="1"/>
  <c r="A5085" i="1"/>
  <c r="B5085" i="1"/>
  <c r="C5085" i="1"/>
  <c r="D5085" i="1"/>
  <c r="A5086" i="1"/>
  <c r="B5086" i="1"/>
  <c r="C5086" i="1"/>
  <c r="D5086" i="1"/>
  <c r="A5087" i="1"/>
  <c r="B5087" i="1"/>
  <c r="C5087" i="1"/>
  <c r="D5087" i="1"/>
  <c r="A5088" i="1"/>
  <c r="B5088" i="1"/>
  <c r="C5088" i="1"/>
  <c r="D5088" i="1"/>
  <c r="A5089" i="1"/>
  <c r="B5089" i="1"/>
  <c r="C5089" i="1"/>
  <c r="D5089" i="1"/>
  <c r="A5090" i="1"/>
  <c r="B5090" i="1"/>
  <c r="C5090" i="1"/>
  <c r="D5090" i="1"/>
  <c r="A5091" i="1"/>
  <c r="B5091" i="1"/>
  <c r="C5091" i="1"/>
  <c r="D5091" i="1"/>
  <c r="A5092" i="1"/>
  <c r="B5092" i="1"/>
  <c r="C5092" i="1"/>
  <c r="D5092" i="1"/>
  <c r="A5093" i="1"/>
  <c r="B5093" i="1"/>
  <c r="C5093" i="1"/>
  <c r="D5093" i="1"/>
  <c r="A5094" i="1"/>
  <c r="B5094" i="1"/>
  <c r="C5094" i="1"/>
  <c r="D5094" i="1"/>
  <c r="A5095" i="1"/>
  <c r="B5095" i="1"/>
  <c r="C5095" i="1"/>
  <c r="D5095" i="1"/>
  <c r="A5096" i="1"/>
  <c r="B5096" i="1"/>
  <c r="C5096" i="1"/>
  <c r="D5096" i="1"/>
  <c r="A5097" i="1"/>
  <c r="B5097" i="1"/>
  <c r="C5097" i="1"/>
  <c r="D5097" i="1"/>
  <c r="A5098" i="1"/>
  <c r="B5098" i="1"/>
  <c r="C5098" i="1"/>
  <c r="D5098" i="1"/>
  <c r="A5099" i="1"/>
  <c r="B5099" i="1"/>
  <c r="C5099" i="1"/>
  <c r="D5099" i="1"/>
  <c r="A5100" i="1"/>
  <c r="B5100" i="1"/>
  <c r="C5100" i="1"/>
  <c r="D5100" i="1"/>
  <c r="A5101" i="1"/>
  <c r="B5101" i="1"/>
  <c r="C5101" i="1"/>
  <c r="D5101" i="1"/>
  <c r="A5102" i="1"/>
  <c r="B5102" i="1"/>
  <c r="C5102" i="1"/>
  <c r="D5102" i="1"/>
  <c r="A5103" i="1"/>
  <c r="B5103" i="1"/>
  <c r="C5103" i="1"/>
  <c r="D5103" i="1"/>
  <c r="A5104" i="1"/>
  <c r="B5104" i="1"/>
  <c r="C5104" i="1"/>
  <c r="D5104" i="1"/>
  <c r="A5105" i="1"/>
  <c r="B5105" i="1"/>
  <c r="C5105" i="1"/>
  <c r="D5105" i="1"/>
  <c r="A5106" i="1"/>
  <c r="B5106" i="1"/>
  <c r="C5106" i="1"/>
  <c r="D5106" i="1"/>
  <c r="A5107" i="1"/>
  <c r="B5107" i="1"/>
  <c r="C5107" i="1"/>
  <c r="D5107" i="1"/>
  <c r="A5108" i="1"/>
  <c r="B5108" i="1"/>
  <c r="C5108" i="1"/>
  <c r="D5108" i="1"/>
  <c r="A5109" i="1"/>
  <c r="B5109" i="1"/>
  <c r="C5109" i="1"/>
  <c r="D5109" i="1"/>
  <c r="A5110" i="1"/>
  <c r="B5110" i="1"/>
  <c r="C5110" i="1"/>
  <c r="D5110" i="1"/>
  <c r="A5111" i="1"/>
  <c r="B5111" i="1"/>
  <c r="C5111" i="1"/>
  <c r="D5111" i="1"/>
  <c r="A5112" i="1"/>
  <c r="B5112" i="1"/>
  <c r="C5112" i="1"/>
  <c r="D5112" i="1"/>
  <c r="A5113" i="1"/>
  <c r="B5113" i="1"/>
  <c r="C5113" i="1"/>
  <c r="D5113" i="1"/>
  <c r="A5114" i="1"/>
  <c r="B5114" i="1"/>
  <c r="C5114" i="1"/>
  <c r="D5114" i="1"/>
  <c r="A5115" i="1"/>
  <c r="B5115" i="1"/>
  <c r="C5115" i="1"/>
  <c r="D5115" i="1"/>
  <c r="A5116" i="1"/>
  <c r="B5116" i="1"/>
  <c r="C5116" i="1"/>
  <c r="D5116" i="1"/>
  <c r="A5117" i="1"/>
  <c r="B5117" i="1"/>
  <c r="C5117" i="1"/>
  <c r="D5117" i="1"/>
  <c r="A5118" i="1"/>
  <c r="B5118" i="1"/>
  <c r="C5118" i="1"/>
  <c r="D5118" i="1"/>
  <c r="A5119" i="1"/>
  <c r="B5119" i="1"/>
  <c r="C5119" i="1"/>
  <c r="D5119" i="1"/>
  <c r="A5120" i="1"/>
  <c r="B5120" i="1"/>
  <c r="C5120" i="1"/>
  <c r="D5120" i="1"/>
  <c r="A5121" i="1"/>
  <c r="B5121" i="1"/>
  <c r="C5121" i="1"/>
  <c r="D5121" i="1"/>
  <c r="A5122" i="1"/>
  <c r="B5122" i="1"/>
  <c r="C5122" i="1"/>
  <c r="D5122" i="1"/>
  <c r="A5123" i="1"/>
  <c r="B5123" i="1"/>
  <c r="C5123" i="1"/>
  <c r="D5123" i="1"/>
  <c r="A5124" i="1"/>
  <c r="B5124" i="1"/>
  <c r="C5124" i="1"/>
  <c r="D5124" i="1"/>
  <c r="A5125" i="1"/>
  <c r="B5125" i="1"/>
  <c r="C5125" i="1"/>
  <c r="D5125" i="1"/>
  <c r="A5126" i="1"/>
  <c r="B5126" i="1"/>
  <c r="C5126" i="1"/>
  <c r="D5126" i="1"/>
  <c r="A5127" i="1"/>
  <c r="B5127" i="1"/>
  <c r="C5127" i="1"/>
  <c r="D5127" i="1"/>
  <c r="A5128" i="1"/>
  <c r="B5128" i="1"/>
  <c r="C5128" i="1"/>
  <c r="D5128" i="1"/>
  <c r="A5129" i="1"/>
  <c r="B5129" i="1"/>
  <c r="C5129" i="1"/>
  <c r="A5130" i="1"/>
  <c r="B5130" i="1"/>
  <c r="C5130" i="1"/>
  <c r="D5130" i="1"/>
  <c r="A5131" i="1"/>
  <c r="B5131" i="1"/>
  <c r="C5131" i="1"/>
  <c r="D5131" i="1"/>
  <c r="A5132" i="1"/>
  <c r="B5132" i="1"/>
  <c r="C5132" i="1"/>
  <c r="D5132" i="1"/>
  <c r="A5133" i="1"/>
  <c r="B5133" i="1"/>
  <c r="C5133" i="1"/>
  <c r="D5133" i="1"/>
  <c r="A5134" i="1"/>
  <c r="B5134" i="1"/>
  <c r="C5134" i="1"/>
  <c r="D5134" i="1"/>
  <c r="A5135" i="1"/>
  <c r="B5135" i="1"/>
  <c r="C5135" i="1"/>
  <c r="D5135" i="1"/>
  <c r="A5136" i="1"/>
  <c r="B5136" i="1"/>
  <c r="C5136" i="1"/>
  <c r="D5136" i="1"/>
  <c r="A5137" i="1"/>
  <c r="B5137" i="1"/>
  <c r="C5137" i="1"/>
  <c r="D5137" i="1"/>
  <c r="A5138" i="1"/>
  <c r="B5138" i="1"/>
  <c r="C5138" i="1"/>
  <c r="D5138" i="1"/>
  <c r="A5139" i="1"/>
  <c r="B5139" i="1"/>
  <c r="C5139" i="1"/>
  <c r="D5139" i="1"/>
  <c r="A5140" i="1"/>
  <c r="B5140" i="1"/>
  <c r="C5140" i="1"/>
  <c r="D5140" i="1"/>
  <c r="A5141" i="1"/>
  <c r="B5141" i="1"/>
  <c r="C5141" i="1"/>
  <c r="D5141" i="1"/>
  <c r="A5142" i="1"/>
  <c r="B5142" i="1"/>
  <c r="C5142" i="1"/>
  <c r="D5142" i="1"/>
  <c r="A5143" i="1"/>
  <c r="B5143" i="1"/>
  <c r="C5143" i="1"/>
  <c r="D5143" i="1"/>
  <c r="A5144" i="1"/>
  <c r="B5144" i="1"/>
  <c r="C5144" i="1"/>
  <c r="D5144" i="1"/>
  <c r="A5145" i="1"/>
  <c r="B5145" i="1"/>
  <c r="C5145" i="1"/>
  <c r="D5145" i="1"/>
  <c r="A5146" i="1"/>
  <c r="B5146" i="1"/>
  <c r="C5146" i="1"/>
  <c r="D5146" i="1"/>
  <c r="A5147" i="1"/>
  <c r="B5147" i="1"/>
  <c r="C5147" i="1"/>
  <c r="D5147" i="1"/>
  <c r="A5148" i="1"/>
  <c r="B5148" i="1"/>
  <c r="C5148" i="1"/>
  <c r="D5148" i="1"/>
  <c r="A5149" i="1"/>
  <c r="B5149" i="1"/>
  <c r="C5149" i="1"/>
  <c r="D5149" i="1"/>
  <c r="A5150" i="1"/>
  <c r="B5150" i="1"/>
  <c r="C5150" i="1"/>
  <c r="D5150" i="1"/>
  <c r="A5151" i="1"/>
  <c r="B5151" i="1"/>
  <c r="C5151" i="1"/>
  <c r="D5151" i="1"/>
  <c r="A5152" i="1"/>
  <c r="B5152" i="1"/>
  <c r="C5152" i="1"/>
  <c r="D5152" i="1"/>
  <c r="A5153" i="1"/>
  <c r="B5153" i="1"/>
  <c r="C5153" i="1"/>
  <c r="D5153" i="1"/>
  <c r="A5154" i="1"/>
  <c r="B5154" i="1"/>
  <c r="C5154" i="1"/>
  <c r="D5154" i="1"/>
  <c r="A5155" i="1"/>
  <c r="B5155" i="1"/>
  <c r="C5155" i="1"/>
  <c r="D5155" i="1"/>
  <c r="A5156" i="1"/>
  <c r="B5156" i="1"/>
  <c r="C5156" i="1"/>
  <c r="D5156" i="1"/>
  <c r="A5157" i="1"/>
  <c r="B5157" i="1"/>
  <c r="C5157" i="1"/>
  <c r="D5157" i="1"/>
  <c r="A5158" i="1"/>
  <c r="B5158" i="1"/>
  <c r="C5158" i="1"/>
  <c r="D5158" i="1"/>
  <c r="A5159" i="1"/>
  <c r="B5159" i="1"/>
  <c r="C5159" i="1"/>
  <c r="D5159" i="1"/>
  <c r="A5160" i="1"/>
  <c r="B5160" i="1"/>
  <c r="C5160" i="1"/>
  <c r="A5161" i="1"/>
  <c r="B5161" i="1"/>
  <c r="C5161" i="1"/>
  <c r="D5161" i="1"/>
  <c r="A5162" i="1"/>
  <c r="B5162" i="1"/>
  <c r="C5162" i="1"/>
  <c r="D5162" i="1"/>
  <c r="A5163" i="1"/>
  <c r="B5163" i="1"/>
  <c r="C5163" i="1"/>
  <c r="D5163" i="1"/>
  <c r="A5164" i="1"/>
  <c r="B5164" i="1"/>
  <c r="C5164" i="1"/>
  <c r="A5165" i="1"/>
  <c r="B5165" i="1"/>
  <c r="C5165" i="1"/>
  <c r="D5165" i="1"/>
  <c r="A5166" i="1"/>
  <c r="B5166" i="1"/>
  <c r="C5166" i="1"/>
  <c r="D5166" i="1"/>
  <c r="A5167" i="1"/>
  <c r="B5167" i="1"/>
  <c r="C5167" i="1"/>
  <c r="D5167" i="1"/>
  <c r="A5168" i="1"/>
  <c r="B5168" i="1"/>
  <c r="C5168" i="1"/>
  <c r="D5168" i="1"/>
  <c r="A5169" i="1"/>
  <c r="B5169" i="1"/>
  <c r="C5169" i="1"/>
  <c r="D5169" i="1"/>
  <c r="A5170" i="1"/>
  <c r="B5170" i="1"/>
  <c r="C5170" i="1"/>
  <c r="D5170" i="1"/>
  <c r="A5171" i="1"/>
  <c r="B5171" i="1"/>
  <c r="C5171" i="1"/>
  <c r="D5171" i="1"/>
  <c r="A5172" i="1"/>
  <c r="B5172" i="1"/>
  <c r="C5172" i="1"/>
  <c r="D5172" i="1"/>
  <c r="A5173" i="1"/>
  <c r="B5173" i="1"/>
  <c r="C5173" i="1"/>
  <c r="D5173" i="1"/>
  <c r="A5174" i="1"/>
  <c r="B5174" i="1"/>
  <c r="C5174" i="1"/>
  <c r="D5174" i="1"/>
  <c r="A5175" i="1"/>
  <c r="B5175" i="1"/>
  <c r="C5175" i="1"/>
  <c r="D5175" i="1"/>
  <c r="A5176" i="1"/>
  <c r="B5176" i="1"/>
  <c r="C5176" i="1"/>
  <c r="D5176" i="1"/>
  <c r="A5177" i="1"/>
  <c r="B5177" i="1"/>
  <c r="C5177" i="1"/>
  <c r="D5177" i="1"/>
  <c r="A5178" i="1"/>
  <c r="B5178" i="1"/>
  <c r="C5178" i="1"/>
  <c r="D5178" i="1"/>
  <c r="A5179" i="1"/>
  <c r="B5179" i="1"/>
  <c r="C5179" i="1"/>
  <c r="D5179" i="1"/>
  <c r="A5180" i="1"/>
  <c r="B5180" i="1"/>
  <c r="C5180" i="1"/>
  <c r="D5180" i="1"/>
  <c r="A5181" i="1"/>
  <c r="B5181" i="1"/>
  <c r="C5181" i="1"/>
  <c r="D5181" i="1"/>
  <c r="A5182" i="1"/>
  <c r="B5182" i="1"/>
  <c r="C5182" i="1"/>
  <c r="D5182" i="1"/>
  <c r="A5183" i="1"/>
  <c r="B5183" i="1"/>
  <c r="C5183" i="1"/>
  <c r="D5183" i="1"/>
  <c r="A5184" i="1"/>
  <c r="B5184" i="1"/>
  <c r="C5184" i="1"/>
  <c r="D5184" i="1"/>
  <c r="A5185" i="1"/>
  <c r="B5185" i="1"/>
  <c r="C5185" i="1"/>
  <c r="D5185" i="1"/>
  <c r="A5186" i="1"/>
  <c r="B5186" i="1"/>
  <c r="C5186" i="1"/>
  <c r="D5186" i="1"/>
  <c r="A5187" i="1"/>
  <c r="B5187" i="1"/>
  <c r="C5187" i="1"/>
  <c r="D5187" i="1"/>
  <c r="A5188" i="1"/>
  <c r="B5188" i="1"/>
  <c r="C5188" i="1"/>
  <c r="D5188" i="1"/>
  <c r="A5189" i="1"/>
  <c r="B5189" i="1"/>
  <c r="C5189" i="1"/>
  <c r="D5189" i="1"/>
  <c r="A5190" i="1"/>
  <c r="B5190" i="1"/>
  <c r="C5190" i="1"/>
  <c r="D5190" i="1"/>
  <c r="A5191" i="1"/>
  <c r="B5191" i="1"/>
  <c r="C5191" i="1"/>
  <c r="D5191" i="1"/>
  <c r="A5192" i="1"/>
  <c r="B5192" i="1"/>
  <c r="C5192" i="1"/>
  <c r="D5192" i="1"/>
  <c r="A5193" i="1"/>
  <c r="B5193" i="1"/>
  <c r="C5193" i="1"/>
  <c r="D5193" i="1"/>
  <c r="A5194" i="1"/>
  <c r="B5194" i="1"/>
  <c r="C5194" i="1"/>
  <c r="D5194" i="1"/>
  <c r="A5195" i="1"/>
  <c r="B5195" i="1"/>
  <c r="C5195" i="1"/>
  <c r="D5195" i="1"/>
  <c r="A5196" i="1"/>
  <c r="B5196" i="1"/>
  <c r="C5196" i="1"/>
  <c r="D5196" i="1"/>
  <c r="A5197" i="1"/>
  <c r="B5197" i="1"/>
  <c r="C5197" i="1"/>
  <c r="D5197" i="1"/>
  <c r="A5198" i="1"/>
  <c r="B5198" i="1"/>
  <c r="C5198" i="1"/>
  <c r="D5198" i="1"/>
  <c r="A5199" i="1"/>
  <c r="B5199" i="1"/>
  <c r="C5199" i="1"/>
  <c r="D5199" i="1"/>
  <c r="A5200" i="1"/>
  <c r="B5200" i="1"/>
  <c r="C5200" i="1"/>
  <c r="D5200" i="1"/>
  <c r="A5201" i="1"/>
  <c r="B5201" i="1"/>
  <c r="C5201" i="1"/>
  <c r="D5201" i="1"/>
  <c r="A5202" i="1"/>
  <c r="B5202" i="1"/>
  <c r="C5202" i="1"/>
  <c r="D5202" i="1"/>
  <c r="A5203" i="1"/>
  <c r="B5203" i="1"/>
  <c r="C5203" i="1"/>
  <c r="D5203" i="1"/>
  <c r="A5204" i="1"/>
  <c r="B5204" i="1"/>
  <c r="C5204" i="1"/>
  <c r="D5204" i="1"/>
  <c r="A5205" i="1"/>
  <c r="B5205" i="1"/>
  <c r="C5205" i="1"/>
  <c r="D5205" i="1"/>
  <c r="A5206" i="1"/>
  <c r="B5206" i="1"/>
  <c r="C5206" i="1"/>
  <c r="D5206" i="1"/>
  <c r="A5207" i="1"/>
  <c r="B5207" i="1"/>
  <c r="C5207" i="1"/>
  <c r="D5207" i="1"/>
  <c r="A5208" i="1"/>
  <c r="B5208" i="1"/>
  <c r="C5208" i="1"/>
  <c r="D5208" i="1"/>
  <c r="A5209" i="1"/>
  <c r="B5209" i="1"/>
  <c r="C5209" i="1"/>
  <c r="D5209" i="1"/>
  <c r="A5210" i="1"/>
  <c r="B5210" i="1"/>
  <c r="C5210" i="1"/>
  <c r="D5210" i="1"/>
  <c r="A5211" i="1"/>
  <c r="B5211" i="1"/>
  <c r="C5211" i="1"/>
  <c r="D5211" i="1"/>
  <c r="A5212" i="1"/>
  <c r="B5212" i="1"/>
  <c r="C5212" i="1"/>
  <c r="D5212" i="1"/>
  <c r="A5213" i="1"/>
  <c r="B5213" i="1"/>
  <c r="C5213" i="1"/>
  <c r="D5213" i="1"/>
  <c r="A5214" i="1"/>
  <c r="B5214" i="1"/>
  <c r="C5214" i="1"/>
  <c r="D5214" i="1"/>
  <c r="A5215" i="1"/>
  <c r="B5215" i="1"/>
  <c r="C5215" i="1"/>
  <c r="D5215" i="1"/>
  <c r="A5216" i="1"/>
  <c r="B5216" i="1"/>
  <c r="C5216" i="1"/>
  <c r="D5216" i="1"/>
  <c r="A5217" i="1"/>
  <c r="B5217" i="1"/>
  <c r="C5217" i="1"/>
  <c r="D5217" i="1"/>
  <c r="A5218" i="1"/>
  <c r="B5218" i="1"/>
  <c r="C5218" i="1"/>
  <c r="D5218" i="1"/>
  <c r="A5219" i="1"/>
  <c r="B5219" i="1"/>
  <c r="C5219" i="1"/>
  <c r="D5219" i="1"/>
  <c r="A5220" i="1"/>
  <c r="B5220" i="1"/>
  <c r="C5220" i="1"/>
  <c r="D5220" i="1"/>
  <c r="A5221" i="1"/>
  <c r="B5221" i="1"/>
  <c r="C5221" i="1"/>
  <c r="D5221" i="1"/>
  <c r="A5222" i="1"/>
  <c r="B5222" i="1"/>
  <c r="C5222" i="1"/>
  <c r="D5222" i="1"/>
  <c r="A5223" i="1"/>
  <c r="B5223" i="1"/>
  <c r="C5223" i="1"/>
  <c r="D5223" i="1"/>
  <c r="A5224" i="1"/>
  <c r="B5224" i="1"/>
  <c r="C5224" i="1"/>
  <c r="D5224" i="1"/>
  <c r="A5225" i="1"/>
  <c r="B5225" i="1"/>
  <c r="C5225" i="1"/>
  <c r="D5225" i="1"/>
  <c r="A5226" i="1"/>
  <c r="B5226" i="1"/>
  <c r="C5226" i="1"/>
  <c r="D5226" i="1"/>
  <c r="A5227" i="1"/>
  <c r="B5227" i="1"/>
  <c r="C5227" i="1"/>
  <c r="D5227" i="1"/>
  <c r="A5228" i="1"/>
  <c r="B5228" i="1"/>
  <c r="C5228" i="1"/>
  <c r="D5228" i="1"/>
  <c r="A5229" i="1"/>
  <c r="B5229" i="1"/>
  <c r="C5229" i="1"/>
  <c r="D5229" i="1"/>
  <c r="A5230" i="1"/>
  <c r="B5230" i="1"/>
  <c r="C5230" i="1"/>
  <c r="D5230" i="1"/>
  <c r="A5231" i="1"/>
  <c r="B5231" i="1"/>
  <c r="C5231" i="1"/>
  <c r="D5231" i="1"/>
  <c r="A5232" i="1"/>
  <c r="B5232" i="1"/>
  <c r="C5232" i="1"/>
  <c r="D5232" i="1"/>
  <c r="A5233" i="1"/>
  <c r="B5233" i="1"/>
  <c r="C5233" i="1"/>
  <c r="D5233" i="1"/>
  <c r="A5234" i="1"/>
  <c r="B5234" i="1"/>
  <c r="C5234" i="1"/>
  <c r="D5234" i="1"/>
  <c r="A5235" i="1"/>
  <c r="B5235" i="1"/>
  <c r="C5235" i="1"/>
  <c r="D5235" i="1"/>
  <c r="A5236" i="1"/>
  <c r="B5236" i="1"/>
  <c r="C5236" i="1"/>
  <c r="D5236" i="1"/>
  <c r="A5237" i="1"/>
  <c r="B5237" i="1"/>
  <c r="C5237" i="1"/>
  <c r="D5237" i="1"/>
  <c r="A5238" i="1"/>
  <c r="B5238" i="1"/>
  <c r="C5238" i="1"/>
  <c r="D5238" i="1"/>
  <c r="A5239" i="1"/>
  <c r="B5239" i="1"/>
  <c r="C5239" i="1"/>
  <c r="D5239" i="1"/>
  <c r="A5240" i="1"/>
  <c r="B5240" i="1"/>
  <c r="C5240" i="1"/>
  <c r="A5241" i="1"/>
  <c r="B5241" i="1"/>
  <c r="C5241" i="1"/>
  <c r="D5241" i="1"/>
  <c r="A5242" i="1"/>
  <c r="B5242" i="1"/>
  <c r="C5242" i="1"/>
  <c r="D5242" i="1"/>
  <c r="A5243" i="1"/>
  <c r="B5243" i="1"/>
  <c r="C5243" i="1"/>
  <c r="D5243" i="1"/>
  <c r="A5244" i="1"/>
  <c r="B5244" i="1"/>
  <c r="C5244" i="1"/>
  <c r="D5244" i="1"/>
  <c r="A5245" i="1"/>
  <c r="B5245" i="1"/>
  <c r="C5245" i="1"/>
  <c r="D5245" i="1"/>
  <c r="A5246" i="1"/>
  <c r="B5246" i="1"/>
  <c r="C5246" i="1"/>
  <c r="D5246" i="1"/>
  <c r="A5247" i="1"/>
  <c r="B5247" i="1"/>
  <c r="C5247" i="1"/>
  <c r="D5247" i="1"/>
  <c r="A5248" i="1"/>
  <c r="B5248" i="1"/>
  <c r="C5248" i="1"/>
  <c r="D5248" i="1"/>
  <c r="A5249" i="1"/>
  <c r="B5249" i="1"/>
  <c r="C5249" i="1"/>
  <c r="D5249" i="1"/>
  <c r="A5250" i="1"/>
  <c r="B5250" i="1"/>
  <c r="C5250" i="1"/>
  <c r="D5250" i="1"/>
  <c r="A5251" i="1"/>
  <c r="B5251" i="1"/>
  <c r="C5251" i="1"/>
  <c r="D5251" i="1"/>
  <c r="A5252" i="1"/>
  <c r="B5252" i="1"/>
  <c r="C5252" i="1"/>
  <c r="D5252" i="1"/>
  <c r="A5253" i="1"/>
  <c r="B5253" i="1"/>
  <c r="C5253" i="1"/>
  <c r="D5253" i="1"/>
  <c r="A5254" i="1"/>
  <c r="B5254" i="1"/>
  <c r="C5254" i="1"/>
  <c r="D5254" i="1"/>
  <c r="A5255" i="1"/>
  <c r="B5255" i="1"/>
  <c r="C5255" i="1"/>
  <c r="D5255" i="1"/>
  <c r="A5256" i="1"/>
  <c r="B5256" i="1"/>
  <c r="C5256" i="1"/>
  <c r="D5256" i="1"/>
  <c r="A5257" i="1"/>
  <c r="B5257" i="1"/>
  <c r="C5257" i="1"/>
  <c r="D5257" i="1"/>
  <c r="A5258" i="1"/>
  <c r="B5258" i="1"/>
  <c r="C5258" i="1"/>
  <c r="D5258" i="1"/>
  <c r="A5259" i="1"/>
  <c r="B5259" i="1"/>
  <c r="C5259" i="1"/>
  <c r="D5259" i="1"/>
  <c r="A5260" i="1"/>
  <c r="B5260" i="1"/>
  <c r="C5260" i="1"/>
  <c r="D5260" i="1"/>
  <c r="A5261" i="1"/>
  <c r="B5261" i="1"/>
  <c r="C5261" i="1"/>
  <c r="D5261" i="1"/>
  <c r="A5262" i="1"/>
  <c r="B5262" i="1"/>
  <c r="C5262" i="1"/>
  <c r="D5262" i="1"/>
  <c r="A5263" i="1"/>
  <c r="B5263" i="1"/>
  <c r="C5263" i="1"/>
  <c r="A5264" i="1"/>
  <c r="B5264" i="1"/>
  <c r="C5264" i="1"/>
  <c r="D5264" i="1"/>
  <c r="A5265" i="1"/>
  <c r="B5265" i="1"/>
  <c r="C5265" i="1"/>
  <c r="D5265" i="1"/>
  <c r="A5266" i="1"/>
  <c r="B5266" i="1"/>
  <c r="C5266" i="1"/>
  <c r="D5266" i="1"/>
  <c r="A5267" i="1"/>
  <c r="B5267" i="1"/>
  <c r="C5267" i="1"/>
  <c r="D5267" i="1"/>
  <c r="A5268" i="1"/>
  <c r="B5268" i="1"/>
  <c r="C5268" i="1"/>
  <c r="D5268" i="1"/>
  <c r="A5269" i="1"/>
  <c r="B5269" i="1"/>
  <c r="C5269" i="1"/>
  <c r="D5269" i="1"/>
  <c r="A5270" i="1"/>
  <c r="B5270" i="1"/>
  <c r="C5270" i="1"/>
  <c r="D5270" i="1"/>
  <c r="A5271" i="1"/>
  <c r="B5271" i="1"/>
  <c r="C5271" i="1"/>
  <c r="D5271" i="1"/>
  <c r="A5272" i="1"/>
  <c r="B5272" i="1"/>
  <c r="C5272" i="1"/>
  <c r="D5272" i="1"/>
  <c r="A5273" i="1"/>
  <c r="B5273" i="1"/>
  <c r="C5273" i="1"/>
  <c r="D5273" i="1"/>
  <c r="A5274" i="1"/>
  <c r="B5274" i="1"/>
  <c r="C5274" i="1"/>
  <c r="D5274" i="1"/>
  <c r="A5275" i="1"/>
  <c r="B5275" i="1"/>
  <c r="C5275" i="1"/>
  <c r="D5275" i="1"/>
  <c r="A5276" i="1"/>
  <c r="B5276" i="1"/>
  <c r="C5276" i="1"/>
  <c r="D5276" i="1"/>
  <c r="A5277" i="1"/>
  <c r="B5277" i="1"/>
  <c r="C5277" i="1"/>
  <c r="D5277" i="1"/>
  <c r="A5278" i="1"/>
  <c r="B5278" i="1"/>
  <c r="C5278" i="1"/>
  <c r="D5278" i="1"/>
  <c r="A5279" i="1"/>
  <c r="B5279" i="1"/>
  <c r="C5279" i="1"/>
  <c r="D5279" i="1"/>
  <c r="A5280" i="1"/>
  <c r="B5280" i="1"/>
  <c r="C5280" i="1"/>
  <c r="D5280" i="1"/>
  <c r="A5281" i="1"/>
  <c r="B5281" i="1"/>
  <c r="C5281" i="1"/>
  <c r="D5281" i="1"/>
  <c r="A5282" i="1"/>
  <c r="B5282" i="1"/>
  <c r="C5282" i="1"/>
  <c r="D5282" i="1"/>
  <c r="A5283" i="1"/>
  <c r="B5283" i="1"/>
  <c r="C5283" i="1"/>
  <c r="D5283" i="1"/>
  <c r="A5284" i="1"/>
  <c r="B5284" i="1"/>
  <c r="C5284" i="1"/>
  <c r="D5284" i="1"/>
  <c r="A5285" i="1"/>
  <c r="B5285" i="1"/>
  <c r="C5285" i="1"/>
  <c r="D5285" i="1"/>
  <c r="A5286" i="1"/>
  <c r="B5286" i="1"/>
  <c r="C5286" i="1"/>
  <c r="D5286" i="1"/>
  <c r="A5287" i="1"/>
  <c r="B5287" i="1"/>
  <c r="C5287" i="1"/>
  <c r="D5287" i="1"/>
  <c r="A5288" i="1"/>
  <c r="B5288" i="1"/>
  <c r="C5288" i="1"/>
  <c r="D5288" i="1"/>
  <c r="A5289" i="1"/>
  <c r="B5289" i="1"/>
  <c r="C5289" i="1"/>
  <c r="D5289" i="1"/>
  <c r="A5290" i="1"/>
  <c r="B5290" i="1"/>
  <c r="C5290" i="1"/>
  <c r="D5290" i="1"/>
  <c r="A5291" i="1"/>
  <c r="B5291" i="1"/>
  <c r="C5291" i="1"/>
  <c r="D5291" i="1"/>
  <c r="A5292" i="1"/>
  <c r="B5292" i="1"/>
  <c r="C5292" i="1"/>
  <c r="A5293" i="1"/>
  <c r="B5293" i="1"/>
  <c r="C5293" i="1"/>
  <c r="D5293" i="1"/>
  <c r="A5294" i="1"/>
  <c r="B5294" i="1"/>
  <c r="C5294" i="1"/>
  <c r="D5294" i="1"/>
  <c r="A5295" i="1"/>
  <c r="B5295" i="1"/>
  <c r="C5295" i="1"/>
  <c r="D5295" i="1"/>
  <c r="A5296" i="1"/>
  <c r="B5296" i="1"/>
  <c r="C5296" i="1"/>
  <c r="D5296" i="1"/>
  <c r="A5297" i="1"/>
  <c r="B5297" i="1"/>
  <c r="C5297" i="1"/>
  <c r="A5298" i="1"/>
  <c r="B5298" i="1"/>
  <c r="C5298" i="1"/>
  <c r="D5298" i="1"/>
  <c r="A5299" i="1"/>
  <c r="B5299" i="1"/>
  <c r="C5299" i="1"/>
  <c r="D5299" i="1"/>
  <c r="A5300" i="1"/>
  <c r="B5300" i="1"/>
  <c r="C5300" i="1"/>
  <c r="D5300" i="1"/>
  <c r="A5301" i="1"/>
  <c r="B5301" i="1"/>
  <c r="C5301" i="1"/>
  <c r="D5301" i="1"/>
  <c r="A5302" i="1"/>
  <c r="B5302" i="1"/>
  <c r="C5302" i="1"/>
  <c r="D5302" i="1"/>
  <c r="A5303" i="1"/>
  <c r="B5303" i="1"/>
  <c r="C5303" i="1"/>
  <c r="D5303" i="1"/>
  <c r="A5304" i="1"/>
  <c r="B5304" i="1"/>
  <c r="C5304" i="1"/>
  <c r="D5304" i="1"/>
  <c r="A5305" i="1"/>
  <c r="B5305" i="1"/>
  <c r="C5305" i="1"/>
  <c r="D5305" i="1"/>
  <c r="A5306" i="1"/>
  <c r="B5306" i="1"/>
  <c r="C5306" i="1"/>
  <c r="D5306" i="1"/>
  <c r="A5307" i="1"/>
  <c r="B5307" i="1"/>
  <c r="C5307" i="1"/>
  <c r="D5307" i="1"/>
  <c r="A5308" i="1"/>
  <c r="B5308" i="1"/>
  <c r="C5308" i="1"/>
  <c r="D5308" i="1"/>
  <c r="A5309" i="1"/>
  <c r="B5309" i="1"/>
  <c r="C5309" i="1"/>
  <c r="D5309" i="1"/>
  <c r="A5310" i="1"/>
  <c r="B5310" i="1"/>
  <c r="C5310" i="1"/>
  <c r="D5310" i="1"/>
  <c r="A5311" i="1"/>
  <c r="B5311" i="1"/>
  <c r="C5311" i="1"/>
  <c r="D5311" i="1"/>
  <c r="A5312" i="1"/>
  <c r="B5312" i="1"/>
  <c r="C5312" i="1"/>
  <c r="D5312" i="1"/>
  <c r="A5313" i="1"/>
  <c r="B5313" i="1"/>
  <c r="C5313" i="1"/>
  <c r="D5313" i="1"/>
  <c r="A5314" i="1"/>
  <c r="B5314" i="1"/>
  <c r="C5314" i="1"/>
  <c r="D5314" i="1"/>
  <c r="A5315" i="1"/>
  <c r="B5315" i="1"/>
  <c r="C5315" i="1"/>
  <c r="D5315" i="1"/>
  <c r="A5316" i="1"/>
  <c r="B5316" i="1"/>
  <c r="C5316" i="1"/>
  <c r="D5316" i="1"/>
  <c r="A5317" i="1"/>
  <c r="B5317" i="1"/>
  <c r="C5317" i="1"/>
  <c r="D5317" i="1"/>
  <c r="A5318" i="1"/>
  <c r="B5318" i="1"/>
  <c r="C5318" i="1"/>
  <c r="D5318" i="1"/>
  <c r="A5319" i="1"/>
  <c r="B5319" i="1"/>
  <c r="C5319" i="1"/>
  <c r="D5319" i="1"/>
  <c r="A5320" i="1"/>
  <c r="B5320" i="1"/>
  <c r="C5320" i="1"/>
  <c r="D5320" i="1"/>
  <c r="A5321" i="1"/>
  <c r="B5321" i="1"/>
  <c r="C5321" i="1"/>
  <c r="D5321" i="1"/>
  <c r="A5322" i="1"/>
  <c r="B5322" i="1"/>
  <c r="C5322" i="1"/>
  <c r="D5322" i="1"/>
  <c r="A5323" i="1"/>
  <c r="B5323" i="1"/>
  <c r="C5323" i="1"/>
  <c r="A5324" i="1"/>
  <c r="B5324" i="1"/>
  <c r="C5324" i="1"/>
  <c r="D5324" i="1"/>
  <c r="A5325" i="1"/>
  <c r="B5325" i="1"/>
  <c r="C5325" i="1"/>
  <c r="D5325" i="1"/>
  <c r="A5326" i="1"/>
  <c r="B5326" i="1"/>
  <c r="C5326" i="1"/>
  <c r="D5326" i="1"/>
  <c r="A5327" i="1"/>
  <c r="B5327" i="1"/>
  <c r="C5327" i="1"/>
  <c r="D5327" i="1"/>
  <c r="A5328" i="1"/>
  <c r="B5328" i="1"/>
  <c r="C5328" i="1"/>
  <c r="D5328" i="1"/>
  <c r="A5329" i="1"/>
  <c r="B5329" i="1"/>
  <c r="C5329" i="1"/>
  <c r="D5329" i="1"/>
  <c r="A5330" i="1"/>
  <c r="B5330" i="1"/>
  <c r="C5330" i="1"/>
  <c r="A5331" i="1"/>
  <c r="B5331" i="1"/>
  <c r="C5331" i="1"/>
  <c r="A5332" i="1"/>
  <c r="B5332" i="1"/>
  <c r="C5332" i="1"/>
  <c r="D5332" i="1"/>
  <c r="A5333" i="1"/>
  <c r="B5333" i="1"/>
  <c r="C5333" i="1"/>
  <c r="D5333" i="1"/>
  <c r="A5334" i="1"/>
  <c r="B5334" i="1"/>
  <c r="C5334" i="1"/>
  <c r="D5334" i="1"/>
  <c r="A5335" i="1"/>
  <c r="B5335" i="1"/>
  <c r="C5335" i="1"/>
  <c r="D5335" i="1"/>
  <c r="A5336" i="1"/>
  <c r="B5336" i="1"/>
  <c r="C5336" i="1"/>
  <c r="A5337" i="1"/>
  <c r="B5337" i="1"/>
  <c r="C5337" i="1"/>
  <c r="D5337" i="1"/>
  <c r="A5338" i="1"/>
  <c r="B5338" i="1"/>
  <c r="C5338" i="1"/>
  <c r="D5338" i="1"/>
  <c r="A5339" i="1"/>
  <c r="B5339" i="1"/>
  <c r="C5339" i="1"/>
  <c r="D5339" i="1"/>
  <c r="A5340" i="1"/>
  <c r="B5340" i="1"/>
  <c r="C5340" i="1"/>
  <c r="D5340" i="1"/>
  <c r="A5341" i="1"/>
  <c r="B5341" i="1"/>
  <c r="C5341" i="1"/>
  <c r="A5342" i="1"/>
  <c r="B5342" i="1"/>
  <c r="C5342" i="1"/>
  <c r="D5342" i="1"/>
  <c r="A5343" i="1"/>
  <c r="B5343" i="1"/>
  <c r="C5343" i="1"/>
  <c r="D5343" i="1"/>
  <c r="A5344" i="1"/>
  <c r="B5344" i="1"/>
  <c r="C5344" i="1"/>
  <c r="D5344" i="1"/>
  <c r="A5345" i="1"/>
  <c r="B5345" i="1"/>
  <c r="C5345" i="1"/>
  <c r="D5345" i="1"/>
  <c r="A5346" i="1"/>
  <c r="B5346" i="1"/>
  <c r="C5346" i="1"/>
  <c r="D5346" i="1"/>
  <c r="A5347" i="1"/>
  <c r="B5347" i="1"/>
  <c r="C5347" i="1"/>
  <c r="D5347" i="1"/>
  <c r="A5348" i="1"/>
  <c r="B5348" i="1"/>
  <c r="C5348" i="1"/>
  <c r="D5348" i="1"/>
  <c r="A5349" i="1"/>
  <c r="B5349" i="1"/>
  <c r="C5349" i="1"/>
  <c r="D5349" i="1"/>
  <c r="A5350" i="1"/>
  <c r="B5350" i="1"/>
  <c r="C5350" i="1"/>
  <c r="D5350" i="1"/>
  <c r="A5351" i="1"/>
  <c r="B5351" i="1"/>
  <c r="C5351" i="1"/>
  <c r="D5351" i="1"/>
  <c r="A5352" i="1"/>
  <c r="B5352" i="1"/>
  <c r="C5352" i="1"/>
  <c r="D5352" i="1"/>
  <c r="A5353" i="1"/>
  <c r="B5353" i="1"/>
  <c r="C5353" i="1"/>
  <c r="D5353" i="1"/>
  <c r="A5354" i="1"/>
  <c r="B5354" i="1"/>
  <c r="C5354" i="1"/>
  <c r="D5354" i="1"/>
  <c r="A5355" i="1"/>
  <c r="B5355" i="1"/>
  <c r="C5355" i="1"/>
  <c r="D5355" i="1"/>
  <c r="A5356" i="1"/>
  <c r="B5356" i="1"/>
  <c r="C5356" i="1"/>
  <c r="D5356" i="1"/>
  <c r="A5357" i="1"/>
  <c r="B5357" i="1"/>
  <c r="C5357" i="1"/>
  <c r="D5357" i="1"/>
  <c r="A5358" i="1"/>
  <c r="B5358" i="1"/>
  <c r="C5358" i="1"/>
  <c r="D5358" i="1"/>
  <c r="A5359" i="1"/>
  <c r="B5359" i="1"/>
  <c r="C5359" i="1"/>
  <c r="D5359" i="1"/>
  <c r="A5360" i="1"/>
  <c r="B5360" i="1"/>
  <c r="C5360" i="1"/>
  <c r="D5360" i="1"/>
  <c r="A5361" i="1"/>
  <c r="B5361" i="1"/>
  <c r="C5361" i="1"/>
  <c r="D5361" i="1"/>
  <c r="A5362" i="1"/>
  <c r="B5362" i="1"/>
  <c r="C5362" i="1"/>
  <c r="D5362" i="1"/>
  <c r="A5363" i="1"/>
  <c r="B5363" i="1"/>
  <c r="C5363" i="1"/>
  <c r="D5363" i="1"/>
  <c r="A5364" i="1"/>
  <c r="B5364" i="1"/>
  <c r="C5364" i="1"/>
  <c r="D5364" i="1"/>
  <c r="A5365" i="1"/>
  <c r="B5365" i="1"/>
  <c r="C5365" i="1"/>
  <c r="D5365" i="1"/>
  <c r="A5366" i="1"/>
  <c r="B5366" i="1"/>
  <c r="C5366" i="1"/>
  <c r="D5366" i="1"/>
  <c r="A5367" i="1"/>
  <c r="B5367" i="1"/>
  <c r="C5367" i="1"/>
  <c r="D5367" i="1"/>
  <c r="A5368" i="1"/>
  <c r="B5368" i="1"/>
  <c r="C5368" i="1"/>
  <c r="D5368" i="1"/>
  <c r="A5369" i="1"/>
  <c r="B5369" i="1"/>
  <c r="C5369" i="1"/>
  <c r="D5369" i="1"/>
  <c r="A5370" i="1"/>
  <c r="B5370" i="1"/>
  <c r="C5370" i="1"/>
  <c r="D5370" i="1"/>
  <c r="A5371" i="1"/>
  <c r="B5371" i="1"/>
  <c r="C5371" i="1"/>
  <c r="D5371" i="1"/>
  <c r="A5372" i="1"/>
  <c r="B5372" i="1"/>
  <c r="C5372" i="1"/>
  <c r="D5372" i="1"/>
  <c r="A5373" i="1"/>
  <c r="B5373" i="1"/>
  <c r="C5373" i="1"/>
  <c r="D5373" i="1"/>
  <c r="A5374" i="1"/>
  <c r="B5374" i="1"/>
  <c r="C5374" i="1"/>
  <c r="D5374" i="1"/>
  <c r="A5375" i="1"/>
  <c r="B5375" i="1"/>
  <c r="C5375" i="1"/>
  <c r="D5375" i="1"/>
  <c r="A5376" i="1"/>
  <c r="B5376" i="1"/>
  <c r="C5376" i="1"/>
  <c r="D5376" i="1"/>
  <c r="A5377" i="1"/>
  <c r="B5377" i="1"/>
  <c r="C5377" i="1"/>
  <c r="D5377" i="1"/>
  <c r="A5378" i="1"/>
  <c r="B5378" i="1"/>
  <c r="C5378" i="1"/>
  <c r="D5378" i="1"/>
  <c r="A5379" i="1"/>
  <c r="B5379" i="1"/>
  <c r="C5379" i="1"/>
  <c r="D5379" i="1"/>
  <c r="A5380" i="1"/>
  <c r="B5380" i="1"/>
  <c r="C5380" i="1"/>
  <c r="D5380" i="1"/>
  <c r="A5381" i="1"/>
  <c r="B5381" i="1"/>
  <c r="C5381" i="1"/>
  <c r="A5382" i="1"/>
  <c r="B5382" i="1"/>
  <c r="C5382" i="1"/>
  <c r="D5382" i="1"/>
  <c r="A5383" i="1"/>
  <c r="B5383" i="1"/>
  <c r="C5383" i="1"/>
  <c r="D5383" i="1"/>
  <c r="A5384" i="1"/>
  <c r="B5384" i="1"/>
  <c r="C5384" i="1"/>
  <c r="D5384" i="1"/>
  <c r="A5385" i="1"/>
  <c r="B5385" i="1"/>
  <c r="C5385" i="1"/>
  <c r="D5385" i="1"/>
  <c r="A5386" i="1"/>
  <c r="B5386" i="1"/>
  <c r="C5386" i="1"/>
  <c r="D5386" i="1"/>
  <c r="A5387" i="1"/>
  <c r="B5387" i="1"/>
  <c r="C5387" i="1"/>
  <c r="D5387" i="1"/>
  <c r="A5388" i="1"/>
  <c r="B5388" i="1"/>
  <c r="C5388" i="1"/>
  <c r="D5388" i="1"/>
  <c r="A5389" i="1"/>
  <c r="B5389" i="1"/>
  <c r="C5389" i="1"/>
  <c r="D5389" i="1"/>
  <c r="A5390" i="1"/>
  <c r="B5390" i="1"/>
  <c r="C5390" i="1"/>
  <c r="D5390" i="1"/>
  <c r="A5391" i="1"/>
  <c r="B5391" i="1"/>
  <c r="C5391" i="1"/>
  <c r="D5391" i="1"/>
  <c r="A5392" i="1"/>
  <c r="B5392" i="1"/>
  <c r="C5392" i="1"/>
  <c r="D5392" i="1"/>
  <c r="A5393" i="1"/>
  <c r="B5393" i="1"/>
  <c r="C5393" i="1"/>
  <c r="D5393" i="1"/>
  <c r="A5394" i="1"/>
  <c r="B5394" i="1"/>
  <c r="C5394" i="1"/>
  <c r="D5394" i="1"/>
  <c r="A5395" i="1"/>
  <c r="B5395" i="1"/>
  <c r="C5395" i="1"/>
  <c r="D5395" i="1"/>
  <c r="A5396" i="1"/>
  <c r="B5396" i="1"/>
  <c r="C5396" i="1"/>
  <c r="A5397" i="1"/>
  <c r="B5397" i="1"/>
  <c r="C5397" i="1"/>
  <c r="D5397" i="1"/>
  <c r="A5398" i="1"/>
  <c r="B5398" i="1"/>
  <c r="C5398" i="1"/>
  <c r="D5398" i="1"/>
  <c r="A5399" i="1"/>
  <c r="B5399" i="1"/>
  <c r="C5399" i="1"/>
  <c r="D5399" i="1"/>
  <c r="A5400" i="1"/>
  <c r="B5400" i="1"/>
  <c r="C5400" i="1"/>
  <c r="D5400" i="1"/>
  <c r="A5401" i="1"/>
  <c r="B5401" i="1"/>
  <c r="C5401" i="1"/>
  <c r="D5401" i="1"/>
  <c r="A5402" i="1"/>
  <c r="B5402" i="1"/>
  <c r="C5402" i="1"/>
  <c r="D5402" i="1"/>
  <c r="A5403" i="1"/>
  <c r="B5403" i="1"/>
  <c r="C5403" i="1"/>
  <c r="D5403" i="1"/>
  <c r="A5404" i="1"/>
  <c r="B5404" i="1"/>
  <c r="C5404" i="1"/>
  <c r="A5405" i="1"/>
  <c r="B5405" i="1"/>
  <c r="C5405" i="1"/>
  <c r="D5405" i="1"/>
  <c r="A5406" i="1"/>
  <c r="B5406" i="1"/>
  <c r="C5406" i="1"/>
  <c r="D5406" i="1"/>
  <c r="A5407" i="1"/>
  <c r="B5407" i="1"/>
  <c r="C5407" i="1"/>
  <c r="D5407" i="1"/>
  <c r="A5408" i="1"/>
  <c r="B5408" i="1"/>
  <c r="C5408" i="1"/>
  <c r="D5408" i="1"/>
  <c r="A5409" i="1"/>
  <c r="B5409" i="1"/>
  <c r="C5409" i="1"/>
  <c r="D5409" i="1"/>
  <c r="A5410" i="1"/>
  <c r="B5410" i="1"/>
  <c r="C5410" i="1"/>
  <c r="D5410" i="1"/>
  <c r="A5411" i="1"/>
  <c r="B5411" i="1"/>
  <c r="C5411" i="1"/>
  <c r="D5411" i="1"/>
  <c r="A5412" i="1"/>
  <c r="B5412" i="1"/>
  <c r="C5412" i="1"/>
  <c r="A5413" i="1"/>
  <c r="B5413" i="1"/>
  <c r="C5413" i="1"/>
  <c r="D5413" i="1"/>
  <c r="A5414" i="1"/>
  <c r="B5414" i="1"/>
  <c r="C5414" i="1"/>
  <c r="D5414" i="1"/>
  <c r="A5415" i="1"/>
  <c r="B5415" i="1"/>
  <c r="C5415" i="1"/>
  <c r="D5415" i="1"/>
  <c r="A5416" i="1"/>
  <c r="B5416" i="1"/>
  <c r="C5416" i="1"/>
  <c r="D5416" i="1"/>
  <c r="A5417" i="1"/>
  <c r="B5417" i="1"/>
  <c r="C5417" i="1"/>
  <c r="D5417" i="1"/>
  <c r="A5418" i="1"/>
  <c r="B5418" i="1"/>
  <c r="C5418" i="1"/>
  <c r="D5418" i="1"/>
  <c r="A5419" i="1"/>
  <c r="B5419" i="1"/>
  <c r="C5419" i="1"/>
  <c r="D5419" i="1"/>
  <c r="A5420" i="1"/>
  <c r="B5420" i="1"/>
  <c r="C5420" i="1"/>
  <c r="D5420" i="1"/>
  <c r="A5421" i="1"/>
  <c r="B5421" i="1"/>
  <c r="C5421" i="1"/>
  <c r="D5421" i="1"/>
  <c r="A5422" i="1"/>
  <c r="B5422" i="1"/>
  <c r="C5422" i="1"/>
  <c r="D5422" i="1"/>
  <c r="A5423" i="1"/>
  <c r="B5423" i="1"/>
  <c r="C5423" i="1"/>
  <c r="D5423" i="1"/>
  <c r="A5424" i="1"/>
  <c r="B5424" i="1"/>
  <c r="C5424" i="1"/>
  <c r="A5425" i="1"/>
  <c r="B5425" i="1"/>
  <c r="C5425" i="1"/>
  <c r="D5425" i="1"/>
  <c r="A5426" i="1"/>
  <c r="B5426" i="1"/>
  <c r="C5426" i="1"/>
  <c r="D5426" i="1"/>
  <c r="A5427" i="1"/>
  <c r="B5427" i="1"/>
  <c r="C5427" i="1"/>
  <c r="D5427" i="1"/>
  <c r="A5428" i="1"/>
  <c r="B5428" i="1"/>
  <c r="C5428" i="1"/>
  <c r="D5428" i="1"/>
  <c r="A5429" i="1"/>
  <c r="B5429" i="1"/>
  <c r="C5429" i="1"/>
  <c r="A5430" i="1"/>
  <c r="B5430" i="1"/>
  <c r="C5430" i="1"/>
  <c r="D5430" i="1"/>
  <c r="A5431" i="1"/>
  <c r="B5431" i="1"/>
  <c r="C5431" i="1"/>
  <c r="D5431" i="1"/>
  <c r="A5432" i="1"/>
  <c r="B5432" i="1"/>
  <c r="C5432" i="1"/>
  <c r="D5432" i="1"/>
  <c r="A5433" i="1"/>
  <c r="B5433" i="1"/>
  <c r="C5433" i="1"/>
  <c r="D5433" i="1"/>
  <c r="A5434" i="1"/>
  <c r="B5434" i="1"/>
  <c r="C5434" i="1"/>
  <c r="D5434" i="1"/>
  <c r="A5435" i="1"/>
  <c r="B5435" i="1"/>
  <c r="C5435" i="1"/>
  <c r="D5435" i="1"/>
  <c r="A5436" i="1"/>
  <c r="B5436" i="1"/>
  <c r="C5436" i="1"/>
  <c r="D5436" i="1"/>
  <c r="A5437" i="1"/>
  <c r="B5437" i="1"/>
  <c r="C5437" i="1"/>
  <c r="D5437" i="1"/>
  <c r="A5438" i="1"/>
  <c r="B5438" i="1"/>
  <c r="C5438" i="1"/>
  <c r="A5439" i="1"/>
  <c r="B5439" i="1"/>
  <c r="C5439" i="1"/>
  <c r="D5439" i="1"/>
  <c r="A5440" i="1"/>
  <c r="B5440" i="1"/>
  <c r="C5440" i="1"/>
  <c r="D5440" i="1"/>
  <c r="A5441" i="1"/>
  <c r="B5441" i="1"/>
  <c r="C5441" i="1"/>
  <c r="D5441" i="1"/>
  <c r="A5442" i="1"/>
  <c r="B5442" i="1"/>
  <c r="C5442" i="1"/>
  <c r="D5442" i="1"/>
  <c r="A5443" i="1"/>
  <c r="B5443" i="1"/>
  <c r="C5443" i="1"/>
  <c r="D5443" i="1"/>
  <c r="A5444" i="1"/>
  <c r="B5444" i="1"/>
  <c r="C5444" i="1"/>
  <c r="D5444" i="1"/>
  <c r="A5445" i="1"/>
  <c r="B5445" i="1"/>
  <c r="C5445" i="1"/>
  <c r="D5445" i="1"/>
  <c r="A5446" i="1"/>
  <c r="B5446" i="1"/>
  <c r="C5446" i="1"/>
  <c r="D5446" i="1"/>
  <c r="A5447" i="1"/>
  <c r="B5447" i="1"/>
  <c r="C5447" i="1"/>
  <c r="A5448" i="1"/>
  <c r="B5448" i="1"/>
  <c r="C5448" i="1"/>
  <c r="D5448" i="1"/>
  <c r="A5449" i="1"/>
  <c r="B5449" i="1"/>
  <c r="C5449" i="1"/>
  <c r="D5449" i="1"/>
  <c r="A5450" i="1"/>
  <c r="B5450" i="1"/>
  <c r="C5450" i="1"/>
  <c r="D5450" i="1"/>
  <c r="A5451" i="1"/>
  <c r="B5451" i="1"/>
  <c r="C5451" i="1"/>
  <c r="D5451" i="1"/>
  <c r="A5452" i="1"/>
  <c r="B5452" i="1"/>
  <c r="C5452" i="1"/>
  <c r="D5452" i="1"/>
  <c r="A5453" i="1"/>
  <c r="B5453" i="1"/>
  <c r="C5453" i="1"/>
  <c r="D5453" i="1"/>
  <c r="A5454" i="1"/>
  <c r="B5454" i="1"/>
  <c r="C5454" i="1"/>
  <c r="D5454" i="1"/>
  <c r="A5455" i="1"/>
  <c r="B5455" i="1"/>
  <c r="C5455" i="1"/>
  <c r="D5455" i="1"/>
  <c r="A5456" i="1"/>
  <c r="B5456" i="1"/>
  <c r="C5456" i="1"/>
  <c r="D5456" i="1"/>
  <c r="A5457" i="1"/>
  <c r="B5457" i="1"/>
  <c r="C5457" i="1"/>
  <c r="D5457" i="1"/>
  <c r="A5458" i="1"/>
  <c r="B5458" i="1"/>
  <c r="C5458" i="1"/>
  <c r="D5458" i="1"/>
  <c r="A5459" i="1"/>
  <c r="B5459" i="1"/>
  <c r="C5459" i="1"/>
  <c r="D5459" i="1"/>
  <c r="A5460" i="1"/>
  <c r="B5460" i="1"/>
  <c r="C5460" i="1"/>
  <c r="D5460" i="1"/>
  <c r="A5461" i="1"/>
  <c r="B5461" i="1"/>
  <c r="C5461" i="1"/>
  <c r="D5461" i="1"/>
  <c r="A5462" i="1"/>
  <c r="B5462" i="1"/>
  <c r="C5462" i="1"/>
  <c r="D5462" i="1"/>
  <c r="A5463" i="1"/>
  <c r="B5463" i="1"/>
  <c r="C5463" i="1"/>
  <c r="A5464" i="1"/>
  <c r="B5464" i="1"/>
  <c r="C5464" i="1"/>
  <c r="D5464" i="1"/>
  <c r="A5465" i="1"/>
  <c r="B5465" i="1"/>
  <c r="C5465" i="1"/>
  <c r="D5465" i="1"/>
  <c r="A5466" i="1"/>
  <c r="B5466" i="1"/>
  <c r="C5466" i="1"/>
  <c r="D5466" i="1"/>
  <c r="A5467" i="1"/>
  <c r="B5467" i="1"/>
  <c r="C5467" i="1"/>
  <c r="D5467" i="1"/>
  <c r="A5468" i="1"/>
  <c r="B5468" i="1"/>
  <c r="C5468" i="1"/>
  <c r="D5468" i="1"/>
  <c r="A5469" i="1"/>
  <c r="B5469" i="1"/>
  <c r="C5469" i="1"/>
  <c r="D5469" i="1"/>
  <c r="A5470" i="1"/>
  <c r="B5470" i="1"/>
  <c r="C5470" i="1"/>
  <c r="D5470" i="1"/>
  <c r="A5471" i="1"/>
  <c r="B5471" i="1"/>
  <c r="C5471" i="1"/>
  <c r="D5471" i="1"/>
  <c r="A5472" i="1"/>
  <c r="B5472" i="1"/>
  <c r="C5472" i="1"/>
  <c r="D5472" i="1"/>
  <c r="A5473" i="1"/>
  <c r="B5473" i="1"/>
  <c r="C5473" i="1"/>
  <c r="D5473" i="1"/>
  <c r="A5474" i="1"/>
  <c r="B5474" i="1"/>
  <c r="C5474" i="1"/>
  <c r="D5474" i="1"/>
  <c r="A5475" i="1"/>
  <c r="B5475" i="1"/>
  <c r="C5475" i="1"/>
  <c r="D5475" i="1"/>
  <c r="A5476" i="1"/>
  <c r="B5476" i="1"/>
  <c r="C5476" i="1"/>
  <c r="D5476" i="1"/>
  <c r="A5477" i="1"/>
  <c r="B5477" i="1"/>
  <c r="C5477" i="1"/>
  <c r="D5477" i="1"/>
  <c r="A5478" i="1"/>
  <c r="B5478" i="1"/>
  <c r="C5478" i="1"/>
  <c r="D5478" i="1"/>
  <c r="A5479" i="1"/>
  <c r="B5479" i="1"/>
  <c r="C5479" i="1"/>
  <c r="D5479" i="1"/>
  <c r="A5480" i="1"/>
  <c r="B5480" i="1"/>
  <c r="C5480" i="1"/>
  <c r="D5480" i="1"/>
  <c r="A5481" i="1"/>
  <c r="B5481" i="1"/>
  <c r="C5481" i="1"/>
  <c r="D5481" i="1"/>
  <c r="A5482" i="1"/>
  <c r="B5482" i="1"/>
  <c r="C5482" i="1"/>
  <c r="D5482" i="1"/>
  <c r="A5483" i="1"/>
  <c r="B5483" i="1"/>
  <c r="C5483" i="1"/>
  <c r="D5483" i="1"/>
  <c r="A5484" i="1"/>
  <c r="B5484" i="1"/>
  <c r="C5484" i="1"/>
  <c r="D5484" i="1"/>
  <c r="A5485" i="1"/>
  <c r="B5485" i="1"/>
  <c r="C5485" i="1"/>
  <c r="D5485" i="1"/>
  <c r="A5486" i="1"/>
  <c r="B5486" i="1"/>
  <c r="C5486" i="1"/>
  <c r="D5486" i="1"/>
  <c r="A5487" i="1"/>
  <c r="B5487" i="1"/>
  <c r="C5487" i="1"/>
  <c r="D5487" i="1"/>
  <c r="A5488" i="1"/>
  <c r="B5488" i="1"/>
  <c r="C5488" i="1"/>
  <c r="D5488" i="1"/>
  <c r="A5489" i="1"/>
  <c r="B5489" i="1"/>
  <c r="C5489" i="1"/>
  <c r="D5489" i="1"/>
  <c r="A5490" i="1"/>
  <c r="B5490" i="1"/>
  <c r="C5490" i="1"/>
  <c r="D5490" i="1"/>
  <c r="A5491" i="1"/>
  <c r="B5491" i="1"/>
  <c r="C5491" i="1"/>
  <c r="A5492" i="1"/>
  <c r="B5492" i="1"/>
  <c r="C5492" i="1"/>
  <c r="D5492" i="1"/>
  <c r="A5493" i="1"/>
  <c r="B5493" i="1"/>
  <c r="C5493" i="1"/>
  <c r="D5493" i="1"/>
  <c r="A5494" i="1"/>
  <c r="B5494" i="1"/>
  <c r="C5494" i="1"/>
  <c r="D5494" i="1"/>
  <c r="A5495" i="1"/>
  <c r="B5495" i="1"/>
  <c r="C5495" i="1"/>
  <c r="D5495" i="1"/>
  <c r="A5496" i="1"/>
  <c r="B5496" i="1"/>
  <c r="C5496" i="1"/>
  <c r="D5496" i="1"/>
  <c r="A5497" i="1"/>
  <c r="B5497" i="1"/>
  <c r="C5497" i="1"/>
  <c r="D5497" i="1"/>
  <c r="A5498" i="1"/>
  <c r="B5498" i="1"/>
  <c r="C5498" i="1"/>
  <c r="D5498" i="1"/>
  <c r="A5499" i="1"/>
  <c r="B5499" i="1"/>
  <c r="C5499" i="1"/>
  <c r="D5499" i="1"/>
  <c r="A5500" i="1"/>
  <c r="B5500" i="1"/>
  <c r="C5500" i="1"/>
  <c r="D5500" i="1"/>
  <c r="A5501" i="1"/>
  <c r="B5501" i="1"/>
  <c r="C5501" i="1"/>
  <c r="D5501" i="1"/>
  <c r="A5502" i="1"/>
  <c r="B5502" i="1"/>
  <c r="C5502" i="1"/>
  <c r="A5503" i="1"/>
  <c r="B5503" i="1"/>
  <c r="C5503" i="1"/>
  <c r="D5503" i="1"/>
  <c r="A5504" i="1"/>
  <c r="B5504" i="1"/>
  <c r="C5504" i="1"/>
  <c r="D5504" i="1"/>
  <c r="A5505" i="1"/>
  <c r="B5505" i="1"/>
  <c r="C5505" i="1"/>
  <c r="D5505" i="1"/>
  <c r="A5506" i="1"/>
  <c r="B5506" i="1"/>
  <c r="C5506" i="1"/>
  <c r="D5506" i="1"/>
  <c r="A5507" i="1"/>
  <c r="B5507" i="1"/>
  <c r="C5507" i="1"/>
  <c r="D5507" i="1"/>
  <c r="A5508" i="1"/>
  <c r="B5508" i="1"/>
  <c r="C5508" i="1"/>
  <c r="D5508" i="1"/>
  <c r="A5509" i="1"/>
  <c r="B5509" i="1"/>
  <c r="C5509" i="1"/>
  <c r="D5509" i="1"/>
  <c r="A5510" i="1"/>
  <c r="B5510" i="1"/>
  <c r="C5510" i="1"/>
  <c r="D5510" i="1"/>
  <c r="A5511" i="1"/>
  <c r="B5511" i="1"/>
  <c r="C5511" i="1"/>
  <c r="D5511" i="1"/>
  <c r="A5512" i="1"/>
  <c r="B5512" i="1"/>
  <c r="C5512" i="1"/>
  <c r="D5512" i="1"/>
  <c r="A5513" i="1"/>
  <c r="B5513" i="1"/>
  <c r="C5513" i="1"/>
  <c r="D5513" i="1"/>
  <c r="A5514" i="1"/>
  <c r="B5514" i="1"/>
  <c r="C5514" i="1"/>
  <c r="D5514" i="1"/>
  <c r="A5515" i="1"/>
  <c r="B5515" i="1"/>
  <c r="C5515" i="1"/>
  <c r="A5516" i="1"/>
  <c r="B5516" i="1"/>
  <c r="C5516" i="1"/>
  <c r="D5516" i="1"/>
  <c r="A5517" i="1"/>
  <c r="B5517" i="1"/>
  <c r="C5517" i="1"/>
  <c r="D5517" i="1"/>
  <c r="A5518" i="1"/>
  <c r="B5518" i="1"/>
  <c r="C5518" i="1"/>
  <c r="D5518" i="1"/>
  <c r="A5519" i="1"/>
  <c r="B5519" i="1"/>
  <c r="C5519" i="1"/>
  <c r="D5519" i="1"/>
  <c r="A5520" i="1"/>
  <c r="B5520" i="1"/>
  <c r="C5520" i="1"/>
  <c r="A5521" i="1"/>
  <c r="B5521" i="1"/>
  <c r="C5521" i="1"/>
  <c r="D5521" i="1"/>
  <c r="A5522" i="1"/>
  <c r="B5522" i="1"/>
  <c r="C5522" i="1"/>
  <c r="D5522" i="1"/>
  <c r="A5523" i="1"/>
  <c r="B5523" i="1"/>
  <c r="C5523" i="1"/>
  <c r="D5523" i="1"/>
  <c r="A5524" i="1"/>
  <c r="B5524" i="1"/>
  <c r="C5524" i="1"/>
  <c r="D5524" i="1"/>
  <c r="A5525" i="1"/>
  <c r="B5525" i="1"/>
  <c r="C5525" i="1"/>
  <c r="D5525" i="1"/>
  <c r="A5526" i="1"/>
  <c r="B5526" i="1"/>
  <c r="C5526" i="1"/>
  <c r="D5526" i="1"/>
  <c r="A5527" i="1"/>
  <c r="B5527" i="1"/>
  <c r="C5527" i="1"/>
  <c r="D5527" i="1"/>
  <c r="A5528" i="1"/>
  <c r="B5528" i="1"/>
  <c r="C5528" i="1"/>
  <c r="D5528" i="1"/>
  <c r="A5529" i="1"/>
  <c r="B5529" i="1"/>
  <c r="C5529" i="1"/>
  <c r="D5529" i="1"/>
  <c r="A5530" i="1"/>
  <c r="B5530" i="1"/>
  <c r="C5530" i="1"/>
  <c r="D5530" i="1"/>
  <c r="A5531" i="1"/>
  <c r="B5531" i="1"/>
  <c r="C5531" i="1"/>
  <c r="A5532" i="1"/>
  <c r="B5532" i="1"/>
  <c r="C5532" i="1"/>
  <c r="D5532" i="1"/>
  <c r="A5533" i="1"/>
  <c r="B5533" i="1"/>
  <c r="C5533" i="1"/>
  <c r="D5533" i="1"/>
  <c r="A5534" i="1"/>
  <c r="B5534" i="1"/>
  <c r="C5534" i="1"/>
  <c r="D5534" i="1"/>
  <c r="A5535" i="1"/>
  <c r="B5535" i="1"/>
  <c r="C5535" i="1"/>
  <c r="D5535" i="1"/>
  <c r="A5536" i="1"/>
  <c r="B5536" i="1"/>
  <c r="C5536" i="1"/>
  <c r="D5536" i="1"/>
  <c r="A5537" i="1"/>
  <c r="B5537" i="1"/>
  <c r="C5537" i="1"/>
  <c r="D5537" i="1"/>
  <c r="A5538" i="1"/>
  <c r="B5538" i="1"/>
  <c r="C5538" i="1"/>
  <c r="D5538" i="1"/>
  <c r="A5539" i="1"/>
  <c r="B5539" i="1"/>
  <c r="C5539" i="1"/>
  <c r="D5539" i="1"/>
  <c r="A5540" i="1"/>
  <c r="B5540" i="1"/>
  <c r="C5540" i="1"/>
  <c r="A5541" i="1"/>
  <c r="B5541" i="1"/>
  <c r="C5541" i="1"/>
  <c r="D5541" i="1"/>
  <c r="A5542" i="1"/>
  <c r="B5542" i="1"/>
  <c r="C5542" i="1"/>
  <c r="D5542" i="1"/>
  <c r="A5543" i="1"/>
  <c r="B5543" i="1"/>
  <c r="C5543" i="1"/>
  <c r="D5543" i="1"/>
  <c r="A5544" i="1"/>
  <c r="B5544" i="1"/>
  <c r="C5544" i="1"/>
  <c r="D5544" i="1"/>
  <c r="A5545" i="1"/>
  <c r="B5545" i="1"/>
  <c r="C5545" i="1"/>
  <c r="D5545" i="1"/>
  <c r="A5546" i="1"/>
  <c r="B5546" i="1"/>
  <c r="C5546" i="1"/>
  <c r="D5546" i="1"/>
  <c r="A5547" i="1"/>
  <c r="B5547" i="1"/>
  <c r="C5547" i="1"/>
  <c r="D5547" i="1"/>
  <c r="A5548" i="1"/>
  <c r="B5548" i="1"/>
  <c r="C5548" i="1"/>
  <c r="D5548" i="1"/>
  <c r="A5549" i="1"/>
  <c r="B5549" i="1"/>
  <c r="C5549" i="1"/>
  <c r="D5549" i="1"/>
  <c r="A5550" i="1"/>
  <c r="B5550" i="1"/>
  <c r="C5550" i="1"/>
  <c r="D5550" i="1"/>
  <c r="A5551" i="1"/>
  <c r="B5551" i="1"/>
  <c r="C5551" i="1"/>
  <c r="D5551" i="1"/>
  <c r="A5552" i="1"/>
  <c r="B5552" i="1"/>
  <c r="C5552" i="1"/>
  <c r="D5552" i="1"/>
  <c r="A5553" i="1"/>
  <c r="B5553" i="1"/>
  <c r="C5553" i="1"/>
  <c r="D5553" i="1"/>
  <c r="A5554" i="1"/>
  <c r="B5554" i="1"/>
  <c r="C5554" i="1"/>
  <c r="D5554" i="1"/>
  <c r="A5555" i="1"/>
  <c r="B5555" i="1"/>
  <c r="C5555" i="1"/>
  <c r="D5555" i="1"/>
  <c r="A5556" i="1"/>
  <c r="B5556" i="1"/>
  <c r="C5556" i="1"/>
  <c r="D5556" i="1"/>
  <c r="A5557" i="1"/>
  <c r="B5557" i="1"/>
  <c r="C5557" i="1"/>
  <c r="D5557" i="1"/>
  <c r="A5558" i="1"/>
  <c r="B5558" i="1"/>
  <c r="C5558" i="1"/>
  <c r="D5558" i="1"/>
  <c r="A5559" i="1"/>
  <c r="B5559" i="1"/>
  <c r="C5559" i="1"/>
  <c r="A5560" i="1"/>
  <c r="B5560" i="1"/>
  <c r="C5560" i="1"/>
  <c r="D5560" i="1"/>
  <c r="A5561" i="1"/>
  <c r="B5561" i="1"/>
  <c r="C5561" i="1"/>
  <c r="D5561" i="1"/>
  <c r="A5562" i="1"/>
  <c r="B5562" i="1"/>
  <c r="C5562" i="1"/>
  <c r="D5562" i="1"/>
  <c r="A5563" i="1"/>
  <c r="B5563" i="1"/>
  <c r="C5563" i="1"/>
  <c r="D5563" i="1"/>
  <c r="A5564" i="1"/>
  <c r="B5564" i="1"/>
  <c r="C5564" i="1"/>
  <c r="D5564" i="1"/>
  <c r="A5565" i="1"/>
  <c r="B5565" i="1"/>
  <c r="C5565" i="1"/>
  <c r="D5565" i="1"/>
  <c r="A5566" i="1"/>
  <c r="B5566" i="1"/>
  <c r="C5566" i="1"/>
  <c r="D5566" i="1"/>
  <c r="A5567" i="1"/>
  <c r="B5567" i="1"/>
  <c r="C5567" i="1"/>
  <c r="D5567" i="1"/>
  <c r="A5568" i="1"/>
  <c r="B5568" i="1"/>
  <c r="C5568" i="1"/>
  <c r="D5568" i="1"/>
  <c r="A5569" i="1"/>
  <c r="B5569" i="1"/>
  <c r="C5569" i="1"/>
  <c r="D5569" i="1"/>
  <c r="A5570" i="1"/>
  <c r="B5570" i="1"/>
  <c r="C5570" i="1"/>
  <c r="D5570" i="1"/>
  <c r="A5571" i="1"/>
  <c r="B5571" i="1"/>
  <c r="C5571" i="1"/>
  <c r="D5571" i="1"/>
  <c r="A5572" i="1"/>
  <c r="B5572" i="1"/>
  <c r="C5572" i="1"/>
  <c r="D5572" i="1"/>
  <c r="A5573" i="1"/>
  <c r="B5573" i="1"/>
  <c r="C5573" i="1"/>
  <c r="D5573" i="1"/>
  <c r="A5574" i="1"/>
  <c r="B5574" i="1"/>
  <c r="C5574" i="1"/>
  <c r="D5574" i="1"/>
  <c r="A5575" i="1"/>
  <c r="B5575" i="1"/>
  <c r="C5575" i="1"/>
  <c r="D5575" i="1"/>
  <c r="A5576" i="1"/>
  <c r="B5576" i="1"/>
  <c r="C5576" i="1"/>
  <c r="D5576" i="1"/>
  <c r="A5577" i="1"/>
  <c r="B5577" i="1"/>
  <c r="C5577" i="1"/>
  <c r="D5577" i="1"/>
  <c r="A5578" i="1"/>
  <c r="B5578" i="1"/>
  <c r="C5578" i="1"/>
  <c r="D5578" i="1"/>
  <c r="A5579" i="1"/>
  <c r="B5579" i="1"/>
  <c r="C5579" i="1"/>
  <c r="A5580" i="1"/>
  <c r="B5580" i="1"/>
  <c r="C5580" i="1"/>
  <c r="D5580" i="1"/>
  <c r="A5581" i="1"/>
  <c r="B5581" i="1"/>
  <c r="C5581" i="1"/>
  <c r="D5581" i="1"/>
  <c r="A5582" i="1"/>
  <c r="B5582" i="1"/>
  <c r="C5582" i="1"/>
  <c r="A5583" i="1"/>
  <c r="B5583" i="1"/>
  <c r="C5583" i="1"/>
  <c r="D5583" i="1"/>
  <c r="A5584" i="1"/>
  <c r="B5584" i="1"/>
  <c r="C5584" i="1"/>
  <c r="D5584" i="1"/>
  <c r="A5585" i="1"/>
  <c r="B5585" i="1"/>
  <c r="C5585" i="1"/>
  <c r="D5585" i="1"/>
  <c r="A5586" i="1"/>
  <c r="B5586" i="1"/>
  <c r="C5586" i="1"/>
  <c r="D5586" i="1"/>
  <c r="A5587" i="1"/>
  <c r="B5587" i="1"/>
  <c r="C5587" i="1"/>
  <c r="D5587" i="1"/>
  <c r="A5588" i="1"/>
  <c r="B5588" i="1"/>
  <c r="C5588" i="1"/>
  <c r="D5588" i="1"/>
  <c r="A5589" i="1"/>
  <c r="B5589" i="1"/>
  <c r="C5589" i="1"/>
  <c r="D5589" i="1"/>
  <c r="A5590" i="1"/>
  <c r="B5590" i="1"/>
  <c r="C5590" i="1"/>
  <c r="D5590" i="1"/>
  <c r="A5591" i="1"/>
  <c r="B5591" i="1"/>
  <c r="C5591" i="1"/>
  <c r="A5592" i="1"/>
  <c r="B5592" i="1"/>
  <c r="C5592" i="1"/>
  <c r="D5592" i="1"/>
  <c r="A5593" i="1"/>
  <c r="B5593" i="1"/>
  <c r="C5593" i="1"/>
  <c r="D5593" i="1"/>
  <c r="A5594" i="1"/>
  <c r="B5594" i="1"/>
  <c r="C5594" i="1"/>
  <c r="D5594" i="1"/>
  <c r="A5595" i="1"/>
  <c r="B5595" i="1"/>
  <c r="C5595" i="1"/>
  <c r="D5595" i="1"/>
  <c r="A5596" i="1"/>
  <c r="B5596" i="1"/>
  <c r="C5596" i="1"/>
  <c r="D5596" i="1"/>
  <c r="A5597" i="1"/>
  <c r="B5597" i="1"/>
  <c r="C5597" i="1"/>
  <c r="D5597" i="1"/>
  <c r="A5598" i="1"/>
  <c r="B5598" i="1"/>
  <c r="C5598" i="1"/>
  <c r="D5598" i="1"/>
  <c r="A5599" i="1"/>
  <c r="B5599" i="1"/>
  <c r="C5599" i="1"/>
  <c r="D5599" i="1"/>
  <c r="A5600" i="1"/>
  <c r="B5600" i="1"/>
  <c r="C5600" i="1"/>
  <c r="D5600" i="1"/>
  <c r="A5601" i="1"/>
  <c r="B5601" i="1"/>
  <c r="C5601" i="1"/>
  <c r="D5601" i="1"/>
  <c r="A5602" i="1"/>
  <c r="B5602" i="1"/>
  <c r="C5602" i="1"/>
  <c r="D5602" i="1"/>
  <c r="A5603" i="1"/>
  <c r="B5603" i="1"/>
  <c r="C5603" i="1"/>
  <c r="D5603" i="1"/>
  <c r="A5604" i="1"/>
  <c r="B5604" i="1"/>
  <c r="C5604" i="1"/>
  <c r="D5604" i="1"/>
  <c r="A5605" i="1"/>
  <c r="B5605" i="1"/>
  <c r="C5605" i="1"/>
  <c r="D5605" i="1"/>
  <c r="A5606" i="1"/>
  <c r="B5606" i="1"/>
  <c r="C5606" i="1"/>
  <c r="D5606" i="1"/>
  <c r="A5607" i="1"/>
  <c r="B5607" i="1"/>
  <c r="C5607" i="1"/>
  <c r="D5607" i="1"/>
  <c r="A5608" i="1"/>
  <c r="B5608" i="1"/>
  <c r="C5608" i="1"/>
  <c r="D5608" i="1"/>
  <c r="A5609" i="1"/>
  <c r="B5609" i="1"/>
  <c r="C5609" i="1"/>
  <c r="D5609" i="1"/>
  <c r="A5610" i="1"/>
  <c r="B5610" i="1"/>
  <c r="C5610" i="1"/>
  <c r="D5610" i="1"/>
  <c r="A5611" i="1"/>
  <c r="B5611" i="1"/>
  <c r="C5611" i="1"/>
  <c r="D5611" i="1"/>
  <c r="A5612" i="1"/>
  <c r="B5612" i="1"/>
  <c r="C5612" i="1"/>
  <c r="D5612" i="1"/>
  <c r="A5613" i="1"/>
  <c r="B5613" i="1"/>
  <c r="C5613" i="1"/>
  <c r="D5613" i="1"/>
  <c r="A5614" i="1"/>
  <c r="B5614" i="1"/>
  <c r="C5614" i="1"/>
  <c r="D5614" i="1"/>
  <c r="A5615" i="1"/>
  <c r="B5615" i="1"/>
  <c r="C5615" i="1"/>
  <c r="D5615" i="1"/>
  <c r="A5616" i="1"/>
  <c r="B5616" i="1"/>
  <c r="C5616" i="1"/>
  <c r="A5617" i="1"/>
  <c r="B5617" i="1"/>
  <c r="C5617" i="1"/>
  <c r="D5617" i="1"/>
  <c r="A5618" i="1"/>
  <c r="B5618" i="1"/>
  <c r="C5618" i="1"/>
  <c r="D5618" i="1"/>
  <c r="A5619" i="1"/>
  <c r="B5619" i="1"/>
  <c r="C5619" i="1"/>
  <c r="D5619" i="1"/>
  <c r="A5620" i="1"/>
  <c r="B5620" i="1"/>
  <c r="C5620" i="1"/>
  <c r="D5620" i="1"/>
  <c r="A5621" i="1"/>
  <c r="B5621" i="1"/>
  <c r="C5621" i="1"/>
  <c r="D5621" i="1"/>
  <c r="A5622" i="1"/>
  <c r="B5622" i="1"/>
  <c r="C5622" i="1"/>
  <c r="D5622" i="1"/>
  <c r="A5623" i="1"/>
  <c r="B5623" i="1"/>
  <c r="C5623" i="1"/>
  <c r="D5623" i="1"/>
  <c r="A5624" i="1"/>
  <c r="B5624" i="1"/>
  <c r="C5624" i="1"/>
  <c r="D5624" i="1"/>
  <c r="A5625" i="1"/>
  <c r="B5625" i="1"/>
  <c r="C5625" i="1"/>
  <c r="D5625" i="1"/>
  <c r="A5626" i="1"/>
  <c r="B5626" i="1"/>
  <c r="C5626" i="1"/>
  <c r="D5626" i="1"/>
  <c r="A5627" i="1"/>
  <c r="B5627" i="1"/>
  <c r="C5627" i="1"/>
  <c r="D5627" i="1"/>
  <c r="A5628" i="1"/>
  <c r="B5628" i="1"/>
  <c r="C5628" i="1"/>
  <c r="D5628" i="1"/>
  <c r="A5629" i="1"/>
  <c r="B5629" i="1"/>
  <c r="C5629" i="1"/>
  <c r="D5629" i="1"/>
  <c r="A5630" i="1"/>
  <c r="B5630" i="1"/>
  <c r="C5630" i="1"/>
  <c r="D5630" i="1"/>
  <c r="A5631" i="1"/>
  <c r="B5631" i="1"/>
  <c r="C5631" i="1"/>
  <c r="D5631" i="1"/>
  <c r="A5632" i="1"/>
  <c r="B5632" i="1"/>
  <c r="C5632" i="1"/>
  <c r="D5632" i="1"/>
  <c r="A5633" i="1"/>
  <c r="B5633" i="1"/>
  <c r="C5633" i="1"/>
  <c r="D5633" i="1"/>
  <c r="A5634" i="1"/>
  <c r="B5634" i="1"/>
  <c r="C5634" i="1"/>
  <c r="D5634" i="1"/>
  <c r="A5635" i="1"/>
  <c r="B5635" i="1"/>
  <c r="C5635" i="1"/>
  <c r="D5635" i="1"/>
  <c r="A5636" i="1"/>
  <c r="B5636" i="1"/>
  <c r="C5636" i="1"/>
  <c r="D5636" i="1"/>
  <c r="A5637" i="1"/>
  <c r="B5637" i="1"/>
  <c r="C5637" i="1"/>
  <c r="D5637" i="1"/>
  <c r="A5638" i="1"/>
  <c r="B5638" i="1"/>
  <c r="C5638" i="1"/>
  <c r="D5638" i="1"/>
  <c r="A5639" i="1"/>
  <c r="B5639" i="1"/>
  <c r="C5639" i="1"/>
  <c r="D5639" i="1"/>
  <c r="A5640" i="1"/>
  <c r="B5640" i="1"/>
  <c r="C5640" i="1"/>
  <c r="D5640" i="1"/>
  <c r="A5641" i="1"/>
  <c r="B5641" i="1"/>
  <c r="C5641" i="1"/>
  <c r="D5641" i="1"/>
  <c r="A5642" i="1"/>
  <c r="B5642" i="1"/>
  <c r="C5642" i="1"/>
  <c r="D5642" i="1"/>
  <c r="A5643" i="1"/>
  <c r="B5643" i="1"/>
  <c r="C5643" i="1"/>
  <c r="D5643" i="1"/>
  <c r="A5644" i="1"/>
  <c r="B5644" i="1"/>
  <c r="C5644" i="1"/>
  <c r="D5644" i="1"/>
  <c r="A5645" i="1"/>
  <c r="B5645" i="1"/>
  <c r="C5645" i="1"/>
  <c r="D5645" i="1"/>
  <c r="A5646" i="1"/>
  <c r="B5646" i="1"/>
  <c r="C5646" i="1"/>
  <c r="D5646" i="1"/>
  <c r="A5647" i="1"/>
  <c r="B5647" i="1"/>
  <c r="C5647" i="1"/>
  <c r="D5647" i="1"/>
  <c r="A5648" i="1"/>
  <c r="B5648" i="1"/>
  <c r="C5648" i="1"/>
  <c r="D5648" i="1"/>
  <c r="A5649" i="1"/>
  <c r="B5649" i="1"/>
  <c r="C5649" i="1"/>
  <c r="D5649" i="1"/>
  <c r="A5650" i="1"/>
  <c r="B5650" i="1"/>
  <c r="C5650" i="1"/>
  <c r="D5650" i="1"/>
  <c r="A5651" i="1"/>
  <c r="B5651" i="1"/>
  <c r="C5651" i="1"/>
  <c r="D5651" i="1"/>
  <c r="A5652" i="1"/>
  <c r="B5652" i="1"/>
  <c r="C5652" i="1"/>
  <c r="D5652" i="1"/>
  <c r="A5653" i="1"/>
  <c r="B5653" i="1"/>
  <c r="C5653" i="1"/>
  <c r="D5653" i="1"/>
  <c r="A5654" i="1"/>
  <c r="B5654" i="1"/>
  <c r="C5654" i="1"/>
  <c r="D5654" i="1"/>
  <c r="A5655" i="1"/>
  <c r="B5655" i="1"/>
  <c r="C5655" i="1"/>
  <c r="D5655" i="1"/>
  <c r="A5656" i="1"/>
  <c r="B5656" i="1"/>
  <c r="C5656" i="1"/>
  <c r="D5656" i="1"/>
  <c r="A5657" i="1"/>
  <c r="B5657" i="1"/>
  <c r="C5657" i="1"/>
  <c r="D5657" i="1"/>
  <c r="A5658" i="1"/>
  <c r="B5658" i="1"/>
  <c r="C5658" i="1"/>
  <c r="D5658" i="1"/>
  <c r="A5659" i="1"/>
  <c r="B5659" i="1"/>
  <c r="C5659" i="1"/>
  <c r="D5659" i="1"/>
  <c r="A5660" i="1"/>
  <c r="B5660" i="1"/>
  <c r="C5660" i="1"/>
  <c r="D5660" i="1"/>
  <c r="A5661" i="1"/>
  <c r="B5661" i="1"/>
  <c r="C5661" i="1"/>
  <c r="D5661" i="1"/>
  <c r="A5662" i="1"/>
  <c r="B5662" i="1"/>
  <c r="C5662" i="1"/>
  <c r="A5663" i="1"/>
  <c r="B5663" i="1"/>
  <c r="C5663" i="1"/>
  <c r="D5663" i="1"/>
  <c r="A5664" i="1"/>
  <c r="B5664" i="1"/>
  <c r="C5664" i="1"/>
  <c r="D5664" i="1"/>
  <c r="A5665" i="1"/>
  <c r="B5665" i="1"/>
  <c r="C5665" i="1"/>
  <c r="D5665" i="1"/>
  <c r="A5666" i="1"/>
  <c r="B5666" i="1"/>
  <c r="C5666" i="1"/>
  <c r="D5666" i="1"/>
  <c r="A5667" i="1"/>
  <c r="B5667" i="1"/>
  <c r="C5667" i="1"/>
  <c r="D5667" i="1"/>
  <c r="A5668" i="1"/>
  <c r="B5668" i="1"/>
  <c r="C5668" i="1"/>
  <c r="D5668" i="1"/>
  <c r="A5669" i="1"/>
  <c r="B5669" i="1"/>
  <c r="C5669" i="1"/>
  <c r="D5669" i="1"/>
  <c r="A5670" i="1"/>
  <c r="B5670" i="1"/>
  <c r="C5670" i="1"/>
  <c r="D5670" i="1"/>
  <c r="A5671" i="1"/>
  <c r="B5671" i="1"/>
  <c r="C5671" i="1"/>
  <c r="D5671" i="1"/>
  <c r="A5672" i="1"/>
  <c r="B5672" i="1"/>
  <c r="C5672" i="1"/>
  <c r="D5672" i="1"/>
  <c r="A5673" i="1"/>
  <c r="B5673" i="1"/>
  <c r="C5673" i="1"/>
  <c r="D5673" i="1"/>
  <c r="A5674" i="1"/>
  <c r="B5674" i="1"/>
  <c r="C5674" i="1"/>
  <c r="A5675" i="1"/>
  <c r="B5675" i="1"/>
  <c r="C5675" i="1"/>
  <c r="D5675" i="1"/>
  <c r="A5676" i="1"/>
  <c r="B5676" i="1"/>
  <c r="C5676" i="1"/>
  <c r="D5676" i="1"/>
  <c r="A5677" i="1"/>
  <c r="B5677" i="1"/>
  <c r="C5677" i="1"/>
  <c r="D5677" i="1"/>
  <c r="A5678" i="1"/>
  <c r="B5678" i="1"/>
  <c r="C5678" i="1"/>
  <c r="D5678" i="1"/>
  <c r="A5679" i="1"/>
  <c r="B5679" i="1"/>
  <c r="C5679" i="1"/>
  <c r="D5679" i="1"/>
  <c r="A5680" i="1"/>
  <c r="B5680" i="1"/>
  <c r="C5680" i="1"/>
  <c r="D5680" i="1"/>
  <c r="A5681" i="1"/>
  <c r="B5681" i="1"/>
  <c r="C5681" i="1"/>
  <c r="D5681" i="1"/>
  <c r="A5682" i="1"/>
  <c r="B5682" i="1"/>
  <c r="C5682" i="1"/>
  <c r="A5683" i="1"/>
  <c r="B5683" i="1"/>
  <c r="C5683" i="1"/>
  <c r="D5683" i="1"/>
  <c r="A5684" i="1"/>
  <c r="B5684" i="1"/>
  <c r="C5684" i="1"/>
  <c r="A5685" i="1"/>
  <c r="B5685" i="1"/>
  <c r="C5685" i="1"/>
  <c r="D5685" i="1"/>
  <c r="A5686" i="1"/>
  <c r="B5686" i="1"/>
  <c r="C5686" i="1"/>
  <c r="D5686" i="1"/>
  <c r="A5687" i="1"/>
  <c r="B5687" i="1"/>
  <c r="C5687" i="1"/>
  <c r="D5687" i="1"/>
  <c r="A5688" i="1"/>
  <c r="B5688" i="1"/>
  <c r="C5688" i="1"/>
  <c r="A5689" i="1"/>
  <c r="B5689" i="1"/>
  <c r="C5689" i="1"/>
  <c r="D5689" i="1"/>
  <c r="A5690" i="1"/>
  <c r="B5690" i="1"/>
  <c r="C5690" i="1"/>
  <c r="D5690" i="1"/>
  <c r="A5691" i="1"/>
  <c r="B5691" i="1"/>
  <c r="C5691" i="1"/>
  <c r="D5691" i="1"/>
  <c r="A5692" i="1"/>
  <c r="B5692" i="1"/>
  <c r="C5692" i="1"/>
  <c r="D5692" i="1"/>
  <c r="A5693" i="1"/>
  <c r="B5693" i="1"/>
  <c r="C5693" i="1"/>
  <c r="D5693" i="1"/>
  <c r="A5694" i="1"/>
  <c r="B5694" i="1"/>
  <c r="C5694" i="1"/>
  <c r="D5694" i="1"/>
  <c r="A5695" i="1"/>
  <c r="B5695" i="1"/>
  <c r="C5695" i="1"/>
  <c r="D5695" i="1"/>
  <c r="A5696" i="1"/>
  <c r="B5696" i="1"/>
  <c r="C5696" i="1"/>
  <c r="D5696" i="1"/>
  <c r="A5697" i="1"/>
  <c r="B5697" i="1"/>
  <c r="C5697" i="1"/>
  <c r="D5697" i="1"/>
  <c r="A5698" i="1"/>
  <c r="B5698" i="1"/>
  <c r="C5698" i="1"/>
  <c r="D5698" i="1"/>
  <c r="A5699" i="1"/>
  <c r="B5699" i="1"/>
  <c r="C5699" i="1"/>
  <c r="D5699" i="1"/>
  <c r="A5700" i="1"/>
  <c r="B5700" i="1"/>
  <c r="C5700" i="1"/>
  <c r="D5700" i="1"/>
  <c r="A5701" i="1"/>
  <c r="B5701" i="1"/>
  <c r="C5701" i="1"/>
  <c r="D5701" i="1"/>
  <c r="A5702" i="1"/>
  <c r="B5702" i="1"/>
  <c r="C5702" i="1"/>
  <c r="D5702" i="1"/>
  <c r="A5703" i="1"/>
  <c r="B5703" i="1"/>
  <c r="C5703" i="1"/>
  <c r="D5703" i="1"/>
  <c r="A5704" i="1"/>
  <c r="B5704" i="1"/>
  <c r="C5704" i="1"/>
  <c r="D5704" i="1"/>
  <c r="A5705" i="1"/>
  <c r="B5705" i="1"/>
  <c r="C5705" i="1"/>
  <c r="D5705" i="1"/>
  <c r="A5706" i="1"/>
  <c r="B5706" i="1"/>
  <c r="C5706" i="1"/>
  <c r="A5707" i="1"/>
  <c r="B5707" i="1"/>
  <c r="C5707" i="1"/>
  <c r="D5707" i="1"/>
  <c r="A5708" i="1"/>
  <c r="B5708" i="1"/>
  <c r="C5708" i="1"/>
  <c r="D5708" i="1"/>
  <c r="A5709" i="1"/>
  <c r="B5709" i="1"/>
  <c r="C5709" i="1"/>
  <c r="D5709" i="1"/>
  <c r="A5710" i="1"/>
  <c r="B5710" i="1"/>
  <c r="C5710" i="1"/>
  <c r="D5710" i="1"/>
  <c r="A5711" i="1"/>
  <c r="B5711" i="1"/>
  <c r="C5711" i="1"/>
  <c r="D5711" i="1"/>
  <c r="A5712" i="1"/>
  <c r="B5712" i="1"/>
  <c r="C5712" i="1"/>
  <c r="D5712" i="1"/>
  <c r="A5713" i="1"/>
  <c r="B5713" i="1"/>
  <c r="C5713" i="1"/>
  <c r="D5713" i="1"/>
  <c r="A5714" i="1"/>
  <c r="B5714" i="1"/>
  <c r="C5714" i="1"/>
  <c r="D5714" i="1"/>
  <c r="A5715" i="1"/>
  <c r="B5715" i="1"/>
  <c r="C5715" i="1"/>
  <c r="D5715" i="1"/>
  <c r="A5716" i="1"/>
  <c r="B5716" i="1"/>
  <c r="C5716" i="1"/>
  <c r="D5716" i="1"/>
  <c r="A5717" i="1"/>
  <c r="B5717" i="1"/>
  <c r="C5717" i="1"/>
  <c r="D5717" i="1"/>
  <c r="A5718" i="1"/>
  <c r="B5718" i="1"/>
  <c r="C5718" i="1"/>
  <c r="D5718" i="1"/>
  <c r="A5719" i="1"/>
  <c r="B5719" i="1"/>
  <c r="C5719" i="1"/>
  <c r="D5719" i="1"/>
  <c r="A5720" i="1"/>
  <c r="B5720" i="1"/>
  <c r="C5720" i="1"/>
  <c r="D5720" i="1"/>
  <c r="A5721" i="1"/>
  <c r="B5721" i="1"/>
  <c r="C5721" i="1"/>
  <c r="D5721" i="1"/>
  <c r="A5722" i="1"/>
  <c r="B5722" i="1"/>
  <c r="C5722" i="1"/>
  <c r="D5722" i="1"/>
  <c r="A5723" i="1"/>
  <c r="B5723" i="1"/>
  <c r="C5723" i="1"/>
  <c r="D5723" i="1"/>
  <c r="A5724" i="1"/>
  <c r="B5724" i="1"/>
  <c r="C5724" i="1"/>
  <c r="D5724" i="1"/>
  <c r="A5725" i="1"/>
  <c r="B5725" i="1"/>
  <c r="C5725" i="1"/>
  <c r="D5725" i="1"/>
  <c r="A5726" i="1"/>
  <c r="B5726" i="1"/>
  <c r="C5726" i="1"/>
  <c r="D5726" i="1"/>
  <c r="A5727" i="1"/>
  <c r="B5727" i="1"/>
  <c r="C5727" i="1"/>
  <c r="D5727" i="1"/>
  <c r="A5728" i="1"/>
  <c r="B5728" i="1"/>
  <c r="C5728" i="1"/>
  <c r="D5728" i="1"/>
  <c r="A5729" i="1"/>
  <c r="B5729" i="1"/>
  <c r="C5729" i="1"/>
  <c r="A5730" i="1"/>
  <c r="B5730" i="1"/>
  <c r="C5730" i="1"/>
  <c r="D5730" i="1"/>
  <c r="A5731" i="1"/>
  <c r="B5731" i="1"/>
  <c r="C5731" i="1"/>
  <c r="D5731" i="1"/>
  <c r="A5732" i="1"/>
  <c r="B5732" i="1"/>
  <c r="C5732" i="1"/>
  <c r="D5732" i="1"/>
  <c r="A5733" i="1"/>
  <c r="B5733" i="1"/>
  <c r="C5733" i="1"/>
  <c r="D5733" i="1"/>
  <c r="A5734" i="1"/>
  <c r="B5734" i="1"/>
  <c r="C5734" i="1"/>
  <c r="D5734" i="1"/>
  <c r="A5735" i="1"/>
  <c r="B5735" i="1"/>
  <c r="C5735" i="1"/>
  <c r="D5735" i="1"/>
  <c r="A5736" i="1"/>
  <c r="B5736" i="1"/>
  <c r="C5736" i="1"/>
  <c r="D5736" i="1"/>
  <c r="A5737" i="1"/>
  <c r="B5737" i="1"/>
  <c r="C5737" i="1"/>
  <c r="D5737" i="1"/>
  <c r="A5738" i="1"/>
  <c r="B5738" i="1"/>
  <c r="C5738" i="1"/>
  <c r="D5738" i="1"/>
  <c r="A5739" i="1"/>
  <c r="B5739" i="1"/>
  <c r="C5739" i="1"/>
  <c r="D5739" i="1"/>
  <c r="A5740" i="1"/>
  <c r="B5740" i="1"/>
  <c r="C5740" i="1"/>
  <c r="D5740" i="1"/>
  <c r="A5741" i="1"/>
  <c r="B5741" i="1"/>
  <c r="C5741" i="1"/>
  <c r="D5741" i="1"/>
  <c r="A5742" i="1"/>
  <c r="B5742" i="1"/>
  <c r="C5742" i="1"/>
  <c r="D5742" i="1"/>
  <c r="A5743" i="1"/>
  <c r="B5743" i="1"/>
  <c r="C5743" i="1"/>
  <c r="D5743" i="1"/>
  <c r="A5744" i="1"/>
  <c r="B5744" i="1"/>
  <c r="C5744" i="1"/>
  <c r="D5744" i="1"/>
  <c r="A5745" i="1"/>
  <c r="B5745" i="1"/>
  <c r="C5745" i="1"/>
  <c r="D5745" i="1"/>
  <c r="A5746" i="1"/>
  <c r="B5746" i="1"/>
  <c r="C5746" i="1"/>
  <c r="D5746" i="1"/>
  <c r="A5747" i="1"/>
  <c r="B5747" i="1"/>
  <c r="C5747" i="1"/>
  <c r="D5747" i="1"/>
  <c r="A5748" i="1"/>
  <c r="B5748" i="1"/>
  <c r="C5748" i="1"/>
  <c r="D5748" i="1"/>
  <c r="A5749" i="1"/>
  <c r="B5749" i="1"/>
  <c r="C5749" i="1"/>
  <c r="D5749" i="1"/>
  <c r="A5750" i="1"/>
  <c r="B5750" i="1"/>
  <c r="C5750" i="1"/>
  <c r="A5751" i="1"/>
  <c r="B5751" i="1"/>
  <c r="C5751" i="1"/>
  <c r="D5751" i="1"/>
  <c r="A5752" i="1"/>
  <c r="B5752" i="1"/>
  <c r="C5752" i="1"/>
  <c r="D5752" i="1"/>
  <c r="A5753" i="1"/>
  <c r="B5753" i="1"/>
  <c r="C5753" i="1"/>
  <c r="D5753" i="1"/>
  <c r="A5754" i="1"/>
  <c r="B5754" i="1"/>
  <c r="C5754" i="1"/>
  <c r="D5754" i="1"/>
  <c r="A5755" i="1"/>
  <c r="B5755" i="1"/>
  <c r="C5755" i="1"/>
  <c r="D5755" i="1"/>
  <c r="A5756" i="1"/>
  <c r="B5756" i="1"/>
  <c r="C5756" i="1"/>
  <c r="D5756" i="1"/>
  <c r="A5757" i="1"/>
  <c r="B5757" i="1"/>
  <c r="C5757" i="1"/>
  <c r="D5757" i="1"/>
  <c r="A5758" i="1"/>
  <c r="B5758" i="1"/>
  <c r="C5758" i="1"/>
  <c r="D5758" i="1"/>
  <c r="A5759" i="1"/>
  <c r="B5759" i="1"/>
  <c r="C5759" i="1"/>
  <c r="D5759" i="1"/>
  <c r="A5760" i="1"/>
  <c r="B5760" i="1"/>
  <c r="C5760" i="1"/>
  <c r="D5760" i="1"/>
  <c r="A5761" i="1"/>
  <c r="B5761" i="1"/>
  <c r="C5761" i="1"/>
  <c r="D5761" i="1"/>
  <c r="A5762" i="1"/>
  <c r="B5762" i="1"/>
  <c r="C5762" i="1"/>
  <c r="D5762" i="1"/>
  <c r="A5763" i="1"/>
  <c r="B5763" i="1"/>
  <c r="C5763" i="1"/>
  <c r="D5763" i="1"/>
  <c r="A5764" i="1"/>
  <c r="B5764" i="1"/>
  <c r="C5764" i="1"/>
  <c r="D5764" i="1"/>
  <c r="A5765" i="1"/>
  <c r="B5765" i="1"/>
  <c r="C5765" i="1"/>
  <c r="D5765" i="1"/>
  <c r="A5766" i="1"/>
  <c r="B5766" i="1"/>
  <c r="C5766" i="1"/>
  <c r="D5766" i="1"/>
  <c r="A5767" i="1"/>
  <c r="B5767" i="1"/>
  <c r="C5767" i="1"/>
  <c r="D5767" i="1"/>
  <c r="A5768" i="1"/>
  <c r="B5768" i="1"/>
  <c r="C5768" i="1"/>
  <c r="D5768" i="1"/>
  <c r="A5769" i="1"/>
  <c r="B5769" i="1"/>
  <c r="C5769" i="1"/>
  <c r="D5769" i="1"/>
  <c r="A5770" i="1"/>
  <c r="B5770" i="1"/>
  <c r="C5770" i="1"/>
  <c r="D5770" i="1"/>
  <c r="A5771" i="1"/>
  <c r="B5771" i="1"/>
  <c r="C5771" i="1"/>
  <c r="D5771" i="1"/>
  <c r="A5772" i="1"/>
  <c r="B5772" i="1"/>
  <c r="C5772" i="1"/>
  <c r="D5772" i="1"/>
  <c r="A5773" i="1"/>
  <c r="B5773" i="1"/>
  <c r="C5773" i="1"/>
  <c r="D5773" i="1"/>
  <c r="A5774" i="1"/>
  <c r="B5774" i="1"/>
  <c r="C5774" i="1"/>
  <c r="D5774" i="1"/>
  <c r="A5775" i="1"/>
  <c r="B5775" i="1"/>
  <c r="C5775" i="1"/>
  <c r="D5775" i="1"/>
  <c r="A5776" i="1"/>
  <c r="B5776" i="1"/>
  <c r="C5776" i="1"/>
  <c r="D5776" i="1"/>
  <c r="A5777" i="1"/>
  <c r="B5777" i="1"/>
  <c r="C5777" i="1"/>
  <c r="D5777" i="1"/>
  <c r="A5778" i="1"/>
  <c r="B5778" i="1"/>
  <c r="C5778" i="1"/>
  <c r="D5778" i="1"/>
  <c r="A5779" i="1"/>
  <c r="B5779" i="1"/>
  <c r="C5779" i="1"/>
  <c r="D5779" i="1"/>
  <c r="A5780" i="1"/>
  <c r="B5780" i="1"/>
  <c r="C5780" i="1"/>
  <c r="D5780" i="1"/>
  <c r="A5781" i="1"/>
  <c r="B5781" i="1"/>
  <c r="C5781" i="1"/>
  <c r="D5781" i="1"/>
  <c r="A5782" i="1"/>
  <c r="B5782" i="1"/>
  <c r="C5782" i="1"/>
  <c r="D5782" i="1"/>
  <c r="A5783" i="1"/>
  <c r="B5783" i="1"/>
  <c r="C5783" i="1"/>
  <c r="D5783" i="1"/>
  <c r="A5784" i="1"/>
  <c r="B5784" i="1"/>
  <c r="C5784" i="1"/>
  <c r="D5784" i="1"/>
  <c r="A5785" i="1"/>
  <c r="B5785" i="1"/>
  <c r="C5785" i="1"/>
  <c r="D5785" i="1"/>
  <c r="A5786" i="1"/>
  <c r="B5786" i="1"/>
  <c r="C5786" i="1"/>
  <c r="D5786" i="1"/>
  <c r="A5787" i="1"/>
  <c r="B5787" i="1"/>
  <c r="C5787" i="1"/>
  <c r="D5787" i="1"/>
  <c r="A5788" i="1"/>
  <c r="B5788" i="1"/>
  <c r="C5788" i="1"/>
  <c r="A5789" i="1"/>
  <c r="B5789" i="1"/>
  <c r="C5789" i="1"/>
  <c r="D5789" i="1"/>
  <c r="A5790" i="1"/>
  <c r="B5790" i="1"/>
  <c r="C5790" i="1"/>
  <c r="D5790" i="1"/>
  <c r="A5791" i="1"/>
  <c r="B5791" i="1"/>
  <c r="C5791" i="1"/>
  <c r="D5791" i="1"/>
  <c r="A5792" i="1"/>
  <c r="B5792" i="1"/>
  <c r="C5792" i="1"/>
  <c r="D5792" i="1"/>
  <c r="A5793" i="1"/>
  <c r="B5793" i="1"/>
  <c r="C5793" i="1"/>
  <c r="D5793" i="1"/>
  <c r="A5794" i="1"/>
  <c r="B5794" i="1"/>
  <c r="C5794" i="1"/>
  <c r="D5794" i="1"/>
  <c r="A5795" i="1"/>
  <c r="B5795" i="1"/>
  <c r="C5795" i="1"/>
  <c r="D5795" i="1"/>
  <c r="A5796" i="1"/>
  <c r="B5796" i="1"/>
  <c r="C5796" i="1"/>
  <c r="D5796" i="1"/>
  <c r="A5797" i="1"/>
  <c r="B5797" i="1"/>
  <c r="C5797" i="1"/>
  <c r="D5797" i="1"/>
  <c r="A5798" i="1"/>
  <c r="B5798" i="1"/>
  <c r="C5798" i="1"/>
  <c r="D5798" i="1"/>
  <c r="A5799" i="1"/>
  <c r="B5799" i="1"/>
  <c r="C5799" i="1"/>
  <c r="D5799" i="1"/>
  <c r="A5800" i="1"/>
  <c r="B5800" i="1"/>
  <c r="C5800" i="1"/>
  <c r="D5800" i="1"/>
  <c r="A5801" i="1"/>
  <c r="B5801" i="1"/>
  <c r="C5801" i="1"/>
  <c r="D5801" i="1"/>
  <c r="A5802" i="1"/>
  <c r="B5802" i="1"/>
  <c r="C5802" i="1"/>
  <c r="D5802" i="1"/>
  <c r="A5803" i="1"/>
  <c r="B5803" i="1"/>
  <c r="C5803" i="1"/>
  <c r="D5803" i="1"/>
  <c r="A5804" i="1"/>
  <c r="B5804" i="1"/>
  <c r="C5804" i="1"/>
  <c r="A5805" i="1"/>
  <c r="B5805" i="1"/>
  <c r="C5805" i="1"/>
  <c r="D5805" i="1"/>
  <c r="A5806" i="1"/>
  <c r="B5806" i="1"/>
  <c r="C5806" i="1"/>
  <c r="D5806" i="1"/>
  <c r="A5807" i="1"/>
  <c r="B5807" i="1"/>
  <c r="C5807" i="1"/>
  <c r="D5807" i="1"/>
  <c r="A5808" i="1"/>
  <c r="B5808" i="1"/>
  <c r="C5808" i="1"/>
  <c r="D5808" i="1"/>
  <c r="A5809" i="1"/>
  <c r="B5809" i="1"/>
  <c r="C5809" i="1"/>
  <c r="D5809" i="1"/>
  <c r="A5810" i="1"/>
  <c r="B5810" i="1"/>
  <c r="C5810" i="1"/>
  <c r="D5810" i="1"/>
  <c r="A5811" i="1"/>
  <c r="B5811" i="1"/>
  <c r="C5811" i="1"/>
  <c r="D5811" i="1"/>
  <c r="A5812" i="1"/>
  <c r="B5812" i="1"/>
  <c r="C5812" i="1"/>
  <c r="D5812" i="1"/>
  <c r="A5813" i="1"/>
  <c r="B5813" i="1"/>
  <c r="C5813" i="1"/>
  <c r="D5813" i="1"/>
  <c r="A5814" i="1"/>
  <c r="B5814" i="1"/>
  <c r="C5814" i="1"/>
  <c r="D5814" i="1"/>
  <c r="A5815" i="1"/>
  <c r="B5815" i="1"/>
  <c r="C5815" i="1"/>
  <c r="D5815" i="1"/>
  <c r="A5816" i="1"/>
  <c r="B5816" i="1"/>
  <c r="C5816" i="1"/>
  <c r="D5816" i="1"/>
  <c r="A5817" i="1"/>
  <c r="B5817" i="1"/>
  <c r="C5817" i="1"/>
  <c r="D5817" i="1"/>
  <c r="A5818" i="1"/>
  <c r="B5818" i="1"/>
  <c r="C5818" i="1"/>
  <c r="D5818" i="1"/>
  <c r="A5819" i="1"/>
  <c r="B5819" i="1"/>
  <c r="C5819" i="1"/>
  <c r="D5819" i="1"/>
  <c r="A5820" i="1"/>
  <c r="B5820" i="1"/>
  <c r="C5820" i="1"/>
  <c r="D5820" i="1"/>
  <c r="A5821" i="1"/>
  <c r="B5821" i="1"/>
  <c r="C5821" i="1"/>
  <c r="D5821" i="1"/>
  <c r="A5822" i="1"/>
  <c r="B5822" i="1"/>
  <c r="C5822" i="1"/>
  <c r="D5822" i="1"/>
  <c r="A5823" i="1"/>
  <c r="B5823" i="1"/>
  <c r="C5823" i="1"/>
  <c r="D5823" i="1"/>
  <c r="A5824" i="1"/>
  <c r="B5824" i="1"/>
  <c r="C5824" i="1"/>
  <c r="D5824" i="1"/>
  <c r="A5825" i="1"/>
  <c r="B5825" i="1"/>
  <c r="C5825" i="1"/>
  <c r="D5825" i="1"/>
  <c r="A5826" i="1"/>
  <c r="B5826" i="1"/>
  <c r="C5826" i="1"/>
  <c r="A5827" i="1"/>
  <c r="B5827" i="1"/>
  <c r="C5827" i="1"/>
  <c r="D5827" i="1"/>
  <c r="A5828" i="1"/>
  <c r="B5828" i="1"/>
  <c r="C5828" i="1"/>
  <c r="D5828" i="1"/>
  <c r="A5829" i="1"/>
  <c r="B5829" i="1"/>
  <c r="C5829" i="1"/>
  <c r="D5829" i="1"/>
  <c r="A5830" i="1"/>
  <c r="B5830" i="1"/>
  <c r="C5830" i="1"/>
  <c r="D5830" i="1"/>
  <c r="A5831" i="1"/>
  <c r="B5831" i="1"/>
  <c r="C5831" i="1"/>
  <c r="D5831" i="1"/>
  <c r="A5832" i="1"/>
  <c r="B5832" i="1"/>
  <c r="C5832" i="1"/>
  <c r="D5832" i="1"/>
  <c r="A5833" i="1"/>
  <c r="B5833" i="1"/>
  <c r="C5833" i="1"/>
  <c r="D5833" i="1"/>
  <c r="A5834" i="1"/>
  <c r="B5834" i="1"/>
  <c r="C5834" i="1"/>
  <c r="D5834" i="1"/>
  <c r="A5835" i="1"/>
  <c r="B5835" i="1"/>
  <c r="C5835" i="1"/>
  <c r="D5835" i="1"/>
  <c r="A5836" i="1"/>
  <c r="B5836" i="1"/>
  <c r="C5836" i="1"/>
  <c r="D5836" i="1"/>
  <c r="A5837" i="1"/>
  <c r="B5837" i="1"/>
  <c r="C5837" i="1"/>
  <c r="D5837" i="1"/>
  <c r="A5838" i="1"/>
  <c r="B5838" i="1"/>
  <c r="C5838" i="1"/>
  <c r="D5838" i="1"/>
  <c r="A5839" i="1"/>
  <c r="B5839" i="1"/>
  <c r="C5839" i="1"/>
  <c r="D5839" i="1"/>
  <c r="A5840" i="1"/>
  <c r="B5840" i="1"/>
  <c r="C5840" i="1"/>
  <c r="D5840" i="1"/>
  <c r="A5841" i="1"/>
  <c r="B5841" i="1"/>
  <c r="C5841" i="1"/>
  <c r="D5841" i="1"/>
  <c r="A5842" i="1"/>
  <c r="B5842" i="1"/>
  <c r="C5842" i="1"/>
  <c r="D5842" i="1"/>
  <c r="A5843" i="1"/>
  <c r="B5843" i="1"/>
  <c r="C5843" i="1"/>
  <c r="D5843" i="1"/>
  <c r="A5844" i="1"/>
  <c r="B5844" i="1"/>
  <c r="C5844" i="1"/>
  <c r="D5844" i="1"/>
  <c r="A5845" i="1"/>
  <c r="B5845" i="1"/>
  <c r="C5845" i="1"/>
  <c r="D5845" i="1"/>
  <c r="A5846" i="1"/>
  <c r="B5846" i="1"/>
  <c r="C5846" i="1"/>
  <c r="D5846" i="1"/>
  <c r="A5847" i="1"/>
  <c r="B5847" i="1"/>
  <c r="C5847" i="1"/>
  <c r="D5847" i="1"/>
  <c r="A5848" i="1"/>
  <c r="B5848" i="1"/>
  <c r="C5848" i="1"/>
  <c r="D5848" i="1"/>
  <c r="A5849" i="1"/>
  <c r="B5849" i="1"/>
  <c r="C5849" i="1"/>
  <c r="D5849" i="1"/>
  <c r="A5850" i="1"/>
  <c r="B5850" i="1"/>
  <c r="C5850" i="1"/>
  <c r="D5850" i="1"/>
  <c r="A5851" i="1"/>
  <c r="B5851" i="1"/>
  <c r="C5851" i="1"/>
  <c r="D5851" i="1"/>
  <c r="A5852" i="1"/>
  <c r="B5852" i="1"/>
  <c r="C5852" i="1"/>
  <c r="D5852" i="1"/>
  <c r="A5853" i="1"/>
  <c r="B5853" i="1"/>
  <c r="C5853" i="1"/>
  <c r="D5853" i="1"/>
  <c r="A5854" i="1"/>
  <c r="B5854" i="1"/>
  <c r="C5854" i="1"/>
  <c r="D5854" i="1"/>
  <c r="A5855" i="1"/>
  <c r="B5855" i="1"/>
  <c r="C5855" i="1"/>
  <c r="D5855" i="1"/>
  <c r="A5856" i="1"/>
  <c r="B5856" i="1"/>
  <c r="C5856" i="1"/>
  <c r="D5856" i="1"/>
  <c r="A5857" i="1"/>
  <c r="B5857" i="1"/>
  <c r="C5857" i="1"/>
  <c r="A5858" i="1"/>
  <c r="B5858" i="1"/>
  <c r="C5858" i="1"/>
  <c r="D5858" i="1"/>
  <c r="A5859" i="1"/>
  <c r="B5859" i="1"/>
  <c r="C5859" i="1"/>
  <c r="D5859" i="1"/>
  <c r="A5860" i="1"/>
  <c r="B5860" i="1"/>
  <c r="C5860" i="1"/>
  <c r="D5860" i="1"/>
  <c r="A5861" i="1"/>
  <c r="B5861" i="1"/>
  <c r="C5861" i="1"/>
  <c r="D5861" i="1"/>
  <c r="A5862" i="1"/>
  <c r="B5862" i="1"/>
  <c r="C5862" i="1"/>
  <c r="D5862" i="1"/>
  <c r="A5863" i="1"/>
  <c r="B5863" i="1"/>
  <c r="C5863" i="1"/>
  <c r="D5863" i="1"/>
  <c r="A5864" i="1"/>
  <c r="B5864" i="1"/>
  <c r="C5864" i="1"/>
  <c r="D5864" i="1"/>
  <c r="A5865" i="1"/>
  <c r="B5865" i="1"/>
  <c r="C5865" i="1"/>
  <c r="D5865" i="1"/>
  <c r="A5866" i="1"/>
  <c r="B5866" i="1"/>
  <c r="C5866" i="1"/>
  <c r="D5866" i="1"/>
  <c r="A5867" i="1"/>
  <c r="B5867" i="1"/>
  <c r="C5867" i="1"/>
  <c r="D5867" i="1"/>
  <c r="A5868" i="1"/>
  <c r="B5868" i="1"/>
  <c r="C5868" i="1"/>
  <c r="D5868" i="1"/>
  <c r="A5869" i="1"/>
  <c r="B5869" i="1"/>
  <c r="C5869" i="1"/>
  <c r="D5869" i="1"/>
  <c r="A5870" i="1"/>
  <c r="B5870" i="1"/>
  <c r="C5870" i="1"/>
  <c r="D5870" i="1"/>
  <c r="A5871" i="1"/>
  <c r="B5871" i="1"/>
  <c r="C5871" i="1"/>
  <c r="D5871" i="1"/>
  <c r="A5872" i="1"/>
  <c r="B5872" i="1"/>
  <c r="C5872" i="1"/>
  <c r="D5872" i="1"/>
  <c r="A5873" i="1"/>
  <c r="B5873" i="1"/>
  <c r="C5873" i="1"/>
  <c r="D5873" i="1"/>
  <c r="A5874" i="1"/>
  <c r="B5874" i="1"/>
  <c r="C5874" i="1"/>
  <c r="D5874" i="1"/>
  <c r="A5875" i="1"/>
  <c r="B5875" i="1"/>
  <c r="C5875" i="1"/>
  <c r="D5875" i="1"/>
  <c r="A5876" i="1"/>
  <c r="B5876" i="1"/>
  <c r="C5876" i="1"/>
  <c r="D5876" i="1"/>
  <c r="A5877" i="1"/>
  <c r="B5877" i="1"/>
  <c r="C5877" i="1"/>
  <c r="D5877" i="1"/>
  <c r="A5878" i="1"/>
  <c r="B5878" i="1"/>
  <c r="C5878" i="1"/>
  <c r="D5878" i="1"/>
  <c r="A5879" i="1"/>
  <c r="B5879" i="1"/>
  <c r="C5879" i="1"/>
  <c r="D5879" i="1"/>
  <c r="A5880" i="1"/>
  <c r="B5880" i="1"/>
  <c r="C5880" i="1"/>
  <c r="D5880" i="1"/>
  <c r="A5881" i="1"/>
  <c r="B5881" i="1"/>
  <c r="C5881" i="1"/>
  <c r="D5881" i="1"/>
  <c r="A5882" i="1"/>
  <c r="B5882" i="1"/>
  <c r="C5882" i="1"/>
  <c r="D5882" i="1"/>
  <c r="A5883" i="1"/>
  <c r="B5883" i="1"/>
  <c r="C5883" i="1"/>
  <c r="D5883" i="1"/>
  <c r="A5884" i="1"/>
  <c r="B5884" i="1"/>
  <c r="C5884" i="1"/>
  <c r="D5884" i="1"/>
  <c r="A5885" i="1"/>
  <c r="B5885" i="1"/>
  <c r="C5885" i="1"/>
  <c r="D5885" i="1"/>
  <c r="A5886" i="1"/>
  <c r="B5886" i="1"/>
  <c r="C5886" i="1"/>
  <c r="D5886" i="1"/>
  <c r="A5887" i="1"/>
  <c r="B5887" i="1"/>
  <c r="C5887" i="1"/>
  <c r="D5887" i="1"/>
  <c r="A5888" i="1"/>
  <c r="B5888" i="1"/>
  <c r="C5888" i="1"/>
  <c r="D5888" i="1"/>
  <c r="A5889" i="1"/>
  <c r="B5889" i="1"/>
  <c r="C5889" i="1"/>
  <c r="D5889" i="1"/>
  <c r="A5890" i="1"/>
  <c r="B5890" i="1"/>
  <c r="C5890" i="1"/>
  <c r="D5890" i="1"/>
  <c r="A5891" i="1"/>
  <c r="B5891" i="1"/>
  <c r="C5891" i="1"/>
  <c r="D5891" i="1"/>
  <c r="A5892" i="1"/>
  <c r="B5892" i="1"/>
  <c r="C5892" i="1"/>
  <c r="D5892" i="1"/>
  <c r="A5893" i="1"/>
  <c r="B5893" i="1"/>
  <c r="C5893" i="1"/>
  <c r="D5893" i="1"/>
  <c r="A5894" i="1"/>
  <c r="B5894" i="1"/>
  <c r="C5894" i="1"/>
  <c r="D5894" i="1"/>
  <c r="A5895" i="1"/>
  <c r="B5895" i="1"/>
  <c r="C5895" i="1"/>
  <c r="D5895" i="1"/>
  <c r="A5896" i="1"/>
  <c r="B5896" i="1"/>
  <c r="C5896" i="1"/>
  <c r="D5896" i="1"/>
  <c r="A5897" i="1"/>
  <c r="B5897" i="1"/>
  <c r="C5897" i="1"/>
  <c r="D5897" i="1"/>
  <c r="A5898" i="1"/>
  <c r="B5898" i="1"/>
  <c r="C5898" i="1"/>
  <c r="D5898" i="1"/>
  <c r="A5899" i="1"/>
  <c r="B5899" i="1"/>
  <c r="C5899" i="1"/>
  <c r="D5899" i="1"/>
  <c r="A5900" i="1"/>
  <c r="B5900" i="1"/>
  <c r="C5900" i="1"/>
  <c r="D5900" i="1"/>
  <c r="A5901" i="1"/>
  <c r="B5901" i="1"/>
  <c r="C5901" i="1"/>
  <c r="D5901" i="1"/>
  <c r="A5902" i="1"/>
  <c r="B5902" i="1"/>
  <c r="C5902" i="1"/>
  <c r="D5902" i="1"/>
  <c r="A5903" i="1"/>
  <c r="B5903" i="1"/>
  <c r="C5903" i="1"/>
  <c r="D5903" i="1"/>
  <c r="A5904" i="1"/>
  <c r="B5904" i="1"/>
  <c r="C5904" i="1"/>
  <c r="D5904" i="1"/>
  <c r="A5905" i="1"/>
  <c r="B5905" i="1"/>
  <c r="C5905" i="1"/>
  <c r="D5905" i="1"/>
  <c r="A5906" i="1"/>
  <c r="B5906" i="1"/>
  <c r="C5906" i="1"/>
  <c r="D5906" i="1"/>
  <c r="A5907" i="1"/>
  <c r="B5907" i="1"/>
  <c r="C5907" i="1"/>
  <c r="D5907" i="1"/>
  <c r="A5908" i="1"/>
  <c r="B5908" i="1"/>
  <c r="C5908" i="1"/>
  <c r="D5908" i="1"/>
  <c r="A5909" i="1"/>
  <c r="B5909" i="1"/>
  <c r="C5909" i="1"/>
  <c r="D5909" i="1"/>
  <c r="A5910" i="1"/>
  <c r="B5910" i="1"/>
  <c r="C5910" i="1"/>
  <c r="D5910" i="1"/>
  <c r="A5911" i="1"/>
  <c r="B5911" i="1"/>
  <c r="C5911" i="1"/>
  <c r="D5911" i="1"/>
  <c r="A5912" i="1"/>
  <c r="B5912" i="1"/>
  <c r="C5912" i="1"/>
  <c r="D5912" i="1"/>
  <c r="A5913" i="1"/>
  <c r="B5913" i="1"/>
  <c r="C5913" i="1"/>
  <c r="D5913" i="1"/>
  <c r="A5914" i="1"/>
  <c r="B5914" i="1"/>
  <c r="C5914" i="1"/>
  <c r="D5914" i="1"/>
  <c r="A5915" i="1"/>
  <c r="B5915" i="1"/>
  <c r="C5915" i="1"/>
  <c r="D5915" i="1"/>
  <c r="A5916" i="1"/>
  <c r="B5916" i="1"/>
  <c r="C5916" i="1"/>
  <c r="D5916" i="1"/>
  <c r="A5917" i="1"/>
  <c r="B5917" i="1"/>
  <c r="C5917" i="1"/>
  <c r="D5917" i="1"/>
  <c r="A5918" i="1"/>
  <c r="B5918" i="1"/>
  <c r="C5918" i="1"/>
  <c r="D5918" i="1"/>
  <c r="A5919" i="1"/>
  <c r="B5919" i="1"/>
  <c r="C5919" i="1"/>
  <c r="D5919" i="1"/>
  <c r="A5920" i="1"/>
  <c r="B5920" i="1"/>
  <c r="C5920" i="1"/>
  <c r="D5920" i="1"/>
  <c r="A5921" i="1"/>
  <c r="B5921" i="1"/>
  <c r="C5921" i="1"/>
  <c r="D5921" i="1"/>
  <c r="A5922" i="1"/>
  <c r="B5922" i="1"/>
  <c r="C5922" i="1"/>
  <c r="D5922" i="1"/>
  <c r="A5923" i="1"/>
  <c r="B5923" i="1"/>
  <c r="C5923" i="1"/>
  <c r="D5923" i="1"/>
  <c r="A5924" i="1"/>
  <c r="B5924" i="1"/>
  <c r="C5924" i="1"/>
  <c r="D5924" i="1"/>
  <c r="A5925" i="1"/>
  <c r="B5925" i="1"/>
  <c r="C5925" i="1"/>
  <c r="D5925" i="1"/>
  <c r="A5926" i="1"/>
  <c r="B5926" i="1"/>
  <c r="C5926" i="1"/>
  <c r="D5926" i="1"/>
  <c r="A5927" i="1"/>
  <c r="B5927" i="1"/>
  <c r="C5927" i="1"/>
  <c r="D5927" i="1"/>
  <c r="A5928" i="1"/>
  <c r="B5928" i="1"/>
  <c r="C5928" i="1"/>
  <c r="D5928" i="1"/>
  <c r="A5929" i="1"/>
  <c r="B5929" i="1"/>
  <c r="C5929" i="1"/>
  <c r="D5929" i="1"/>
  <c r="A5930" i="1"/>
  <c r="B5930" i="1"/>
  <c r="C5930" i="1"/>
  <c r="D5930" i="1"/>
  <c r="A5931" i="1"/>
  <c r="B5931" i="1"/>
  <c r="C5931" i="1"/>
  <c r="A5932" i="1"/>
  <c r="B5932" i="1"/>
  <c r="C5932" i="1"/>
  <c r="D5932" i="1"/>
  <c r="A5933" i="1"/>
  <c r="B5933" i="1"/>
  <c r="C5933" i="1"/>
  <c r="D5933" i="1"/>
  <c r="A5934" i="1"/>
  <c r="B5934" i="1"/>
  <c r="C5934" i="1"/>
  <c r="D5934" i="1"/>
  <c r="A5935" i="1"/>
  <c r="B5935" i="1"/>
  <c r="C5935" i="1"/>
  <c r="D5935" i="1"/>
  <c r="A5936" i="1"/>
  <c r="B5936" i="1"/>
  <c r="C5936" i="1"/>
  <c r="D5936" i="1"/>
  <c r="A5937" i="1"/>
  <c r="B5937" i="1"/>
  <c r="C5937" i="1"/>
  <c r="D5937" i="1"/>
  <c r="A5938" i="1"/>
  <c r="B5938" i="1"/>
  <c r="C5938" i="1"/>
  <c r="D5938" i="1"/>
  <c r="A5939" i="1"/>
  <c r="B5939" i="1"/>
  <c r="C5939" i="1"/>
  <c r="D5939" i="1"/>
  <c r="A5940" i="1"/>
  <c r="B5940" i="1"/>
  <c r="C5940" i="1"/>
  <c r="D5940" i="1"/>
  <c r="A5941" i="1"/>
  <c r="B5941" i="1"/>
  <c r="C5941" i="1"/>
  <c r="D5941" i="1"/>
  <c r="A5942" i="1"/>
  <c r="B5942" i="1"/>
  <c r="C5942" i="1"/>
  <c r="D5942" i="1"/>
  <c r="A5943" i="1"/>
  <c r="B5943" i="1"/>
  <c r="C5943" i="1"/>
  <c r="D5943" i="1"/>
  <c r="A5944" i="1"/>
  <c r="B5944" i="1"/>
  <c r="C5944" i="1"/>
  <c r="D5944" i="1"/>
  <c r="A5945" i="1"/>
  <c r="B5945" i="1"/>
  <c r="C5945" i="1"/>
  <c r="D5945" i="1"/>
  <c r="A5946" i="1"/>
  <c r="B5946" i="1"/>
  <c r="C5946" i="1"/>
  <c r="D5946" i="1"/>
  <c r="A5947" i="1"/>
  <c r="B5947" i="1"/>
  <c r="C5947" i="1"/>
  <c r="D5947" i="1"/>
  <c r="A5948" i="1"/>
  <c r="B5948" i="1"/>
  <c r="C5948" i="1"/>
  <c r="D5948" i="1"/>
  <c r="A5949" i="1"/>
  <c r="B5949" i="1"/>
  <c r="C5949" i="1"/>
  <c r="D5949" i="1"/>
  <c r="A5950" i="1"/>
  <c r="B5950" i="1"/>
  <c r="C5950" i="1"/>
  <c r="D5950" i="1"/>
  <c r="A5951" i="1"/>
  <c r="B5951" i="1"/>
  <c r="C5951" i="1"/>
  <c r="D5951" i="1"/>
  <c r="A5952" i="1"/>
  <c r="B5952" i="1"/>
  <c r="C5952" i="1"/>
  <c r="D5952" i="1"/>
  <c r="A5953" i="1"/>
  <c r="B5953" i="1"/>
  <c r="C5953" i="1"/>
  <c r="D5953" i="1"/>
  <c r="A5954" i="1"/>
  <c r="B5954" i="1"/>
  <c r="C5954" i="1"/>
  <c r="D5954" i="1"/>
  <c r="A5955" i="1"/>
  <c r="B5955" i="1"/>
  <c r="C5955" i="1"/>
  <c r="D5955" i="1"/>
  <c r="A5956" i="1"/>
  <c r="B5956" i="1"/>
  <c r="C5956" i="1"/>
  <c r="D5956" i="1"/>
  <c r="A5957" i="1"/>
  <c r="B5957" i="1"/>
  <c r="C5957" i="1"/>
  <c r="D5957" i="1"/>
  <c r="A5958" i="1"/>
  <c r="B5958" i="1"/>
  <c r="C5958" i="1"/>
  <c r="D5958" i="1"/>
  <c r="A5959" i="1"/>
  <c r="B5959" i="1"/>
  <c r="C5959" i="1"/>
  <c r="D5959" i="1"/>
  <c r="A5960" i="1"/>
  <c r="B5960" i="1"/>
  <c r="C5960" i="1"/>
  <c r="D5960" i="1"/>
  <c r="A5961" i="1"/>
  <c r="B5961" i="1"/>
  <c r="C5961" i="1"/>
  <c r="D5961" i="1"/>
  <c r="A5962" i="1"/>
  <c r="B5962" i="1"/>
  <c r="C5962" i="1"/>
  <c r="D5962" i="1"/>
  <c r="A5963" i="1"/>
  <c r="B5963" i="1"/>
  <c r="C5963" i="1"/>
  <c r="D5963" i="1"/>
  <c r="A5964" i="1"/>
  <c r="B5964" i="1"/>
  <c r="C5964" i="1"/>
  <c r="D5964" i="1"/>
  <c r="A5965" i="1"/>
  <c r="B5965" i="1"/>
  <c r="C5965" i="1"/>
  <c r="D5965" i="1"/>
  <c r="A5966" i="1"/>
  <c r="B5966" i="1"/>
  <c r="C5966" i="1"/>
  <c r="D5966" i="1"/>
  <c r="A5967" i="1"/>
  <c r="B5967" i="1"/>
  <c r="C5967" i="1"/>
  <c r="D5967" i="1"/>
  <c r="A5968" i="1"/>
  <c r="B5968" i="1"/>
  <c r="C5968" i="1"/>
  <c r="D5968" i="1"/>
  <c r="A5969" i="1"/>
  <c r="B5969" i="1"/>
  <c r="C5969" i="1"/>
  <c r="D5969" i="1"/>
  <c r="A5970" i="1"/>
  <c r="B5970" i="1"/>
  <c r="C5970" i="1"/>
  <c r="D5970" i="1"/>
  <c r="A5971" i="1"/>
  <c r="B5971" i="1"/>
  <c r="C5971" i="1"/>
  <c r="D5971" i="1"/>
  <c r="A5972" i="1"/>
  <c r="B5972" i="1"/>
  <c r="C5972" i="1"/>
  <c r="D5972" i="1"/>
  <c r="A5973" i="1"/>
  <c r="B5973" i="1"/>
  <c r="C5973" i="1"/>
  <c r="D5973" i="1"/>
  <c r="A5974" i="1"/>
  <c r="B5974" i="1"/>
  <c r="C5974" i="1"/>
  <c r="D5974" i="1"/>
  <c r="A5975" i="1"/>
  <c r="B5975" i="1"/>
  <c r="C5975" i="1"/>
  <c r="D5975" i="1"/>
  <c r="A5976" i="1"/>
  <c r="B5976" i="1"/>
  <c r="C5976" i="1"/>
  <c r="D5976" i="1"/>
  <c r="A5977" i="1"/>
  <c r="B5977" i="1"/>
  <c r="C5977" i="1"/>
  <c r="D5977" i="1"/>
  <c r="A5978" i="1"/>
  <c r="B5978" i="1"/>
  <c r="C5978" i="1"/>
  <c r="D5978" i="1"/>
  <c r="A5979" i="1"/>
  <c r="B5979" i="1"/>
  <c r="C5979" i="1"/>
  <c r="A5980" i="1"/>
  <c r="B5980" i="1"/>
  <c r="C5980" i="1"/>
  <c r="D5980" i="1"/>
  <c r="A5981" i="1"/>
  <c r="B5981" i="1"/>
  <c r="C5981" i="1"/>
  <c r="D5981" i="1"/>
  <c r="A5982" i="1"/>
  <c r="B5982" i="1"/>
  <c r="C5982" i="1"/>
  <c r="D5982" i="1"/>
  <c r="A5983" i="1"/>
  <c r="B5983" i="1"/>
  <c r="C5983" i="1"/>
  <c r="D5983" i="1"/>
  <c r="A5984" i="1"/>
  <c r="B5984" i="1"/>
  <c r="C5984" i="1"/>
  <c r="A5985" i="1"/>
  <c r="B5985" i="1"/>
  <c r="C5985" i="1"/>
  <c r="D5985" i="1"/>
  <c r="A5986" i="1"/>
  <c r="B5986" i="1"/>
  <c r="C5986" i="1"/>
  <c r="D5986" i="1"/>
  <c r="A5987" i="1"/>
  <c r="B5987" i="1"/>
  <c r="C5987" i="1"/>
  <c r="D5987" i="1"/>
  <c r="A5988" i="1"/>
  <c r="B5988" i="1"/>
  <c r="C5988" i="1"/>
  <c r="D5988" i="1"/>
  <c r="A5989" i="1"/>
  <c r="B5989" i="1"/>
  <c r="C5989" i="1"/>
  <c r="D5989" i="1"/>
  <c r="A5990" i="1"/>
  <c r="B5990" i="1"/>
  <c r="C5990" i="1"/>
  <c r="D5990" i="1"/>
  <c r="A5991" i="1"/>
  <c r="B5991" i="1"/>
  <c r="C5991" i="1"/>
  <c r="D5991" i="1"/>
  <c r="A5992" i="1"/>
  <c r="B5992" i="1"/>
  <c r="C5992" i="1"/>
  <c r="D5992" i="1"/>
  <c r="A5993" i="1"/>
  <c r="B5993" i="1"/>
  <c r="C5993" i="1"/>
  <c r="D5993" i="1"/>
  <c r="A5994" i="1"/>
  <c r="B5994" i="1"/>
  <c r="C5994" i="1"/>
  <c r="D5994" i="1"/>
  <c r="A5995" i="1"/>
  <c r="B5995" i="1"/>
  <c r="C5995" i="1"/>
  <c r="D5995" i="1"/>
  <c r="A5996" i="1"/>
  <c r="B5996" i="1"/>
  <c r="C5996" i="1"/>
  <c r="D5996" i="1"/>
  <c r="A5997" i="1"/>
  <c r="B5997" i="1"/>
  <c r="C5997" i="1"/>
  <c r="D5997" i="1"/>
  <c r="A5998" i="1"/>
  <c r="B5998" i="1"/>
  <c r="C5998" i="1"/>
  <c r="D5998" i="1"/>
  <c r="A5999" i="1"/>
  <c r="B5999" i="1"/>
  <c r="C5999" i="1"/>
  <c r="D5999" i="1"/>
  <c r="A6000" i="1"/>
  <c r="B6000" i="1"/>
  <c r="C6000" i="1"/>
  <c r="D6000" i="1"/>
  <c r="A6001" i="1"/>
  <c r="B6001" i="1"/>
  <c r="C6001" i="1"/>
  <c r="D6001" i="1"/>
  <c r="A6002" i="1"/>
  <c r="B6002" i="1"/>
  <c r="C6002" i="1"/>
  <c r="D6002" i="1"/>
  <c r="A6003" i="1"/>
  <c r="B6003" i="1"/>
  <c r="C6003" i="1"/>
  <c r="D6003" i="1"/>
  <c r="A6004" i="1"/>
  <c r="B6004" i="1"/>
  <c r="C6004" i="1"/>
  <c r="D6004" i="1"/>
  <c r="A6005" i="1"/>
  <c r="B6005" i="1"/>
  <c r="C6005" i="1"/>
  <c r="D6005" i="1"/>
  <c r="A6006" i="1"/>
  <c r="B6006" i="1"/>
  <c r="C6006" i="1"/>
  <c r="D6006" i="1"/>
  <c r="A6007" i="1"/>
  <c r="B6007" i="1"/>
  <c r="C6007" i="1"/>
  <c r="D6007" i="1"/>
  <c r="A6008" i="1"/>
  <c r="B6008" i="1"/>
  <c r="C6008" i="1"/>
  <c r="D6008" i="1"/>
  <c r="A6009" i="1"/>
  <c r="B6009" i="1"/>
  <c r="C6009" i="1"/>
  <c r="D6009" i="1"/>
  <c r="A6010" i="1"/>
  <c r="B6010" i="1"/>
  <c r="C6010" i="1"/>
  <c r="D6010" i="1"/>
  <c r="A6011" i="1"/>
  <c r="B6011" i="1"/>
  <c r="C6011" i="1"/>
  <c r="D6011" i="1"/>
  <c r="A6012" i="1"/>
  <c r="B6012" i="1"/>
  <c r="C6012" i="1"/>
  <c r="D6012" i="1"/>
  <c r="A6013" i="1"/>
  <c r="B6013" i="1"/>
  <c r="C6013" i="1"/>
  <c r="D6013" i="1"/>
  <c r="A6014" i="1"/>
  <c r="B6014" i="1"/>
  <c r="C6014" i="1"/>
  <c r="D6014" i="1"/>
  <c r="A6015" i="1"/>
  <c r="B6015" i="1"/>
  <c r="C6015" i="1"/>
  <c r="D6015" i="1"/>
  <c r="A6016" i="1"/>
  <c r="B6016" i="1"/>
  <c r="C6016" i="1"/>
  <c r="D6016" i="1"/>
  <c r="A6017" i="1"/>
  <c r="B6017" i="1"/>
  <c r="C6017" i="1"/>
  <c r="D6017" i="1"/>
  <c r="A6018" i="1"/>
  <c r="B6018" i="1"/>
  <c r="C6018" i="1"/>
  <c r="D6018" i="1"/>
  <c r="A6019" i="1"/>
  <c r="B6019" i="1"/>
  <c r="C6019" i="1"/>
  <c r="D6019" i="1"/>
  <c r="A6020" i="1"/>
  <c r="B6020" i="1"/>
  <c r="C6020" i="1"/>
  <c r="D6020" i="1"/>
  <c r="A6021" i="1"/>
  <c r="B6021" i="1"/>
  <c r="C6021" i="1"/>
  <c r="D6021" i="1"/>
  <c r="A6022" i="1"/>
  <c r="B6022" i="1"/>
  <c r="C6022" i="1"/>
  <c r="D6022" i="1"/>
  <c r="A6023" i="1"/>
  <c r="B6023" i="1"/>
  <c r="C6023" i="1"/>
  <c r="D6023" i="1"/>
  <c r="A6024" i="1"/>
  <c r="B6024" i="1"/>
  <c r="C6024" i="1"/>
  <c r="D6024" i="1"/>
  <c r="A6025" i="1"/>
  <c r="B6025" i="1"/>
  <c r="C6025" i="1"/>
  <c r="D6025" i="1"/>
  <c r="A6026" i="1"/>
  <c r="B6026" i="1"/>
  <c r="C6026" i="1"/>
  <c r="D6026" i="1"/>
  <c r="A6027" i="1"/>
  <c r="B6027" i="1"/>
  <c r="C6027" i="1"/>
  <c r="D6027" i="1"/>
  <c r="A6028" i="1"/>
  <c r="B6028" i="1"/>
  <c r="C6028" i="1"/>
  <c r="D6028" i="1"/>
  <c r="A6029" i="1"/>
  <c r="B6029" i="1"/>
  <c r="C6029" i="1"/>
  <c r="D6029" i="1"/>
  <c r="A6030" i="1"/>
  <c r="B6030" i="1"/>
  <c r="C6030" i="1"/>
  <c r="D6030" i="1"/>
  <c r="A6031" i="1"/>
  <c r="B6031" i="1"/>
  <c r="C6031" i="1"/>
  <c r="D6031" i="1"/>
  <c r="A6032" i="1"/>
  <c r="B6032" i="1"/>
  <c r="C6032" i="1"/>
  <c r="D6032" i="1"/>
  <c r="A6033" i="1"/>
  <c r="B6033" i="1"/>
  <c r="C6033" i="1"/>
  <c r="A6034" i="1"/>
  <c r="B6034" i="1"/>
  <c r="C6034" i="1"/>
  <c r="D6034" i="1"/>
  <c r="A6035" i="1"/>
  <c r="B6035" i="1"/>
  <c r="C6035" i="1"/>
  <c r="D6035" i="1"/>
  <c r="A6036" i="1"/>
  <c r="B6036" i="1"/>
  <c r="C6036" i="1"/>
  <c r="D6036" i="1"/>
  <c r="A6037" i="1"/>
  <c r="B6037" i="1"/>
  <c r="C6037" i="1"/>
  <c r="D6037" i="1"/>
  <c r="A6038" i="1"/>
  <c r="B6038" i="1"/>
  <c r="C6038" i="1"/>
  <c r="D6038" i="1"/>
  <c r="A6039" i="1"/>
  <c r="B6039" i="1"/>
  <c r="C6039" i="1"/>
  <c r="D6039" i="1"/>
  <c r="A6040" i="1"/>
  <c r="B6040" i="1"/>
  <c r="C6040" i="1"/>
  <c r="D6040" i="1"/>
  <c r="A6041" i="1"/>
  <c r="B6041" i="1"/>
  <c r="C6041" i="1"/>
  <c r="A6042" i="1"/>
  <c r="B6042" i="1"/>
  <c r="C6042" i="1"/>
  <c r="D6042" i="1"/>
  <c r="A6043" i="1"/>
  <c r="B6043" i="1"/>
  <c r="C6043" i="1"/>
  <c r="D6043" i="1"/>
  <c r="A6044" i="1"/>
  <c r="B6044" i="1"/>
  <c r="C6044" i="1"/>
  <c r="D6044" i="1"/>
  <c r="A6045" i="1"/>
  <c r="B6045" i="1"/>
  <c r="C6045" i="1"/>
  <c r="D6045" i="1"/>
  <c r="A6046" i="1"/>
  <c r="B6046" i="1"/>
  <c r="C6046" i="1"/>
  <c r="D6046" i="1"/>
  <c r="A6047" i="1"/>
  <c r="B6047" i="1"/>
  <c r="C6047" i="1"/>
  <c r="D6047" i="1"/>
  <c r="A6048" i="1"/>
  <c r="B6048" i="1"/>
  <c r="C6048" i="1"/>
  <c r="D6048" i="1"/>
  <c r="A6049" i="1"/>
  <c r="B6049" i="1"/>
  <c r="C6049" i="1"/>
  <c r="D6049" i="1"/>
  <c r="A6050" i="1"/>
  <c r="B6050" i="1"/>
  <c r="C6050" i="1"/>
  <c r="D6050" i="1"/>
  <c r="A6051" i="1"/>
  <c r="B6051" i="1"/>
  <c r="C6051" i="1"/>
  <c r="D6051" i="1"/>
  <c r="A6052" i="1"/>
  <c r="B6052" i="1"/>
  <c r="C6052" i="1"/>
  <c r="D6052" i="1"/>
  <c r="A6053" i="1"/>
  <c r="B6053" i="1"/>
  <c r="C6053" i="1"/>
  <c r="D6053" i="1"/>
  <c r="A6054" i="1"/>
  <c r="B6054" i="1"/>
  <c r="C6054" i="1"/>
  <c r="D6054" i="1"/>
  <c r="A6055" i="1"/>
  <c r="B6055" i="1"/>
  <c r="C6055" i="1"/>
  <c r="D6055" i="1"/>
  <c r="A6056" i="1"/>
  <c r="B6056" i="1"/>
  <c r="C6056" i="1"/>
  <c r="A6057" i="1"/>
  <c r="B6057" i="1"/>
  <c r="C6057" i="1"/>
  <c r="D6057" i="1"/>
  <c r="A6058" i="1"/>
  <c r="B6058" i="1"/>
  <c r="C6058" i="1"/>
  <c r="D6058" i="1"/>
  <c r="A6059" i="1"/>
  <c r="B6059" i="1"/>
  <c r="C6059" i="1"/>
  <c r="D6059" i="1"/>
  <c r="A6060" i="1"/>
  <c r="B6060" i="1"/>
  <c r="C6060" i="1"/>
  <c r="D6060" i="1"/>
  <c r="A6061" i="1"/>
  <c r="B6061" i="1"/>
  <c r="C6061" i="1"/>
  <c r="D6061" i="1"/>
  <c r="A6062" i="1"/>
  <c r="B6062" i="1"/>
  <c r="C6062" i="1"/>
  <c r="D6062" i="1"/>
  <c r="A6063" i="1"/>
  <c r="B6063" i="1"/>
  <c r="C6063" i="1"/>
  <c r="D6063" i="1"/>
  <c r="A6064" i="1"/>
  <c r="B6064" i="1"/>
  <c r="C6064" i="1"/>
  <c r="D6064" i="1"/>
  <c r="A6065" i="1"/>
  <c r="B6065" i="1"/>
  <c r="C6065" i="1"/>
  <c r="D6065" i="1"/>
  <c r="A6066" i="1"/>
  <c r="B6066" i="1"/>
  <c r="C6066" i="1"/>
  <c r="D6066" i="1"/>
  <c r="A6067" i="1"/>
  <c r="B6067" i="1"/>
  <c r="C6067" i="1"/>
  <c r="D6067" i="1"/>
  <c r="A6068" i="1"/>
  <c r="B6068" i="1"/>
  <c r="C6068" i="1"/>
  <c r="D6068" i="1"/>
  <c r="A6069" i="1"/>
  <c r="B6069" i="1"/>
  <c r="C6069" i="1"/>
  <c r="D6069" i="1"/>
  <c r="A6070" i="1"/>
  <c r="B6070" i="1"/>
  <c r="C6070" i="1"/>
  <c r="D6070" i="1"/>
  <c r="A6071" i="1"/>
  <c r="B6071" i="1"/>
  <c r="C6071" i="1"/>
  <c r="A6072" i="1"/>
  <c r="B6072" i="1"/>
  <c r="C6072" i="1"/>
  <c r="D6072" i="1"/>
  <c r="A6073" i="1"/>
  <c r="B6073" i="1"/>
  <c r="C6073" i="1"/>
  <c r="D6073" i="1"/>
  <c r="A6074" i="1"/>
  <c r="B6074" i="1"/>
  <c r="C6074" i="1"/>
  <c r="D6074" i="1"/>
  <c r="A6075" i="1"/>
  <c r="B6075" i="1"/>
  <c r="C6075" i="1"/>
  <c r="D6075" i="1"/>
  <c r="A6076" i="1"/>
  <c r="B6076" i="1"/>
  <c r="C6076" i="1"/>
  <c r="A6077" i="1"/>
  <c r="B6077" i="1"/>
  <c r="C6077" i="1"/>
  <c r="D6077" i="1"/>
  <c r="A6078" i="1"/>
  <c r="B6078" i="1"/>
  <c r="C6078" i="1"/>
  <c r="D6078" i="1"/>
  <c r="A6079" i="1"/>
  <c r="B6079" i="1"/>
  <c r="C6079" i="1"/>
  <c r="D6079" i="1"/>
  <c r="A6080" i="1"/>
  <c r="B6080" i="1"/>
  <c r="C6080" i="1"/>
  <c r="D6080" i="1"/>
  <c r="A6081" i="1"/>
  <c r="B6081" i="1"/>
  <c r="C6081" i="1"/>
  <c r="D6081" i="1"/>
  <c r="A6082" i="1"/>
  <c r="B6082" i="1"/>
  <c r="C6082" i="1"/>
  <c r="D6082" i="1"/>
  <c r="A6083" i="1"/>
  <c r="B6083" i="1"/>
  <c r="C6083" i="1"/>
  <c r="D6083" i="1"/>
  <c r="A6084" i="1"/>
  <c r="B6084" i="1"/>
  <c r="C6084" i="1"/>
  <c r="D6084" i="1"/>
  <c r="A6085" i="1"/>
  <c r="B6085" i="1"/>
  <c r="C6085" i="1"/>
  <c r="D6085" i="1"/>
  <c r="A6086" i="1"/>
  <c r="B6086" i="1"/>
  <c r="C6086" i="1"/>
  <c r="D6086" i="1"/>
  <c r="A6087" i="1"/>
  <c r="B6087" i="1"/>
  <c r="C6087" i="1"/>
  <c r="D6087" i="1"/>
  <c r="A6088" i="1"/>
  <c r="B6088" i="1"/>
  <c r="C6088" i="1"/>
  <c r="D6088" i="1"/>
  <c r="A6089" i="1"/>
  <c r="B6089" i="1"/>
  <c r="C6089" i="1"/>
  <c r="D6089" i="1"/>
  <c r="A6090" i="1"/>
  <c r="B6090" i="1"/>
  <c r="C6090" i="1"/>
  <c r="D6090" i="1"/>
  <c r="A6091" i="1"/>
  <c r="B6091" i="1"/>
  <c r="C6091" i="1"/>
  <c r="D6091" i="1"/>
  <c r="A6092" i="1"/>
  <c r="B6092" i="1"/>
  <c r="C6092" i="1"/>
  <c r="D6092" i="1"/>
  <c r="A6093" i="1"/>
  <c r="B6093" i="1"/>
  <c r="C6093" i="1"/>
  <c r="D6093" i="1"/>
  <c r="A6094" i="1"/>
  <c r="B6094" i="1"/>
  <c r="C6094" i="1"/>
  <c r="D6094" i="1"/>
  <c r="A6095" i="1"/>
  <c r="B6095" i="1"/>
  <c r="C6095" i="1"/>
  <c r="D6095" i="1"/>
  <c r="A6096" i="1"/>
  <c r="B6096" i="1"/>
  <c r="C6096" i="1"/>
  <c r="D6096" i="1"/>
  <c r="A6097" i="1"/>
  <c r="B6097" i="1"/>
  <c r="C6097" i="1"/>
  <c r="D6097" i="1"/>
  <c r="A6098" i="1"/>
  <c r="B6098" i="1"/>
  <c r="C6098" i="1"/>
  <c r="D6098" i="1"/>
  <c r="A6099" i="1"/>
  <c r="B6099" i="1"/>
  <c r="C6099" i="1"/>
  <c r="D6099" i="1"/>
  <c r="A6100" i="1"/>
  <c r="B6100" i="1"/>
  <c r="C6100" i="1"/>
  <c r="D6100" i="1"/>
  <c r="A6101" i="1"/>
  <c r="B6101" i="1"/>
  <c r="C6101" i="1"/>
  <c r="D6101" i="1"/>
  <c r="A6102" i="1"/>
  <c r="B6102" i="1"/>
  <c r="C6102" i="1"/>
  <c r="D6102" i="1"/>
  <c r="A6103" i="1"/>
  <c r="B6103" i="1"/>
  <c r="C6103" i="1"/>
  <c r="D6103" i="1"/>
  <c r="A6104" i="1"/>
  <c r="B6104" i="1"/>
  <c r="C6104" i="1"/>
  <c r="D6104" i="1"/>
  <c r="A6105" i="1"/>
  <c r="B6105" i="1"/>
  <c r="C6105" i="1"/>
  <c r="D6105" i="1"/>
  <c r="A6106" i="1"/>
  <c r="B6106" i="1"/>
  <c r="C6106" i="1"/>
  <c r="A6107" i="1"/>
  <c r="B6107" i="1"/>
  <c r="C6107" i="1"/>
  <c r="A6108" i="1"/>
  <c r="B6108" i="1"/>
  <c r="C6108" i="1"/>
  <c r="D6108" i="1"/>
  <c r="A6109" i="1"/>
  <c r="B6109" i="1"/>
  <c r="C6109" i="1"/>
  <c r="D6109" i="1"/>
  <c r="A6110" i="1"/>
  <c r="B6110" i="1"/>
  <c r="C6110" i="1"/>
  <c r="D6110" i="1"/>
  <c r="A6111" i="1"/>
  <c r="B6111" i="1"/>
  <c r="C6111" i="1"/>
  <c r="D6111" i="1"/>
  <c r="A6112" i="1"/>
  <c r="B6112" i="1"/>
  <c r="C6112" i="1"/>
  <c r="D6112" i="1"/>
  <c r="A6113" i="1"/>
  <c r="B6113" i="1"/>
  <c r="C6113" i="1"/>
  <c r="D6113" i="1"/>
  <c r="A6114" i="1"/>
  <c r="B6114" i="1"/>
  <c r="C6114" i="1"/>
  <c r="D6114" i="1"/>
  <c r="A6115" i="1"/>
  <c r="B6115" i="1"/>
  <c r="C6115" i="1"/>
  <c r="D6115" i="1"/>
  <c r="A6116" i="1"/>
  <c r="B6116" i="1"/>
  <c r="C6116" i="1"/>
  <c r="D6116" i="1"/>
  <c r="A6117" i="1"/>
  <c r="B6117" i="1"/>
  <c r="C6117" i="1"/>
  <c r="D6117" i="1"/>
  <c r="A6118" i="1"/>
  <c r="B6118" i="1"/>
  <c r="C6118" i="1"/>
  <c r="D6118" i="1"/>
  <c r="A6119" i="1"/>
  <c r="B6119" i="1"/>
  <c r="C6119" i="1"/>
  <c r="D6119" i="1"/>
  <c r="A6120" i="1"/>
  <c r="B6120" i="1"/>
  <c r="C6120" i="1"/>
  <c r="D6120" i="1"/>
  <c r="A6121" i="1"/>
  <c r="B6121" i="1"/>
  <c r="C6121" i="1"/>
  <c r="D6121" i="1"/>
  <c r="A6122" i="1"/>
  <c r="B6122" i="1"/>
  <c r="C6122" i="1"/>
  <c r="D6122" i="1"/>
  <c r="A6123" i="1"/>
  <c r="B6123" i="1"/>
  <c r="C6123" i="1"/>
  <c r="D6123" i="1"/>
  <c r="A6124" i="1"/>
  <c r="B6124" i="1"/>
  <c r="C6124" i="1"/>
  <c r="D6124" i="1"/>
  <c r="A6125" i="1"/>
  <c r="B6125" i="1"/>
  <c r="C6125" i="1"/>
  <c r="D6125" i="1"/>
  <c r="A6126" i="1"/>
  <c r="B6126" i="1"/>
  <c r="C6126" i="1"/>
  <c r="D6126" i="1"/>
  <c r="A6127" i="1"/>
  <c r="B6127" i="1"/>
  <c r="C6127" i="1"/>
  <c r="D6127" i="1"/>
  <c r="A6128" i="1"/>
  <c r="B6128" i="1"/>
  <c r="C6128" i="1"/>
  <c r="D6128" i="1"/>
  <c r="A6129" i="1"/>
  <c r="B6129" i="1"/>
  <c r="C6129" i="1"/>
  <c r="D6129" i="1"/>
  <c r="A6130" i="1"/>
  <c r="B6130" i="1"/>
  <c r="C6130" i="1"/>
  <c r="D6130" i="1"/>
  <c r="A6131" i="1"/>
  <c r="B6131" i="1"/>
  <c r="C6131" i="1"/>
  <c r="D6131" i="1"/>
  <c r="A6132" i="1"/>
  <c r="B6132" i="1"/>
  <c r="C6132" i="1"/>
  <c r="D6132" i="1"/>
  <c r="A6133" i="1"/>
  <c r="B6133" i="1"/>
  <c r="C6133" i="1"/>
  <c r="D6133" i="1"/>
  <c r="A6134" i="1"/>
  <c r="B6134" i="1"/>
  <c r="C6134" i="1"/>
  <c r="D6134" i="1"/>
  <c r="A6135" i="1"/>
  <c r="B6135" i="1"/>
  <c r="C6135" i="1"/>
  <c r="D6135" i="1"/>
  <c r="A6136" i="1"/>
  <c r="B6136" i="1"/>
  <c r="C6136" i="1"/>
  <c r="D6136" i="1"/>
  <c r="A6137" i="1"/>
  <c r="B6137" i="1"/>
  <c r="C6137" i="1"/>
  <c r="D6137" i="1"/>
  <c r="A6138" i="1"/>
  <c r="B6138" i="1"/>
  <c r="C6138" i="1"/>
  <c r="D6138" i="1"/>
  <c r="A6139" i="1"/>
  <c r="B6139" i="1"/>
  <c r="C6139" i="1"/>
  <c r="D6139" i="1"/>
  <c r="A6140" i="1"/>
  <c r="B6140" i="1"/>
  <c r="C6140" i="1"/>
  <c r="D6140" i="1"/>
  <c r="A6141" i="1"/>
  <c r="B6141" i="1"/>
  <c r="C6141" i="1"/>
  <c r="D6141" i="1"/>
  <c r="A6142" i="1"/>
  <c r="B6142" i="1"/>
  <c r="C6142" i="1"/>
  <c r="D6142" i="1"/>
  <c r="A6143" i="1"/>
  <c r="B6143" i="1"/>
  <c r="C6143" i="1"/>
  <c r="A6144" i="1"/>
  <c r="B6144" i="1"/>
  <c r="C6144" i="1"/>
  <c r="D6144" i="1"/>
  <c r="A6145" i="1"/>
  <c r="B6145" i="1"/>
  <c r="C6145" i="1"/>
  <c r="D6145" i="1"/>
  <c r="A6146" i="1"/>
  <c r="B6146" i="1"/>
  <c r="C6146" i="1"/>
  <c r="D6146" i="1"/>
  <c r="A6147" i="1"/>
  <c r="B6147" i="1"/>
  <c r="C6147" i="1"/>
  <c r="D6147" i="1"/>
  <c r="A6148" i="1"/>
  <c r="B6148" i="1"/>
  <c r="C6148" i="1"/>
  <c r="D6148" i="1"/>
  <c r="A6149" i="1"/>
  <c r="B6149" i="1"/>
  <c r="C6149" i="1"/>
  <c r="D6149" i="1"/>
  <c r="A6150" i="1"/>
  <c r="B6150" i="1"/>
  <c r="C6150" i="1"/>
  <c r="D6150" i="1"/>
  <c r="A6151" i="1"/>
  <c r="B6151" i="1"/>
  <c r="C6151" i="1"/>
  <c r="D6151" i="1"/>
  <c r="A6152" i="1"/>
  <c r="B6152" i="1"/>
  <c r="C6152" i="1"/>
  <c r="D6152" i="1"/>
  <c r="A6153" i="1"/>
  <c r="B6153" i="1"/>
  <c r="C6153" i="1"/>
  <c r="D6153" i="1"/>
  <c r="A6154" i="1"/>
  <c r="B6154" i="1"/>
  <c r="C6154" i="1"/>
  <c r="A6155" i="1"/>
  <c r="B6155" i="1"/>
  <c r="C6155" i="1"/>
  <c r="D6155" i="1"/>
  <c r="A6156" i="1"/>
  <c r="B6156" i="1"/>
  <c r="C6156" i="1"/>
  <c r="D6156" i="1"/>
  <c r="A6157" i="1"/>
  <c r="B6157" i="1"/>
  <c r="C6157" i="1"/>
  <c r="D6157" i="1"/>
  <c r="A6158" i="1"/>
  <c r="B6158" i="1"/>
  <c r="C6158" i="1"/>
  <c r="D6158" i="1"/>
  <c r="A6159" i="1"/>
  <c r="B6159" i="1"/>
  <c r="C6159" i="1"/>
  <c r="D6159" i="1"/>
  <c r="A6160" i="1"/>
  <c r="B6160" i="1"/>
  <c r="C6160" i="1"/>
  <c r="D6160" i="1"/>
  <c r="A6161" i="1"/>
  <c r="B6161" i="1"/>
  <c r="C6161" i="1"/>
  <c r="D6161" i="1"/>
  <c r="A6162" i="1"/>
  <c r="B6162" i="1"/>
  <c r="C6162" i="1"/>
  <c r="D6162" i="1"/>
  <c r="A6163" i="1"/>
  <c r="B6163" i="1"/>
  <c r="C6163" i="1"/>
  <c r="D6163" i="1"/>
  <c r="A6164" i="1"/>
  <c r="B6164" i="1"/>
  <c r="C6164" i="1"/>
  <c r="D6164" i="1"/>
  <c r="A6165" i="1"/>
  <c r="B6165" i="1"/>
  <c r="C6165" i="1"/>
  <c r="D6165" i="1"/>
  <c r="A6166" i="1"/>
  <c r="B6166" i="1"/>
  <c r="C6166" i="1"/>
  <c r="A6167" i="1"/>
  <c r="B6167" i="1"/>
  <c r="C6167" i="1"/>
  <c r="D6167" i="1"/>
  <c r="A6168" i="1"/>
  <c r="B6168" i="1"/>
  <c r="C6168" i="1"/>
  <c r="D6168" i="1"/>
  <c r="A6169" i="1"/>
  <c r="B6169" i="1"/>
  <c r="C6169" i="1"/>
  <c r="D6169" i="1"/>
  <c r="A6170" i="1"/>
  <c r="B6170" i="1"/>
  <c r="C6170" i="1"/>
  <c r="D6170" i="1"/>
  <c r="A6171" i="1"/>
  <c r="B6171" i="1"/>
  <c r="C6171" i="1"/>
  <c r="D6171" i="1"/>
  <c r="A6172" i="1"/>
  <c r="B6172" i="1"/>
  <c r="C6172" i="1"/>
  <c r="D6172" i="1"/>
  <c r="A6173" i="1"/>
  <c r="B6173" i="1"/>
  <c r="C6173" i="1"/>
  <c r="D6173" i="1"/>
  <c r="A6174" i="1"/>
  <c r="B6174" i="1"/>
  <c r="C6174" i="1"/>
  <c r="D6174" i="1"/>
  <c r="A6175" i="1"/>
  <c r="B6175" i="1"/>
  <c r="C6175" i="1"/>
  <c r="D6175" i="1"/>
  <c r="A6176" i="1"/>
  <c r="B6176" i="1"/>
  <c r="C6176" i="1"/>
  <c r="D6176" i="1"/>
  <c r="A6177" i="1"/>
  <c r="B6177" i="1"/>
  <c r="C6177" i="1"/>
  <c r="D6177" i="1"/>
  <c r="A6178" i="1"/>
  <c r="B6178" i="1"/>
  <c r="C6178" i="1"/>
  <c r="D6178" i="1"/>
  <c r="A6179" i="1"/>
  <c r="B6179" i="1"/>
  <c r="C6179" i="1"/>
  <c r="D6179" i="1"/>
  <c r="A6180" i="1"/>
  <c r="B6180" i="1"/>
  <c r="C6180" i="1"/>
  <c r="D6180" i="1"/>
  <c r="A6181" i="1"/>
  <c r="B6181" i="1"/>
  <c r="C6181" i="1"/>
  <c r="D6181" i="1"/>
  <c r="A6182" i="1"/>
  <c r="B6182" i="1"/>
  <c r="C6182" i="1"/>
  <c r="A6183" i="1"/>
  <c r="B6183" i="1"/>
  <c r="C6183" i="1"/>
  <c r="D6183" i="1"/>
  <c r="A6184" i="1"/>
  <c r="B6184" i="1"/>
  <c r="C6184" i="1"/>
  <c r="A6185" i="1"/>
  <c r="B6185" i="1"/>
  <c r="C6185" i="1"/>
  <c r="D6185" i="1"/>
  <c r="A6186" i="1"/>
  <c r="B6186" i="1"/>
  <c r="C6186" i="1"/>
  <c r="D6186" i="1"/>
  <c r="A6187" i="1"/>
  <c r="B6187" i="1"/>
  <c r="C6187" i="1"/>
  <c r="D6187" i="1"/>
  <c r="A6188" i="1"/>
  <c r="B6188" i="1"/>
  <c r="C6188" i="1"/>
  <c r="D6188" i="1"/>
  <c r="A6189" i="1"/>
  <c r="B6189" i="1"/>
  <c r="C6189" i="1"/>
  <c r="D6189" i="1"/>
  <c r="A6190" i="1"/>
  <c r="B6190" i="1"/>
  <c r="C6190" i="1"/>
  <c r="D6190" i="1"/>
  <c r="A6191" i="1"/>
  <c r="B6191" i="1"/>
  <c r="C6191" i="1"/>
  <c r="D6191" i="1"/>
  <c r="A6192" i="1"/>
  <c r="B6192" i="1"/>
  <c r="C6192" i="1"/>
  <c r="D6192" i="1"/>
  <c r="A6193" i="1"/>
  <c r="B6193" i="1"/>
  <c r="C6193" i="1"/>
  <c r="D6193" i="1"/>
  <c r="A6194" i="1"/>
  <c r="B6194" i="1"/>
  <c r="C6194" i="1"/>
  <c r="D6194" i="1"/>
  <c r="A6195" i="1"/>
  <c r="B6195" i="1"/>
  <c r="C6195" i="1"/>
  <c r="D6195" i="1"/>
  <c r="A6196" i="1"/>
  <c r="B6196" i="1"/>
  <c r="C6196" i="1"/>
  <c r="D6196" i="1"/>
  <c r="A6197" i="1"/>
  <c r="B6197" i="1"/>
  <c r="C6197" i="1"/>
  <c r="D6197" i="1"/>
  <c r="A6198" i="1"/>
  <c r="B6198" i="1"/>
  <c r="C6198" i="1"/>
  <c r="D6198" i="1"/>
  <c r="A6199" i="1"/>
  <c r="B6199" i="1"/>
  <c r="C6199" i="1"/>
  <c r="D6199" i="1"/>
  <c r="A6200" i="1"/>
  <c r="B6200" i="1"/>
  <c r="C6200" i="1"/>
  <c r="D6200" i="1"/>
  <c r="A6201" i="1"/>
  <c r="B6201" i="1"/>
  <c r="C6201" i="1"/>
  <c r="D6201" i="1"/>
  <c r="A6202" i="1"/>
  <c r="B6202" i="1"/>
  <c r="C6202" i="1"/>
  <c r="D6202" i="1"/>
  <c r="A6203" i="1"/>
  <c r="B6203" i="1"/>
  <c r="C6203" i="1"/>
  <c r="D6203" i="1"/>
  <c r="A6204" i="1"/>
  <c r="B6204" i="1"/>
  <c r="C6204" i="1"/>
  <c r="D6204" i="1"/>
  <c r="A6205" i="1"/>
  <c r="B6205" i="1"/>
  <c r="C6205" i="1"/>
  <c r="D6205" i="1"/>
  <c r="A6206" i="1"/>
  <c r="B6206" i="1"/>
  <c r="C6206" i="1"/>
  <c r="D6206" i="1"/>
  <c r="A6207" i="1"/>
  <c r="B6207" i="1"/>
  <c r="C6207" i="1"/>
  <c r="D6207" i="1"/>
  <c r="A6208" i="1"/>
  <c r="B6208" i="1"/>
  <c r="C6208" i="1"/>
  <c r="D6208" i="1"/>
  <c r="A6209" i="1"/>
  <c r="B6209" i="1"/>
  <c r="C6209" i="1"/>
  <c r="D6209" i="1"/>
  <c r="A6210" i="1"/>
  <c r="B6210" i="1"/>
  <c r="C6210" i="1"/>
  <c r="A6211" i="1"/>
  <c r="B6211" i="1"/>
  <c r="C6211" i="1"/>
  <c r="D6211" i="1"/>
  <c r="A6212" i="1"/>
  <c r="B6212" i="1"/>
  <c r="C6212" i="1"/>
  <c r="D6212" i="1"/>
  <c r="A6213" i="1"/>
  <c r="B6213" i="1"/>
  <c r="C6213" i="1"/>
  <c r="D6213" i="1"/>
  <c r="A6214" i="1"/>
  <c r="B6214" i="1"/>
  <c r="C6214" i="1"/>
  <c r="D6214" i="1"/>
  <c r="A6215" i="1"/>
  <c r="B6215" i="1"/>
  <c r="C6215" i="1"/>
  <c r="D6215" i="1"/>
  <c r="A6216" i="1"/>
  <c r="B6216" i="1"/>
  <c r="C6216" i="1"/>
  <c r="D6216" i="1"/>
  <c r="A6217" i="1"/>
  <c r="B6217" i="1"/>
  <c r="C6217" i="1"/>
  <c r="D6217" i="1"/>
  <c r="A6218" i="1"/>
  <c r="B6218" i="1"/>
  <c r="C6218" i="1"/>
  <c r="D6218" i="1"/>
  <c r="A6219" i="1"/>
  <c r="B6219" i="1"/>
  <c r="C6219" i="1"/>
  <c r="D6219" i="1"/>
  <c r="A6220" i="1"/>
  <c r="B6220" i="1"/>
  <c r="C6220" i="1"/>
  <c r="D6220" i="1"/>
  <c r="A6221" i="1"/>
  <c r="B6221" i="1"/>
  <c r="C6221" i="1"/>
  <c r="D6221" i="1"/>
  <c r="A6222" i="1"/>
  <c r="B6222" i="1"/>
  <c r="C6222" i="1"/>
  <c r="A6223" i="1"/>
  <c r="B6223" i="1"/>
  <c r="C6223" i="1"/>
  <c r="D6223" i="1"/>
  <c r="A6224" i="1"/>
  <c r="B6224" i="1"/>
  <c r="C6224" i="1"/>
  <c r="D6224" i="1"/>
  <c r="A6225" i="1"/>
  <c r="B6225" i="1"/>
  <c r="C6225" i="1"/>
  <c r="D6225" i="1"/>
  <c r="A6226" i="1"/>
  <c r="B6226" i="1"/>
  <c r="C6226" i="1"/>
  <c r="D6226" i="1"/>
  <c r="A6227" i="1"/>
  <c r="B6227" i="1"/>
  <c r="C6227" i="1"/>
  <c r="D6227" i="1"/>
  <c r="A6228" i="1"/>
  <c r="B6228" i="1"/>
  <c r="C6228" i="1"/>
  <c r="D6228" i="1"/>
  <c r="A6229" i="1"/>
  <c r="B6229" i="1"/>
  <c r="C6229" i="1"/>
  <c r="D6229" i="1"/>
  <c r="A6230" i="1"/>
  <c r="B6230" i="1"/>
  <c r="C6230" i="1"/>
  <c r="D6230" i="1"/>
  <c r="A6231" i="1"/>
  <c r="B6231" i="1"/>
  <c r="C6231" i="1"/>
  <c r="D6231" i="1"/>
  <c r="A6232" i="1"/>
  <c r="B6232" i="1"/>
  <c r="C6232" i="1"/>
  <c r="D6232" i="1"/>
  <c r="A6233" i="1"/>
  <c r="B6233" i="1"/>
  <c r="C6233" i="1"/>
  <c r="D6233" i="1"/>
  <c r="A6234" i="1"/>
  <c r="B6234" i="1"/>
  <c r="C6234" i="1"/>
  <c r="D6234" i="1"/>
  <c r="A6235" i="1"/>
  <c r="B6235" i="1"/>
  <c r="C6235" i="1"/>
  <c r="D6235" i="1"/>
  <c r="A6236" i="1"/>
  <c r="B6236" i="1"/>
  <c r="C6236" i="1"/>
  <c r="D6236" i="1"/>
  <c r="A6237" i="1"/>
  <c r="B6237" i="1"/>
  <c r="C6237" i="1"/>
  <c r="D6237" i="1"/>
  <c r="A6238" i="1"/>
  <c r="B6238" i="1"/>
  <c r="C6238" i="1"/>
  <c r="D6238" i="1"/>
  <c r="A6239" i="1"/>
  <c r="B6239" i="1"/>
  <c r="C6239" i="1"/>
  <c r="D6239" i="1"/>
  <c r="A6240" i="1"/>
  <c r="B6240" i="1"/>
  <c r="C6240" i="1"/>
  <c r="D6240" i="1"/>
  <c r="A6241" i="1"/>
  <c r="B6241" i="1"/>
  <c r="C6241" i="1"/>
  <c r="D6241" i="1"/>
  <c r="A6242" i="1"/>
  <c r="B6242" i="1"/>
  <c r="C6242" i="1"/>
  <c r="D6242" i="1"/>
  <c r="A6243" i="1"/>
  <c r="B6243" i="1"/>
  <c r="C6243" i="1"/>
  <c r="D6243" i="1"/>
  <c r="A6244" i="1"/>
  <c r="B6244" i="1"/>
  <c r="C6244" i="1"/>
  <c r="D6244" i="1"/>
  <c r="A6245" i="1"/>
  <c r="B6245" i="1"/>
  <c r="C6245" i="1"/>
  <c r="D6245" i="1"/>
  <c r="A6246" i="1"/>
  <c r="B6246" i="1"/>
  <c r="C6246" i="1"/>
  <c r="D6246" i="1"/>
  <c r="A6247" i="1"/>
  <c r="B6247" i="1"/>
  <c r="C6247" i="1"/>
  <c r="D6247" i="1"/>
  <c r="A6248" i="1"/>
  <c r="B6248" i="1"/>
  <c r="C6248" i="1"/>
  <c r="D6248" i="1"/>
  <c r="A6249" i="1"/>
  <c r="B6249" i="1"/>
  <c r="C6249" i="1"/>
  <c r="D6249" i="1"/>
  <c r="A6250" i="1"/>
  <c r="B6250" i="1"/>
  <c r="C6250" i="1"/>
  <c r="D6250" i="1"/>
  <c r="A6251" i="1"/>
  <c r="B6251" i="1"/>
  <c r="C6251" i="1"/>
  <c r="D6251" i="1"/>
  <c r="A6252" i="1"/>
  <c r="B6252" i="1"/>
  <c r="C6252" i="1"/>
  <c r="D6252" i="1"/>
  <c r="A6253" i="1"/>
  <c r="B6253" i="1"/>
  <c r="C6253" i="1"/>
  <c r="D6253" i="1"/>
  <c r="A6254" i="1"/>
  <c r="B6254" i="1"/>
  <c r="C6254" i="1"/>
  <c r="D6254" i="1"/>
  <c r="A6255" i="1"/>
  <c r="B6255" i="1"/>
  <c r="C6255" i="1"/>
  <c r="D6255" i="1"/>
  <c r="A6256" i="1"/>
  <c r="B6256" i="1"/>
  <c r="C6256" i="1"/>
  <c r="D6256" i="1"/>
  <c r="A6257" i="1"/>
  <c r="B6257" i="1"/>
  <c r="C6257" i="1"/>
  <c r="D6257" i="1"/>
  <c r="A6258" i="1"/>
  <c r="B6258" i="1"/>
  <c r="C6258" i="1"/>
  <c r="D6258" i="1"/>
  <c r="A6259" i="1"/>
  <c r="B6259" i="1"/>
  <c r="C6259" i="1"/>
  <c r="D6259" i="1"/>
  <c r="A6260" i="1"/>
  <c r="B6260" i="1"/>
  <c r="C6260" i="1"/>
  <c r="D6260" i="1"/>
  <c r="A6261" i="1"/>
  <c r="B6261" i="1"/>
  <c r="C6261" i="1"/>
  <c r="D6261" i="1"/>
  <c r="A6262" i="1"/>
  <c r="B6262" i="1"/>
  <c r="C6262" i="1"/>
  <c r="D6262" i="1"/>
  <c r="A6263" i="1"/>
  <c r="B6263" i="1"/>
  <c r="C6263" i="1"/>
  <c r="D6263" i="1"/>
  <c r="A6264" i="1"/>
  <c r="B6264" i="1"/>
  <c r="C6264" i="1"/>
  <c r="D6264" i="1"/>
  <c r="A6265" i="1"/>
  <c r="B6265" i="1"/>
  <c r="C6265" i="1"/>
  <c r="D6265" i="1"/>
  <c r="A6266" i="1"/>
  <c r="B6266" i="1"/>
  <c r="C6266" i="1"/>
  <c r="D6266" i="1"/>
  <c r="A6267" i="1"/>
  <c r="B6267" i="1"/>
  <c r="C6267" i="1"/>
  <c r="D6267" i="1"/>
  <c r="A6268" i="1"/>
  <c r="B6268" i="1"/>
  <c r="C6268" i="1"/>
  <c r="D6268" i="1"/>
  <c r="A6269" i="1"/>
  <c r="B6269" i="1"/>
  <c r="C6269" i="1"/>
  <c r="D6269" i="1"/>
  <c r="A6270" i="1"/>
  <c r="B6270" i="1"/>
  <c r="C6270" i="1"/>
  <c r="D6270" i="1"/>
  <c r="A6271" i="1"/>
  <c r="B6271" i="1"/>
  <c r="C6271" i="1"/>
  <c r="D6271" i="1"/>
  <c r="A6272" i="1"/>
  <c r="B6272" i="1"/>
  <c r="C6272" i="1"/>
  <c r="D6272" i="1"/>
  <c r="A6273" i="1"/>
  <c r="B6273" i="1"/>
  <c r="C6273" i="1"/>
  <c r="D6273" i="1"/>
  <c r="A6274" i="1"/>
  <c r="B6274" i="1"/>
  <c r="C6274" i="1"/>
  <c r="D6274" i="1"/>
  <c r="A6275" i="1"/>
  <c r="B6275" i="1"/>
  <c r="C6275" i="1"/>
  <c r="D6275" i="1"/>
  <c r="A6276" i="1"/>
  <c r="B6276" i="1"/>
  <c r="C6276" i="1"/>
  <c r="D6276" i="1"/>
  <c r="A6277" i="1"/>
  <c r="B6277" i="1"/>
  <c r="C6277" i="1"/>
  <c r="D6277" i="1"/>
  <c r="A6278" i="1"/>
  <c r="B6278" i="1"/>
  <c r="C6278" i="1"/>
  <c r="D6278" i="1"/>
  <c r="A6279" i="1"/>
  <c r="B6279" i="1"/>
  <c r="C6279" i="1"/>
  <c r="D6279" i="1"/>
  <c r="A6280" i="1"/>
  <c r="B6280" i="1"/>
  <c r="C6280" i="1"/>
  <c r="D6280" i="1"/>
  <c r="A6281" i="1"/>
  <c r="B6281" i="1"/>
  <c r="C6281" i="1"/>
  <c r="D6281" i="1"/>
  <c r="A6282" i="1"/>
  <c r="B6282" i="1"/>
  <c r="C6282" i="1"/>
  <c r="D6282" i="1"/>
  <c r="A6283" i="1"/>
  <c r="B6283" i="1"/>
  <c r="C6283" i="1"/>
  <c r="D6283" i="1"/>
  <c r="A6284" i="1"/>
  <c r="B6284" i="1"/>
  <c r="C6284" i="1"/>
  <c r="D6284" i="1"/>
  <c r="A6285" i="1"/>
  <c r="B6285" i="1"/>
  <c r="C6285" i="1"/>
  <c r="D6285" i="1"/>
  <c r="A6286" i="1"/>
  <c r="B6286" i="1"/>
  <c r="C6286" i="1"/>
  <c r="D6286" i="1"/>
  <c r="A6287" i="1"/>
  <c r="B6287" i="1"/>
  <c r="C6287" i="1"/>
  <c r="D6287" i="1"/>
  <c r="A6288" i="1"/>
  <c r="B6288" i="1"/>
  <c r="C6288" i="1"/>
  <c r="D6288" i="1"/>
  <c r="A6289" i="1"/>
  <c r="B6289" i="1"/>
  <c r="C6289" i="1"/>
  <c r="D6289" i="1"/>
  <c r="A6290" i="1"/>
  <c r="B6290" i="1"/>
  <c r="C6290" i="1"/>
  <c r="D6290" i="1"/>
  <c r="A6291" i="1"/>
  <c r="B6291" i="1"/>
  <c r="C6291" i="1"/>
  <c r="D6291" i="1"/>
  <c r="A6292" i="1"/>
  <c r="B6292" i="1"/>
  <c r="C6292" i="1"/>
  <c r="D6292" i="1"/>
  <c r="A6293" i="1"/>
  <c r="B6293" i="1"/>
  <c r="C6293" i="1"/>
  <c r="D6293" i="1"/>
  <c r="A6294" i="1"/>
  <c r="B6294" i="1"/>
  <c r="C6294" i="1"/>
  <c r="D6294" i="1"/>
  <c r="A6295" i="1"/>
  <c r="B6295" i="1"/>
  <c r="C6295" i="1"/>
  <c r="D6295" i="1"/>
  <c r="A6296" i="1"/>
  <c r="B6296" i="1"/>
  <c r="C6296" i="1"/>
  <c r="D6296" i="1"/>
  <c r="A6297" i="1"/>
  <c r="B6297" i="1"/>
  <c r="C6297" i="1"/>
  <c r="D6297" i="1"/>
  <c r="A6298" i="1"/>
  <c r="B6298" i="1"/>
  <c r="C6298" i="1"/>
  <c r="D6298" i="1"/>
  <c r="A6299" i="1"/>
  <c r="B6299" i="1"/>
  <c r="C6299" i="1"/>
  <c r="D6299" i="1"/>
  <c r="A6300" i="1"/>
  <c r="B6300" i="1"/>
  <c r="C6300" i="1"/>
  <c r="D6300" i="1"/>
  <c r="A6301" i="1"/>
  <c r="B6301" i="1"/>
  <c r="C6301" i="1"/>
  <c r="D6301" i="1"/>
  <c r="A6302" i="1"/>
  <c r="B6302" i="1"/>
  <c r="C6302" i="1"/>
  <c r="D6302" i="1"/>
  <c r="A6303" i="1"/>
  <c r="B6303" i="1"/>
  <c r="C6303" i="1"/>
  <c r="D6303" i="1"/>
  <c r="A6304" i="1"/>
  <c r="B6304" i="1"/>
  <c r="C6304" i="1"/>
  <c r="D6304" i="1"/>
  <c r="A6305" i="1"/>
  <c r="B6305" i="1"/>
  <c r="C6305" i="1"/>
  <c r="D6305" i="1"/>
  <c r="A6306" i="1"/>
  <c r="B6306" i="1"/>
  <c r="C6306" i="1"/>
  <c r="D6306" i="1"/>
  <c r="A6307" i="1"/>
  <c r="B6307" i="1"/>
  <c r="C6307" i="1"/>
  <c r="D6307" i="1"/>
  <c r="A6308" i="1"/>
  <c r="B6308" i="1"/>
  <c r="C6308" i="1"/>
  <c r="D6308" i="1"/>
  <c r="A6309" i="1"/>
  <c r="B6309" i="1"/>
  <c r="C6309" i="1"/>
  <c r="D6309" i="1"/>
  <c r="A6310" i="1"/>
  <c r="B6310" i="1"/>
  <c r="C6310" i="1"/>
  <c r="D6310" i="1"/>
  <c r="A6311" i="1"/>
  <c r="B6311" i="1"/>
  <c r="C6311" i="1"/>
  <c r="D6311" i="1"/>
  <c r="A6312" i="1"/>
  <c r="B6312" i="1"/>
  <c r="C6312" i="1"/>
  <c r="D6312" i="1"/>
  <c r="A6313" i="1"/>
  <c r="B6313" i="1"/>
  <c r="C6313" i="1"/>
  <c r="D6313" i="1"/>
  <c r="A6314" i="1"/>
  <c r="B6314" i="1"/>
  <c r="C6314" i="1"/>
  <c r="D6314" i="1"/>
  <c r="A6315" i="1"/>
  <c r="B6315" i="1"/>
  <c r="C6315" i="1"/>
  <c r="D6315" i="1"/>
  <c r="A6316" i="1"/>
  <c r="B6316" i="1"/>
  <c r="C6316" i="1"/>
  <c r="D6316" i="1"/>
  <c r="A6317" i="1"/>
  <c r="B6317" i="1"/>
  <c r="C6317" i="1"/>
  <c r="D6317" i="1"/>
  <c r="A6318" i="1"/>
  <c r="B6318" i="1"/>
  <c r="C6318" i="1"/>
  <c r="D6318" i="1"/>
  <c r="A6319" i="1"/>
  <c r="B6319" i="1"/>
  <c r="C6319" i="1"/>
  <c r="D6319" i="1"/>
  <c r="A6320" i="1"/>
  <c r="B6320" i="1"/>
  <c r="C6320" i="1"/>
  <c r="D6320" i="1"/>
  <c r="A6321" i="1"/>
  <c r="B6321" i="1"/>
  <c r="C6321" i="1"/>
  <c r="D6321" i="1"/>
  <c r="A6322" i="1"/>
  <c r="B6322" i="1"/>
  <c r="C6322" i="1"/>
  <c r="D6322" i="1"/>
  <c r="A6323" i="1"/>
  <c r="B6323" i="1"/>
  <c r="C6323" i="1"/>
  <c r="D6323" i="1"/>
  <c r="A6324" i="1"/>
  <c r="B6324" i="1"/>
  <c r="C6324" i="1"/>
  <c r="D6324" i="1"/>
  <c r="A6325" i="1"/>
  <c r="B6325" i="1"/>
  <c r="C6325" i="1"/>
  <c r="D6325" i="1"/>
  <c r="A6326" i="1"/>
  <c r="B6326" i="1"/>
  <c r="C6326" i="1"/>
  <c r="D6326" i="1"/>
  <c r="A6327" i="1"/>
  <c r="B6327" i="1"/>
  <c r="C6327" i="1"/>
  <c r="D6327" i="1"/>
  <c r="A6328" i="1"/>
  <c r="B6328" i="1"/>
  <c r="C6328" i="1"/>
  <c r="D6328" i="1"/>
  <c r="A6329" i="1"/>
  <c r="B6329" i="1"/>
  <c r="C6329" i="1"/>
  <c r="D6329" i="1"/>
  <c r="A6330" i="1"/>
  <c r="B6330" i="1"/>
  <c r="C6330" i="1"/>
  <c r="D6330" i="1"/>
  <c r="A6331" i="1"/>
  <c r="B6331" i="1"/>
  <c r="C6331" i="1"/>
  <c r="D6331" i="1"/>
  <c r="A6332" i="1"/>
  <c r="B6332" i="1"/>
  <c r="C6332" i="1"/>
  <c r="D6332" i="1"/>
  <c r="A6333" i="1"/>
  <c r="B6333" i="1"/>
  <c r="C6333" i="1"/>
  <c r="D6333" i="1"/>
  <c r="A6334" i="1"/>
  <c r="B6334" i="1"/>
  <c r="C6334" i="1"/>
  <c r="D6334" i="1"/>
  <c r="A6335" i="1"/>
  <c r="B6335" i="1"/>
  <c r="C6335" i="1"/>
  <c r="D6335" i="1"/>
  <c r="A6336" i="1"/>
  <c r="B6336" i="1"/>
  <c r="C6336" i="1"/>
  <c r="D6336" i="1"/>
  <c r="A6337" i="1"/>
  <c r="B6337" i="1"/>
  <c r="C6337" i="1"/>
  <c r="D6337" i="1"/>
  <c r="A6338" i="1"/>
  <c r="B6338" i="1"/>
  <c r="C6338" i="1"/>
  <c r="D6338" i="1"/>
  <c r="A6339" i="1"/>
  <c r="B6339" i="1"/>
  <c r="C6339" i="1"/>
  <c r="D6339" i="1"/>
  <c r="A6340" i="1"/>
  <c r="B6340" i="1"/>
  <c r="C6340" i="1"/>
  <c r="D6340" i="1"/>
  <c r="A6341" i="1"/>
  <c r="B6341" i="1"/>
  <c r="C6341" i="1"/>
  <c r="D6341" i="1"/>
  <c r="A6342" i="1"/>
  <c r="B6342" i="1"/>
  <c r="C6342" i="1"/>
  <c r="D6342" i="1"/>
  <c r="A6343" i="1"/>
  <c r="B6343" i="1"/>
  <c r="C6343" i="1"/>
  <c r="D6343" i="1"/>
  <c r="A6344" i="1"/>
  <c r="B6344" i="1"/>
  <c r="C6344" i="1"/>
  <c r="D6344" i="1"/>
  <c r="A6345" i="1"/>
  <c r="B6345" i="1"/>
  <c r="C6345" i="1"/>
  <c r="D6345" i="1"/>
  <c r="A6346" i="1"/>
  <c r="B6346" i="1"/>
  <c r="C6346" i="1"/>
  <c r="D6346" i="1"/>
  <c r="A6347" i="1"/>
  <c r="B6347" i="1"/>
  <c r="C6347" i="1"/>
  <c r="D6347" i="1"/>
  <c r="A6348" i="1"/>
  <c r="B6348" i="1"/>
  <c r="C6348" i="1"/>
  <c r="D6348" i="1"/>
  <c r="A6349" i="1"/>
  <c r="B6349" i="1"/>
  <c r="C6349" i="1"/>
  <c r="D6349" i="1"/>
  <c r="A6350" i="1"/>
  <c r="B6350" i="1"/>
  <c r="C6350" i="1"/>
  <c r="D6350" i="1"/>
  <c r="A6351" i="1"/>
  <c r="B6351" i="1"/>
  <c r="C6351" i="1"/>
  <c r="D6351" i="1"/>
  <c r="A6352" i="1"/>
  <c r="B6352" i="1"/>
  <c r="C6352" i="1"/>
  <c r="D6352" i="1"/>
  <c r="A6353" i="1"/>
  <c r="B6353" i="1"/>
  <c r="C6353" i="1"/>
  <c r="D6353" i="1"/>
  <c r="A6354" i="1"/>
  <c r="B6354" i="1"/>
  <c r="C6354" i="1"/>
  <c r="D6354" i="1"/>
  <c r="A6355" i="1"/>
  <c r="B6355" i="1"/>
  <c r="C6355" i="1"/>
  <c r="D6355" i="1"/>
  <c r="A6356" i="1"/>
  <c r="B6356" i="1"/>
  <c r="C6356" i="1"/>
  <c r="A6357" i="1"/>
  <c r="B6357" i="1"/>
  <c r="C6357" i="1"/>
  <c r="A6358" i="1"/>
  <c r="B6358" i="1"/>
  <c r="C6358" i="1"/>
  <c r="D6358" i="1"/>
  <c r="A6359" i="1"/>
  <c r="B6359" i="1"/>
  <c r="C6359" i="1"/>
  <c r="D6359" i="1"/>
  <c r="A6360" i="1"/>
  <c r="B6360" i="1"/>
  <c r="C6360" i="1"/>
  <c r="D6360" i="1"/>
  <c r="A6361" i="1"/>
  <c r="B6361" i="1"/>
  <c r="C6361" i="1"/>
  <c r="D6361" i="1"/>
  <c r="A6362" i="1"/>
  <c r="B6362" i="1"/>
  <c r="C6362" i="1"/>
  <c r="D6362" i="1"/>
  <c r="A6363" i="1"/>
  <c r="B6363" i="1"/>
  <c r="C6363" i="1"/>
  <c r="D6363" i="1"/>
  <c r="A6364" i="1"/>
  <c r="B6364" i="1"/>
  <c r="C6364" i="1"/>
  <c r="D6364" i="1"/>
  <c r="A6365" i="1"/>
  <c r="B6365" i="1"/>
  <c r="C6365" i="1"/>
  <c r="D6365" i="1"/>
  <c r="A6366" i="1"/>
  <c r="B6366" i="1"/>
  <c r="C6366" i="1"/>
  <c r="D6366" i="1"/>
  <c r="A6367" i="1"/>
  <c r="B6367" i="1"/>
  <c r="C6367" i="1"/>
  <c r="D6367" i="1"/>
  <c r="A6368" i="1"/>
  <c r="B6368" i="1"/>
  <c r="C6368" i="1"/>
  <c r="D6368" i="1"/>
  <c r="A6369" i="1"/>
  <c r="B6369" i="1"/>
  <c r="C6369" i="1"/>
  <c r="D6369" i="1"/>
  <c r="A6370" i="1"/>
  <c r="B6370" i="1"/>
  <c r="C6370" i="1"/>
  <c r="D6370" i="1"/>
  <c r="A6371" i="1"/>
  <c r="B6371" i="1"/>
  <c r="C6371" i="1"/>
  <c r="D6371" i="1"/>
  <c r="A6372" i="1"/>
  <c r="B6372" i="1"/>
  <c r="C6372" i="1"/>
  <c r="D6372" i="1"/>
  <c r="A6373" i="1"/>
  <c r="B6373" i="1"/>
  <c r="C6373" i="1"/>
  <c r="D6373" i="1"/>
  <c r="A6374" i="1"/>
  <c r="B6374" i="1"/>
  <c r="C6374" i="1"/>
  <c r="D6374" i="1"/>
  <c r="A6375" i="1"/>
  <c r="B6375" i="1"/>
  <c r="C6375" i="1"/>
  <c r="D6375" i="1"/>
  <c r="A6376" i="1"/>
  <c r="B6376" i="1"/>
  <c r="C6376" i="1"/>
  <c r="D6376" i="1"/>
  <c r="A6377" i="1"/>
  <c r="B6377" i="1"/>
  <c r="C6377" i="1"/>
  <c r="D6377" i="1"/>
  <c r="A6378" i="1"/>
  <c r="B6378" i="1"/>
  <c r="C6378" i="1"/>
  <c r="D6378" i="1"/>
  <c r="A6379" i="1"/>
  <c r="B6379" i="1"/>
  <c r="C6379" i="1"/>
  <c r="D6379" i="1"/>
  <c r="A6380" i="1"/>
  <c r="B6380" i="1"/>
  <c r="C6380" i="1"/>
  <c r="D6380" i="1"/>
  <c r="A6381" i="1"/>
  <c r="B6381" i="1"/>
  <c r="C6381" i="1"/>
  <c r="D6381" i="1"/>
  <c r="A6382" i="1"/>
  <c r="B6382" i="1"/>
  <c r="C6382" i="1"/>
  <c r="D6382" i="1"/>
  <c r="A6383" i="1"/>
  <c r="B6383" i="1"/>
  <c r="C6383" i="1"/>
  <c r="D6383" i="1"/>
  <c r="A6384" i="1"/>
  <c r="B6384" i="1"/>
  <c r="C6384" i="1"/>
  <c r="D6384" i="1"/>
  <c r="A6385" i="1"/>
  <c r="B6385" i="1"/>
  <c r="C6385" i="1"/>
  <c r="D6385" i="1"/>
  <c r="A6386" i="1"/>
  <c r="B6386" i="1"/>
  <c r="C6386" i="1"/>
  <c r="D6386" i="1"/>
  <c r="A6387" i="1"/>
  <c r="B6387" i="1"/>
  <c r="C6387" i="1"/>
  <c r="D6387" i="1"/>
  <c r="A6388" i="1"/>
  <c r="B6388" i="1"/>
  <c r="C6388" i="1"/>
  <c r="D6388" i="1"/>
  <c r="A6389" i="1"/>
  <c r="B6389" i="1"/>
  <c r="C6389" i="1"/>
  <c r="D6389" i="1"/>
  <c r="A6390" i="1"/>
  <c r="B6390" i="1"/>
  <c r="C6390" i="1"/>
  <c r="D6390" i="1"/>
  <c r="A6391" i="1"/>
  <c r="B6391" i="1"/>
  <c r="C6391" i="1"/>
  <c r="D6391" i="1"/>
  <c r="A6392" i="1"/>
  <c r="B6392" i="1"/>
  <c r="C6392" i="1"/>
  <c r="D6392" i="1"/>
  <c r="A6393" i="1"/>
  <c r="B6393" i="1"/>
  <c r="C6393" i="1"/>
  <c r="D6393" i="1"/>
  <c r="A6394" i="1"/>
  <c r="B6394" i="1"/>
  <c r="C6394" i="1"/>
  <c r="D6394" i="1"/>
  <c r="A6395" i="1"/>
  <c r="B6395" i="1"/>
  <c r="C6395" i="1"/>
  <c r="D6395" i="1"/>
  <c r="A6396" i="1"/>
  <c r="B6396" i="1"/>
  <c r="C6396" i="1"/>
  <c r="D6396" i="1"/>
  <c r="A6397" i="1"/>
  <c r="B6397" i="1"/>
  <c r="C6397" i="1"/>
  <c r="D6397" i="1"/>
  <c r="A6398" i="1"/>
  <c r="B6398" i="1"/>
  <c r="C6398" i="1"/>
  <c r="D6398" i="1"/>
  <c r="A6399" i="1"/>
  <c r="B6399" i="1"/>
  <c r="C6399" i="1"/>
  <c r="D6399" i="1"/>
  <c r="A6400" i="1"/>
  <c r="B6400" i="1"/>
  <c r="C6400" i="1"/>
  <c r="D6400" i="1"/>
  <c r="A6401" i="1"/>
  <c r="B6401" i="1"/>
  <c r="C6401" i="1"/>
  <c r="D6401" i="1"/>
  <c r="A6402" i="1"/>
  <c r="B6402" i="1"/>
  <c r="C6402" i="1"/>
  <c r="D6402" i="1"/>
  <c r="A6403" i="1"/>
  <c r="B6403" i="1"/>
  <c r="C6403" i="1"/>
  <c r="D6403" i="1"/>
  <c r="A6404" i="1"/>
  <c r="B6404" i="1"/>
  <c r="C6404" i="1"/>
  <c r="D6404" i="1"/>
  <c r="A6405" i="1"/>
  <c r="B6405" i="1"/>
  <c r="C6405" i="1"/>
  <c r="D6405" i="1"/>
  <c r="A6406" i="1"/>
  <c r="B6406" i="1"/>
  <c r="C6406" i="1"/>
  <c r="D6406" i="1"/>
  <c r="A6407" i="1"/>
  <c r="B6407" i="1"/>
  <c r="C6407" i="1"/>
  <c r="D6407" i="1"/>
  <c r="A6408" i="1"/>
  <c r="B6408" i="1"/>
  <c r="C6408" i="1"/>
  <c r="D6408" i="1"/>
  <c r="A6409" i="1"/>
  <c r="B6409" i="1"/>
  <c r="C6409" i="1"/>
  <c r="D6409" i="1"/>
  <c r="A6410" i="1"/>
  <c r="B6410" i="1"/>
  <c r="C6410" i="1"/>
  <c r="D6410" i="1"/>
  <c r="A6411" i="1"/>
  <c r="B6411" i="1"/>
  <c r="C6411" i="1"/>
  <c r="D6411" i="1"/>
  <c r="A6412" i="1"/>
  <c r="B6412" i="1"/>
  <c r="C6412" i="1"/>
  <c r="D6412" i="1"/>
  <c r="A6413" i="1"/>
  <c r="B6413" i="1"/>
  <c r="C6413" i="1"/>
  <c r="D6413" i="1"/>
  <c r="A6414" i="1"/>
  <c r="B6414" i="1"/>
  <c r="C6414" i="1"/>
  <c r="D6414" i="1"/>
  <c r="A6415" i="1"/>
  <c r="B6415" i="1"/>
  <c r="C6415" i="1"/>
  <c r="D6415" i="1"/>
  <c r="A6416" i="1"/>
  <c r="B6416" i="1"/>
  <c r="C6416" i="1"/>
  <c r="D6416" i="1"/>
  <c r="A6417" i="1"/>
  <c r="B6417" i="1"/>
  <c r="C6417" i="1"/>
  <c r="D6417" i="1"/>
  <c r="A6418" i="1"/>
  <c r="B6418" i="1"/>
  <c r="C6418" i="1"/>
  <c r="D6418" i="1"/>
  <c r="A6419" i="1"/>
  <c r="B6419" i="1"/>
  <c r="C6419" i="1"/>
  <c r="D6419" i="1"/>
  <c r="A6420" i="1"/>
  <c r="B6420" i="1"/>
  <c r="C6420" i="1"/>
  <c r="D6420" i="1"/>
  <c r="A6421" i="1"/>
  <c r="B6421" i="1"/>
  <c r="C6421" i="1"/>
  <c r="D6421" i="1"/>
  <c r="A6422" i="1"/>
  <c r="B6422" i="1"/>
  <c r="C6422" i="1"/>
  <c r="D6422" i="1"/>
  <c r="A6423" i="1"/>
  <c r="B6423" i="1"/>
  <c r="C6423" i="1"/>
  <c r="D6423" i="1"/>
  <c r="A6424" i="1"/>
  <c r="B6424" i="1"/>
  <c r="C6424" i="1"/>
  <c r="D6424" i="1"/>
  <c r="A6425" i="1"/>
  <c r="B6425" i="1"/>
  <c r="C6425" i="1"/>
  <c r="D6425" i="1"/>
  <c r="A6426" i="1"/>
  <c r="B6426" i="1"/>
  <c r="C6426" i="1"/>
  <c r="D6426" i="1"/>
  <c r="A6427" i="1"/>
  <c r="B6427" i="1"/>
  <c r="C6427" i="1"/>
  <c r="A6428" i="1"/>
  <c r="B6428" i="1"/>
  <c r="C6428" i="1"/>
  <c r="D6428" i="1"/>
  <c r="A6429" i="1"/>
  <c r="B6429" i="1"/>
  <c r="C6429" i="1"/>
  <c r="D6429" i="1"/>
  <c r="A6430" i="1"/>
  <c r="B6430" i="1"/>
  <c r="C6430" i="1"/>
  <c r="D6430" i="1"/>
  <c r="A6431" i="1"/>
  <c r="B6431" i="1"/>
  <c r="C6431" i="1"/>
  <c r="D6431" i="1"/>
  <c r="A6432" i="1"/>
  <c r="B6432" i="1"/>
  <c r="C6432" i="1"/>
  <c r="D6432" i="1"/>
  <c r="A6433" i="1"/>
  <c r="B6433" i="1"/>
  <c r="C6433" i="1"/>
  <c r="D6433" i="1"/>
  <c r="A6434" i="1"/>
  <c r="B6434" i="1"/>
  <c r="C6434" i="1"/>
  <c r="D6434" i="1"/>
  <c r="A6435" i="1"/>
  <c r="B6435" i="1"/>
  <c r="C6435" i="1"/>
  <c r="D6435" i="1"/>
  <c r="A6436" i="1"/>
  <c r="B6436" i="1"/>
  <c r="C6436" i="1"/>
  <c r="D6436" i="1"/>
  <c r="A6437" i="1"/>
  <c r="B6437" i="1"/>
  <c r="C6437" i="1"/>
  <c r="D6437" i="1"/>
  <c r="A6438" i="1"/>
  <c r="B6438" i="1"/>
  <c r="C6438" i="1"/>
  <c r="D6438" i="1"/>
  <c r="A6439" i="1"/>
  <c r="B6439" i="1"/>
  <c r="C6439" i="1"/>
  <c r="D6439" i="1"/>
  <c r="A6440" i="1"/>
  <c r="B6440" i="1"/>
  <c r="C6440" i="1"/>
  <c r="D6440" i="1"/>
  <c r="A6441" i="1"/>
  <c r="B6441" i="1"/>
  <c r="C6441" i="1"/>
  <c r="D6441" i="1"/>
  <c r="A6442" i="1"/>
  <c r="B6442" i="1"/>
  <c r="C6442" i="1"/>
  <c r="D6442" i="1"/>
  <c r="A6443" i="1"/>
  <c r="B6443" i="1"/>
  <c r="C6443" i="1"/>
  <c r="D6443" i="1"/>
  <c r="A6444" i="1"/>
  <c r="B6444" i="1"/>
  <c r="C6444" i="1"/>
  <c r="D6444" i="1"/>
  <c r="A6445" i="1"/>
  <c r="B6445" i="1"/>
  <c r="C6445" i="1"/>
  <c r="D6445" i="1"/>
  <c r="A6446" i="1"/>
  <c r="B6446" i="1"/>
  <c r="C6446" i="1"/>
  <c r="D6446" i="1"/>
  <c r="A6447" i="1"/>
  <c r="B6447" i="1"/>
  <c r="C6447" i="1"/>
  <c r="D6447" i="1"/>
  <c r="A6448" i="1"/>
  <c r="B6448" i="1"/>
  <c r="C6448" i="1"/>
  <c r="D6448" i="1"/>
  <c r="A6449" i="1"/>
  <c r="B6449" i="1"/>
  <c r="C6449" i="1"/>
  <c r="D6449" i="1"/>
  <c r="A6450" i="1"/>
  <c r="B6450" i="1"/>
  <c r="C6450" i="1"/>
  <c r="D6450" i="1"/>
  <c r="A6451" i="1"/>
  <c r="B6451" i="1"/>
  <c r="C6451" i="1"/>
  <c r="D6451" i="1"/>
  <c r="A6452" i="1"/>
  <c r="B6452" i="1"/>
  <c r="C6452" i="1"/>
  <c r="D6452" i="1"/>
  <c r="A6453" i="1"/>
  <c r="B6453" i="1"/>
  <c r="C6453" i="1"/>
  <c r="D6453" i="1"/>
  <c r="A6454" i="1"/>
  <c r="B6454" i="1"/>
  <c r="C6454" i="1"/>
  <c r="D6454" i="1"/>
  <c r="A6455" i="1"/>
  <c r="B6455" i="1"/>
  <c r="C6455" i="1"/>
  <c r="D6455" i="1"/>
  <c r="A6456" i="1"/>
  <c r="B6456" i="1"/>
  <c r="C6456" i="1"/>
  <c r="D6456" i="1"/>
  <c r="A6457" i="1"/>
  <c r="B6457" i="1"/>
  <c r="C6457" i="1"/>
  <c r="D6457" i="1"/>
  <c r="A6458" i="1"/>
  <c r="B6458" i="1"/>
  <c r="C6458" i="1"/>
  <c r="D6458" i="1"/>
  <c r="A6459" i="1"/>
  <c r="B6459" i="1"/>
  <c r="C6459" i="1"/>
  <c r="D6459" i="1"/>
  <c r="A6460" i="1"/>
  <c r="B6460" i="1"/>
  <c r="C6460" i="1"/>
  <c r="D6460" i="1"/>
  <c r="A6461" i="1"/>
  <c r="B6461" i="1"/>
  <c r="C6461" i="1"/>
  <c r="D6461" i="1"/>
  <c r="A6462" i="1"/>
  <c r="B6462" i="1"/>
  <c r="C6462" i="1"/>
  <c r="D6462" i="1"/>
  <c r="A6463" i="1"/>
  <c r="B6463" i="1"/>
  <c r="C6463" i="1"/>
  <c r="D6463" i="1"/>
  <c r="A6464" i="1"/>
  <c r="B6464" i="1"/>
  <c r="C6464" i="1"/>
  <c r="D6464" i="1"/>
  <c r="A6465" i="1"/>
  <c r="B6465" i="1"/>
  <c r="C6465" i="1"/>
  <c r="D6465" i="1"/>
  <c r="A6466" i="1"/>
  <c r="B6466" i="1"/>
  <c r="C6466" i="1"/>
  <c r="D6466" i="1"/>
  <c r="A6467" i="1"/>
  <c r="B6467" i="1"/>
  <c r="C6467" i="1"/>
  <c r="D6467" i="1"/>
  <c r="A6468" i="1"/>
  <c r="B6468" i="1"/>
  <c r="C6468" i="1"/>
  <c r="D6468" i="1"/>
  <c r="A6469" i="1"/>
  <c r="B6469" i="1"/>
  <c r="C6469" i="1"/>
  <c r="D6469" i="1"/>
  <c r="A6470" i="1"/>
  <c r="B6470" i="1"/>
  <c r="C6470" i="1"/>
  <c r="D6470" i="1"/>
  <c r="A6471" i="1"/>
  <c r="B6471" i="1"/>
  <c r="C6471" i="1"/>
  <c r="D6471" i="1"/>
  <c r="A6472" i="1"/>
  <c r="B6472" i="1"/>
  <c r="C6472" i="1"/>
  <c r="D6472" i="1"/>
  <c r="A6473" i="1"/>
  <c r="B6473" i="1"/>
  <c r="C6473" i="1"/>
  <c r="D6473" i="1"/>
  <c r="A6474" i="1"/>
  <c r="B6474" i="1"/>
  <c r="C6474" i="1"/>
  <c r="D6474" i="1"/>
  <c r="A6475" i="1"/>
  <c r="B6475" i="1"/>
  <c r="C6475" i="1"/>
  <c r="D6475" i="1"/>
  <c r="A6476" i="1"/>
  <c r="B6476" i="1"/>
  <c r="C6476" i="1"/>
  <c r="D6476" i="1"/>
  <c r="A6477" i="1"/>
  <c r="B6477" i="1"/>
  <c r="C6477" i="1"/>
  <c r="D6477" i="1"/>
  <c r="A6478" i="1"/>
  <c r="B6478" i="1"/>
  <c r="C6478" i="1"/>
  <c r="D6478" i="1"/>
  <c r="A6479" i="1"/>
  <c r="B6479" i="1"/>
  <c r="C6479" i="1"/>
  <c r="D6479" i="1"/>
  <c r="A6480" i="1"/>
  <c r="B6480" i="1"/>
  <c r="C6480" i="1"/>
  <c r="D6480" i="1"/>
  <c r="A6481" i="1"/>
  <c r="B6481" i="1"/>
  <c r="C6481" i="1"/>
  <c r="D6481" i="1"/>
  <c r="A6482" i="1"/>
  <c r="B6482" i="1"/>
  <c r="C6482" i="1"/>
  <c r="D6482" i="1"/>
  <c r="A6483" i="1"/>
  <c r="B6483" i="1"/>
  <c r="C6483" i="1"/>
  <c r="A6484" i="1"/>
  <c r="B6484" i="1"/>
  <c r="C6484" i="1"/>
  <c r="D6484" i="1"/>
  <c r="A6485" i="1"/>
  <c r="B6485" i="1"/>
  <c r="C6485" i="1"/>
  <c r="D6485" i="1"/>
  <c r="A6486" i="1"/>
  <c r="B6486" i="1"/>
  <c r="C6486" i="1"/>
  <c r="D6486" i="1"/>
  <c r="A6487" i="1"/>
  <c r="B6487" i="1"/>
  <c r="C6487" i="1"/>
  <c r="D6487" i="1"/>
  <c r="A6488" i="1"/>
  <c r="B6488" i="1"/>
  <c r="C6488" i="1"/>
  <c r="D6488" i="1"/>
  <c r="A6489" i="1"/>
  <c r="B6489" i="1"/>
  <c r="C6489" i="1"/>
  <c r="D6489" i="1"/>
  <c r="A6490" i="1"/>
  <c r="B6490" i="1"/>
  <c r="C6490" i="1"/>
  <c r="D6490" i="1"/>
  <c r="A6491" i="1"/>
  <c r="B6491" i="1"/>
  <c r="C6491" i="1"/>
  <c r="D6491" i="1"/>
  <c r="A6492" i="1"/>
  <c r="B6492" i="1"/>
  <c r="C6492" i="1"/>
  <c r="D6492" i="1"/>
  <c r="A6493" i="1"/>
  <c r="B6493" i="1"/>
  <c r="C6493" i="1"/>
  <c r="D6493" i="1"/>
  <c r="A6494" i="1"/>
  <c r="B6494" i="1"/>
  <c r="C6494" i="1"/>
  <c r="D6494" i="1"/>
  <c r="A6495" i="1"/>
  <c r="B6495" i="1"/>
  <c r="C6495" i="1"/>
  <c r="D6495" i="1"/>
  <c r="A6496" i="1"/>
  <c r="B6496" i="1"/>
  <c r="C6496" i="1"/>
  <c r="D6496" i="1"/>
  <c r="A6497" i="1"/>
  <c r="B6497" i="1"/>
  <c r="C6497" i="1"/>
  <c r="D6497" i="1"/>
  <c r="A6498" i="1"/>
  <c r="B6498" i="1"/>
  <c r="C6498" i="1"/>
  <c r="D6498" i="1"/>
  <c r="A6499" i="1"/>
  <c r="B6499" i="1"/>
  <c r="C6499" i="1"/>
  <c r="D6499" i="1"/>
  <c r="A6500" i="1"/>
  <c r="B6500" i="1"/>
  <c r="C6500" i="1"/>
  <c r="D6500" i="1"/>
  <c r="A6501" i="1"/>
  <c r="B6501" i="1"/>
  <c r="C6501" i="1"/>
  <c r="D6501" i="1"/>
  <c r="A6502" i="1"/>
  <c r="B6502" i="1"/>
  <c r="C6502" i="1"/>
  <c r="D6502" i="1"/>
  <c r="A6503" i="1"/>
  <c r="B6503" i="1"/>
  <c r="C6503" i="1"/>
  <c r="D6503" i="1"/>
  <c r="A6504" i="1"/>
  <c r="B6504" i="1"/>
  <c r="C6504" i="1"/>
  <c r="D6504" i="1"/>
  <c r="A6505" i="1"/>
  <c r="B6505" i="1"/>
  <c r="C6505" i="1"/>
  <c r="D6505" i="1"/>
  <c r="A6506" i="1"/>
  <c r="B6506" i="1"/>
  <c r="C6506" i="1"/>
  <c r="D6506" i="1"/>
  <c r="A6507" i="1"/>
  <c r="B6507" i="1"/>
  <c r="C6507" i="1"/>
  <c r="D6507" i="1"/>
  <c r="A6508" i="1"/>
  <c r="B6508" i="1"/>
  <c r="C6508" i="1"/>
  <c r="D6508" i="1"/>
  <c r="A6509" i="1"/>
  <c r="B6509" i="1"/>
  <c r="C6509" i="1"/>
  <c r="D6509" i="1"/>
  <c r="A6510" i="1"/>
  <c r="B6510" i="1"/>
  <c r="C6510" i="1"/>
  <c r="D6510" i="1"/>
  <c r="A6511" i="1"/>
  <c r="B6511" i="1"/>
  <c r="C6511" i="1"/>
  <c r="D6511" i="1"/>
  <c r="A6512" i="1"/>
  <c r="B6512" i="1"/>
  <c r="C6512" i="1"/>
  <c r="D6512" i="1"/>
  <c r="A6513" i="1"/>
  <c r="B6513" i="1"/>
  <c r="C6513" i="1"/>
  <c r="D6513" i="1"/>
  <c r="A6514" i="1"/>
  <c r="B6514" i="1"/>
  <c r="C6514" i="1"/>
  <c r="D6514" i="1"/>
  <c r="A6515" i="1"/>
  <c r="B6515" i="1"/>
  <c r="C6515" i="1"/>
  <c r="D6515" i="1"/>
  <c r="A6516" i="1"/>
  <c r="B6516" i="1"/>
  <c r="C6516" i="1"/>
  <c r="D6516" i="1"/>
  <c r="A6517" i="1"/>
  <c r="B6517" i="1"/>
  <c r="C6517" i="1"/>
  <c r="D6517" i="1"/>
  <c r="A6518" i="1"/>
  <c r="B6518" i="1"/>
  <c r="C6518" i="1"/>
  <c r="D6518" i="1"/>
  <c r="A6519" i="1"/>
  <c r="B6519" i="1"/>
  <c r="C6519" i="1"/>
  <c r="D6519" i="1"/>
  <c r="A6520" i="1"/>
  <c r="B6520" i="1"/>
  <c r="C6520" i="1"/>
  <c r="D6520" i="1"/>
  <c r="A6521" i="1"/>
  <c r="B6521" i="1"/>
  <c r="C6521" i="1"/>
  <c r="D6521" i="1"/>
  <c r="A6522" i="1"/>
  <c r="B6522" i="1"/>
  <c r="C6522" i="1"/>
  <c r="D6522" i="1"/>
  <c r="A6523" i="1"/>
  <c r="B6523" i="1"/>
  <c r="C6523" i="1"/>
  <c r="D6523" i="1"/>
  <c r="A6524" i="1"/>
  <c r="B6524" i="1"/>
  <c r="C6524" i="1"/>
  <c r="D6524" i="1"/>
  <c r="A6525" i="1"/>
  <c r="B6525" i="1"/>
  <c r="C6525" i="1"/>
  <c r="D6525" i="1"/>
  <c r="A6526" i="1"/>
  <c r="B6526" i="1"/>
  <c r="C6526" i="1"/>
  <c r="D6526" i="1"/>
  <c r="A6527" i="1"/>
  <c r="B6527" i="1"/>
  <c r="C6527" i="1"/>
  <c r="D6527" i="1"/>
  <c r="A6528" i="1"/>
  <c r="B6528" i="1"/>
  <c r="C6528" i="1"/>
  <c r="D6528" i="1"/>
  <c r="A6529" i="1"/>
  <c r="B6529" i="1"/>
  <c r="C6529" i="1"/>
  <c r="D6529" i="1"/>
  <c r="A6530" i="1"/>
  <c r="B6530" i="1"/>
  <c r="C6530" i="1"/>
  <c r="D6530" i="1"/>
  <c r="A6531" i="1"/>
  <c r="B6531" i="1"/>
  <c r="C6531" i="1"/>
  <c r="D6531" i="1"/>
  <c r="A6532" i="1"/>
  <c r="B6532" i="1"/>
  <c r="C6532" i="1"/>
  <c r="D6532" i="1"/>
  <c r="A6533" i="1"/>
  <c r="B6533" i="1"/>
  <c r="C6533" i="1"/>
  <c r="D6533" i="1"/>
  <c r="A6534" i="1"/>
  <c r="B6534" i="1"/>
  <c r="C6534" i="1"/>
  <c r="D6534" i="1"/>
  <c r="A6535" i="1"/>
  <c r="B6535" i="1"/>
  <c r="C6535" i="1"/>
  <c r="D6535" i="1"/>
  <c r="A6536" i="1"/>
  <c r="B6536" i="1"/>
  <c r="C6536" i="1"/>
  <c r="D6536" i="1"/>
  <c r="A6537" i="1"/>
  <c r="B6537" i="1"/>
  <c r="C6537" i="1"/>
  <c r="D6537" i="1"/>
  <c r="A6538" i="1"/>
  <c r="B6538" i="1"/>
  <c r="C6538" i="1"/>
  <c r="D6538" i="1"/>
  <c r="A6539" i="1"/>
  <c r="B6539" i="1"/>
  <c r="C6539" i="1"/>
  <c r="D6539" i="1"/>
  <c r="A6540" i="1"/>
  <c r="B6540" i="1"/>
  <c r="C6540" i="1"/>
  <c r="D6540" i="1"/>
  <c r="A6541" i="1"/>
  <c r="B6541" i="1"/>
  <c r="C6541" i="1"/>
  <c r="D6541" i="1"/>
  <c r="A6542" i="1"/>
  <c r="B6542" i="1"/>
  <c r="C6542" i="1"/>
  <c r="D6542" i="1"/>
  <c r="A6543" i="1"/>
  <c r="B6543" i="1"/>
  <c r="C6543" i="1"/>
  <c r="D6543" i="1"/>
  <c r="A6544" i="1"/>
  <c r="B6544" i="1"/>
  <c r="C6544" i="1"/>
  <c r="D6544" i="1"/>
  <c r="A6545" i="1"/>
  <c r="B6545" i="1"/>
  <c r="C6545" i="1"/>
  <c r="D6545" i="1"/>
  <c r="A6546" i="1"/>
  <c r="B6546" i="1"/>
  <c r="C6546" i="1"/>
  <c r="D6546" i="1"/>
  <c r="A6547" i="1"/>
  <c r="B6547" i="1"/>
  <c r="C6547" i="1"/>
  <c r="D6547" i="1"/>
  <c r="A6548" i="1"/>
  <c r="B6548" i="1"/>
  <c r="C6548" i="1"/>
  <c r="D6548" i="1"/>
  <c r="A6549" i="1"/>
  <c r="B6549" i="1"/>
  <c r="C6549" i="1"/>
  <c r="D6549" i="1"/>
  <c r="A6550" i="1"/>
  <c r="B6550" i="1"/>
  <c r="C6550" i="1"/>
  <c r="D6550" i="1"/>
  <c r="A6551" i="1"/>
  <c r="B6551" i="1"/>
  <c r="C6551" i="1"/>
  <c r="D6551" i="1"/>
  <c r="A6552" i="1"/>
  <c r="B6552" i="1"/>
  <c r="C6552" i="1"/>
  <c r="D6552" i="1"/>
  <c r="A6553" i="1"/>
  <c r="B6553" i="1"/>
  <c r="C6553" i="1"/>
  <c r="A6554" i="1"/>
  <c r="B6554" i="1"/>
  <c r="C6554" i="1"/>
  <c r="D6554" i="1"/>
  <c r="A6555" i="1"/>
  <c r="B6555" i="1"/>
  <c r="C6555" i="1"/>
  <c r="D6555" i="1"/>
  <c r="A6556" i="1"/>
  <c r="B6556" i="1"/>
  <c r="C6556" i="1"/>
  <c r="D6556" i="1"/>
  <c r="A6557" i="1"/>
  <c r="B6557" i="1"/>
  <c r="C6557" i="1"/>
  <c r="D6557" i="1"/>
  <c r="A6558" i="1"/>
  <c r="B6558" i="1"/>
  <c r="C6558" i="1"/>
  <c r="D6558" i="1"/>
  <c r="A6559" i="1"/>
  <c r="B6559" i="1"/>
  <c r="C6559" i="1"/>
  <c r="D6559" i="1"/>
  <c r="A6560" i="1"/>
  <c r="B6560" i="1"/>
  <c r="C6560" i="1"/>
  <c r="D6560" i="1"/>
  <c r="A6561" i="1"/>
  <c r="B6561" i="1"/>
  <c r="C6561" i="1"/>
  <c r="D6561" i="1"/>
  <c r="A6562" i="1"/>
  <c r="B6562" i="1"/>
  <c r="C6562" i="1"/>
  <c r="D6562" i="1"/>
  <c r="A6563" i="1"/>
  <c r="B6563" i="1"/>
  <c r="C6563" i="1"/>
  <c r="D6563" i="1"/>
  <c r="A6564" i="1"/>
  <c r="B6564" i="1"/>
  <c r="C6564" i="1"/>
  <c r="D6564" i="1"/>
  <c r="A6565" i="1"/>
  <c r="B6565" i="1"/>
  <c r="C6565" i="1"/>
  <c r="D6565" i="1"/>
  <c r="A6566" i="1"/>
  <c r="B6566" i="1"/>
  <c r="C6566" i="1"/>
  <c r="D6566" i="1"/>
  <c r="A6567" i="1"/>
  <c r="B6567" i="1"/>
  <c r="C6567" i="1"/>
  <c r="D6567" i="1"/>
  <c r="A6568" i="1"/>
  <c r="B6568" i="1"/>
  <c r="C6568" i="1"/>
  <c r="D6568" i="1"/>
  <c r="A6569" i="1"/>
  <c r="B6569" i="1"/>
  <c r="C6569" i="1"/>
  <c r="D6569" i="1"/>
  <c r="A6570" i="1"/>
  <c r="B6570" i="1"/>
  <c r="C6570" i="1"/>
  <c r="D6570" i="1"/>
  <c r="A6571" i="1"/>
  <c r="B6571" i="1"/>
  <c r="C6571" i="1"/>
  <c r="D6571" i="1"/>
  <c r="A6572" i="1"/>
  <c r="B6572" i="1"/>
  <c r="C6572" i="1"/>
  <c r="D6572" i="1"/>
  <c r="A6573" i="1"/>
  <c r="B6573" i="1"/>
  <c r="C6573" i="1"/>
  <c r="D6573" i="1"/>
  <c r="A6574" i="1"/>
  <c r="B6574" i="1"/>
  <c r="C6574" i="1"/>
  <c r="D6574" i="1"/>
  <c r="A6575" i="1"/>
  <c r="B6575" i="1"/>
  <c r="C6575" i="1"/>
  <c r="D6575" i="1"/>
  <c r="A6576" i="1"/>
  <c r="B6576" i="1"/>
  <c r="C6576" i="1"/>
  <c r="D6576" i="1"/>
  <c r="A6577" i="1"/>
  <c r="B6577" i="1"/>
  <c r="C6577" i="1"/>
  <c r="D6577" i="1"/>
  <c r="A6578" i="1"/>
  <c r="B6578" i="1"/>
  <c r="C6578" i="1"/>
  <c r="D6578" i="1"/>
  <c r="A6579" i="1"/>
  <c r="B6579" i="1"/>
  <c r="C6579" i="1"/>
  <c r="D6579" i="1"/>
  <c r="A6580" i="1"/>
  <c r="B6580" i="1"/>
  <c r="C6580" i="1"/>
  <c r="D6580" i="1"/>
  <c r="A6581" i="1"/>
  <c r="B6581" i="1"/>
  <c r="C6581" i="1"/>
  <c r="D6581" i="1"/>
  <c r="A6582" i="1"/>
  <c r="B6582" i="1"/>
  <c r="C6582" i="1"/>
  <c r="D6582" i="1"/>
  <c r="A6583" i="1"/>
  <c r="B6583" i="1"/>
  <c r="C6583" i="1"/>
  <c r="D6583" i="1"/>
  <c r="A6584" i="1"/>
  <c r="B6584" i="1"/>
  <c r="C6584" i="1"/>
  <c r="D6584" i="1"/>
  <c r="A6585" i="1"/>
  <c r="B6585" i="1"/>
  <c r="C6585" i="1"/>
  <c r="D6585" i="1"/>
  <c r="A6586" i="1"/>
  <c r="B6586" i="1"/>
  <c r="C6586" i="1"/>
  <c r="D6586" i="1"/>
  <c r="A6587" i="1"/>
  <c r="B6587" i="1"/>
  <c r="C6587" i="1"/>
  <c r="D6587" i="1"/>
  <c r="A6588" i="1"/>
  <c r="B6588" i="1"/>
  <c r="C6588" i="1"/>
  <c r="D6588" i="1"/>
  <c r="A6589" i="1"/>
  <c r="B6589" i="1"/>
  <c r="C6589" i="1"/>
  <c r="D6589" i="1"/>
  <c r="A6590" i="1"/>
  <c r="B6590" i="1"/>
  <c r="C6590" i="1"/>
  <c r="D6590" i="1"/>
  <c r="A6591" i="1"/>
  <c r="B6591" i="1"/>
  <c r="C6591" i="1"/>
  <c r="D6591" i="1"/>
  <c r="A6592" i="1"/>
  <c r="B6592" i="1"/>
  <c r="C6592" i="1"/>
  <c r="D6592" i="1"/>
  <c r="A6593" i="1"/>
  <c r="B6593" i="1"/>
  <c r="C6593" i="1"/>
  <c r="D6593" i="1"/>
  <c r="A6594" i="1"/>
  <c r="B6594" i="1"/>
  <c r="C6594" i="1"/>
  <c r="D6594" i="1"/>
  <c r="A6595" i="1"/>
  <c r="B6595" i="1"/>
  <c r="C6595" i="1"/>
  <c r="D6595" i="1"/>
  <c r="A6596" i="1"/>
  <c r="B6596" i="1"/>
  <c r="C6596" i="1"/>
  <c r="D6596" i="1"/>
  <c r="A6597" i="1"/>
  <c r="B6597" i="1"/>
  <c r="C6597" i="1"/>
  <c r="D6597" i="1"/>
  <c r="A6598" i="1"/>
  <c r="B6598" i="1"/>
  <c r="C6598" i="1"/>
  <c r="D6598" i="1"/>
  <c r="A6599" i="1"/>
  <c r="B6599" i="1"/>
  <c r="C6599" i="1"/>
  <c r="D6599" i="1"/>
  <c r="A6600" i="1"/>
  <c r="B6600" i="1"/>
  <c r="C6600" i="1"/>
  <c r="D6600" i="1"/>
  <c r="A6601" i="1"/>
  <c r="B6601" i="1"/>
  <c r="C6601" i="1"/>
  <c r="D6601" i="1"/>
  <c r="A6602" i="1"/>
  <c r="B6602" i="1"/>
  <c r="C6602" i="1"/>
  <c r="D6602" i="1"/>
  <c r="A6603" i="1"/>
  <c r="B6603" i="1"/>
  <c r="C6603" i="1"/>
  <c r="D6603" i="1"/>
  <c r="A6604" i="1"/>
  <c r="B6604" i="1"/>
  <c r="C6604" i="1"/>
  <c r="D6604" i="1"/>
  <c r="A6605" i="1"/>
  <c r="B6605" i="1"/>
  <c r="C6605" i="1"/>
  <c r="D6605" i="1"/>
  <c r="A6606" i="1"/>
  <c r="B6606" i="1"/>
  <c r="C6606" i="1"/>
  <c r="D6606" i="1"/>
  <c r="A6607" i="1"/>
  <c r="B6607" i="1"/>
  <c r="C6607" i="1"/>
  <c r="D6607" i="1"/>
  <c r="A6608" i="1"/>
  <c r="B6608" i="1"/>
  <c r="C6608" i="1"/>
  <c r="D6608" i="1"/>
  <c r="A6609" i="1"/>
  <c r="B6609" i="1"/>
  <c r="C6609" i="1"/>
  <c r="D6609" i="1"/>
  <c r="A6610" i="1"/>
  <c r="B6610" i="1"/>
  <c r="C6610" i="1"/>
  <c r="D6610" i="1"/>
  <c r="A6611" i="1"/>
  <c r="B6611" i="1"/>
  <c r="C6611" i="1"/>
  <c r="D6611" i="1"/>
  <c r="A6612" i="1"/>
  <c r="B6612" i="1"/>
  <c r="C6612" i="1"/>
  <c r="D6612" i="1"/>
  <c r="A6613" i="1"/>
  <c r="B6613" i="1"/>
  <c r="C6613" i="1"/>
  <c r="D6613" i="1"/>
  <c r="A6614" i="1"/>
  <c r="B6614" i="1"/>
  <c r="C6614" i="1"/>
  <c r="D6614" i="1"/>
  <c r="A6615" i="1"/>
  <c r="B6615" i="1"/>
  <c r="C6615" i="1"/>
  <c r="D6615" i="1"/>
  <c r="A6616" i="1"/>
  <c r="B6616" i="1"/>
  <c r="C6616" i="1"/>
  <c r="D6616" i="1"/>
  <c r="A6617" i="1"/>
  <c r="B6617" i="1"/>
  <c r="C6617" i="1"/>
  <c r="D6617" i="1"/>
  <c r="A6618" i="1"/>
  <c r="B6618" i="1"/>
  <c r="C6618" i="1"/>
  <c r="D6618" i="1"/>
  <c r="A6619" i="1"/>
  <c r="B6619" i="1"/>
  <c r="C6619" i="1"/>
  <c r="D6619" i="1"/>
  <c r="A6620" i="1"/>
  <c r="B6620" i="1"/>
  <c r="C6620" i="1"/>
  <c r="D6620" i="1"/>
  <c r="A6621" i="1"/>
  <c r="B6621" i="1"/>
  <c r="C6621" i="1"/>
  <c r="D6621" i="1"/>
  <c r="A6622" i="1"/>
  <c r="B6622" i="1"/>
  <c r="C6622" i="1"/>
  <c r="D6622" i="1"/>
  <c r="A6623" i="1"/>
  <c r="B6623" i="1"/>
  <c r="C6623" i="1"/>
  <c r="D6623" i="1"/>
  <c r="A6624" i="1"/>
  <c r="B6624" i="1"/>
  <c r="C6624" i="1"/>
  <c r="D6624" i="1"/>
  <c r="A6625" i="1"/>
  <c r="B6625" i="1"/>
  <c r="C6625" i="1"/>
  <c r="D6625" i="1"/>
  <c r="A6626" i="1"/>
  <c r="B6626" i="1"/>
  <c r="C6626" i="1"/>
  <c r="D6626" i="1"/>
  <c r="A6627" i="1"/>
  <c r="B6627" i="1"/>
  <c r="C6627" i="1"/>
  <c r="D6627" i="1"/>
  <c r="A6628" i="1"/>
  <c r="B6628" i="1"/>
  <c r="C6628" i="1"/>
  <c r="D6628" i="1"/>
  <c r="A6629" i="1"/>
  <c r="B6629" i="1"/>
  <c r="C6629" i="1"/>
  <c r="D6629" i="1"/>
  <c r="A6630" i="1"/>
  <c r="B6630" i="1"/>
  <c r="C6630" i="1"/>
  <c r="D6630" i="1"/>
  <c r="A6631" i="1"/>
  <c r="B6631" i="1"/>
  <c r="C6631" i="1"/>
  <c r="D6631" i="1"/>
  <c r="A6632" i="1"/>
  <c r="B6632" i="1"/>
  <c r="C6632" i="1"/>
  <c r="D6632" i="1"/>
  <c r="A6633" i="1"/>
  <c r="B6633" i="1"/>
  <c r="C6633" i="1"/>
  <c r="D6633" i="1"/>
  <c r="A6634" i="1"/>
  <c r="B6634" i="1"/>
  <c r="C6634" i="1"/>
  <c r="D6634" i="1"/>
  <c r="A6635" i="1"/>
  <c r="B6635" i="1"/>
  <c r="C6635" i="1"/>
  <c r="D6635" i="1"/>
  <c r="A6636" i="1"/>
  <c r="B6636" i="1"/>
  <c r="C6636" i="1"/>
  <c r="D6636" i="1"/>
  <c r="A6637" i="1"/>
  <c r="B6637" i="1"/>
  <c r="C6637" i="1"/>
  <c r="D6637" i="1"/>
  <c r="A6638" i="1"/>
  <c r="B6638" i="1"/>
  <c r="C6638" i="1"/>
  <c r="D6638" i="1"/>
  <c r="A6639" i="1"/>
  <c r="B6639" i="1"/>
  <c r="C6639" i="1"/>
  <c r="D6639" i="1"/>
  <c r="A6640" i="1"/>
  <c r="B6640" i="1"/>
  <c r="C6640" i="1"/>
  <c r="D6640" i="1"/>
  <c r="A6641" i="1"/>
  <c r="B6641" i="1"/>
  <c r="C6641" i="1"/>
  <c r="D6641" i="1"/>
  <c r="A6642" i="1"/>
  <c r="B6642" i="1"/>
  <c r="C6642" i="1"/>
  <c r="D6642" i="1"/>
  <c r="A6643" i="1"/>
  <c r="B6643" i="1"/>
  <c r="C6643" i="1"/>
  <c r="D6643" i="1"/>
  <c r="A6644" i="1"/>
  <c r="B6644" i="1"/>
  <c r="C6644" i="1"/>
  <c r="D6644" i="1"/>
  <c r="A6645" i="1"/>
  <c r="B6645" i="1"/>
  <c r="C6645" i="1"/>
  <c r="D6645" i="1"/>
  <c r="A6646" i="1"/>
  <c r="B6646" i="1"/>
  <c r="C6646" i="1"/>
  <c r="D6646" i="1"/>
  <c r="A6647" i="1"/>
  <c r="B6647" i="1"/>
  <c r="C6647" i="1"/>
  <c r="D6647" i="1"/>
  <c r="A6648" i="1"/>
  <c r="B6648" i="1"/>
  <c r="C6648" i="1"/>
  <c r="D6648" i="1"/>
  <c r="A6649" i="1"/>
  <c r="B6649" i="1"/>
  <c r="C6649" i="1"/>
  <c r="D6649" i="1"/>
  <c r="A6650" i="1"/>
  <c r="B6650" i="1"/>
  <c r="C6650" i="1"/>
  <c r="D6650" i="1"/>
  <c r="A6651" i="1"/>
  <c r="B6651" i="1"/>
  <c r="C6651" i="1"/>
  <c r="D6651" i="1"/>
  <c r="A6652" i="1"/>
  <c r="B6652" i="1"/>
  <c r="C6652" i="1"/>
  <c r="D6652" i="1"/>
  <c r="A6653" i="1"/>
  <c r="B6653" i="1"/>
  <c r="C6653" i="1"/>
  <c r="D6653" i="1"/>
  <c r="A6654" i="1"/>
  <c r="B6654" i="1"/>
  <c r="C6654" i="1"/>
  <c r="D6654" i="1"/>
  <c r="A6655" i="1"/>
  <c r="B6655" i="1"/>
  <c r="C6655" i="1"/>
  <c r="D6655" i="1"/>
  <c r="A6656" i="1"/>
  <c r="B6656" i="1"/>
  <c r="C6656" i="1"/>
  <c r="D6656" i="1"/>
  <c r="A6657" i="1"/>
  <c r="B6657" i="1"/>
  <c r="C6657" i="1"/>
  <c r="D6657" i="1"/>
  <c r="A6658" i="1"/>
  <c r="B6658" i="1"/>
  <c r="C6658" i="1"/>
  <c r="D6658" i="1"/>
  <c r="A6659" i="1"/>
  <c r="B6659" i="1"/>
  <c r="C6659" i="1"/>
  <c r="D6659" i="1"/>
  <c r="A6660" i="1"/>
  <c r="B6660" i="1"/>
  <c r="C6660" i="1"/>
  <c r="D6660" i="1"/>
  <c r="A6661" i="1"/>
  <c r="B6661" i="1"/>
  <c r="C6661" i="1"/>
  <c r="D6661" i="1"/>
  <c r="A6662" i="1"/>
  <c r="B6662" i="1"/>
  <c r="C6662" i="1"/>
  <c r="D6662" i="1"/>
  <c r="A6663" i="1"/>
  <c r="B6663" i="1"/>
  <c r="C6663" i="1"/>
  <c r="D6663" i="1"/>
  <c r="A6664" i="1"/>
  <c r="B6664" i="1"/>
  <c r="C6664" i="1"/>
  <c r="D6664" i="1"/>
  <c r="A6665" i="1"/>
  <c r="B6665" i="1"/>
  <c r="C6665" i="1"/>
  <c r="D6665" i="1"/>
  <c r="A6666" i="1"/>
  <c r="B6666" i="1"/>
  <c r="C6666" i="1"/>
  <c r="D6666" i="1"/>
  <c r="A6667" i="1"/>
  <c r="B6667" i="1"/>
  <c r="C6667" i="1"/>
  <c r="D6667" i="1"/>
  <c r="A6668" i="1"/>
  <c r="B6668" i="1"/>
  <c r="C6668" i="1"/>
  <c r="D6668" i="1"/>
  <c r="A6669" i="1"/>
  <c r="B6669" i="1"/>
  <c r="C6669" i="1"/>
  <c r="D6669" i="1"/>
  <c r="A6670" i="1"/>
  <c r="B6670" i="1"/>
  <c r="C6670" i="1"/>
  <c r="D6670" i="1"/>
  <c r="A6671" i="1"/>
  <c r="B6671" i="1"/>
  <c r="C6671" i="1"/>
  <c r="D6671" i="1"/>
  <c r="A6672" i="1"/>
  <c r="B6672" i="1"/>
  <c r="C6672" i="1"/>
  <c r="D6672" i="1"/>
  <c r="A6673" i="1"/>
  <c r="B6673" i="1"/>
  <c r="C6673" i="1"/>
  <c r="D6673" i="1"/>
  <c r="A6674" i="1"/>
  <c r="B6674" i="1"/>
  <c r="C6674" i="1"/>
  <c r="D6674" i="1"/>
  <c r="A6675" i="1"/>
  <c r="B6675" i="1"/>
  <c r="C6675" i="1"/>
  <c r="D6675" i="1"/>
  <c r="A6676" i="1"/>
  <c r="B6676" i="1"/>
  <c r="C6676" i="1"/>
  <c r="D6676" i="1"/>
  <c r="A6677" i="1"/>
  <c r="B6677" i="1"/>
  <c r="C6677" i="1"/>
  <c r="D6677" i="1"/>
  <c r="A6678" i="1"/>
  <c r="B6678" i="1"/>
  <c r="C6678" i="1"/>
  <c r="D6678" i="1"/>
  <c r="A6679" i="1"/>
  <c r="B6679" i="1"/>
  <c r="C6679" i="1"/>
  <c r="D6679" i="1"/>
  <c r="A6680" i="1"/>
  <c r="B6680" i="1"/>
  <c r="C6680" i="1"/>
  <c r="D6680" i="1"/>
  <c r="A6681" i="1"/>
  <c r="B6681" i="1"/>
  <c r="C6681" i="1"/>
  <c r="D6681" i="1"/>
  <c r="A6682" i="1"/>
  <c r="B6682" i="1"/>
  <c r="C6682" i="1"/>
  <c r="D6682" i="1"/>
  <c r="A6683" i="1"/>
  <c r="B6683" i="1"/>
  <c r="C6683" i="1"/>
  <c r="D6683" i="1"/>
  <c r="A6684" i="1"/>
  <c r="B6684" i="1"/>
  <c r="C6684" i="1"/>
  <c r="D6684" i="1"/>
  <c r="A6685" i="1"/>
  <c r="B6685" i="1"/>
  <c r="C6685" i="1"/>
  <c r="D6685" i="1"/>
  <c r="A6686" i="1"/>
  <c r="B6686" i="1"/>
  <c r="C6686" i="1"/>
  <c r="D6686" i="1"/>
  <c r="A6687" i="1"/>
  <c r="B6687" i="1"/>
  <c r="C6687" i="1"/>
  <c r="D6687" i="1"/>
  <c r="A6688" i="1"/>
  <c r="B6688" i="1"/>
  <c r="C6688" i="1"/>
  <c r="D6688" i="1"/>
  <c r="A6689" i="1"/>
  <c r="B6689" i="1"/>
  <c r="C6689" i="1"/>
  <c r="D6689" i="1"/>
  <c r="A6690" i="1"/>
  <c r="B6690" i="1"/>
  <c r="C6690" i="1"/>
  <c r="D6690" i="1"/>
  <c r="A6691" i="1"/>
  <c r="B6691" i="1"/>
  <c r="C6691" i="1"/>
  <c r="D6691" i="1"/>
  <c r="A6692" i="1"/>
  <c r="B6692" i="1"/>
  <c r="C6692" i="1"/>
  <c r="D6692" i="1"/>
  <c r="A6693" i="1"/>
  <c r="B6693" i="1"/>
  <c r="C6693" i="1"/>
  <c r="D6693" i="1"/>
  <c r="A6694" i="1"/>
  <c r="B6694" i="1"/>
  <c r="C6694" i="1"/>
  <c r="D6694" i="1"/>
  <c r="A6695" i="1"/>
  <c r="B6695" i="1"/>
  <c r="C6695" i="1"/>
  <c r="D6695" i="1"/>
  <c r="A6696" i="1"/>
  <c r="B6696" i="1"/>
  <c r="C6696" i="1"/>
  <c r="D6696" i="1"/>
  <c r="A6697" i="1"/>
  <c r="B6697" i="1"/>
  <c r="C6697" i="1"/>
  <c r="D6697" i="1"/>
  <c r="A6698" i="1"/>
  <c r="B6698" i="1"/>
  <c r="C6698" i="1"/>
  <c r="D6698" i="1"/>
  <c r="A6699" i="1"/>
  <c r="B6699" i="1"/>
  <c r="C6699" i="1"/>
  <c r="D6699" i="1"/>
  <c r="A6700" i="1"/>
  <c r="B6700" i="1"/>
  <c r="C6700" i="1"/>
  <c r="D6700" i="1"/>
  <c r="A6701" i="1"/>
  <c r="B6701" i="1"/>
  <c r="C6701" i="1"/>
  <c r="D6701" i="1"/>
  <c r="A6702" i="1"/>
  <c r="B6702" i="1"/>
  <c r="C6702" i="1"/>
  <c r="D6702" i="1"/>
  <c r="A6703" i="1"/>
  <c r="B6703" i="1"/>
  <c r="C6703" i="1"/>
  <c r="D6703" i="1"/>
  <c r="A6704" i="1"/>
  <c r="B6704" i="1"/>
  <c r="C6704" i="1"/>
  <c r="D6704" i="1"/>
  <c r="A6705" i="1"/>
  <c r="B6705" i="1"/>
  <c r="C6705" i="1"/>
  <c r="D6705" i="1"/>
  <c r="A6706" i="1"/>
  <c r="B6706" i="1"/>
  <c r="C6706" i="1"/>
  <c r="D6706" i="1"/>
  <c r="A6707" i="1"/>
  <c r="B6707" i="1"/>
  <c r="C6707" i="1"/>
  <c r="D6707" i="1"/>
  <c r="A6708" i="1"/>
  <c r="B6708" i="1"/>
  <c r="C6708" i="1"/>
  <c r="D6708" i="1"/>
  <c r="A6709" i="1"/>
  <c r="B6709" i="1"/>
  <c r="C6709" i="1"/>
  <c r="D6709" i="1"/>
  <c r="A6710" i="1"/>
  <c r="B6710" i="1"/>
  <c r="C6710" i="1"/>
  <c r="D6710" i="1"/>
  <c r="A6711" i="1"/>
  <c r="B6711" i="1"/>
  <c r="C6711" i="1"/>
  <c r="D6711" i="1"/>
  <c r="A6712" i="1"/>
  <c r="B6712" i="1"/>
  <c r="C6712" i="1"/>
  <c r="D6712" i="1"/>
  <c r="A6713" i="1"/>
  <c r="B6713" i="1"/>
  <c r="C6713" i="1"/>
  <c r="D6713" i="1"/>
  <c r="A6714" i="1"/>
  <c r="B6714" i="1"/>
  <c r="C6714" i="1"/>
  <c r="D6714" i="1"/>
  <c r="A6715" i="1"/>
  <c r="B6715" i="1"/>
  <c r="C6715" i="1"/>
  <c r="D6715" i="1"/>
  <c r="A6716" i="1"/>
  <c r="B6716" i="1"/>
  <c r="C6716" i="1"/>
  <c r="D6716" i="1"/>
  <c r="A6717" i="1"/>
  <c r="B6717" i="1"/>
  <c r="C6717" i="1"/>
  <c r="D6717" i="1"/>
  <c r="A6718" i="1"/>
  <c r="B6718" i="1"/>
  <c r="C6718" i="1"/>
  <c r="D6718" i="1"/>
  <c r="A6719" i="1"/>
  <c r="B6719" i="1"/>
  <c r="C6719" i="1"/>
  <c r="D6719" i="1"/>
  <c r="A6720" i="1"/>
  <c r="B6720" i="1"/>
  <c r="C6720" i="1"/>
  <c r="D6720" i="1"/>
  <c r="A6721" i="1"/>
  <c r="B6721" i="1"/>
  <c r="C6721" i="1"/>
  <c r="D6721" i="1"/>
  <c r="A6722" i="1"/>
  <c r="B6722" i="1"/>
  <c r="C6722" i="1"/>
  <c r="D6722" i="1"/>
  <c r="A6723" i="1"/>
  <c r="B6723" i="1"/>
  <c r="C6723" i="1"/>
  <c r="D6723" i="1"/>
  <c r="A6724" i="1"/>
  <c r="B6724" i="1"/>
  <c r="C6724" i="1"/>
  <c r="D6724" i="1"/>
  <c r="A6725" i="1"/>
  <c r="B6725" i="1"/>
  <c r="C6725" i="1"/>
  <c r="D6725" i="1"/>
  <c r="A6726" i="1"/>
  <c r="B6726" i="1"/>
  <c r="C6726" i="1"/>
  <c r="D6726" i="1"/>
  <c r="A6727" i="1"/>
  <c r="B6727" i="1"/>
  <c r="C6727" i="1"/>
  <c r="D6727" i="1"/>
  <c r="A6728" i="1"/>
  <c r="B6728" i="1"/>
  <c r="C6728" i="1"/>
  <c r="D6728" i="1"/>
  <c r="A6729" i="1"/>
  <c r="B6729" i="1"/>
  <c r="C6729" i="1"/>
  <c r="D6729" i="1"/>
  <c r="A6730" i="1"/>
  <c r="B6730" i="1"/>
  <c r="C6730" i="1"/>
  <c r="D6730" i="1"/>
  <c r="A6731" i="1"/>
  <c r="B6731" i="1"/>
  <c r="C6731" i="1"/>
  <c r="D6731" i="1"/>
  <c r="A6732" i="1"/>
  <c r="B6732" i="1"/>
  <c r="C6732" i="1"/>
  <c r="D6732" i="1"/>
  <c r="A6733" i="1"/>
  <c r="B6733" i="1"/>
  <c r="C6733" i="1"/>
  <c r="D6733" i="1"/>
  <c r="A6734" i="1"/>
  <c r="B6734" i="1"/>
  <c r="C6734" i="1"/>
  <c r="D6734" i="1"/>
  <c r="A6735" i="1"/>
  <c r="B6735" i="1"/>
  <c r="C6735" i="1"/>
  <c r="D6735" i="1"/>
  <c r="A6736" i="1"/>
  <c r="B6736" i="1"/>
  <c r="C6736" i="1"/>
  <c r="D6736" i="1"/>
  <c r="A6737" i="1"/>
  <c r="B6737" i="1"/>
  <c r="C6737" i="1"/>
  <c r="D6737" i="1"/>
  <c r="A6738" i="1"/>
  <c r="B6738" i="1"/>
  <c r="C6738" i="1"/>
  <c r="D6738" i="1"/>
  <c r="A6739" i="1"/>
  <c r="B6739" i="1"/>
  <c r="C6739" i="1"/>
  <c r="D6739" i="1"/>
  <c r="A6740" i="1"/>
  <c r="B6740" i="1"/>
  <c r="C6740" i="1"/>
  <c r="D6740" i="1"/>
  <c r="A6741" i="1"/>
  <c r="B6741" i="1"/>
  <c r="C6741" i="1"/>
  <c r="D6741" i="1"/>
  <c r="A6742" i="1"/>
  <c r="B6742" i="1"/>
  <c r="C6742" i="1"/>
  <c r="D6742" i="1"/>
  <c r="A6743" i="1"/>
  <c r="B6743" i="1"/>
  <c r="C6743" i="1"/>
  <c r="D6743" i="1"/>
  <c r="A6744" i="1"/>
  <c r="B6744" i="1"/>
  <c r="C6744" i="1"/>
  <c r="D6744" i="1"/>
  <c r="A6745" i="1"/>
  <c r="B6745" i="1"/>
  <c r="C6745" i="1"/>
  <c r="D6745" i="1"/>
  <c r="A6746" i="1"/>
  <c r="B6746" i="1"/>
  <c r="C6746" i="1"/>
  <c r="D6746" i="1"/>
  <c r="A6747" i="1"/>
  <c r="B6747" i="1"/>
  <c r="C6747" i="1"/>
  <c r="D6747" i="1"/>
  <c r="A6748" i="1"/>
  <c r="B6748" i="1"/>
  <c r="C6748" i="1"/>
  <c r="D6748" i="1"/>
  <c r="A6749" i="1"/>
  <c r="B6749" i="1"/>
  <c r="C6749" i="1"/>
  <c r="D6749" i="1"/>
  <c r="A6750" i="1"/>
  <c r="B6750" i="1"/>
  <c r="C6750" i="1"/>
  <c r="D6750" i="1"/>
  <c r="A6751" i="1"/>
  <c r="B6751" i="1"/>
  <c r="C6751" i="1"/>
  <c r="D6751" i="1"/>
  <c r="A6752" i="1"/>
  <c r="B6752" i="1"/>
  <c r="C6752" i="1"/>
  <c r="D6752" i="1"/>
  <c r="A6753" i="1"/>
  <c r="B6753" i="1"/>
  <c r="C6753" i="1"/>
  <c r="D6753" i="1"/>
  <c r="A6754" i="1"/>
  <c r="B6754" i="1"/>
  <c r="C6754" i="1"/>
  <c r="D6754" i="1"/>
  <c r="A6755" i="1"/>
  <c r="B6755" i="1"/>
  <c r="C6755" i="1"/>
  <c r="D6755" i="1"/>
  <c r="A6756" i="1"/>
  <c r="B6756" i="1"/>
  <c r="C6756" i="1"/>
  <c r="D6756" i="1"/>
  <c r="A6757" i="1"/>
  <c r="B6757" i="1"/>
  <c r="C6757" i="1"/>
  <c r="D6757" i="1"/>
  <c r="A6758" i="1"/>
  <c r="B6758" i="1"/>
  <c r="C6758" i="1"/>
  <c r="D6758" i="1"/>
  <c r="A6759" i="1"/>
  <c r="B6759" i="1"/>
  <c r="C6759" i="1"/>
  <c r="D6759" i="1"/>
  <c r="A6760" i="1"/>
  <c r="B6760" i="1"/>
  <c r="C6760" i="1"/>
  <c r="D6760" i="1"/>
  <c r="A6761" i="1"/>
  <c r="B6761" i="1"/>
  <c r="C6761" i="1"/>
  <c r="A6762" i="1"/>
  <c r="B6762" i="1"/>
  <c r="C6762" i="1"/>
  <c r="D6762" i="1"/>
  <c r="A6763" i="1"/>
  <c r="B6763" i="1"/>
  <c r="C6763" i="1"/>
  <c r="D6763" i="1"/>
  <c r="A6764" i="1"/>
  <c r="B6764" i="1"/>
  <c r="C6764" i="1"/>
  <c r="A6765" i="1"/>
  <c r="B6765" i="1"/>
  <c r="C6765" i="1"/>
  <c r="D6765" i="1"/>
  <c r="A6766" i="1"/>
  <c r="B6766" i="1"/>
  <c r="C6766" i="1"/>
  <c r="D6766" i="1"/>
  <c r="A6767" i="1"/>
  <c r="B6767" i="1"/>
  <c r="C6767" i="1"/>
  <c r="D6767" i="1"/>
  <c r="A6768" i="1"/>
  <c r="B6768" i="1"/>
  <c r="C6768" i="1"/>
  <c r="D6768" i="1"/>
  <c r="A6769" i="1"/>
  <c r="B6769" i="1"/>
  <c r="C6769" i="1"/>
  <c r="D6769" i="1"/>
  <c r="A6770" i="1"/>
  <c r="B6770" i="1"/>
  <c r="C6770" i="1"/>
  <c r="D6770" i="1"/>
  <c r="A6771" i="1"/>
  <c r="B6771" i="1"/>
  <c r="C6771" i="1"/>
  <c r="D6771" i="1"/>
  <c r="A6772" i="1"/>
  <c r="B6772" i="1"/>
  <c r="C6772" i="1"/>
  <c r="D6772" i="1"/>
  <c r="A6773" i="1"/>
  <c r="B6773" i="1"/>
  <c r="C6773" i="1"/>
  <c r="D6773" i="1"/>
  <c r="A6774" i="1"/>
  <c r="B6774" i="1"/>
  <c r="C6774" i="1"/>
  <c r="D6774" i="1"/>
  <c r="A6775" i="1"/>
  <c r="B6775" i="1"/>
  <c r="C6775" i="1"/>
  <c r="D6775" i="1"/>
  <c r="A6776" i="1"/>
  <c r="B6776" i="1"/>
  <c r="C6776" i="1"/>
  <c r="D6776" i="1"/>
  <c r="A6777" i="1"/>
  <c r="B6777" i="1"/>
  <c r="C6777" i="1"/>
  <c r="D6777" i="1"/>
  <c r="A6778" i="1"/>
  <c r="B6778" i="1"/>
  <c r="C6778" i="1"/>
  <c r="D6778" i="1"/>
  <c r="A6779" i="1"/>
  <c r="B6779" i="1"/>
  <c r="C6779" i="1"/>
  <c r="D6779" i="1"/>
  <c r="A6780" i="1"/>
  <c r="B6780" i="1"/>
  <c r="C6780" i="1"/>
  <c r="D6780" i="1"/>
  <c r="A6781" i="1"/>
  <c r="B6781" i="1"/>
  <c r="C6781" i="1"/>
  <c r="D6781" i="1"/>
  <c r="A6782" i="1"/>
  <c r="B6782" i="1"/>
  <c r="C6782" i="1"/>
  <c r="D6782" i="1"/>
  <c r="A6783" i="1"/>
  <c r="B6783" i="1"/>
  <c r="C6783" i="1"/>
  <c r="D6783" i="1"/>
  <c r="A6784" i="1"/>
  <c r="B6784" i="1"/>
  <c r="C6784" i="1"/>
  <c r="A6785" i="1"/>
  <c r="B6785" i="1"/>
  <c r="C6785" i="1"/>
  <c r="D6785" i="1"/>
  <c r="A6786" i="1"/>
  <c r="B6786" i="1"/>
  <c r="C6786" i="1"/>
  <c r="D6786" i="1"/>
  <c r="A6787" i="1"/>
  <c r="B6787" i="1"/>
  <c r="C6787" i="1"/>
  <c r="D6787" i="1"/>
  <c r="A6788" i="1"/>
  <c r="B6788" i="1"/>
  <c r="C6788" i="1"/>
  <c r="D6788" i="1"/>
  <c r="A6789" i="1"/>
  <c r="B6789" i="1"/>
  <c r="C6789" i="1"/>
  <c r="D6789" i="1"/>
  <c r="A6790" i="1"/>
  <c r="B6790" i="1"/>
  <c r="C6790" i="1"/>
  <c r="D6790" i="1"/>
  <c r="A6791" i="1"/>
  <c r="B6791" i="1"/>
  <c r="C6791" i="1"/>
  <c r="D6791" i="1"/>
  <c r="A6792" i="1"/>
  <c r="B6792" i="1"/>
  <c r="C6792" i="1"/>
  <c r="D6792" i="1"/>
  <c r="A6793" i="1"/>
  <c r="B6793" i="1"/>
  <c r="C6793" i="1"/>
  <c r="D6793" i="1"/>
  <c r="A6794" i="1"/>
  <c r="B6794" i="1"/>
  <c r="C6794" i="1"/>
  <c r="D6794" i="1"/>
  <c r="A6795" i="1"/>
  <c r="B6795" i="1"/>
  <c r="C6795" i="1"/>
  <c r="D6795" i="1"/>
  <c r="A6796" i="1"/>
  <c r="B6796" i="1"/>
  <c r="C6796" i="1"/>
  <c r="D6796" i="1"/>
  <c r="A6797" i="1"/>
  <c r="B6797" i="1"/>
  <c r="C6797" i="1"/>
  <c r="D6797" i="1"/>
  <c r="A6798" i="1"/>
  <c r="B6798" i="1"/>
  <c r="C6798" i="1"/>
  <c r="D6798" i="1"/>
  <c r="A6799" i="1"/>
  <c r="B6799" i="1"/>
  <c r="C6799" i="1"/>
  <c r="D6799" i="1"/>
  <c r="A6800" i="1"/>
  <c r="B6800" i="1"/>
  <c r="C6800" i="1"/>
  <c r="D6800" i="1"/>
  <c r="A6801" i="1"/>
  <c r="B6801" i="1"/>
  <c r="C6801" i="1"/>
  <c r="D6801" i="1"/>
  <c r="A6802" i="1"/>
  <c r="B6802" i="1"/>
  <c r="C6802" i="1"/>
  <c r="D6802" i="1"/>
  <c r="A6803" i="1"/>
  <c r="B6803" i="1"/>
  <c r="C6803" i="1"/>
  <c r="D6803" i="1"/>
  <c r="A6804" i="1"/>
  <c r="B6804" i="1"/>
  <c r="C6804" i="1"/>
  <c r="D6804" i="1"/>
  <c r="A6805" i="1"/>
  <c r="B6805" i="1"/>
  <c r="C6805" i="1"/>
  <c r="D6805" i="1"/>
  <c r="A6806" i="1"/>
  <c r="B6806" i="1"/>
  <c r="C6806" i="1"/>
  <c r="D6806" i="1"/>
  <c r="A6807" i="1"/>
  <c r="B6807" i="1"/>
  <c r="C6807" i="1"/>
  <c r="D6807" i="1"/>
  <c r="A6808" i="1"/>
  <c r="B6808" i="1"/>
  <c r="C6808" i="1"/>
  <c r="D6808" i="1"/>
  <c r="A6809" i="1"/>
  <c r="B6809" i="1"/>
  <c r="C6809" i="1"/>
  <c r="D6809" i="1"/>
  <c r="A6810" i="1"/>
  <c r="B6810" i="1"/>
  <c r="C6810" i="1"/>
  <c r="D6810" i="1"/>
  <c r="A6811" i="1"/>
  <c r="B6811" i="1"/>
  <c r="C6811" i="1"/>
  <c r="D6811" i="1"/>
  <c r="A6812" i="1"/>
  <c r="B6812" i="1"/>
  <c r="C6812" i="1"/>
  <c r="D6812" i="1"/>
  <c r="A6813" i="1"/>
  <c r="B6813" i="1"/>
  <c r="C6813" i="1"/>
  <c r="D6813" i="1"/>
  <c r="A6814" i="1"/>
  <c r="B6814" i="1"/>
  <c r="C6814" i="1"/>
  <c r="D6814" i="1"/>
  <c r="A6815" i="1"/>
  <c r="B6815" i="1"/>
  <c r="C6815" i="1"/>
  <c r="D6815" i="1"/>
  <c r="A6816" i="1"/>
  <c r="B6816" i="1"/>
  <c r="C6816" i="1"/>
  <c r="D6816" i="1"/>
  <c r="A6817" i="1"/>
  <c r="B6817" i="1"/>
  <c r="C6817" i="1"/>
  <c r="D6817" i="1"/>
  <c r="A6818" i="1"/>
  <c r="B6818" i="1"/>
  <c r="C6818" i="1"/>
  <c r="D6818" i="1"/>
  <c r="A6819" i="1"/>
  <c r="B6819" i="1"/>
  <c r="C6819" i="1"/>
  <c r="D6819" i="1"/>
  <c r="A6820" i="1"/>
  <c r="B6820" i="1"/>
  <c r="C6820" i="1"/>
  <c r="D6820" i="1"/>
  <c r="A6821" i="1"/>
  <c r="B6821" i="1"/>
  <c r="C6821" i="1"/>
  <c r="D6821" i="1"/>
  <c r="A6822" i="1"/>
  <c r="B6822" i="1"/>
  <c r="C6822" i="1"/>
  <c r="D6822" i="1"/>
  <c r="A6823" i="1"/>
  <c r="B6823" i="1"/>
  <c r="C6823" i="1"/>
  <c r="D6823" i="1"/>
  <c r="A6824" i="1"/>
  <c r="B6824" i="1"/>
  <c r="C6824" i="1"/>
  <c r="D6824" i="1"/>
  <c r="A6825" i="1"/>
  <c r="B6825" i="1"/>
  <c r="C6825" i="1"/>
  <c r="D6825" i="1"/>
  <c r="A6826" i="1"/>
  <c r="B6826" i="1"/>
  <c r="C6826" i="1"/>
  <c r="D6826" i="1"/>
  <c r="A6827" i="1"/>
  <c r="B6827" i="1"/>
  <c r="C6827" i="1"/>
  <c r="D6827" i="1"/>
  <c r="A6828" i="1"/>
  <c r="B6828" i="1"/>
  <c r="C6828" i="1"/>
  <c r="D6828" i="1"/>
  <c r="A6829" i="1"/>
  <c r="B6829" i="1"/>
  <c r="C6829" i="1"/>
  <c r="D6829" i="1"/>
  <c r="A6830" i="1"/>
  <c r="B6830" i="1"/>
  <c r="C6830" i="1"/>
  <c r="D6830" i="1"/>
  <c r="A6831" i="1"/>
  <c r="B6831" i="1"/>
  <c r="C6831" i="1"/>
  <c r="D6831" i="1"/>
  <c r="A6832" i="1"/>
  <c r="B6832" i="1"/>
  <c r="C6832" i="1"/>
  <c r="D6832" i="1"/>
  <c r="A6833" i="1"/>
  <c r="B6833" i="1"/>
  <c r="C6833" i="1"/>
  <c r="D6833" i="1"/>
  <c r="A6834" i="1"/>
  <c r="B6834" i="1"/>
  <c r="C6834" i="1"/>
  <c r="D6834" i="1"/>
  <c r="A6835" i="1"/>
  <c r="B6835" i="1"/>
  <c r="C6835" i="1"/>
  <c r="D6835" i="1"/>
  <c r="A6836" i="1"/>
  <c r="B6836" i="1"/>
  <c r="C6836" i="1"/>
  <c r="D6836" i="1"/>
  <c r="A6837" i="1"/>
  <c r="B6837" i="1"/>
  <c r="C6837" i="1"/>
  <c r="D6837" i="1"/>
  <c r="A6838" i="1"/>
  <c r="B6838" i="1"/>
  <c r="C6838" i="1"/>
  <c r="D6838" i="1"/>
  <c r="A6839" i="1"/>
  <c r="B6839" i="1"/>
  <c r="C6839" i="1"/>
  <c r="D6839" i="1"/>
  <c r="A6840" i="1"/>
  <c r="B6840" i="1"/>
  <c r="C6840" i="1"/>
  <c r="D6840" i="1"/>
  <c r="A6841" i="1"/>
  <c r="B6841" i="1"/>
  <c r="C6841" i="1"/>
  <c r="D6841" i="1"/>
  <c r="A6842" i="1"/>
  <c r="B6842" i="1"/>
  <c r="C6842" i="1"/>
  <c r="D6842" i="1"/>
  <c r="A6843" i="1"/>
  <c r="B6843" i="1"/>
  <c r="C6843" i="1"/>
  <c r="D6843" i="1"/>
  <c r="A6844" i="1"/>
  <c r="B6844" i="1"/>
  <c r="C6844" i="1"/>
  <c r="D6844" i="1"/>
  <c r="A6845" i="1"/>
  <c r="B6845" i="1"/>
  <c r="C6845" i="1"/>
  <c r="D6845" i="1"/>
  <c r="A6846" i="1"/>
  <c r="B6846" i="1"/>
  <c r="C6846" i="1"/>
  <c r="A6847" i="1"/>
  <c r="B6847" i="1"/>
  <c r="C6847" i="1"/>
  <c r="D6847" i="1"/>
  <c r="A6848" i="1"/>
  <c r="B6848" i="1"/>
  <c r="C6848" i="1"/>
  <c r="D6848" i="1"/>
  <c r="A6849" i="1"/>
  <c r="B6849" i="1"/>
  <c r="C6849" i="1"/>
  <c r="D6849" i="1"/>
  <c r="A6850" i="1"/>
  <c r="B6850" i="1"/>
  <c r="C6850" i="1"/>
  <c r="D6850" i="1"/>
  <c r="A6851" i="1"/>
  <c r="B6851" i="1"/>
  <c r="C6851" i="1"/>
  <c r="D6851" i="1"/>
  <c r="A6852" i="1"/>
  <c r="B6852" i="1"/>
  <c r="C6852" i="1"/>
  <c r="D6852" i="1"/>
  <c r="A6853" i="1"/>
  <c r="B6853" i="1"/>
  <c r="C6853" i="1"/>
  <c r="D6853" i="1"/>
  <c r="A6854" i="1"/>
  <c r="B6854" i="1"/>
  <c r="C6854" i="1"/>
  <c r="D6854" i="1"/>
  <c r="A6855" i="1"/>
  <c r="B6855" i="1"/>
  <c r="C6855" i="1"/>
  <c r="D6855" i="1"/>
  <c r="A6856" i="1"/>
  <c r="B6856" i="1"/>
  <c r="C6856" i="1"/>
  <c r="D6856" i="1"/>
  <c r="A6857" i="1"/>
  <c r="B6857" i="1"/>
  <c r="C6857" i="1"/>
  <c r="D6857" i="1"/>
  <c r="A6858" i="1"/>
  <c r="B6858" i="1"/>
  <c r="C6858" i="1"/>
  <c r="D6858" i="1"/>
  <c r="A6859" i="1"/>
  <c r="B6859" i="1"/>
  <c r="C6859" i="1"/>
  <c r="D6859" i="1"/>
  <c r="A6860" i="1"/>
  <c r="B6860" i="1"/>
  <c r="C6860" i="1"/>
  <c r="D6860" i="1"/>
  <c r="A6861" i="1"/>
  <c r="B6861" i="1"/>
  <c r="C6861" i="1"/>
  <c r="D6861" i="1"/>
  <c r="A6862" i="1"/>
  <c r="B6862" i="1"/>
  <c r="C6862" i="1"/>
  <c r="D6862" i="1"/>
  <c r="A6863" i="1"/>
  <c r="B6863" i="1"/>
  <c r="C6863" i="1"/>
  <c r="D6863" i="1"/>
  <c r="A6864" i="1"/>
  <c r="B6864" i="1"/>
  <c r="C6864" i="1"/>
  <c r="D6864" i="1"/>
  <c r="A6865" i="1"/>
  <c r="B6865" i="1"/>
  <c r="C6865" i="1"/>
  <c r="D6865" i="1"/>
  <c r="A6866" i="1"/>
  <c r="B6866" i="1"/>
  <c r="C6866" i="1"/>
  <c r="D6866" i="1"/>
  <c r="A6867" i="1"/>
  <c r="B6867" i="1"/>
  <c r="C6867" i="1"/>
  <c r="D6867" i="1"/>
  <c r="A6868" i="1"/>
  <c r="B6868" i="1"/>
  <c r="C6868" i="1"/>
  <c r="D6868" i="1"/>
  <c r="A6869" i="1"/>
  <c r="B6869" i="1"/>
  <c r="C6869" i="1"/>
  <c r="D6869" i="1"/>
  <c r="A6870" i="1"/>
  <c r="B6870" i="1"/>
  <c r="C6870" i="1"/>
  <c r="D6870" i="1"/>
  <c r="A6871" i="1"/>
  <c r="B6871" i="1"/>
  <c r="C6871" i="1"/>
  <c r="D6871" i="1"/>
  <c r="A6872" i="1"/>
  <c r="B6872" i="1"/>
  <c r="C6872" i="1"/>
  <c r="D6872" i="1"/>
  <c r="A6873" i="1"/>
  <c r="B6873" i="1"/>
  <c r="C6873" i="1"/>
  <c r="D6873" i="1"/>
  <c r="A6874" i="1"/>
  <c r="B6874" i="1"/>
  <c r="C6874" i="1"/>
  <c r="D6874" i="1"/>
  <c r="A6875" i="1"/>
  <c r="B6875" i="1"/>
  <c r="C6875" i="1"/>
  <c r="D6875" i="1"/>
  <c r="A6876" i="1"/>
  <c r="B6876" i="1"/>
  <c r="C6876" i="1"/>
  <c r="D6876" i="1"/>
  <c r="A6877" i="1"/>
  <c r="B6877" i="1"/>
  <c r="C6877" i="1"/>
  <c r="D6877" i="1"/>
  <c r="A6878" i="1"/>
  <c r="B6878" i="1"/>
  <c r="C6878" i="1"/>
  <c r="D6878" i="1"/>
  <c r="A6879" i="1"/>
  <c r="B6879" i="1"/>
  <c r="C6879" i="1"/>
  <c r="D6879" i="1"/>
  <c r="A6880" i="1"/>
  <c r="B6880" i="1"/>
  <c r="C6880" i="1"/>
  <c r="D6880" i="1"/>
  <c r="A6881" i="1"/>
  <c r="B6881" i="1"/>
  <c r="C6881" i="1"/>
  <c r="D6881" i="1"/>
  <c r="A6882" i="1"/>
  <c r="B6882" i="1"/>
  <c r="C6882" i="1"/>
  <c r="D6882" i="1"/>
  <c r="A6883" i="1"/>
  <c r="B6883" i="1"/>
  <c r="C6883" i="1"/>
  <c r="D6883" i="1"/>
  <c r="A6884" i="1"/>
  <c r="B6884" i="1"/>
  <c r="C6884" i="1"/>
  <c r="D6884" i="1"/>
  <c r="A6885" i="1"/>
  <c r="B6885" i="1"/>
  <c r="C6885" i="1"/>
  <c r="D6885" i="1"/>
  <c r="A6886" i="1"/>
  <c r="B6886" i="1"/>
  <c r="C6886" i="1"/>
  <c r="D6886" i="1"/>
  <c r="A6887" i="1"/>
  <c r="B6887" i="1"/>
  <c r="C6887" i="1"/>
  <c r="D6887" i="1"/>
  <c r="A6888" i="1"/>
  <c r="B6888" i="1"/>
  <c r="C6888" i="1"/>
  <c r="D6888" i="1"/>
  <c r="A6889" i="1"/>
  <c r="B6889" i="1"/>
  <c r="C6889" i="1"/>
  <c r="D6889" i="1"/>
  <c r="A6890" i="1"/>
  <c r="B6890" i="1"/>
  <c r="C6890" i="1"/>
  <c r="D6890" i="1"/>
  <c r="A6891" i="1"/>
  <c r="B6891" i="1"/>
  <c r="C6891" i="1"/>
  <c r="D6891" i="1"/>
  <c r="A6892" i="1"/>
  <c r="B6892" i="1"/>
  <c r="C6892" i="1"/>
  <c r="D6892" i="1"/>
  <c r="A6893" i="1"/>
  <c r="B6893" i="1"/>
  <c r="C6893" i="1"/>
  <c r="D6893" i="1"/>
  <c r="A6894" i="1"/>
  <c r="B6894" i="1"/>
  <c r="C6894" i="1"/>
  <c r="D6894" i="1"/>
  <c r="A6895" i="1"/>
  <c r="B6895" i="1"/>
  <c r="C6895" i="1"/>
  <c r="D6895" i="1"/>
  <c r="A6896" i="1"/>
  <c r="B6896" i="1"/>
  <c r="C6896" i="1"/>
  <c r="D6896" i="1"/>
  <c r="A6897" i="1"/>
  <c r="B6897" i="1"/>
  <c r="C6897" i="1"/>
  <c r="D6897" i="1"/>
  <c r="A6898" i="1"/>
  <c r="B6898" i="1"/>
  <c r="C6898" i="1"/>
  <c r="D6898" i="1"/>
  <c r="A6899" i="1"/>
  <c r="B6899" i="1"/>
  <c r="C6899" i="1"/>
  <c r="D6899" i="1"/>
  <c r="A6900" i="1"/>
  <c r="B6900" i="1"/>
  <c r="C6900" i="1"/>
  <c r="D6900" i="1"/>
  <c r="A6901" i="1"/>
  <c r="B6901" i="1"/>
  <c r="C6901" i="1"/>
  <c r="D6901" i="1"/>
  <c r="A6902" i="1"/>
  <c r="B6902" i="1"/>
  <c r="C6902" i="1"/>
  <c r="D6902" i="1"/>
  <c r="A6903" i="1"/>
  <c r="B6903" i="1"/>
  <c r="C6903" i="1"/>
  <c r="D6903" i="1"/>
  <c r="A6904" i="1"/>
  <c r="B6904" i="1"/>
  <c r="C6904" i="1"/>
  <c r="D6904" i="1"/>
  <c r="A6905" i="1"/>
  <c r="B6905" i="1"/>
  <c r="C6905" i="1"/>
  <c r="D6905" i="1"/>
  <c r="A6906" i="1"/>
  <c r="B6906" i="1"/>
  <c r="C6906" i="1"/>
  <c r="D6906" i="1"/>
  <c r="A6907" i="1"/>
  <c r="B6907" i="1"/>
  <c r="C6907" i="1"/>
  <c r="D6907" i="1"/>
  <c r="A6908" i="1"/>
  <c r="B6908" i="1"/>
  <c r="C6908" i="1"/>
  <c r="D6908" i="1"/>
  <c r="A6909" i="1"/>
  <c r="B6909" i="1"/>
  <c r="C6909" i="1"/>
  <c r="D6909" i="1"/>
  <c r="A6910" i="1"/>
  <c r="B6910" i="1"/>
  <c r="C6910" i="1"/>
  <c r="D6910" i="1"/>
  <c r="A6911" i="1"/>
  <c r="B6911" i="1"/>
  <c r="C6911" i="1"/>
  <c r="D6911" i="1"/>
  <c r="A6912" i="1"/>
  <c r="B6912" i="1"/>
  <c r="C6912" i="1"/>
  <c r="D6912" i="1"/>
  <c r="A6913" i="1"/>
  <c r="B6913" i="1"/>
  <c r="C6913" i="1"/>
  <c r="D6913" i="1"/>
  <c r="A6914" i="1"/>
  <c r="B6914" i="1"/>
  <c r="C6914" i="1"/>
  <c r="D6914" i="1"/>
  <c r="A6915" i="1"/>
  <c r="B6915" i="1"/>
  <c r="C6915" i="1"/>
  <c r="D6915" i="1"/>
  <c r="A6916" i="1"/>
  <c r="B6916" i="1"/>
  <c r="C6916" i="1"/>
  <c r="D6916" i="1"/>
  <c r="A6917" i="1"/>
  <c r="B6917" i="1"/>
  <c r="C6917" i="1"/>
  <c r="D6917" i="1"/>
  <c r="A6918" i="1"/>
  <c r="B6918" i="1"/>
  <c r="C6918" i="1"/>
  <c r="D6918" i="1"/>
  <c r="A6919" i="1"/>
  <c r="B6919" i="1"/>
  <c r="C6919" i="1"/>
  <c r="D6919" i="1"/>
  <c r="A6920" i="1"/>
  <c r="B6920" i="1"/>
  <c r="C6920" i="1"/>
  <c r="D6920" i="1"/>
  <c r="A6921" i="1"/>
  <c r="B6921" i="1"/>
  <c r="C6921" i="1"/>
  <c r="D6921" i="1"/>
  <c r="A6922" i="1"/>
  <c r="B6922" i="1"/>
  <c r="C6922" i="1"/>
  <c r="D6922" i="1"/>
  <c r="A6923" i="1"/>
  <c r="B6923" i="1"/>
  <c r="C6923" i="1"/>
  <c r="D6923" i="1"/>
  <c r="A6924" i="1"/>
  <c r="B6924" i="1"/>
  <c r="C6924" i="1"/>
  <c r="D6924" i="1"/>
  <c r="A6925" i="1"/>
  <c r="B6925" i="1"/>
  <c r="C6925" i="1"/>
  <c r="D6925" i="1"/>
  <c r="A6926" i="1"/>
  <c r="B6926" i="1"/>
  <c r="C6926" i="1"/>
  <c r="D6926" i="1"/>
  <c r="A6927" i="1"/>
  <c r="B6927" i="1"/>
  <c r="C6927" i="1"/>
  <c r="D6927" i="1"/>
  <c r="A6928" i="1"/>
  <c r="B6928" i="1"/>
  <c r="C6928" i="1"/>
  <c r="D6928" i="1"/>
  <c r="A6929" i="1"/>
  <c r="B6929" i="1"/>
  <c r="C6929" i="1"/>
  <c r="D6929" i="1"/>
  <c r="A6930" i="1"/>
  <c r="B6930" i="1"/>
  <c r="C6930" i="1"/>
  <c r="D6930" i="1"/>
  <c r="A6931" i="1"/>
  <c r="B6931" i="1"/>
  <c r="C6931" i="1"/>
  <c r="D6931" i="1"/>
  <c r="A6932" i="1"/>
  <c r="B6932" i="1"/>
  <c r="C6932" i="1"/>
  <c r="D6932" i="1"/>
  <c r="A6933" i="1"/>
  <c r="B6933" i="1"/>
  <c r="C6933" i="1"/>
  <c r="D6933" i="1"/>
  <c r="A6934" i="1"/>
  <c r="B6934" i="1"/>
  <c r="C6934" i="1"/>
  <c r="D6934" i="1"/>
  <c r="A6935" i="1"/>
  <c r="B6935" i="1"/>
  <c r="C6935" i="1"/>
  <c r="D6935" i="1"/>
  <c r="A6936" i="1"/>
  <c r="B6936" i="1"/>
  <c r="C6936" i="1"/>
  <c r="D6936" i="1"/>
  <c r="A6937" i="1"/>
  <c r="B6937" i="1"/>
  <c r="C6937" i="1"/>
  <c r="D6937" i="1"/>
  <c r="A6938" i="1"/>
  <c r="B6938" i="1"/>
  <c r="C6938" i="1"/>
  <c r="D6938" i="1"/>
  <c r="A6939" i="1"/>
  <c r="B6939" i="1"/>
  <c r="C6939" i="1"/>
  <c r="D6939" i="1"/>
  <c r="A6940" i="1"/>
  <c r="B6940" i="1"/>
  <c r="C6940" i="1"/>
  <c r="D6940" i="1"/>
  <c r="A6941" i="1"/>
  <c r="B6941" i="1"/>
  <c r="C6941" i="1"/>
  <c r="D6941" i="1"/>
  <c r="A6942" i="1"/>
  <c r="B6942" i="1"/>
  <c r="C6942" i="1"/>
  <c r="D6942" i="1"/>
  <c r="A6943" i="1"/>
  <c r="B6943" i="1"/>
  <c r="C6943" i="1"/>
  <c r="D6943" i="1"/>
  <c r="A6944" i="1"/>
  <c r="B6944" i="1"/>
  <c r="C6944" i="1"/>
  <c r="D6944" i="1"/>
  <c r="A6945" i="1"/>
  <c r="B6945" i="1"/>
  <c r="C6945" i="1"/>
  <c r="D6945" i="1"/>
  <c r="A6946" i="1"/>
  <c r="B6946" i="1"/>
  <c r="C6946" i="1"/>
  <c r="D6946" i="1"/>
  <c r="A6947" i="1"/>
  <c r="B6947" i="1"/>
  <c r="C6947" i="1"/>
  <c r="D6947" i="1"/>
  <c r="A6948" i="1"/>
  <c r="B6948" i="1"/>
  <c r="C6948" i="1"/>
  <c r="D6948" i="1"/>
  <c r="A6949" i="1"/>
  <c r="B6949" i="1"/>
  <c r="C6949" i="1"/>
  <c r="D6949" i="1"/>
  <c r="A6950" i="1"/>
  <c r="B6950" i="1"/>
  <c r="C6950" i="1"/>
  <c r="D6950" i="1"/>
  <c r="A6951" i="1"/>
  <c r="B6951" i="1"/>
  <c r="C6951" i="1"/>
  <c r="D6951" i="1"/>
  <c r="A6952" i="1"/>
  <c r="B6952" i="1"/>
  <c r="C6952" i="1"/>
  <c r="D6952" i="1"/>
  <c r="A6953" i="1"/>
  <c r="B6953" i="1"/>
  <c r="C6953" i="1"/>
  <c r="D6953" i="1"/>
  <c r="A6954" i="1"/>
  <c r="B6954" i="1"/>
  <c r="C6954" i="1"/>
  <c r="D6954" i="1"/>
  <c r="A6955" i="1"/>
  <c r="B6955" i="1"/>
  <c r="C6955" i="1"/>
  <c r="D6955" i="1"/>
  <c r="A6956" i="1"/>
  <c r="B6956" i="1"/>
  <c r="C6956" i="1"/>
  <c r="D6956" i="1"/>
  <c r="A6957" i="1"/>
  <c r="B6957" i="1"/>
  <c r="C6957" i="1"/>
  <c r="D6957" i="1"/>
  <c r="A6958" i="1"/>
  <c r="B6958" i="1"/>
  <c r="C6958" i="1"/>
  <c r="D6958" i="1"/>
  <c r="A6959" i="1"/>
  <c r="B6959" i="1"/>
  <c r="C6959" i="1"/>
  <c r="D6959" i="1"/>
  <c r="A6960" i="1"/>
  <c r="B6960" i="1"/>
  <c r="C6960" i="1"/>
  <c r="D6960" i="1"/>
  <c r="A6961" i="1"/>
  <c r="B6961" i="1"/>
  <c r="C6961" i="1"/>
  <c r="D6961" i="1"/>
  <c r="A6962" i="1"/>
  <c r="B6962" i="1"/>
  <c r="C6962" i="1"/>
  <c r="D6962" i="1"/>
  <c r="A6963" i="1"/>
  <c r="B6963" i="1"/>
  <c r="C6963" i="1"/>
  <c r="D6963" i="1"/>
  <c r="A6964" i="1"/>
  <c r="B6964" i="1"/>
  <c r="C6964" i="1"/>
  <c r="D6964" i="1"/>
  <c r="A6965" i="1"/>
  <c r="B6965" i="1"/>
  <c r="C6965" i="1"/>
  <c r="D6965" i="1"/>
  <c r="A6966" i="1"/>
  <c r="B6966" i="1"/>
  <c r="C6966" i="1"/>
  <c r="D6966" i="1"/>
  <c r="A6967" i="1"/>
  <c r="B6967" i="1"/>
  <c r="C6967" i="1"/>
  <c r="D6967" i="1"/>
  <c r="A6968" i="1"/>
  <c r="B6968" i="1"/>
  <c r="C6968" i="1"/>
  <c r="D6968" i="1"/>
  <c r="A6969" i="1"/>
  <c r="B6969" i="1"/>
  <c r="C6969" i="1"/>
  <c r="D6969" i="1"/>
  <c r="A6970" i="1"/>
  <c r="B6970" i="1"/>
  <c r="C6970" i="1"/>
  <c r="D6970" i="1"/>
  <c r="A6971" i="1"/>
  <c r="B6971" i="1"/>
  <c r="C6971" i="1"/>
  <c r="D6971" i="1"/>
  <c r="A6972" i="1"/>
  <c r="B6972" i="1"/>
  <c r="C6972" i="1"/>
  <c r="D6972" i="1"/>
  <c r="A6973" i="1"/>
  <c r="B6973" i="1"/>
  <c r="C6973" i="1"/>
  <c r="D6973" i="1"/>
  <c r="A6974" i="1"/>
  <c r="B6974" i="1"/>
  <c r="C6974" i="1"/>
  <c r="D6974" i="1"/>
  <c r="A6975" i="1"/>
  <c r="B6975" i="1"/>
  <c r="C6975" i="1"/>
  <c r="D6975" i="1"/>
  <c r="A6976" i="1"/>
  <c r="B6976" i="1"/>
  <c r="C6976" i="1"/>
  <c r="D6976" i="1"/>
  <c r="A6977" i="1"/>
  <c r="B6977" i="1"/>
  <c r="C6977" i="1"/>
  <c r="D6977" i="1"/>
  <c r="A6978" i="1"/>
  <c r="B6978" i="1"/>
  <c r="C6978" i="1"/>
  <c r="D6978" i="1"/>
  <c r="A6979" i="1"/>
  <c r="B6979" i="1"/>
  <c r="C6979" i="1"/>
  <c r="D6979" i="1"/>
  <c r="A6980" i="1"/>
  <c r="B6980" i="1"/>
  <c r="C6980" i="1"/>
  <c r="D6980" i="1"/>
  <c r="A6981" i="1"/>
  <c r="B6981" i="1"/>
  <c r="C6981" i="1"/>
  <c r="D6981" i="1"/>
  <c r="A6982" i="1"/>
  <c r="B6982" i="1"/>
  <c r="C6982" i="1"/>
  <c r="D6982" i="1"/>
  <c r="A6983" i="1"/>
  <c r="B6983" i="1"/>
  <c r="C6983" i="1"/>
  <c r="D6983" i="1"/>
  <c r="A6984" i="1"/>
  <c r="B6984" i="1"/>
  <c r="C6984" i="1"/>
  <c r="D6984" i="1"/>
  <c r="A6985" i="1"/>
  <c r="B6985" i="1"/>
  <c r="C6985" i="1"/>
  <c r="D6985" i="1"/>
  <c r="A6986" i="1"/>
  <c r="B6986" i="1"/>
  <c r="C6986" i="1"/>
  <c r="D6986" i="1"/>
  <c r="A6987" i="1"/>
  <c r="B6987" i="1"/>
  <c r="C6987" i="1"/>
  <c r="D6987" i="1"/>
  <c r="A6988" i="1"/>
  <c r="B6988" i="1"/>
  <c r="C6988" i="1"/>
  <c r="D6988" i="1"/>
  <c r="A6989" i="1"/>
  <c r="B6989" i="1"/>
  <c r="C6989" i="1"/>
  <c r="D6989" i="1"/>
  <c r="A6990" i="1"/>
  <c r="B6990" i="1"/>
  <c r="C6990" i="1"/>
  <c r="D6990" i="1"/>
  <c r="A6991" i="1"/>
  <c r="B6991" i="1"/>
  <c r="C6991" i="1"/>
  <c r="D6991" i="1"/>
  <c r="A6992" i="1"/>
  <c r="B6992" i="1"/>
  <c r="C6992" i="1"/>
  <c r="D6992" i="1"/>
  <c r="A6993" i="1"/>
  <c r="B6993" i="1"/>
  <c r="C6993" i="1"/>
  <c r="D6993" i="1"/>
  <c r="A6994" i="1"/>
  <c r="B6994" i="1"/>
  <c r="C6994" i="1"/>
  <c r="D6994" i="1"/>
  <c r="A6995" i="1"/>
  <c r="B6995" i="1"/>
  <c r="C6995" i="1"/>
  <c r="D6995" i="1"/>
  <c r="A6996" i="1"/>
  <c r="B6996" i="1"/>
  <c r="C6996" i="1"/>
  <c r="D6996" i="1"/>
  <c r="A6997" i="1"/>
  <c r="B6997" i="1"/>
  <c r="C6997" i="1"/>
  <c r="D6997" i="1"/>
  <c r="A6998" i="1"/>
  <c r="B6998" i="1"/>
  <c r="C6998" i="1"/>
  <c r="D6998" i="1"/>
  <c r="A6999" i="1"/>
  <c r="B6999" i="1"/>
  <c r="C6999" i="1"/>
  <c r="D6999" i="1"/>
  <c r="A7000" i="1"/>
  <c r="B7000" i="1"/>
  <c r="C7000" i="1"/>
  <c r="D7000" i="1"/>
  <c r="A7001" i="1"/>
  <c r="B7001" i="1"/>
  <c r="C7001" i="1"/>
  <c r="D7001" i="1"/>
  <c r="A7002" i="1"/>
  <c r="B7002" i="1"/>
  <c r="C7002" i="1"/>
  <c r="D7002" i="1"/>
  <c r="A7003" i="1"/>
  <c r="B7003" i="1"/>
  <c r="C7003" i="1"/>
  <c r="D7003" i="1"/>
  <c r="A7004" i="1"/>
  <c r="B7004" i="1"/>
  <c r="C7004" i="1"/>
  <c r="D7004" i="1"/>
  <c r="A7005" i="1"/>
  <c r="B7005" i="1"/>
  <c r="C7005" i="1"/>
  <c r="D7005" i="1"/>
  <c r="A7006" i="1"/>
  <c r="B7006" i="1"/>
  <c r="C7006" i="1"/>
  <c r="D7006" i="1"/>
  <c r="A7007" i="1"/>
  <c r="B7007" i="1"/>
  <c r="C7007" i="1"/>
  <c r="D7007" i="1"/>
  <c r="A7008" i="1"/>
  <c r="B7008" i="1"/>
  <c r="C7008" i="1"/>
  <c r="D7008" i="1"/>
  <c r="A7009" i="1"/>
  <c r="B7009" i="1"/>
  <c r="C7009" i="1"/>
  <c r="D7009" i="1"/>
  <c r="A7010" i="1"/>
  <c r="B7010" i="1"/>
  <c r="C7010" i="1"/>
  <c r="D7010" i="1"/>
  <c r="A7011" i="1"/>
  <c r="B7011" i="1"/>
  <c r="C7011" i="1"/>
  <c r="D7011" i="1"/>
  <c r="A7012" i="1"/>
  <c r="B7012" i="1"/>
  <c r="C7012" i="1"/>
  <c r="D7012" i="1"/>
  <c r="A7013" i="1"/>
  <c r="B7013" i="1"/>
  <c r="C7013" i="1"/>
  <c r="D7013" i="1"/>
  <c r="A7014" i="1"/>
  <c r="B7014" i="1"/>
  <c r="C7014" i="1"/>
  <c r="D7014" i="1"/>
  <c r="A7015" i="1"/>
  <c r="B7015" i="1"/>
  <c r="C7015" i="1"/>
  <c r="D7015" i="1"/>
  <c r="A7016" i="1"/>
  <c r="B7016" i="1"/>
  <c r="C7016" i="1"/>
  <c r="D7016" i="1"/>
  <c r="A7017" i="1"/>
  <c r="B7017" i="1"/>
  <c r="C7017" i="1"/>
  <c r="A7018" i="1"/>
  <c r="B7018" i="1"/>
  <c r="C7018" i="1"/>
  <c r="D7018" i="1"/>
  <c r="A7019" i="1"/>
  <c r="B7019" i="1"/>
  <c r="C7019" i="1"/>
  <c r="A7020" i="1"/>
  <c r="B7020" i="1"/>
  <c r="C7020" i="1"/>
  <c r="D7020" i="1"/>
  <c r="A7021" i="1"/>
  <c r="B7021" i="1"/>
  <c r="C7021" i="1"/>
  <c r="D7021" i="1"/>
  <c r="A7022" i="1"/>
  <c r="B7022" i="1"/>
  <c r="C7022" i="1"/>
  <c r="D7022" i="1"/>
  <c r="A7023" i="1"/>
  <c r="B7023" i="1"/>
  <c r="C7023" i="1"/>
  <c r="D7023" i="1"/>
  <c r="A7024" i="1"/>
  <c r="B7024" i="1"/>
  <c r="C7024" i="1"/>
  <c r="D7024" i="1"/>
  <c r="A7025" i="1"/>
  <c r="B7025" i="1"/>
  <c r="C7025" i="1"/>
  <c r="D7025" i="1"/>
  <c r="A7026" i="1"/>
  <c r="B7026" i="1"/>
  <c r="C7026" i="1"/>
  <c r="D7026" i="1"/>
  <c r="A7027" i="1"/>
  <c r="B7027" i="1"/>
  <c r="C7027" i="1"/>
  <c r="D7027" i="1"/>
  <c r="A7028" i="1"/>
  <c r="B7028" i="1"/>
  <c r="C7028" i="1"/>
  <c r="D7028" i="1"/>
  <c r="A7029" i="1"/>
  <c r="B7029" i="1"/>
  <c r="C7029" i="1"/>
  <c r="A7030" i="1"/>
  <c r="B7030" i="1"/>
  <c r="C7030" i="1"/>
  <c r="D7030" i="1"/>
  <c r="A7031" i="1"/>
  <c r="B7031" i="1"/>
  <c r="C7031" i="1"/>
  <c r="D7031" i="1"/>
  <c r="A7032" i="1"/>
  <c r="B7032" i="1"/>
  <c r="C7032" i="1"/>
  <c r="D7032" i="1"/>
  <c r="A7033" i="1"/>
  <c r="B7033" i="1"/>
  <c r="C7033" i="1"/>
  <c r="D7033" i="1"/>
  <c r="A7034" i="1"/>
  <c r="B7034" i="1"/>
  <c r="C7034" i="1"/>
  <c r="D7034" i="1"/>
  <c r="A7035" i="1"/>
  <c r="B7035" i="1"/>
  <c r="C7035" i="1"/>
  <c r="D7035" i="1"/>
  <c r="A7036" i="1"/>
  <c r="B7036" i="1"/>
  <c r="C7036" i="1"/>
  <c r="D7036" i="1"/>
  <c r="A7037" i="1"/>
  <c r="B7037" i="1"/>
  <c r="C7037" i="1"/>
  <c r="D7037" i="1"/>
  <c r="A7038" i="1"/>
  <c r="B7038" i="1"/>
  <c r="C7038" i="1"/>
  <c r="D7038" i="1"/>
  <c r="A7039" i="1"/>
  <c r="B7039" i="1"/>
  <c r="C7039" i="1"/>
  <c r="D7039" i="1"/>
  <c r="A7040" i="1"/>
  <c r="B7040" i="1"/>
  <c r="C7040" i="1"/>
  <c r="D7040" i="1"/>
  <c r="A7041" i="1"/>
  <c r="B7041" i="1"/>
  <c r="C7041" i="1"/>
  <c r="D7041" i="1"/>
  <c r="A7042" i="1"/>
  <c r="B7042" i="1"/>
  <c r="C7042" i="1"/>
  <c r="D7042" i="1"/>
  <c r="A7043" i="1"/>
  <c r="B7043" i="1"/>
  <c r="C7043" i="1"/>
  <c r="D7043" i="1"/>
  <c r="A7044" i="1"/>
  <c r="B7044" i="1"/>
  <c r="C7044" i="1"/>
  <c r="D7044" i="1"/>
  <c r="A7045" i="1"/>
  <c r="B7045" i="1"/>
  <c r="C7045" i="1"/>
  <c r="D7045" i="1"/>
  <c r="A7046" i="1"/>
  <c r="B7046" i="1"/>
  <c r="C7046" i="1"/>
  <c r="D7046" i="1"/>
  <c r="A7047" i="1"/>
  <c r="B7047" i="1"/>
  <c r="C7047" i="1"/>
  <c r="D7047" i="1"/>
  <c r="A7048" i="1"/>
  <c r="B7048" i="1"/>
  <c r="C7048" i="1"/>
  <c r="D7048" i="1"/>
  <c r="A7049" i="1"/>
  <c r="B7049" i="1"/>
  <c r="C7049" i="1"/>
  <c r="D7049" i="1"/>
  <c r="A7050" i="1"/>
  <c r="B7050" i="1"/>
  <c r="C7050" i="1"/>
  <c r="D7050" i="1"/>
  <c r="A7051" i="1"/>
  <c r="B7051" i="1"/>
  <c r="C7051" i="1"/>
  <c r="D7051" i="1"/>
  <c r="A7052" i="1"/>
  <c r="B7052" i="1"/>
  <c r="C7052" i="1"/>
  <c r="D7052" i="1"/>
  <c r="A7053" i="1"/>
  <c r="B7053" i="1"/>
  <c r="C7053" i="1"/>
  <c r="D7053" i="1"/>
  <c r="A7054" i="1"/>
  <c r="B7054" i="1"/>
  <c r="C7054" i="1"/>
  <c r="D7054" i="1"/>
  <c r="A7055" i="1"/>
  <c r="B7055" i="1"/>
  <c r="C7055" i="1"/>
  <c r="D7055" i="1"/>
  <c r="A7056" i="1"/>
  <c r="B7056" i="1"/>
  <c r="C7056" i="1"/>
  <c r="D7056" i="1"/>
  <c r="A7057" i="1"/>
  <c r="B7057" i="1"/>
  <c r="C7057" i="1"/>
  <c r="D7057" i="1"/>
  <c r="A7058" i="1"/>
  <c r="B7058" i="1"/>
  <c r="C7058" i="1"/>
  <c r="D7058" i="1"/>
  <c r="A7059" i="1"/>
  <c r="B7059" i="1"/>
  <c r="C7059" i="1"/>
  <c r="D7059" i="1"/>
  <c r="A7060" i="1"/>
  <c r="B7060" i="1"/>
  <c r="C7060" i="1"/>
  <c r="D7060" i="1"/>
  <c r="A7061" i="1"/>
  <c r="B7061" i="1"/>
  <c r="C7061" i="1"/>
  <c r="D7061" i="1"/>
  <c r="A7062" i="1"/>
  <c r="B7062" i="1"/>
  <c r="C7062" i="1"/>
  <c r="D7062" i="1"/>
  <c r="A7063" i="1"/>
  <c r="B7063" i="1"/>
  <c r="C7063" i="1"/>
  <c r="D7063" i="1"/>
  <c r="A7064" i="1"/>
  <c r="B7064" i="1"/>
  <c r="C7064" i="1"/>
  <c r="D7064" i="1"/>
  <c r="A7065" i="1"/>
  <c r="B7065" i="1"/>
  <c r="C7065" i="1"/>
  <c r="D7065" i="1"/>
  <c r="A7066" i="1"/>
  <c r="B7066" i="1"/>
  <c r="C7066" i="1"/>
  <c r="D7066" i="1"/>
  <c r="A7067" i="1"/>
  <c r="B7067" i="1"/>
  <c r="C7067" i="1"/>
  <c r="D7067" i="1"/>
  <c r="A7068" i="1"/>
  <c r="B7068" i="1"/>
  <c r="C7068" i="1"/>
  <c r="D7068" i="1"/>
  <c r="A7069" i="1"/>
  <c r="B7069" i="1"/>
  <c r="C7069" i="1"/>
  <c r="D7069" i="1"/>
  <c r="A7070" i="1"/>
  <c r="B7070" i="1"/>
  <c r="C7070" i="1"/>
  <c r="D7070" i="1"/>
  <c r="A7071" i="1"/>
  <c r="B7071" i="1"/>
  <c r="C7071" i="1"/>
  <c r="D7071" i="1"/>
  <c r="A7072" i="1"/>
  <c r="B7072" i="1"/>
  <c r="C7072" i="1"/>
  <c r="D7072" i="1"/>
  <c r="A7073" i="1"/>
  <c r="B7073" i="1"/>
  <c r="C7073" i="1"/>
  <c r="D7073" i="1"/>
  <c r="A7074" i="1"/>
  <c r="B7074" i="1"/>
  <c r="C7074" i="1"/>
  <c r="D7074" i="1"/>
  <c r="A7075" i="1"/>
  <c r="B7075" i="1"/>
  <c r="C7075" i="1"/>
  <c r="D7075" i="1"/>
  <c r="A7076" i="1"/>
  <c r="B7076" i="1"/>
  <c r="C7076" i="1"/>
  <c r="D7076" i="1"/>
  <c r="A7077" i="1"/>
  <c r="B7077" i="1"/>
  <c r="C7077" i="1"/>
  <c r="D7077" i="1"/>
  <c r="A7078" i="1"/>
  <c r="B7078" i="1"/>
  <c r="C7078" i="1"/>
  <c r="D7078" i="1"/>
  <c r="A7079" i="1"/>
  <c r="B7079" i="1"/>
  <c r="C7079" i="1"/>
  <c r="D7079" i="1"/>
  <c r="A7080" i="1"/>
  <c r="B7080" i="1"/>
  <c r="C7080" i="1"/>
  <c r="D7080" i="1"/>
  <c r="A7081" i="1"/>
  <c r="B7081" i="1"/>
  <c r="C7081" i="1"/>
  <c r="D7081" i="1"/>
  <c r="A7082" i="1"/>
  <c r="B7082" i="1"/>
  <c r="C7082" i="1"/>
  <c r="D7082" i="1"/>
  <c r="A7083" i="1"/>
  <c r="B7083" i="1"/>
  <c r="C7083" i="1"/>
  <c r="D7083" i="1"/>
  <c r="A7084" i="1"/>
  <c r="B7084" i="1"/>
  <c r="C7084" i="1"/>
  <c r="D7084" i="1"/>
  <c r="A7085" i="1"/>
  <c r="B7085" i="1"/>
  <c r="C7085" i="1"/>
  <c r="D7085" i="1"/>
  <c r="A7086" i="1"/>
  <c r="B7086" i="1"/>
  <c r="C7086" i="1"/>
  <c r="D7086" i="1"/>
  <c r="A7087" i="1"/>
  <c r="B7087" i="1"/>
  <c r="C7087" i="1"/>
  <c r="D7087" i="1"/>
  <c r="A7088" i="1"/>
  <c r="B7088" i="1"/>
  <c r="C7088" i="1"/>
  <c r="D7088" i="1"/>
  <c r="A7089" i="1"/>
  <c r="B7089" i="1"/>
  <c r="C7089" i="1"/>
  <c r="D7089" i="1"/>
  <c r="A7090" i="1"/>
  <c r="B7090" i="1"/>
  <c r="C7090" i="1"/>
  <c r="D7090" i="1"/>
  <c r="A7091" i="1"/>
  <c r="B7091" i="1"/>
  <c r="C7091" i="1"/>
  <c r="D7091" i="1"/>
  <c r="A7092" i="1"/>
  <c r="B7092" i="1"/>
  <c r="C7092" i="1"/>
  <c r="D7092" i="1"/>
  <c r="A7093" i="1"/>
  <c r="B7093" i="1"/>
  <c r="C7093" i="1"/>
  <c r="D7093" i="1"/>
  <c r="A7094" i="1"/>
  <c r="B7094" i="1"/>
  <c r="C7094" i="1"/>
  <c r="D7094" i="1"/>
  <c r="A7095" i="1"/>
  <c r="B7095" i="1"/>
  <c r="C7095" i="1"/>
  <c r="D7095" i="1"/>
  <c r="A7096" i="1"/>
  <c r="B7096" i="1"/>
  <c r="C7096" i="1"/>
  <c r="D7096" i="1"/>
  <c r="A7097" i="1"/>
  <c r="B7097" i="1"/>
  <c r="C7097" i="1"/>
  <c r="D7097" i="1"/>
  <c r="A7098" i="1"/>
  <c r="B7098" i="1"/>
  <c r="C7098" i="1"/>
  <c r="D7098" i="1"/>
  <c r="A7099" i="1"/>
  <c r="B7099" i="1"/>
  <c r="C7099" i="1"/>
  <c r="D7099" i="1"/>
  <c r="A7100" i="1"/>
  <c r="B7100" i="1"/>
  <c r="C7100" i="1"/>
  <c r="D7100" i="1"/>
  <c r="A7101" i="1"/>
  <c r="B7101" i="1"/>
  <c r="C7101" i="1"/>
  <c r="D7101" i="1"/>
  <c r="A7102" i="1"/>
  <c r="B7102" i="1"/>
  <c r="C7102" i="1"/>
  <c r="D7102" i="1"/>
  <c r="A7103" i="1"/>
  <c r="B7103" i="1"/>
  <c r="C7103" i="1"/>
  <c r="D7103" i="1"/>
  <c r="A7104" i="1"/>
  <c r="B7104" i="1"/>
  <c r="C7104" i="1"/>
  <c r="A7105" i="1"/>
  <c r="B7105" i="1"/>
  <c r="C7105" i="1"/>
  <c r="D7105" i="1"/>
  <c r="A7106" i="1"/>
  <c r="B7106" i="1"/>
  <c r="C7106" i="1"/>
  <c r="D7106" i="1"/>
  <c r="A7107" i="1"/>
  <c r="B7107" i="1"/>
  <c r="C7107" i="1"/>
  <c r="D7107" i="1"/>
  <c r="A7108" i="1"/>
  <c r="B7108" i="1"/>
  <c r="C7108" i="1"/>
  <c r="D7108" i="1"/>
  <c r="A7109" i="1"/>
  <c r="B7109" i="1"/>
  <c r="C7109" i="1"/>
  <c r="D7109" i="1"/>
  <c r="A7110" i="1"/>
  <c r="B7110" i="1"/>
  <c r="C7110" i="1"/>
  <c r="D7110" i="1"/>
  <c r="A7111" i="1"/>
  <c r="B7111" i="1"/>
  <c r="C7111" i="1"/>
  <c r="D7111" i="1"/>
  <c r="A7112" i="1"/>
  <c r="B7112" i="1"/>
  <c r="C7112" i="1"/>
  <c r="D7112" i="1"/>
  <c r="A7113" i="1"/>
  <c r="B7113" i="1"/>
  <c r="C7113" i="1"/>
  <c r="D7113" i="1"/>
  <c r="A7114" i="1"/>
  <c r="B7114" i="1"/>
  <c r="C7114" i="1"/>
  <c r="D7114" i="1"/>
  <c r="A7115" i="1"/>
  <c r="B7115" i="1"/>
  <c r="C7115" i="1"/>
  <c r="D7115" i="1"/>
  <c r="A7116" i="1"/>
  <c r="B7116" i="1"/>
  <c r="C7116" i="1"/>
  <c r="D7116" i="1"/>
  <c r="A7117" i="1"/>
  <c r="B7117" i="1"/>
  <c r="C7117" i="1"/>
  <c r="D7117" i="1"/>
  <c r="A7118" i="1"/>
  <c r="B7118" i="1"/>
  <c r="C7118" i="1"/>
  <c r="D7118" i="1"/>
  <c r="A7119" i="1"/>
  <c r="B7119" i="1"/>
  <c r="C7119" i="1"/>
  <c r="D7119" i="1"/>
  <c r="A7120" i="1"/>
  <c r="B7120" i="1"/>
  <c r="C7120" i="1"/>
  <c r="D7120" i="1"/>
  <c r="A7121" i="1"/>
  <c r="B7121" i="1"/>
  <c r="C7121" i="1"/>
  <c r="D7121" i="1"/>
  <c r="A7122" i="1"/>
  <c r="B7122" i="1"/>
  <c r="C7122" i="1"/>
  <c r="D7122" i="1"/>
  <c r="A7123" i="1"/>
  <c r="B7123" i="1"/>
  <c r="C7123" i="1"/>
  <c r="D7123" i="1"/>
  <c r="A7124" i="1"/>
  <c r="B7124" i="1"/>
  <c r="C7124" i="1"/>
  <c r="D7124" i="1"/>
  <c r="A7125" i="1"/>
  <c r="B7125" i="1"/>
  <c r="C7125" i="1"/>
  <c r="D7125" i="1"/>
  <c r="A7126" i="1"/>
  <c r="B7126" i="1"/>
  <c r="C7126" i="1"/>
  <c r="D7126" i="1"/>
  <c r="A7127" i="1"/>
  <c r="B7127" i="1"/>
  <c r="C7127" i="1"/>
  <c r="D7127" i="1"/>
  <c r="A7128" i="1"/>
  <c r="B7128" i="1"/>
  <c r="C7128" i="1"/>
  <c r="D7128" i="1"/>
  <c r="A7129" i="1"/>
  <c r="B7129" i="1"/>
  <c r="C7129" i="1"/>
  <c r="D7129" i="1"/>
  <c r="A7130" i="1"/>
  <c r="B7130" i="1"/>
  <c r="C7130" i="1"/>
  <c r="D7130" i="1"/>
  <c r="A7131" i="1"/>
  <c r="B7131" i="1"/>
  <c r="C7131" i="1"/>
  <c r="D7131" i="1"/>
  <c r="A7132" i="1"/>
  <c r="B7132" i="1"/>
  <c r="C7132" i="1"/>
  <c r="D7132" i="1"/>
  <c r="A7133" i="1"/>
  <c r="B7133" i="1"/>
  <c r="C7133" i="1"/>
  <c r="A7134" i="1"/>
  <c r="B7134" i="1"/>
  <c r="C7134" i="1"/>
  <c r="D7134" i="1"/>
  <c r="A7135" i="1"/>
  <c r="B7135" i="1"/>
  <c r="C7135" i="1"/>
  <c r="D7135" i="1"/>
  <c r="A7136" i="1"/>
  <c r="B7136" i="1"/>
  <c r="C7136" i="1"/>
  <c r="D7136" i="1"/>
  <c r="A7137" i="1"/>
  <c r="B7137" i="1"/>
  <c r="C7137" i="1"/>
  <c r="A7138" i="1"/>
  <c r="B7138" i="1"/>
  <c r="C7138" i="1"/>
  <c r="D7138" i="1"/>
  <c r="A7139" i="1"/>
  <c r="B7139" i="1"/>
  <c r="C7139" i="1"/>
  <c r="D7139" i="1"/>
  <c r="A7140" i="1"/>
  <c r="B7140" i="1"/>
  <c r="C7140" i="1"/>
  <c r="D7140" i="1"/>
  <c r="A7141" i="1"/>
  <c r="B7141" i="1"/>
  <c r="C7141" i="1"/>
  <c r="D7141" i="1"/>
  <c r="A7142" i="1"/>
  <c r="B7142" i="1"/>
  <c r="C7142" i="1"/>
  <c r="D7142" i="1"/>
  <c r="A7143" i="1"/>
  <c r="B7143" i="1"/>
  <c r="C7143" i="1"/>
  <c r="D7143" i="1"/>
  <c r="A7144" i="1"/>
  <c r="B7144" i="1"/>
  <c r="C7144" i="1"/>
  <c r="D7144" i="1"/>
  <c r="A7145" i="1"/>
  <c r="B7145" i="1"/>
  <c r="C7145" i="1"/>
  <c r="D7145" i="1"/>
  <c r="A7146" i="1"/>
  <c r="B7146" i="1"/>
  <c r="C7146" i="1"/>
  <c r="A7147" i="1"/>
  <c r="B7147" i="1"/>
  <c r="C7147" i="1"/>
  <c r="D7147" i="1"/>
  <c r="A7148" i="1"/>
  <c r="B7148" i="1"/>
  <c r="C7148" i="1"/>
  <c r="D7148" i="1"/>
  <c r="A7149" i="1"/>
  <c r="B7149" i="1"/>
  <c r="C7149" i="1"/>
  <c r="D7149" i="1"/>
  <c r="A7150" i="1"/>
  <c r="B7150" i="1"/>
  <c r="C7150" i="1"/>
  <c r="D7150" i="1"/>
  <c r="A7151" i="1"/>
  <c r="B7151" i="1"/>
  <c r="C7151" i="1"/>
  <c r="D7151" i="1"/>
  <c r="A7152" i="1"/>
  <c r="B7152" i="1"/>
  <c r="C7152" i="1"/>
  <c r="D7152" i="1"/>
  <c r="A7153" i="1"/>
  <c r="B7153" i="1"/>
  <c r="C7153" i="1"/>
  <c r="D7153" i="1"/>
  <c r="A7154" i="1"/>
  <c r="B7154" i="1"/>
  <c r="C7154" i="1"/>
  <c r="D7154" i="1"/>
  <c r="A7155" i="1"/>
  <c r="B7155" i="1"/>
  <c r="C7155" i="1"/>
  <c r="D7155" i="1"/>
  <c r="A7156" i="1"/>
  <c r="B7156" i="1"/>
  <c r="C7156" i="1"/>
  <c r="D7156" i="1"/>
  <c r="A7157" i="1"/>
  <c r="B7157" i="1"/>
  <c r="C7157" i="1"/>
  <c r="D7157" i="1"/>
  <c r="A7158" i="1"/>
  <c r="B7158" i="1"/>
  <c r="C7158" i="1"/>
  <c r="D7158" i="1"/>
  <c r="A7159" i="1"/>
  <c r="B7159" i="1"/>
  <c r="C7159" i="1"/>
  <c r="D7159" i="1"/>
  <c r="A7160" i="1"/>
  <c r="B7160" i="1"/>
  <c r="C7160" i="1"/>
  <c r="D7160" i="1"/>
  <c r="A7161" i="1"/>
  <c r="B7161" i="1"/>
  <c r="C7161" i="1"/>
  <c r="D7161" i="1"/>
  <c r="A7162" i="1"/>
  <c r="B7162" i="1"/>
  <c r="C7162" i="1"/>
  <c r="D7162" i="1"/>
  <c r="A7163" i="1"/>
  <c r="B7163" i="1"/>
  <c r="C7163" i="1"/>
  <c r="D7163" i="1"/>
  <c r="A7164" i="1"/>
  <c r="B7164" i="1"/>
  <c r="C7164" i="1"/>
  <c r="D7164" i="1"/>
  <c r="A7165" i="1"/>
  <c r="B7165" i="1"/>
  <c r="C7165" i="1"/>
  <c r="D7165" i="1"/>
  <c r="A7166" i="1"/>
  <c r="B7166" i="1"/>
  <c r="C7166" i="1"/>
  <c r="D7166" i="1"/>
  <c r="A7167" i="1"/>
  <c r="B7167" i="1"/>
  <c r="C7167" i="1"/>
  <c r="D7167" i="1"/>
  <c r="A7168" i="1"/>
  <c r="B7168" i="1"/>
  <c r="C7168" i="1"/>
  <c r="D7168" i="1"/>
  <c r="A7169" i="1"/>
  <c r="B7169" i="1"/>
  <c r="C7169" i="1"/>
  <c r="D7169" i="1"/>
  <c r="A7170" i="1"/>
  <c r="B7170" i="1"/>
  <c r="C7170" i="1"/>
  <c r="D7170" i="1"/>
  <c r="A7171" i="1"/>
  <c r="B7171" i="1"/>
  <c r="C7171" i="1"/>
  <c r="D7171" i="1"/>
  <c r="A7172" i="1"/>
  <c r="B7172" i="1"/>
  <c r="C7172" i="1"/>
  <c r="D7172" i="1"/>
  <c r="A7173" i="1"/>
  <c r="B7173" i="1"/>
  <c r="C7173" i="1"/>
  <c r="D7173" i="1"/>
  <c r="A7174" i="1"/>
  <c r="B7174" i="1"/>
  <c r="C7174" i="1"/>
  <c r="D7174" i="1"/>
  <c r="A7175" i="1"/>
  <c r="B7175" i="1"/>
  <c r="C7175" i="1"/>
  <c r="A7176" i="1"/>
  <c r="B7176" i="1"/>
  <c r="C7176" i="1"/>
  <c r="D7176" i="1"/>
  <c r="A7177" i="1"/>
  <c r="B7177" i="1"/>
  <c r="C7177" i="1"/>
  <c r="D7177" i="1"/>
  <c r="A7178" i="1"/>
  <c r="B7178" i="1"/>
  <c r="C7178" i="1"/>
  <c r="A7179" i="1"/>
  <c r="B7179" i="1"/>
  <c r="C7179" i="1"/>
  <c r="D7179" i="1"/>
  <c r="A7180" i="1"/>
  <c r="B7180" i="1"/>
  <c r="C7180" i="1"/>
  <c r="D7180" i="1"/>
  <c r="A7181" i="1"/>
  <c r="B7181" i="1"/>
  <c r="C7181" i="1"/>
  <c r="D7181" i="1"/>
  <c r="A7182" i="1"/>
  <c r="B7182" i="1"/>
  <c r="C7182" i="1"/>
  <c r="D7182" i="1"/>
  <c r="A7183" i="1"/>
  <c r="B7183" i="1"/>
  <c r="C7183" i="1"/>
  <c r="D7183" i="1"/>
  <c r="A7184" i="1"/>
  <c r="B7184" i="1"/>
  <c r="C7184" i="1"/>
  <c r="D7184" i="1"/>
  <c r="A7185" i="1"/>
  <c r="B7185" i="1"/>
  <c r="C7185" i="1"/>
  <c r="D7185" i="1"/>
  <c r="A7186" i="1"/>
  <c r="B7186" i="1"/>
  <c r="C7186" i="1"/>
  <c r="D7186" i="1"/>
  <c r="A7187" i="1"/>
  <c r="B7187" i="1"/>
  <c r="C7187" i="1"/>
  <c r="D7187" i="1"/>
  <c r="A7188" i="1"/>
  <c r="B7188" i="1"/>
  <c r="C7188" i="1"/>
  <c r="D7188" i="1"/>
  <c r="A7189" i="1"/>
  <c r="B7189" i="1"/>
  <c r="C7189" i="1"/>
  <c r="D7189" i="1"/>
  <c r="A7190" i="1"/>
  <c r="B7190" i="1"/>
  <c r="C7190" i="1"/>
  <c r="D7190" i="1"/>
  <c r="A7191" i="1"/>
  <c r="B7191" i="1"/>
  <c r="C7191" i="1"/>
  <c r="D7191" i="1"/>
  <c r="A7192" i="1"/>
  <c r="B7192" i="1"/>
  <c r="C7192" i="1"/>
  <c r="D7192" i="1"/>
  <c r="A7193" i="1"/>
  <c r="B7193" i="1"/>
  <c r="C7193" i="1"/>
  <c r="D7193" i="1"/>
  <c r="A7194" i="1"/>
  <c r="B7194" i="1"/>
  <c r="C7194" i="1"/>
  <c r="D7194" i="1"/>
  <c r="A7195" i="1"/>
  <c r="B7195" i="1"/>
  <c r="C7195" i="1"/>
  <c r="D7195" i="1"/>
  <c r="A7196" i="1"/>
  <c r="B7196" i="1"/>
  <c r="C7196" i="1"/>
  <c r="D7196" i="1"/>
  <c r="A7197" i="1"/>
  <c r="B7197" i="1"/>
  <c r="C7197" i="1"/>
  <c r="D7197" i="1"/>
  <c r="A7198" i="1"/>
  <c r="B7198" i="1"/>
  <c r="C7198" i="1"/>
  <c r="D7198" i="1"/>
  <c r="A7199" i="1"/>
  <c r="B7199" i="1"/>
  <c r="C7199" i="1"/>
  <c r="D7199" i="1"/>
  <c r="A7200" i="1"/>
  <c r="B7200" i="1"/>
  <c r="C7200" i="1"/>
  <c r="D7200" i="1"/>
  <c r="A7201" i="1"/>
  <c r="B7201" i="1"/>
  <c r="C7201" i="1"/>
  <c r="D7201" i="1"/>
  <c r="A7202" i="1"/>
  <c r="B7202" i="1"/>
  <c r="C7202" i="1"/>
  <c r="D7202" i="1"/>
  <c r="A7203" i="1"/>
  <c r="B7203" i="1"/>
  <c r="C7203" i="1"/>
  <c r="D7203" i="1"/>
  <c r="A7204" i="1"/>
  <c r="B7204" i="1"/>
  <c r="C7204" i="1"/>
  <c r="D7204" i="1"/>
  <c r="A7205" i="1"/>
  <c r="B7205" i="1"/>
  <c r="C7205" i="1"/>
  <c r="D7205" i="1"/>
  <c r="A7206" i="1"/>
  <c r="B7206" i="1"/>
  <c r="C7206" i="1"/>
  <c r="D7206" i="1"/>
  <c r="A7207" i="1"/>
  <c r="B7207" i="1"/>
  <c r="C7207" i="1"/>
  <c r="D7207" i="1"/>
  <c r="A7208" i="1"/>
  <c r="B7208" i="1"/>
  <c r="C7208" i="1"/>
  <c r="D7208" i="1"/>
  <c r="A7209" i="1"/>
  <c r="B7209" i="1"/>
  <c r="C7209" i="1"/>
  <c r="D7209" i="1"/>
  <c r="A7210" i="1"/>
  <c r="B7210" i="1"/>
  <c r="C7210" i="1"/>
  <c r="D7210" i="1"/>
  <c r="A7211" i="1"/>
  <c r="B7211" i="1"/>
  <c r="C7211" i="1"/>
  <c r="D7211" i="1"/>
  <c r="A7212" i="1"/>
  <c r="B7212" i="1"/>
  <c r="C7212" i="1"/>
  <c r="D7212" i="1"/>
  <c r="A7213" i="1"/>
  <c r="B7213" i="1"/>
  <c r="C7213" i="1"/>
  <c r="D7213" i="1"/>
  <c r="A7214" i="1"/>
  <c r="B7214" i="1"/>
  <c r="C7214" i="1"/>
  <c r="D7214" i="1"/>
  <c r="A7215" i="1"/>
  <c r="B7215" i="1"/>
  <c r="C7215" i="1"/>
  <c r="D7215" i="1"/>
  <c r="A7216" i="1"/>
  <c r="B7216" i="1"/>
  <c r="C7216" i="1"/>
  <c r="D7216" i="1"/>
  <c r="A7217" i="1"/>
  <c r="B7217" i="1"/>
  <c r="C7217" i="1"/>
  <c r="D7217" i="1"/>
  <c r="A7218" i="1"/>
  <c r="B7218" i="1"/>
  <c r="C7218" i="1"/>
  <c r="D7218" i="1"/>
  <c r="A7219" i="1"/>
  <c r="B7219" i="1"/>
  <c r="C7219" i="1"/>
  <c r="D7219" i="1"/>
  <c r="A7220" i="1"/>
  <c r="B7220" i="1"/>
  <c r="C7220" i="1"/>
  <c r="D7220" i="1"/>
  <c r="A7221" i="1"/>
  <c r="B7221" i="1"/>
  <c r="C7221" i="1"/>
  <c r="D7221" i="1"/>
  <c r="A7222" i="1"/>
  <c r="B7222" i="1"/>
  <c r="C7222" i="1"/>
  <c r="D7222" i="1"/>
  <c r="A7223" i="1"/>
  <c r="B7223" i="1"/>
  <c r="C7223" i="1"/>
  <c r="D7223" i="1"/>
  <c r="A7224" i="1"/>
  <c r="B7224" i="1"/>
  <c r="C7224" i="1"/>
  <c r="D7224" i="1"/>
  <c r="A7225" i="1"/>
  <c r="B7225" i="1"/>
  <c r="C7225" i="1"/>
  <c r="D7225" i="1"/>
  <c r="A7226" i="1"/>
  <c r="B7226" i="1"/>
  <c r="C7226" i="1"/>
  <c r="D7226" i="1"/>
  <c r="A7227" i="1"/>
  <c r="B7227" i="1"/>
  <c r="C7227" i="1"/>
  <c r="D7227" i="1"/>
  <c r="A7228" i="1"/>
  <c r="B7228" i="1"/>
  <c r="C7228" i="1"/>
  <c r="D7228" i="1"/>
  <c r="A7229" i="1"/>
  <c r="B7229" i="1"/>
  <c r="C7229" i="1"/>
  <c r="D7229" i="1"/>
  <c r="A7230" i="1"/>
  <c r="B7230" i="1"/>
  <c r="C7230" i="1"/>
  <c r="D7230" i="1"/>
  <c r="A7231" i="1"/>
  <c r="B7231" i="1"/>
  <c r="C7231" i="1"/>
  <c r="D7231" i="1"/>
  <c r="A7232" i="1"/>
  <c r="B7232" i="1"/>
  <c r="C7232" i="1"/>
  <c r="D7232" i="1"/>
  <c r="A7233" i="1"/>
  <c r="B7233" i="1"/>
  <c r="C7233" i="1"/>
  <c r="D7233" i="1"/>
  <c r="A7234" i="1"/>
  <c r="B7234" i="1"/>
  <c r="C7234" i="1"/>
  <c r="D7234" i="1"/>
  <c r="A7235" i="1"/>
  <c r="B7235" i="1"/>
  <c r="C7235" i="1"/>
  <c r="D7235" i="1"/>
  <c r="A7236" i="1"/>
  <c r="B7236" i="1"/>
  <c r="C7236" i="1"/>
  <c r="D7236" i="1"/>
  <c r="A7237" i="1"/>
  <c r="B7237" i="1"/>
  <c r="C7237" i="1"/>
  <c r="D7237" i="1"/>
  <c r="A7238" i="1"/>
  <c r="B7238" i="1"/>
  <c r="C7238" i="1"/>
  <c r="D7238" i="1"/>
  <c r="A7239" i="1"/>
  <c r="B7239" i="1"/>
  <c r="C7239" i="1"/>
  <c r="D7239" i="1"/>
  <c r="A7240" i="1"/>
  <c r="B7240" i="1"/>
  <c r="C7240" i="1"/>
  <c r="D7240" i="1"/>
  <c r="A7241" i="1"/>
  <c r="B7241" i="1"/>
  <c r="C7241" i="1"/>
  <c r="D7241" i="1"/>
  <c r="A7242" i="1"/>
  <c r="B7242" i="1"/>
  <c r="C7242" i="1"/>
  <c r="D7242" i="1"/>
  <c r="A7243" i="1"/>
  <c r="B7243" i="1"/>
  <c r="C7243" i="1"/>
  <c r="D7243" i="1"/>
  <c r="A7244" i="1"/>
  <c r="B7244" i="1"/>
  <c r="C7244" i="1"/>
  <c r="D7244" i="1"/>
  <c r="A7245" i="1"/>
  <c r="B7245" i="1"/>
  <c r="C7245" i="1"/>
  <c r="D7245" i="1"/>
  <c r="A7246" i="1"/>
  <c r="B7246" i="1"/>
  <c r="C7246" i="1"/>
  <c r="D7246" i="1"/>
  <c r="A7247" i="1"/>
  <c r="B7247" i="1"/>
  <c r="C7247" i="1"/>
  <c r="D7247" i="1"/>
  <c r="A7248" i="1"/>
  <c r="B7248" i="1"/>
  <c r="C7248" i="1"/>
  <c r="D7248" i="1"/>
  <c r="A7249" i="1"/>
  <c r="B7249" i="1"/>
  <c r="C7249" i="1"/>
  <c r="D7249" i="1"/>
  <c r="A7250" i="1"/>
  <c r="B7250" i="1"/>
  <c r="C7250" i="1"/>
  <c r="D7250" i="1"/>
  <c r="A7251" i="1"/>
  <c r="B7251" i="1"/>
  <c r="C7251" i="1"/>
  <c r="D7251" i="1"/>
  <c r="A7252" i="1"/>
  <c r="B7252" i="1"/>
  <c r="C7252" i="1"/>
  <c r="D7252" i="1"/>
  <c r="A7253" i="1"/>
  <c r="B7253" i="1"/>
  <c r="C7253" i="1"/>
  <c r="D7253" i="1"/>
  <c r="A7254" i="1"/>
  <c r="B7254" i="1"/>
  <c r="C7254" i="1"/>
  <c r="D7254" i="1"/>
  <c r="A7255" i="1"/>
  <c r="B7255" i="1"/>
  <c r="C7255" i="1"/>
  <c r="D7255" i="1"/>
  <c r="A7256" i="1"/>
  <c r="B7256" i="1"/>
  <c r="C7256" i="1"/>
  <c r="D7256" i="1"/>
  <c r="A7257" i="1"/>
  <c r="B7257" i="1"/>
  <c r="C7257" i="1"/>
  <c r="D7257" i="1"/>
  <c r="A7258" i="1"/>
  <c r="B7258" i="1"/>
  <c r="C7258" i="1"/>
  <c r="D7258" i="1"/>
  <c r="A7259" i="1"/>
  <c r="B7259" i="1"/>
  <c r="C7259" i="1"/>
  <c r="A7260" i="1"/>
  <c r="B7260" i="1"/>
  <c r="C7260" i="1"/>
  <c r="D7260" i="1"/>
  <c r="A7261" i="1"/>
  <c r="B7261" i="1"/>
  <c r="C7261" i="1"/>
  <c r="D7261" i="1"/>
  <c r="A7262" i="1"/>
  <c r="B7262" i="1"/>
  <c r="C7262" i="1"/>
  <c r="D7262" i="1"/>
  <c r="A7263" i="1"/>
  <c r="B7263" i="1"/>
  <c r="C7263" i="1"/>
  <c r="D7263" i="1"/>
  <c r="A7264" i="1"/>
  <c r="B7264" i="1"/>
  <c r="C7264" i="1"/>
  <c r="D7264" i="1"/>
  <c r="A7265" i="1"/>
  <c r="B7265" i="1"/>
  <c r="C7265" i="1"/>
  <c r="D7265" i="1"/>
  <c r="A7266" i="1"/>
  <c r="B7266" i="1"/>
  <c r="C7266" i="1"/>
  <c r="D7266" i="1"/>
  <c r="A7267" i="1"/>
  <c r="B7267" i="1"/>
  <c r="C7267" i="1"/>
  <c r="D7267" i="1"/>
  <c r="A7268" i="1"/>
  <c r="B7268" i="1"/>
  <c r="C7268" i="1"/>
  <c r="D7268" i="1"/>
  <c r="A7269" i="1"/>
  <c r="B7269" i="1"/>
  <c r="C7269" i="1"/>
  <c r="D7269" i="1"/>
  <c r="A7270" i="1"/>
  <c r="B7270" i="1"/>
  <c r="C7270" i="1"/>
  <c r="D7270" i="1"/>
  <c r="A7271" i="1"/>
  <c r="B7271" i="1"/>
  <c r="C7271" i="1"/>
  <c r="D7271" i="1"/>
  <c r="A7272" i="1"/>
  <c r="B7272" i="1"/>
  <c r="C7272" i="1"/>
  <c r="D7272" i="1"/>
  <c r="A7273" i="1"/>
  <c r="B7273" i="1"/>
  <c r="C7273" i="1"/>
  <c r="D7273" i="1"/>
  <c r="A7274" i="1"/>
  <c r="B7274" i="1"/>
  <c r="C7274" i="1"/>
  <c r="D7274" i="1"/>
  <c r="A7275" i="1"/>
  <c r="B7275" i="1"/>
  <c r="C7275" i="1"/>
  <c r="D7275" i="1"/>
  <c r="A7276" i="1"/>
  <c r="B7276" i="1"/>
  <c r="C7276" i="1"/>
  <c r="D7276" i="1"/>
  <c r="A7277" i="1"/>
  <c r="B7277" i="1"/>
  <c r="C7277" i="1"/>
  <c r="D7277" i="1"/>
  <c r="A7278" i="1"/>
  <c r="B7278" i="1"/>
  <c r="C7278" i="1"/>
  <c r="D7278" i="1"/>
  <c r="A7279" i="1"/>
  <c r="B7279" i="1"/>
  <c r="C7279" i="1"/>
  <c r="D7279" i="1"/>
  <c r="A7280" i="1"/>
  <c r="B7280" i="1"/>
  <c r="C7280" i="1"/>
  <c r="D7280" i="1"/>
  <c r="A7281" i="1"/>
  <c r="B7281" i="1"/>
  <c r="C7281" i="1"/>
  <c r="A7282" i="1"/>
  <c r="B7282" i="1"/>
  <c r="C7282" i="1"/>
  <c r="D7282" i="1"/>
  <c r="A7283" i="1"/>
  <c r="B7283" i="1"/>
  <c r="C7283" i="1"/>
  <c r="D7283" i="1"/>
  <c r="A7284" i="1"/>
  <c r="B7284" i="1"/>
  <c r="C7284" i="1"/>
  <c r="D7284" i="1"/>
  <c r="A7285" i="1"/>
  <c r="B7285" i="1"/>
  <c r="C7285" i="1"/>
  <c r="D7285" i="1"/>
  <c r="A7286" i="1"/>
  <c r="B7286" i="1"/>
  <c r="C7286" i="1"/>
  <c r="D7286" i="1"/>
  <c r="A7287" i="1"/>
  <c r="B7287" i="1"/>
  <c r="C7287" i="1"/>
  <c r="D7287" i="1"/>
  <c r="A7288" i="1"/>
  <c r="B7288" i="1"/>
  <c r="C7288" i="1"/>
  <c r="D7288" i="1"/>
  <c r="A7289" i="1"/>
  <c r="B7289" i="1"/>
  <c r="C7289" i="1"/>
  <c r="D7289" i="1"/>
  <c r="A7290" i="1"/>
  <c r="B7290" i="1"/>
  <c r="C7290" i="1"/>
  <c r="D7290" i="1"/>
  <c r="A7291" i="1"/>
  <c r="B7291" i="1"/>
  <c r="C7291" i="1"/>
  <c r="A7292" i="1"/>
  <c r="B7292" i="1"/>
  <c r="C7292" i="1"/>
  <c r="D7292" i="1"/>
  <c r="A7293" i="1"/>
  <c r="B7293" i="1"/>
  <c r="C7293" i="1"/>
  <c r="D7293" i="1"/>
  <c r="A7294" i="1"/>
  <c r="B7294" i="1"/>
  <c r="C7294" i="1"/>
  <c r="D7294" i="1"/>
  <c r="A7295" i="1"/>
  <c r="B7295" i="1"/>
  <c r="C7295" i="1"/>
  <c r="D7295" i="1"/>
  <c r="A7296" i="1"/>
  <c r="B7296" i="1"/>
  <c r="C7296" i="1"/>
  <c r="D7296" i="1"/>
  <c r="A7297" i="1"/>
  <c r="B7297" i="1"/>
  <c r="C7297" i="1"/>
  <c r="D7297" i="1"/>
  <c r="A7298" i="1"/>
  <c r="B7298" i="1"/>
  <c r="C7298" i="1"/>
  <c r="D7298" i="1"/>
  <c r="A7299" i="1"/>
  <c r="B7299" i="1"/>
  <c r="C7299" i="1"/>
  <c r="D7299" i="1"/>
  <c r="A7300" i="1"/>
  <c r="B7300" i="1"/>
  <c r="C7300" i="1"/>
  <c r="D7300" i="1"/>
  <c r="A7301" i="1"/>
  <c r="B7301" i="1"/>
  <c r="C7301" i="1"/>
  <c r="A7302" i="1"/>
  <c r="B7302" i="1"/>
  <c r="C7302" i="1"/>
  <c r="D7302" i="1"/>
  <c r="A7303" i="1"/>
  <c r="B7303" i="1"/>
  <c r="C7303" i="1"/>
  <c r="D7303" i="1"/>
  <c r="A7304" i="1"/>
  <c r="B7304" i="1"/>
  <c r="C7304" i="1"/>
  <c r="D7304" i="1"/>
  <c r="A7305" i="1"/>
  <c r="B7305" i="1"/>
  <c r="C7305" i="1"/>
  <c r="D7305" i="1"/>
  <c r="A7306" i="1"/>
  <c r="B7306" i="1"/>
  <c r="C7306" i="1"/>
  <c r="D7306" i="1"/>
  <c r="A7307" i="1"/>
  <c r="B7307" i="1"/>
  <c r="C7307" i="1"/>
  <c r="D7307" i="1"/>
  <c r="A7308" i="1"/>
  <c r="B7308" i="1"/>
  <c r="C7308" i="1"/>
  <c r="D7308" i="1"/>
  <c r="A7309" i="1"/>
  <c r="B7309" i="1"/>
  <c r="C7309" i="1"/>
  <c r="D7309" i="1"/>
  <c r="A7310" i="1"/>
  <c r="B7310" i="1"/>
  <c r="C7310" i="1"/>
  <c r="D7310" i="1"/>
  <c r="A7311" i="1"/>
  <c r="B7311" i="1"/>
  <c r="C7311" i="1"/>
  <c r="D7311" i="1"/>
  <c r="A7312" i="1"/>
  <c r="B7312" i="1"/>
  <c r="C7312" i="1"/>
  <c r="D7312" i="1"/>
  <c r="A7313" i="1"/>
  <c r="B7313" i="1"/>
  <c r="C7313" i="1"/>
  <c r="D7313" i="1"/>
  <c r="A7314" i="1"/>
  <c r="B7314" i="1"/>
  <c r="C7314" i="1"/>
  <c r="D7314" i="1"/>
  <c r="A7315" i="1"/>
  <c r="B7315" i="1"/>
  <c r="C7315" i="1"/>
  <c r="D7315" i="1"/>
  <c r="A7316" i="1"/>
  <c r="B7316" i="1"/>
  <c r="C7316" i="1"/>
  <c r="D7316" i="1"/>
  <c r="A7317" i="1"/>
  <c r="B7317" i="1"/>
  <c r="C7317" i="1"/>
  <c r="D7317" i="1"/>
  <c r="A7318" i="1"/>
  <c r="B7318" i="1"/>
  <c r="C7318" i="1"/>
  <c r="D7318" i="1"/>
  <c r="A7319" i="1"/>
  <c r="B7319" i="1"/>
  <c r="C7319" i="1"/>
  <c r="A7320" i="1"/>
  <c r="B7320" i="1"/>
  <c r="C7320" i="1"/>
  <c r="D7320" i="1"/>
  <c r="A7321" i="1"/>
  <c r="B7321" i="1"/>
  <c r="C7321" i="1"/>
  <c r="D7321" i="1"/>
  <c r="A7322" i="1"/>
  <c r="B7322" i="1"/>
  <c r="C7322" i="1"/>
  <c r="D7322" i="1"/>
  <c r="A7323" i="1"/>
  <c r="B7323" i="1"/>
  <c r="C7323" i="1"/>
  <c r="D7323" i="1"/>
  <c r="A7324" i="1"/>
  <c r="B7324" i="1"/>
  <c r="C7324" i="1"/>
  <c r="D7324" i="1"/>
  <c r="A7325" i="1"/>
  <c r="B7325" i="1"/>
  <c r="C7325" i="1"/>
  <c r="D7325" i="1"/>
  <c r="A7326" i="1"/>
  <c r="B7326" i="1"/>
  <c r="C7326" i="1"/>
  <c r="D7326" i="1"/>
  <c r="A7327" i="1"/>
  <c r="B7327" i="1"/>
  <c r="C7327" i="1"/>
  <c r="D7327" i="1"/>
  <c r="A7328" i="1"/>
  <c r="B7328" i="1"/>
  <c r="C7328" i="1"/>
  <c r="D7328" i="1"/>
  <c r="A7329" i="1"/>
  <c r="B7329" i="1"/>
  <c r="C7329" i="1"/>
  <c r="D7329" i="1"/>
  <c r="A7330" i="1"/>
  <c r="B7330" i="1"/>
  <c r="C7330" i="1"/>
  <c r="D7330" i="1"/>
  <c r="A7331" i="1"/>
  <c r="B7331" i="1"/>
  <c r="C7331" i="1"/>
  <c r="D7331" i="1"/>
  <c r="A7332" i="1"/>
  <c r="B7332" i="1"/>
  <c r="C7332" i="1"/>
  <c r="D7332" i="1"/>
  <c r="A7333" i="1"/>
  <c r="B7333" i="1"/>
  <c r="C7333" i="1"/>
  <c r="D7333" i="1"/>
  <c r="A7334" i="1"/>
  <c r="B7334" i="1"/>
  <c r="C7334" i="1"/>
  <c r="D7334" i="1"/>
  <c r="A7335" i="1"/>
  <c r="B7335" i="1"/>
  <c r="C7335" i="1"/>
  <c r="D7335" i="1"/>
  <c r="A7336" i="1"/>
  <c r="B7336" i="1"/>
  <c r="C7336" i="1"/>
  <c r="D7336" i="1"/>
  <c r="A7337" i="1"/>
  <c r="B7337" i="1"/>
  <c r="C7337" i="1"/>
  <c r="D7337" i="1"/>
  <c r="A7338" i="1"/>
  <c r="B7338" i="1"/>
  <c r="C7338" i="1"/>
  <c r="D7338" i="1"/>
  <c r="A7339" i="1"/>
  <c r="B7339" i="1"/>
  <c r="C7339" i="1"/>
  <c r="D7339" i="1"/>
  <c r="A7340" i="1"/>
  <c r="B7340" i="1"/>
  <c r="C7340" i="1"/>
  <c r="D7340" i="1"/>
  <c r="A7341" i="1"/>
  <c r="B7341" i="1"/>
  <c r="C7341" i="1"/>
  <c r="D7341" i="1"/>
  <c r="A7342" i="1"/>
  <c r="B7342" i="1"/>
  <c r="C7342" i="1"/>
  <c r="D7342" i="1"/>
  <c r="A7343" i="1"/>
  <c r="B7343" i="1"/>
  <c r="C7343" i="1"/>
  <c r="D7343" i="1"/>
  <c r="A7344" i="1"/>
  <c r="B7344" i="1"/>
  <c r="C7344" i="1"/>
  <c r="D7344" i="1"/>
  <c r="A7345" i="1"/>
  <c r="B7345" i="1"/>
  <c r="C7345" i="1"/>
  <c r="D7345" i="1"/>
  <c r="A7346" i="1"/>
  <c r="B7346" i="1"/>
  <c r="C7346" i="1"/>
  <c r="D7346" i="1"/>
  <c r="A7347" i="1"/>
  <c r="B7347" i="1"/>
  <c r="C7347" i="1"/>
  <c r="D7347" i="1"/>
  <c r="A7348" i="1"/>
  <c r="B7348" i="1"/>
  <c r="C7348" i="1"/>
  <c r="A7349" i="1"/>
  <c r="B7349" i="1"/>
  <c r="C7349" i="1"/>
  <c r="D7349" i="1"/>
  <c r="A7350" i="1"/>
  <c r="B7350" i="1"/>
  <c r="C7350" i="1"/>
  <c r="D7350" i="1"/>
  <c r="A7351" i="1"/>
  <c r="B7351" i="1"/>
  <c r="C7351" i="1"/>
  <c r="D7351" i="1"/>
  <c r="A7352" i="1"/>
  <c r="B7352" i="1"/>
  <c r="C7352" i="1"/>
  <c r="D7352" i="1"/>
  <c r="A7353" i="1"/>
  <c r="B7353" i="1"/>
  <c r="C7353" i="1"/>
  <c r="D7353" i="1"/>
  <c r="A7354" i="1"/>
  <c r="B7354" i="1"/>
  <c r="C7354" i="1"/>
  <c r="D7354" i="1"/>
  <c r="A7355" i="1"/>
  <c r="B7355" i="1"/>
  <c r="C7355" i="1"/>
  <c r="D7355" i="1"/>
  <c r="A7356" i="1"/>
  <c r="B7356" i="1"/>
  <c r="C7356" i="1"/>
  <c r="D7356" i="1"/>
  <c r="A7357" i="1"/>
  <c r="B7357" i="1"/>
  <c r="C7357" i="1"/>
  <c r="D7357" i="1"/>
  <c r="A7358" i="1"/>
  <c r="B7358" i="1"/>
  <c r="C7358" i="1"/>
  <c r="D7358" i="1"/>
  <c r="A7359" i="1"/>
  <c r="B7359" i="1"/>
  <c r="C7359" i="1"/>
  <c r="D7359" i="1"/>
  <c r="A7360" i="1"/>
  <c r="B7360" i="1"/>
  <c r="C7360" i="1"/>
  <c r="D7360" i="1"/>
  <c r="A7361" i="1"/>
  <c r="B7361" i="1"/>
  <c r="C7361" i="1"/>
  <c r="D7361" i="1"/>
  <c r="A7362" i="1"/>
  <c r="B7362" i="1"/>
  <c r="C7362" i="1"/>
  <c r="D7362" i="1"/>
  <c r="A7363" i="1"/>
  <c r="B7363" i="1"/>
  <c r="C7363" i="1"/>
  <c r="D7363" i="1"/>
  <c r="A7364" i="1"/>
  <c r="B7364" i="1"/>
  <c r="C7364" i="1"/>
  <c r="D7364" i="1"/>
  <c r="A7365" i="1"/>
  <c r="B7365" i="1"/>
  <c r="C7365" i="1"/>
  <c r="D7365" i="1"/>
  <c r="A7366" i="1"/>
  <c r="B7366" i="1"/>
  <c r="C7366" i="1"/>
  <c r="D7366" i="1"/>
  <c r="A7367" i="1"/>
  <c r="B7367" i="1"/>
  <c r="C7367" i="1"/>
  <c r="D7367" i="1"/>
  <c r="A7368" i="1"/>
  <c r="B7368" i="1"/>
  <c r="C7368" i="1"/>
  <c r="D7368" i="1"/>
  <c r="A7369" i="1"/>
  <c r="B7369" i="1"/>
  <c r="C7369" i="1"/>
  <c r="D7369" i="1"/>
  <c r="A7370" i="1"/>
  <c r="B7370" i="1"/>
  <c r="C7370" i="1"/>
  <c r="D7370" i="1"/>
  <c r="A7371" i="1"/>
  <c r="B7371" i="1"/>
  <c r="C7371" i="1"/>
  <c r="D7371" i="1"/>
  <c r="A7372" i="1"/>
  <c r="B7372" i="1"/>
  <c r="C7372" i="1"/>
  <c r="D7372" i="1"/>
  <c r="A7373" i="1"/>
  <c r="B7373" i="1"/>
  <c r="C7373" i="1"/>
  <c r="A7374" i="1"/>
  <c r="B7374" i="1"/>
  <c r="C7374" i="1"/>
  <c r="D7374" i="1"/>
  <c r="A7375" i="1"/>
  <c r="B7375" i="1"/>
  <c r="C7375" i="1"/>
  <c r="D7375" i="1"/>
  <c r="A7376" i="1"/>
  <c r="B7376" i="1"/>
  <c r="C7376" i="1"/>
  <c r="D7376" i="1"/>
  <c r="A7377" i="1"/>
  <c r="B7377" i="1"/>
  <c r="C7377" i="1"/>
  <c r="D7377" i="1"/>
  <c r="A7378" i="1"/>
  <c r="B7378" i="1"/>
  <c r="C7378" i="1"/>
  <c r="D7378" i="1"/>
  <c r="A7379" i="1"/>
  <c r="B7379" i="1"/>
  <c r="C7379" i="1"/>
  <c r="D7379" i="1"/>
  <c r="A7380" i="1"/>
  <c r="B7380" i="1"/>
  <c r="C7380" i="1"/>
  <c r="D7380" i="1"/>
  <c r="A7381" i="1"/>
  <c r="B7381" i="1"/>
  <c r="C7381" i="1"/>
  <c r="D7381" i="1"/>
  <c r="A7382" i="1"/>
  <c r="B7382" i="1"/>
  <c r="C7382" i="1"/>
  <c r="D7382" i="1"/>
  <c r="A7383" i="1"/>
  <c r="B7383" i="1"/>
  <c r="C7383" i="1"/>
  <c r="D7383" i="1"/>
  <c r="A7384" i="1"/>
  <c r="B7384" i="1"/>
  <c r="C7384" i="1"/>
  <c r="D7384" i="1"/>
  <c r="A7385" i="1"/>
  <c r="B7385" i="1"/>
  <c r="C7385" i="1"/>
  <c r="D7385" i="1"/>
  <c r="A7386" i="1"/>
  <c r="B7386" i="1"/>
  <c r="C7386" i="1"/>
  <c r="D7386" i="1"/>
  <c r="A7387" i="1"/>
  <c r="B7387" i="1"/>
  <c r="C7387" i="1"/>
  <c r="D7387" i="1"/>
  <c r="A7388" i="1"/>
  <c r="B7388" i="1"/>
  <c r="C7388" i="1"/>
  <c r="D7388" i="1"/>
  <c r="A7389" i="1"/>
  <c r="B7389" i="1"/>
  <c r="C7389" i="1"/>
  <c r="D7389" i="1"/>
  <c r="A7390" i="1"/>
  <c r="B7390" i="1"/>
  <c r="C7390" i="1"/>
  <c r="D7390" i="1"/>
  <c r="A7391" i="1"/>
  <c r="B7391" i="1"/>
  <c r="C7391" i="1"/>
  <c r="D7391" i="1"/>
  <c r="A7392" i="1"/>
  <c r="B7392" i="1"/>
  <c r="C7392" i="1"/>
  <c r="D7392" i="1"/>
  <c r="A7393" i="1"/>
  <c r="B7393" i="1"/>
  <c r="C7393" i="1"/>
  <c r="D7393" i="1"/>
  <c r="A7394" i="1"/>
  <c r="B7394" i="1"/>
  <c r="C7394" i="1"/>
  <c r="D7394" i="1"/>
  <c r="A7395" i="1"/>
  <c r="B7395" i="1"/>
  <c r="C7395" i="1"/>
  <c r="D7395" i="1"/>
  <c r="A7396" i="1"/>
  <c r="B7396" i="1"/>
  <c r="C7396" i="1"/>
  <c r="D7396" i="1"/>
  <c r="A7397" i="1"/>
  <c r="B7397" i="1"/>
  <c r="C7397" i="1"/>
  <c r="D7397" i="1"/>
  <c r="A7398" i="1"/>
  <c r="B7398" i="1"/>
  <c r="C7398" i="1"/>
  <c r="D7398" i="1"/>
  <c r="A7399" i="1"/>
  <c r="B7399" i="1"/>
  <c r="C7399" i="1"/>
  <c r="D7399" i="1"/>
  <c r="A7400" i="1"/>
  <c r="B7400" i="1"/>
  <c r="C7400" i="1"/>
  <c r="D7400" i="1"/>
  <c r="A7401" i="1"/>
  <c r="B7401" i="1"/>
  <c r="C7401" i="1"/>
  <c r="A7402" i="1"/>
  <c r="B7402" i="1"/>
  <c r="C7402" i="1"/>
  <c r="D7402" i="1"/>
  <c r="A7403" i="1"/>
  <c r="B7403" i="1"/>
  <c r="C7403" i="1"/>
  <c r="D7403" i="1"/>
  <c r="A7404" i="1"/>
  <c r="B7404" i="1"/>
  <c r="C7404" i="1"/>
  <c r="D7404" i="1"/>
  <c r="A7405" i="1"/>
  <c r="B7405" i="1"/>
  <c r="C7405" i="1"/>
  <c r="D7405" i="1"/>
  <c r="A7406" i="1"/>
  <c r="B7406" i="1"/>
  <c r="C7406" i="1"/>
  <c r="D7406" i="1"/>
  <c r="A7407" i="1"/>
  <c r="B7407" i="1"/>
  <c r="C7407" i="1"/>
  <c r="D7407" i="1"/>
  <c r="A7408" i="1"/>
  <c r="B7408" i="1"/>
  <c r="C7408" i="1"/>
  <c r="D7408" i="1"/>
  <c r="A7409" i="1"/>
  <c r="B7409" i="1"/>
  <c r="C7409" i="1"/>
  <c r="D7409" i="1"/>
  <c r="A7410" i="1"/>
  <c r="B7410" i="1"/>
  <c r="C7410" i="1"/>
  <c r="A7411" i="1"/>
  <c r="B7411" i="1"/>
  <c r="C7411" i="1"/>
  <c r="D7411" i="1"/>
  <c r="A7412" i="1"/>
  <c r="B7412" i="1"/>
  <c r="C7412" i="1"/>
  <c r="D7412" i="1"/>
  <c r="A7413" i="1"/>
  <c r="B7413" i="1"/>
  <c r="C7413" i="1"/>
  <c r="D7413" i="1"/>
  <c r="A7414" i="1"/>
  <c r="B7414" i="1"/>
  <c r="C7414" i="1"/>
  <c r="D7414" i="1"/>
  <c r="A7415" i="1"/>
  <c r="B7415" i="1"/>
  <c r="C7415" i="1"/>
  <c r="D7415" i="1"/>
  <c r="A7416" i="1"/>
  <c r="B7416" i="1"/>
  <c r="C7416" i="1"/>
  <c r="D7416" i="1"/>
  <c r="A7417" i="1"/>
  <c r="B7417" i="1"/>
  <c r="C7417" i="1"/>
  <c r="D7417" i="1"/>
  <c r="A7418" i="1"/>
  <c r="B7418" i="1"/>
  <c r="C7418" i="1"/>
  <c r="D7418" i="1"/>
  <c r="A7419" i="1"/>
  <c r="B7419" i="1"/>
  <c r="C7419" i="1"/>
  <c r="D7419" i="1"/>
  <c r="A7420" i="1"/>
  <c r="B7420" i="1"/>
  <c r="C7420" i="1"/>
  <c r="D7420" i="1"/>
  <c r="A7421" i="1"/>
  <c r="B7421" i="1"/>
  <c r="C7421" i="1"/>
  <c r="D7421" i="1"/>
  <c r="A7422" i="1"/>
  <c r="B7422" i="1"/>
  <c r="C7422" i="1"/>
  <c r="D7422" i="1"/>
  <c r="A7423" i="1"/>
  <c r="B7423" i="1"/>
  <c r="C7423" i="1"/>
  <c r="D7423" i="1"/>
  <c r="A7424" i="1"/>
  <c r="B7424" i="1"/>
  <c r="C7424" i="1"/>
  <c r="D7424" i="1"/>
  <c r="A7425" i="1"/>
  <c r="B7425" i="1"/>
  <c r="C7425" i="1"/>
  <c r="D7425" i="1"/>
  <c r="A7426" i="1"/>
  <c r="B7426" i="1"/>
  <c r="C7426" i="1"/>
  <c r="D7426" i="1"/>
  <c r="A7427" i="1"/>
  <c r="B7427" i="1"/>
  <c r="C7427" i="1"/>
  <c r="D7427" i="1"/>
  <c r="A7428" i="1"/>
  <c r="B7428" i="1"/>
  <c r="C7428" i="1"/>
  <c r="D7428" i="1"/>
  <c r="A7429" i="1"/>
  <c r="B7429" i="1"/>
  <c r="C7429" i="1"/>
  <c r="D7429" i="1"/>
  <c r="A7430" i="1"/>
  <c r="B7430" i="1"/>
  <c r="C7430" i="1"/>
  <c r="D7430" i="1"/>
  <c r="A7431" i="1"/>
  <c r="B7431" i="1"/>
  <c r="C7431" i="1"/>
  <c r="D7431" i="1"/>
  <c r="A7432" i="1"/>
  <c r="B7432" i="1"/>
  <c r="C7432" i="1"/>
  <c r="D7432" i="1"/>
  <c r="A7433" i="1"/>
  <c r="B7433" i="1"/>
  <c r="C7433" i="1"/>
  <c r="D7433" i="1"/>
  <c r="A7434" i="1"/>
  <c r="B7434" i="1"/>
  <c r="C7434" i="1"/>
  <c r="D7434" i="1"/>
  <c r="A7435" i="1"/>
  <c r="B7435" i="1"/>
  <c r="C7435" i="1"/>
  <c r="D7435" i="1"/>
  <c r="A7436" i="1"/>
  <c r="B7436" i="1"/>
  <c r="C7436" i="1"/>
  <c r="D7436" i="1"/>
  <c r="A7437" i="1"/>
  <c r="B7437" i="1"/>
  <c r="C7437" i="1"/>
  <c r="D7437" i="1"/>
  <c r="A7438" i="1"/>
  <c r="B7438" i="1"/>
  <c r="C7438" i="1"/>
  <c r="D7438" i="1"/>
  <c r="A7439" i="1"/>
  <c r="B7439" i="1"/>
  <c r="C7439" i="1"/>
  <c r="D7439" i="1"/>
  <c r="A7440" i="1"/>
  <c r="B7440" i="1"/>
  <c r="C7440" i="1"/>
  <c r="D7440" i="1"/>
  <c r="A7441" i="1"/>
  <c r="B7441" i="1"/>
  <c r="C7441" i="1"/>
  <c r="D7441" i="1"/>
  <c r="A7442" i="1"/>
  <c r="B7442" i="1"/>
  <c r="C7442" i="1"/>
  <c r="D7442" i="1"/>
  <c r="A7443" i="1"/>
  <c r="B7443" i="1"/>
  <c r="C7443" i="1"/>
  <c r="D7443" i="1"/>
  <c r="A7444" i="1"/>
  <c r="B7444" i="1"/>
  <c r="C7444" i="1"/>
  <c r="D7444" i="1"/>
  <c r="A7445" i="1"/>
  <c r="B7445" i="1"/>
  <c r="C7445" i="1"/>
  <c r="D7445" i="1"/>
  <c r="A7446" i="1"/>
  <c r="B7446" i="1"/>
  <c r="C7446" i="1"/>
  <c r="D7446" i="1"/>
  <c r="A7447" i="1"/>
  <c r="B7447" i="1"/>
  <c r="C7447" i="1"/>
  <c r="D7447" i="1"/>
  <c r="A7448" i="1"/>
  <c r="B7448" i="1"/>
  <c r="C7448" i="1"/>
  <c r="D7448" i="1"/>
  <c r="A7449" i="1"/>
  <c r="B7449" i="1"/>
  <c r="C7449" i="1"/>
  <c r="D7449" i="1"/>
  <c r="A7450" i="1"/>
  <c r="B7450" i="1"/>
  <c r="C7450" i="1"/>
  <c r="D7450" i="1"/>
  <c r="A7451" i="1"/>
  <c r="B7451" i="1"/>
  <c r="C7451" i="1"/>
  <c r="D7451" i="1"/>
  <c r="A7452" i="1"/>
  <c r="B7452" i="1"/>
  <c r="C7452" i="1"/>
  <c r="D7452" i="1"/>
  <c r="A7453" i="1"/>
  <c r="B7453" i="1"/>
  <c r="C7453" i="1"/>
  <c r="D7453" i="1"/>
  <c r="A7454" i="1"/>
  <c r="B7454" i="1"/>
  <c r="C7454" i="1"/>
  <c r="D7454" i="1"/>
  <c r="A7455" i="1"/>
  <c r="B7455" i="1"/>
  <c r="C7455" i="1"/>
  <c r="D7455" i="1"/>
  <c r="A7456" i="1"/>
  <c r="B7456" i="1"/>
  <c r="C7456" i="1"/>
  <c r="D7456" i="1"/>
  <c r="A7457" i="1"/>
  <c r="B7457" i="1"/>
  <c r="C7457" i="1"/>
  <c r="D7457" i="1"/>
  <c r="A7458" i="1"/>
  <c r="B7458" i="1"/>
  <c r="C7458" i="1"/>
  <c r="D7458" i="1"/>
  <c r="A7459" i="1"/>
  <c r="B7459" i="1"/>
  <c r="C7459" i="1"/>
  <c r="D7459" i="1"/>
  <c r="A7460" i="1"/>
  <c r="B7460" i="1"/>
  <c r="C7460" i="1"/>
  <c r="D7460" i="1"/>
  <c r="A7461" i="1"/>
  <c r="B7461" i="1"/>
  <c r="C7461" i="1"/>
  <c r="D7461" i="1"/>
  <c r="A7462" i="1"/>
  <c r="B7462" i="1"/>
  <c r="C7462" i="1"/>
  <c r="D7462" i="1"/>
  <c r="A7463" i="1"/>
  <c r="B7463" i="1"/>
  <c r="C7463" i="1"/>
  <c r="D7463" i="1"/>
  <c r="A7464" i="1"/>
  <c r="B7464" i="1"/>
  <c r="C7464" i="1"/>
  <c r="D7464" i="1"/>
  <c r="A7465" i="1"/>
  <c r="B7465" i="1"/>
  <c r="C7465" i="1"/>
  <c r="D7465" i="1"/>
  <c r="A7466" i="1"/>
  <c r="B7466" i="1"/>
  <c r="C7466" i="1"/>
  <c r="D7466" i="1"/>
  <c r="A7467" i="1"/>
  <c r="B7467" i="1"/>
  <c r="C7467" i="1"/>
  <c r="D7467" i="1"/>
  <c r="A7468" i="1"/>
  <c r="B7468" i="1"/>
  <c r="C7468" i="1"/>
  <c r="D7468" i="1"/>
  <c r="A7469" i="1"/>
  <c r="B7469" i="1"/>
  <c r="C7469" i="1"/>
  <c r="D7469" i="1"/>
  <c r="A7470" i="1"/>
  <c r="B7470" i="1"/>
  <c r="C7470" i="1"/>
  <c r="D7470" i="1"/>
  <c r="A7471" i="1"/>
  <c r="B7471" i="1"/>
  <c r="C7471" i="1"/>
  <c r="D7471" i="1"/>
  <c r="A7472" i="1"/>
  <c r="B7472" i="1"/>
  <c r="C7472" i="1"/>
  <c r="D7472" i="1"/>
  <c r="A7473" i="1"/>
  <c r="B7473" i="1"/>
  <c r="C7473" i="1"/>
  <c r="D7473" i="1"/>
  <c r="A7474" i="1"/>
  <c r="B7474" i="1"/>
  <c r="C7474" i="1"/>
  <c r="D7474" i="1"/>
  <c r="A7475" i="1"/>
  <c r="B7475" i="1"/>
  <c r="C7475" i="1"/>
  <c r="D7475" i="1"/>
  <c r="A7476" i="1"/>
  <c r="B7476" i="1"/>
  <c r="C7476" i="1"/>
  <c r="D7476" i="1"/>
  <c r="A7477" i="1"/>
  <c r="B7477" i="1"/>
  <c r="C7477" i="1"/>
  <c r="D7477" i="1"/>
  <c r="A7478" i="1"/>
  <c r="B7478" i="1"/>
  <c r="C7478" i="1"/>
  <c r="D7478" i="1"/>
  <c r="A7479" i="1"/>
  <c r="B7479" i="1"/>
  <c r="C7479" i="1"/>
  <c r="D7479" i="1"/>
  <c r="A7480" i="1"/>
  <c r="B7480" i="1"/>
  <c r="C7480" i="1"/>
  <c r="D7480" i="1"/>
  <c r="A7481" i="1"/>
  <c r="B7481" i="1"/>
  <c r="C7481" i="1"/>
  <c r="D7481" i="1"/>
  <c r="A7482" i="1"/>
  <c r="B7482" i="1"/>
  <c r="C7482" i="1"/>
  <c r="D7482" i="1"/>
  <c r="A7483" i="1"/>
  <c r="B7483" i="1"/>
  <c r="C7483" i="1"/>
  <c r="D7483" i="1"/>
  <c r="A7484" i="1"/>
  <c r="B7484" i="1"/>
  <c r="C7484" i="1"/>
  <c r="D7484" i="1"/>
  <c r="A7485" i="1"/>
  <c r="B7485" i="1"/>
  <c r="C7485" i="1"/>
  <c r="D7485" i="1"/>
  <c r="A7486" i="1"/>
  <c r="B7486" i="1"/>
  <c r="C7486" i="1"/>
  <c r="D7486" i="1"/>
  <c r="A7487" i="1"/>
  <c r="B7487" i="1"/>
  <c r="C7487" i="1"/>
  <c r="D7487" i="1"/>
  <c r="A7488" i="1"/>
  <c r="B7488" i="1"/>
  <c r="C7488" i="1"/>
  <c r="D7488" i="1"/>
  <c r="A7489" i="1"/>
  <c r="B7489" i="1"/>
  <c r="C7489" i="1"/>
  <c r="D7489" i="1"/>
  <c r="A7490" i="1"/>
  <c r="B7490" i="1"/>
  <c r="C7490" i="1"/>
  <c r="D7490" i="1"/>
  <c r="A7491" i="1"/>
  <c r="B7491" i="1"/>
  <c r="C7491" i="1"/>
  <c r="D7491" i="1"/>
  <c r="A7492" i="1"/>
  <c r="B7492" i="1"/>
  <c r="C7492" i="1"/>
  <c r="D7492" i="1"/>
  <c r="A7493" i="1"/>
  <c r="B7493" i="1"/>
  <c r="C7493" i="1"/>
  <c r="D7493" i="1"/>
  <c r="A7494" i="1"/>
  <c r="B7494" i="1"/>
  <c r="C7494" i="1"/>
  <c r="D7494" i="1"/>
  <c r="A7495" i="1"/>
  <c r="B7495" i="1"/>
  <c r="C7495" i="1"/>
  <c r="D7495" i="1"/>
  <c r="A7496" i="1"/>
  <c r="B7496" i="1"/>
  <c r="C7496" i="1"/>
  <c r="D7496" i="1"/>
  <c r="A7497" i="1"/>
  <c r="B7497" i="1"/>
  <c r="C7497" i="1"/>
  <c r="D7497" i="1"/>
  <c r="A7498" i="1"/>
  <c r="B7498" i="1"/>
  <c r="C7498" i="1"/>
  <c r="D7498" i="1"/>
  <c r="A7499" i="1"/>
  <c r="B7499" i="1"/>
  <c r="C7499" i="1"/>
  <c r="D7499" i="1"/>
  <c r="A7500" i="1"/>
  <c r="B7500" i="1"/>
  <c r="C7500" i="1"/>
  <c r="D7500" i="1"/>
  <c r="A7501" i="1"/>
  <c r="B7501" i="1"/>
  <c r="C7501" i="1"/>
  <c r="D7501" i="1"/>
  <c r="A7502" i="1"/>
  <c r="B7502" i="1"/>
  <c r="C7502" i="1"/>
  <c r="D7502" i="1"/>
  <c r="A7503" i="1"/>
  <c r="B7503" i="1"/>
  <c r="C7503" i="1"/>
  <c r="D7503" i="1"/>
  <c r="A7504" i="1"/>
  <c r="B7504" i="1"/>
  <c r="C7504" i="1"/>
  <c r="D7504" i="1"/>
  <c r="A7505" i="1"/>
  <c r="B7505" i="1"/>
  <c r="C7505" i="1"/>
  <c r="D7505" i="1"/>
  <c r="A7506" i="1"/>
  <c r="B7506" i="1"/>
  <c r="C7506" i="1"/>
  <c r="D7506" i="1"/>
  <c r="A7507" i="1"/>
  <c r="B7507" i="1"/>
  <c r="C7507" i="1"/>
  <c r="D7507" i="1"/>
  <c r="A7508" i="1"/>
  <c r="B7508" i="1"/>
  <c r="C7508" i="1"/>
  <c r="D7508" i="1"/>
  <c r="A7509" i="1"/>
  <c r="B7509" i="1"/>
  <c r="C7509" i="1"/>
  <c r="D7509" i="1"/>
  <c r="A7510" i="1"/>
  <c r="B7510" i="1"/>
  <c r="C7510" i="1"/>
  <c r="D7510" i="1"/>
  <c r="A7511" i="1"/>
  <c r="B7511" i="1"/>
  <c r="C7511" i="1"/>
  <c r="D7511" i="1"/>
  <c r="A7512" i="1"/>
  <c r="B7512" i="1"/>
  <c r="C7512" i="1"/>
  <c r="D7512" i="1"/>
  <c r="A7513" i="1"/>
  <c r="B7513" i="1"/>
  <c r="C7513" i="1"/>
  <c r="D7513" i="1"/>
  <c r="A7514" i="1"/>
  <c r="B7514" i="1"/>
  <c r="C7514" i="1"/>
  <c r="A7515" i="1"/>
  <c r="B7515" i="1"/>
  <c r="C7515" i="1"/>
  <c r="D7515" i="1"/>
  <c r="A7516" i="1"/>
  <c r="B7516" i="1"/>
  <c r="C7516" i="1"/>
  <c r="D7516" i="1"/>
  <c r="A7517" i="1"/>
  <c r="B7517" i="1"/>
  <c r="C7517" i="1"/>
  <c r="D7517" i="1"/>
  <c r="A7518" i="1"/>
  <c r="B7518" i="1"/>
  <c r="C7518" i="1"/>
  <c r="D7518" i="1"/>
  <c r="A7519" i="1"/>
  <c r="B7519" i="1"/>
  <c r="C7519" i="1"/>
  <c r="D7519" i="1"/>
  <c r="A7520" i="1"/>
  <c r="B7520" i="1"/>
  <c r="C7520" i="1"/>
  <c r="D7520" i="1"/>
  <c r="A7521" i="1"/>
  <c r="B7521" i="1"/>
  <c r="C7521" i="1"/>
  <c r="D7521" i="1"/>
  <c r="A7522" i="1"/>
  <c r="B7522" i="1"/>
  <c r="C7522" i="1"/>
  <c r="D7522" i="1"/>
  <c r="A7523" i="1"/>
  <c r="B7523" i="1"/>
  <c r="C7523" i="1"/>
  <c r="D7523" i="1"/>
  <c r="A7524" i="1"/>
  <c r="B7524" i="1"/>
  <c r="C7524" i="1"/>
  <c r="D7524" i="1"/>
  <c r="A7525" i="1"/>
  <c r="B7525" i="1"/>
  <c r="C7525" i="1"/>
  <c r="D7525" i="1"/>
  <c r="A7526" i="1"/>
  <c r="B7526" i="1"/>
  <c r="C7526" i="1"/>
  <c r="D7526" i="1"/>
  <c r="A7527" i="1"/>
  <c r="B7527" i="1"/>
  <c r="C7527" i="1"/>
  <c r="D7527" i="1"/>
  <c r="A7528" i="1"/>
  <c r="B7528" i="1"/>
  <c r="C7528" i="1"/>
  <c r="D7528" i="1"/>
  <c r="A7529" i="1"/>
  <c r="B7529" i="1"/>
  <c r="C7529" i="1"/>
  <c r="D7529" i="1"/>
  <c r="A7530" i="1"/>
  <c r="B7530" i="1"/>
  <c r="C7530" i="1"/>
  <c r="D7530" i="1"/>
  <c r="A7531" i="1"/>
  <c r="B7531" i="1"/>
  <c r="C7531" i="1"/>
  <c r="D7531" i="1"/>
  <c r="A7532" i="1"/>
  <c r="B7532" i="1"/>
  <c r="C7532" i="1"/>
  <c r="D7532" i="1"/>
  <c r="A7533" i="1"/>
  <c r="B7533" i="1"/>
  <c r="C7533" i="1"/>
  <c r="D7533" i="1"/>
  <c r="A7534" i="1"/>
  <c r="B7534" i="1"/>
  <c r="C7534" i="1"/>
  <c r="D7534" i="1"/>
  <c r="A7535" i="1"/>
  <c r="B7535" i="1"/>
  <c r="C7535" i="1"/>
  <c r="D7535" i="1"/>
  <c r="A7536" i="1"/>
  <c r="B7536" i="1"/>
  <c r="C7536" i="1"/>
  <c r="D7536" i="1"/>
  <c r="A7537" i="1"/>
  <c r="B7537" i="1"/>
  <c r="C7537" i="1"/>
  <c r="D7537" i="1"/>
  <c r="A7538" i="1"/>
  <c r="B7538" i="1"/>
  <c r="C7538" i="1"/>
  <c r="D7538" i="1"/>
  <c r="A7539" i="1"/>
  <c r="B7539" i="1"/>
  <c r="C7539" i="1"/>
  <c r="A7540" i="1"/>
  <c r="B7540" i="1"/>
  <c r="C7540" i="1"/>
  <c r="D7540" i="1"/>
  <c r="A7541" i="1"/>
  <c r="B7541" i="1"/>
  <c r="C7541" i="1"/>
  <c r="D7541" i="1"/>
  <c r="A7542" i="1"/>
  <c r="B7542" i="1"/>
  <c r="C7542" i="1"/>
  <c r="D7542" i="1"/>
  <c r="A7543" i="1"/>
  <c r="B7543" i="1"/>
  <c r="C7543" i="1"/>
  <c r="D7543" i="1"/>
  <c r="A7544" i="1"/>
  <c r="B7544" i="1"/>
  <c r="C7544" i="1"/>
  <c r="D7544" i="1"/>
  <c r="A7545" i="1"/>
  <c r="B7545" i="1"/>
  <c r="C7545" i="1"/>
  <c r="D7545" i="1"/>
  <c r="A7546" i="1"/>
  <c r="B7546" i="1"/>
  <c r="C7546" i="1"/>
  <c r="D7546" i="1"/>
  <c r="A7547" i="1"/>
  <c r="B7547" i="1"/>
  <c r="C7547" i="1"/>
  <c r="D7547" i="1"/>
  <c r="A7548" i="1"/>
  <c r="B7548" i="1"/>
  <c r="C7548" i="1"/>
  <c r="D7548" i="1"/>
  <c r="A7549" i="1"/>
  <c r="B7549" i="1"/>
  <c r="C7549" i="1"/>
  <c r="D7549" i="1"/>
  <c r="A7550" i="1"/>
  <c r="B7550" i="1"/>
  <c r="C7550" i="1"/>
  <c r="D7550" i="1"/>
  <c r="A7551" i="1"/>
  <c r="B7551" i="1"/>
  <c r="C7551" i="1"/>
  <c r="D7551" i="1"/>
  <c r="A7552" i="1"/>
  <c r="B7552" i="1"/>
  <c r="C7552" i="1"/>
  <c r="D7552" i="1"/>
  <c r="A7553" i="1"/>
  <c r="B7553" i="1"/>
  <c r="C7553" i="1"/>
  <c r="D7553" i="1"/>
  <c r="A7554" i="1"/>
  <c r="B7554" i="1"/>
  <c r="C7554" i="1"/>
  <c r="D7554" i="1"/>
  <c r="A7555" i="1"/>
  <c r="B7555" i="1"/>
  <c r="C7555" i="1"/>
  <c r="D7555" i="1"/>
  <c r="A7556" i="1"/>
  <c r="B7556" i="1"/>
  <c r="C7556" i="1"/>
  <c r="D7556" i="1"/>
  <c r="A7557" i="1"/>
  <c r="B7557" i="1"/>
  <c r="C7557" i="1"/>
  <c r="D7557" i="1"/>
  <c r="A7558" i="1"/>
  <c r="B7558" i="1"/>
  <c r="C7558" i="1"/>
  <c r="D7558" i="1"/>
  <c r="A7559" i="1"/>
  <c r="B7559" i="1"/>
  <c r="C7559" i="1"/>
  <c r="D7559" i="1"/>
  <c r="A7560" i="1"/>
  <c r="B7560" i="1"/>
  <c r="C7560" i="1"/>
  <c r="D7560" i="1"/>
  <c r="A7561" i="1"/>
  <c r="B7561" i="1"/>
  <c r="C7561" i="1"/>
  <c r="D7561" i="1"/>
  <c r="A7562" i="1"/>
  <c r="B7562" i="1"/>
  <c r="C7562" i="1"/>
  <c r="D7562" i="1"/>
  <c r="A7563" i="1"/>
  <c r="B7563" i="1"/>
  <c r="C7563" i="1"/>
  <c r="D7563" i="1"/>
  <c r="A7564" i="1"/>
  <c r="B7564" i="1"/>
  <c r="C7564" i="1"/>
  <c r="D7564" i="1"/>
  <c r="A7565" i="1"/>
  <c r="B7565" i="1"/>
  <c r="C7565" i="1"/>
  <c r="D7565" i="1"/>
  <c r="A7566" i="1"/>
  <c r="B7566" i="1"/>
  <c r="C7566" i="1"/>
  <c r="D7566" i="1"/>
  <c r="A7567" i="1"/>
  <c r="B7567" i="1"/>
  <c r="C7567" i="1"/>
  <c r="D7567" i="1"/>
  <c r="A7568" i="1"/>
  <c r="B7568" i="1"/>
  <c r="C7568" i="1"/>
  <c r="D7568" i="1"/>
  <c r="A7569" i="1"/>
  <c r="B7569" i="1"/>
  <c r="C7569" i="1"/>
  <c r="D7569" i="1"/>
  <c r="A7570" i="1"/>
  <c r="B7570" i="1"/>
  <c r="C7570" i="1"/>
  <c r="D7570" i="1"/>
  <c r="A7571" i="1"/>
  <c r="B7571" i="1"/>
  <c r="C7571" i="1"/>
  <c r="D7571" i="1"/>
  <c r="A7572" i="1"/>
  <c r="B7572" i="1"/>
  <c r="C7572" i="1"/>
  <c r="D7572" i="1"/>
  <c r="A7573" i="1"/>
  <c r="B7573" i="1"/>
  <c r="C7573" i="1"/>
  <c r="D7573" i="1"/>
  <c r="A7574" i="1"/>
  <c r="B7574" i="1"/>
  <c r="C7574" i="1"/>
  <c r="A7575" i="1"/>
  <c r="B7575" i="1"/>
  <c r="C7575" i="1"/>
  <c r="D7575" i="1"/>
  <c r="A7576" i="1"/>
  <c r="B7576" i="1"/>
  <c r="C7576" i="1"/>
  <c r="D7576" i="1"/>
  <c r="A7577" i="1"/>
  <c r="B7577" i="1"/>
  <c r="C7577" i="1"/>
  <c r="D7577" i="1"/>
  <c r="A7578" i="1"/>
  <c r="B7578" i="1"/>
  <c r="C7578" i="1"/>
  <c r="D7578" i="1"/>
  <c r="A7579" i="1"/>
  <c r="B7579" i="1"/>
  <c r="C7579" i="1"/>
  <c r="D7579" i="1"/>
  <c r="A7580" i="1"/>
  <c r="B7580" i="1"/>
  <c r="C7580" i="1"/>
  <c r="D7580" i="1"/>
  <c r="A7581" i="1"/>
  <c r="B7581" i="1"/>
  <c r="C7581" i="1"/>
  <c r="D7581" i="1"/>
  <c r="A7582" i="1"/>
  <c r="B7582" i="1"/>
  <c r="C7582" i="1"/>
  <c r="D7582" i="1"/>
  <c r="A7583" i="1"/>
  <c r="B7583" i="1"/>
  <c r="C7583" i="1"/>
  <c r="D7583" i="1"/>
  <c r="A7584" i="1"/>
  <c r="B7584" i="1"/>
  <c r="C7584" i="1"/>
  <c r="D7584" i="1"/>
  <c r="A7585" i="1"/>
  <c r="B7585" i="1"/>
  <c r="C7585" i="1"/>
  <c r="D7585" i="1"/>
  <c r="A7586" i="1"/>
  <c r="B7586" i="1"/>
  <c r="C7586" i="1"/>
  <c r="D7586" i="1"/>
  <c r="A7587" i="1"/>
  <c r="B7587" i="1"/>
  <c r="C7587" i="1"/>
  <c r="D7587" i="1"/>
  <c r="A7588" i="1"/>
  <c r="B7588" i="1"/>
  <c r="C7588" i="1"/>
  <c r="A7589" i="1"/>
  <c r="B7589" i="1"/>
  <c r="C7589" i="1"/>
  <c r="A7590" i="1"/>
  <c r="B7590" i="1"/>
  <c r="C7590" i="1"/>
  <c r="D7590" i="1"/>
  <c r="A7591" i="1"/>
  <c r="B7591" i="1"/>
  <c r="C7591" i="1"/>
  <c r="D7591" i="1"/>
  <c r="A7592" i="1"/>
  <c r="B7592" i="1"/>
  <c r="C7592" i="1"/>
  <c r="D7592" i="1"/>
  <c r="A7593" i="1"/>
  <c r="B7593" i="1"/>
  <c r="C7593" i="1"/>
  <c r="D7593" i="1"/>
  <c r="A7594" i="1"/>
  <c r="B7594" i="1"/>
  <c r="C7594" i="1"/>
  <c r="D7594" i="1"/>
  <c r="A7595" i="1"/>
  <c r="B7595" i="1"/>
  <c r="C7595" i="1"/>
  <c r="D7595" i="1"/>
  <c r="A7596" i="1"/>
  <c r="B7596" i="1"/>
  <c r="C7596" i="1"/>
  <c r="D7596" i="1"/>
  <c r="A7597" i="1"/>
  <c r="B7597" i="1"/>
  <c r="C7597" i="1"/>
  <c r="D7597" i="1"/>
  <c r="A7598" i="1"/>
  <c r="B7598" i="1"/>
  <c r="C7598" i="1"/>
  <c r="D7598" i="1"/>
  <c r="A7599" i="1"/>
  <c r="B7599" i="1"/>
  <c r="C7599" i="1"/>
  <c r="D7599" i="1"/>
  <c r="A7600" i="1"/>
  <c r="B7600" i="1"/>
  <c r="C7600" i="1"/>
  <c r="D7600" i="1"/>
  <c r="A7601" i="1"/>
  <c r="B7601" i="1"/>
  <c r="C7601" i="1"/>
  <c r="D7601" i="1"/>
  <c r="A7602" i="1"/>
  <c r="B7602" i="1"/>
  <c r="C7602" i="1"/>
  <c r="D7602" i="1"/>
  <c r="A7603" i="1"/>
  <c r="B7603" i="1"/>
  <c r="C7603" i="1"/>
  <c r="D7603" i="1"/>
  <c r="A7604" i="1"/>
  <c r="B7604" i="1"/>
  <c r="C7604" i="1"/>
  <c r="D7604" i="1"/>
  <c r="A7605" i="1"/>
  <c r="B7605" i="1"/>
  <c r="C7605" i="1"/>
  <c r="D7605" i="1"/>
  <c r="A7606" i="1"/>
  <c r="B7606" i="1"/>
  <c r="C7606" i="1"/>
  <c r="D7606" i="1"/>
  <c r="A7607" i="1"/>
  <c r="B7607" i="1"/>
  <c r="C7607" i="1"/>
  <c r="D7607" i="1"/>
  <c r="A7608" i="1"/>
  <c r="B7608" i="1"/>
  <c r="C7608" i="1"/>
  <c r="D7608" i="1"/>
  <c r="A7609" i="1"/>
  <c r="B7609" i="1"/>
  <c r="C7609" i="1"/>
  <c r="D7609" i="1"/>
  <c r="A7610" i="1"/>
  <c r="B7610" i="1"/>
  <c r="C7610" i="1"/>
  <c r="D7610" i="1"/>
  <c r="A7611" i="1"/>
  <c r="B7611" i="1"/>
  <c r="C7611" i="1"/>
  <c r="D7611" i="1"/>
  <c r="A7612" i="1"/>
  <c r="B7612" i="1"/>
  <c r="C7612" i="1"/>
  <c r="D7612" i="1"/>
  <c r="A7613" i="1"/>
  <c r="B7613" i="1"/>
  <c r="C7613" i="1"/>
  <c r="D7613" i="1"/>
  <c r="A7614" i="1"/>
  <c r="B7614" i="1"/>
  <c r="C7614" i="1"/>
  <c r="D7614" i="1"/>
  <c r="A7615" i="1"/>
  <c r="B7615" i="1"/>
  <c r="C7615" i="1"/>
  <c r="D7615" i="1"/>
  <c r="A7616" i="1"/>
  <c r="B7616" i="1"/>
  <c r="C7616" i="1"/>
  <c r="D7616" i="1"/>
  <c r="A7617" i="1"/>
  <c r="B7617" i="1"/>
  <c r="C7617" i="1"/>
  <c r="D7617" i="1"/>
  <c r="A7618" i="1"/>
  <c r="B7618" i="1"/>
  <c r="C7618" i="1"/>
  <c r="A7619" i="1"/>
  <c r="B7619" i="1"/>
  <c r="C7619" i="1"/>
  <c r="D7619" i="1"/>
  <c r="A7620" i="1"/>
  <c r="B7620" i="1"/>
  <c r="C7620" i="1"/>
  <c r="D7620" i="1"/>
  <c r="A7621" i="1"/>
  <c r="B7621" i="1"/>
  <c r="C7621" i="1"/>
  <c r="D7621" i="1"/>
  <c r="A7622" i="1"/>
  <c r="B7622" i="1"/>
  <c r="C7622" i="1"/>
  <c r="D7622" i="1"/>
  <c r="A7623" i="1"/>
  <c r="B7623" i="1"/>
  <c r="C7623" i="1"/>
  <c r="A7624" i="1"/>
  <c r="B7624" i="1"/>
  <c r="C7624" i="1"/>
  <c r="D7624" i="1"/>
  <c r="A7625" i="1"/>
  <c r="B7625" i="1"/>
  <c r="C7625" i="1"/>
  <c r="D7625" i="1"/>
  <c r="A7626" i="1"/>
  <c r="B7626" i="1"/>
  <c r="C7626" i="1"/>
  <c r="D7626" i="1"/>
  <c r="A7627" i="1"/>
  <c r="B7627" i="1"/>
  <c r="C7627" i="1"/>
  <c r="D7627" i="1"/>
  <c r="A7628" i="1"/>
  <c r="B7628" i="1"/>
  <c r="C7628" i="1"/>
  <c r="D7628" i="1"/>
  <c r="A7629" i="1"/>
  <c r="B7629" i="1"/>
  <c r="C7629" i="1"/>
  <c r="D7629" i="1"/>
  <c r="A7630" i="1"/>
  <c r="B7630" i="1"/>
  <c r="C7630" i="1"/>
  <c r="D7630" i="1"/>
  <c r="A7631" i="1"/>
  <c r="B7631" i="1"/>
  <c r="C7631" i="1"/>
  <c r="D7631" i="1"/>
  <c r="A7632" i="1"/>
  <c r="B7632" i="1"/>
  <c r="C7632" i="1"/>
  <c r="D7632" i="1"/>
  <c r="A7633" i="1"/>
  <c r="B7633" i="1"/>
  <c r="C7633" i="1"/>
  <c r="D7633" i="1"/>
  <c r="A7634" i="1"/>
  <c r="B7634" i="1"/>
  <c r="C7634" i="1"/>
  <c r="D7634" i="1"/>
  <c r="A7635" i="1"/>
  <c r="B7635" i="1"/>
  <c r="C7635" i="1"/>
  <c r="D7635" i="1"/>
  <c r="A7636" i="1"/>
  <c r="B7636" i="1"/>
  <c r="C7636" i="1"/>
  <c r="D7636" i="1"/>
  <c r="A7637" i="1"/>
  <c r="B7637" i="1"/>
  <c r="C7637" i="1"/>
  <c r="D7637" i="1"/>
  <c r="A7638" i="1"/>
  <c r="B7638" i="1"/>
  <c r="C7638" i="1"/>
  <c r="D7638" i="1"/>
  <c r="A7639" i="1"/>
  <c r="B7639" i="1"/>
  <c r="C7639" i="1"/>
  <c r="D7639" i="1"/>
  <c r="A7640" i="1"/>
  <c r="B7640" i="1"/>
  <c r="C7640" i="1"/>
  <c r="D7640" i="1"/>
  <c r="A7641" i="1"/>
  <c r="B7641" i="1"/>
  <c r="C7641" i="1"/>
  <c r="D7641" i="1"/>
  <c r="A7642" i="1"/>
  <c r="B7642" i="1"/>
  <c r="C7642" i="1"/>
  <c r="D7642" i="1"/>
  <c r="A7643" i="1"/>
  <c r="B7643" i="1"/>
  <c r="C7643" i="1"/>
  <c r="D7643" i="1"/>
  <c r="A7644" i="1"/>
  <c r="B7644" i="1"/>
  <c r="C7644" i="1"/>
  <c r="D7644" i="1"/>
  <c r="A7645" i="1"/>
  <c r="B7645" i="1"/>
  <c r="C7645" i="1"/>
  <c r="D7645" i="1"/>
  <c r="A7646" i="1"/>
  <c r="B7646" i="1"/>
  <c r="C7646" i="1"/>
  <c r="D7646" i="1"/>
  <c r="A7647" i="1"/>
  <c r="B7647" i="1"/>
  <c r="C7647" i="1"/>
  <c r="D7647" i="1"/>
  <c r="A7648" i="1"/>
  <c r="B7648" i="1"/>
  <c r="C7648" i="1"/>
  <c r="D7648" i="1"/>
  <c r="A7649" i="1"/>
  <c r="B7649" i="1"/>
  <c r="C7649" i="1"/>
  <c r="D7649" i="1"/>
  <c r="A7650" i="1"/>
  <c r="B7650" i="1"/>
  <c r="C7650" i="1"/>
  <c r="D7650" i="1"/>
  <c r="A7651" i="1"/>
  <c r="B7651" i="1"/>
  <c r="C7651" i="1"/>
  <c r="D7651" i="1"/>
  <c r="A7652" i="1"/>
  <c r="B7652" i="1"/>
  <c r="C7652" i="1"/>
  <c r="D7652" i="1"/>
  <c r="A7653" i="1"/>
  <c r="B7653" i="1"/>
  <c r="C7653" i="1"/>
  <c r="D7653" i="1"/>
  <c r="A7654" i="1"/>
  <c r="B7654" i="1"/>
  <c r="C7654" i="1"/>
  <c r="D7654" i="1"/>
  <c r="A7655" i="1"/>
  <c r="B7655" i="1"/>
  <c r="C7655" i="1"/>
  <c r="D7655" i="1"/>
  <c r="A7656" i="1"/>
  <c r="B7656" i="1"/>
  <c r="C7656" i="1"/>
  <c r="D7656" i="1"/>
  <c r="A7657" i="1"/>
  <c r="B7657" i="1"/>
  <c r="C7657" i="1"/>
  <c r="D7657" i="1"/>
  <c r="A7658" i="1"/>
  <c r="B7658" i="1"/>
  <c r="C7658" i="1"/>
  <c r="D7658" i="1"/>
  <c r="A7659" i="1"/>
  <c r="B7659" i="1"/>
  <c r="C7659" i="1"/>
  <c r="D7659" i="1"/>
  <c r="A7660" i="1"/>
  <c r="B7660" i="1"/>
  <c r="C7660" i="1"/>
  <c r="D7660" i="1"/>
  <c r="A7661" i="1"/>
  <c r="B7661" i="1"/>
  <c r="C7661" i="1"/>
  <c r="D7661" i="1"/>
  <c r="A7662" i="1"/>
  <c r="B7662" i="1"/>
  <c r="C7662" i="1"/>
  <c r="D7662" i="1"/>
  <c r="A7663" i="1"/>
  <c r="B7663" i="1"/>
  <c r="C7663" i="1"/>
  <c r="D7663" i="1"/>
  <c r="A7664" i="1"/>
  <c r="B7664" i="1"/>
  <c r="C7664" i="1"/>
  <c r="D7664" i="1"/>
  <c r="A7665" i="1"/>
  <c r="B7665" i="1"/>
  <c r="C7665" i="1"/>
  <c r="D7665" i="1"/>
  <c r="A7666" i="1"/>
  <c r="B7666" i="1"/>
  <c r="C7666" i="1"/>
  <c r="D7666" i="1"/>
  <c r="A7667" i="1"/>
  <c r="B7667" i="1"/>
  <c r="C7667" i="1"/>
  <c r="D7667" i="1"/>
  <c r="A7668" i="1"/>
  <c r="B7668" i="1"/>
  <c r="C7668" i="1"/>
  <c r="D7668" i="1"/>
  <c r="A7669" i="1"/>
  <c r="B7669" i="1"/>
  <c r="C7669" i="1"/>
  <c r="D7669" i="1"/>
  <c r="A7670" i="1"/>
  <c r="B7670" i="1"/>
  <c r="C7670" i="1"/>
  <c r="D7670" i="1"/>
  <c r="A7671" i="1"/>
  <c r="B7671" i="1"/>
  <c r="C7671" i="1"/>
  <c r="D7671" i="1"/>
  <c r="A7672" i="1"/>
  <c r="B7672" i="1"/>
  <c r="C7672" i="1"/>
  <c r="D7672" i="1"/>
  <c r="A7673" i="1"/>
  <c r="B7673" i="1"/>
  <c r="C7673" i="1"/>
  <c r="D7673" i="1"/>
  <c r="A7674" i="1"/>
  <c r="B7674" i="1"/>
  <c r="C7674" i="1"/>
  <c r="D7674" i="1"/>
  <c r="A7675" i="1"/>
  <c r="B7675" i="1"/>
  <c r="C7675" i="1"/>
  <c r="D7675" i="1"/>
  <c r="A7676" i="1"/>
  <c r="B7676" i="1"/>
  <c r="C7676" i="1"/>
  <c r="D7676" i="1"/>
  <c r="A7677" i="1"/>
  <c r="B7677" i="1"/>
  <c r="C7677" i="1"/>
  <c r="D7677" i="1"/>
  <c r="A7678" i="1"/>
  <c r="B7678" i="1"/>
  <c r="C7678" i="1"/>
  <c r="D7678" i="1"/>
  <c r="A7679" i="1"/>
  <c r="B7679" i="1"/>
  <c r="C7679" i="1"/>
  <c r="A7680" i="1"/>
  <c r="B7680" i="1"/>
  <c r="C7680" i="1"/>
  <c r="D7680" i="1"/>
  <c r="A7681" i="1"/>
  <c r="B7681" i="1"/>
  <c r="C7681" i="1"/>
  <c r="D7681" i="1"/>
  <c r="A7682" i="1"/>
  <c r="B7682" i="1"/>
  <c r="C7682" i="1"/>
  <c r="D7682" i="1"/>
  <c r="A7683" i="1"/>
  <c r="B7683" i="1"/>
  <c r="C7683" i="1"/>
  <c r="D7683" i="1"/>
  <c r="A7684" i="1"/>
  <c r="B7684" i="1"/>
  <c r="C7684" i="1"/>
  <c r="D7684" i="1"/>
  <c r="A7685" i="1"/>
  <c r="B7685" i="1"/>
  <c r="C7685" i="1"/>
  <c r="D7685" i="1"/>
  <c r="A7686" i="1"/>
  <c r="B7686" i="1"/>
  <c r="C7686" i="1"/>
  <c r="D7686" i="1"/>
  <c r="A7687" i="1"/>
  <c r="B7687" i="1"/>
  <c r="C7687" i="1"/>
  <c r="D7687" i="1"/>
  <c r="A7688" i="1"/>
  <c r="B7688" i="1"/>
  <c r="C7688" i="1"/>
  <c r="D7688" i="1"/>
  <c r="A7689" i="1"/>
  <c r="B7689" i="1"/>
  <c r="C7689" i="1"/>
  <c r="D7689" i="1"/>
  <c r="A7690" i="1"/>
  <c r="B7690" i="1"/>
  <c r="C7690" i="1"/>
  <c r="D7690" i="1"/>
  <c r="A7691" i="1"/>
  <c r="B7691" i="1"/>
  <c r="C7691" i="1"/>
  <c r="D7691" i="1"/>
  <c r="A7692" i="1"/>
  <c r="B7692" i="1"/>
  <c r="C7692" i="1"/>
  <c r="D7692" i="1"/>
  <c r="A7693" i="1"/>
  <c r="B7693" i="1"/>
  <c r="C7693" i="1"/>
  <c r="D7693" i="1"/>
  <c r="A7694" i="1"/>
  <c r="B7694" i="1"/>
  <c r="C7694" i="1"/>
  <c r="D7694" i="1"/>
  <c r="A7695" i="1"/>
  <c r="B7695" i="1"/>
  <c r="C7695" i="1"/>
  <c r="D7695" i="1"/>
  <c r="A7696" i="1"/>
  <c r="B7696" i="1"/>
  <c r="C7696" i="1"/>
  <c r="D7696" i="1"/>
  <c r="A7697" i="1"/>
  <c r="B7697" i="1"/>
  <c r="C7697" i="1"/>
  <c r="D7697" i="1"/>
  <c r="A7698" i="1"/>
  <c r="B7698" i="1"/>
  <c r="C7698" i="1"/>
  <c r="D7698" i="1"/>
  <c r="A7699" i="1"/>
  <c r="B7699" i="1"/>
  <c r="C7699" i="1"/>
  <c r="D7699" i="1"/>
  <c r="A7700" i="1"/>
  <c r="B7700" i="1"/>
  <c r="C7700" i="1"/>
  <c r="D7700" i="1"/>
  <c r="A7701" i="1"/>
  <c r="B7701" i="1"/>
  <c r="C7701" i="1"/>
  <c r="D7701" i="1"/>
  <c r="A7702" i="1"/>
  <c r="B7702" i="1"/>
  <c r="C7702" i="1"/>
  <c r="D7702" i="1"/>
  <c r="A7703" i="1"/>
  <c r="B7703" i="1"/>
  <c r="C7703" i="1"/>
  <c r="D7703" i="1"/>
  <c r="A7704" i="1"/>
  <c r="B7704" i="1"/>
  <c r="C7704" i="1"/>
  <c r="D7704" i="1"/>
  <c r="A7705" i="1"/>
  <c r="B7705" i="1"/>
  <c r="C7705" i="1"/>
  <c r="D7705" i="1"/>
  <c r="A7706" i="1"/>
  <c r="B7706" i="1"/>
  <c r="C7706" i="1"/>
  <c r="D7706" i="1"/>
  <c r="A7707" i="1"/>
  <c r="B7707" i="1"/>
  <c r="C7707" i="1"/>
  <c r="D7707" i="1"/>
  <c r="A7708" i="1"/>
  <c r="B7708" i="1"/>
  <c r="C7708" i="1"/>
  <c r="D7708" i="1"/>
  <c r="A7709" i="1"/>
  <c r="B7709" i="1"/>
  <c r="C7709" i="1"/>
  <c r="D7709" i="1"/>
  <c r="A7710" i="1"/>
  <c r="B7710" i="1"/>
  <c r="C7710" i="1"/>
  <c r="D7710" i="1"/>
  <c r="A7711" i="1"/>
  <c r="B7711" i="1"/>
  <c r="C7711" i="1"/>
  <c r="D7711" i="1"/>
  <c r="A7712" i="1"/>
  <c r="B7712" i="1"/>
  <c r="C7712" i="1"/>
  <c r="D7712" i="1"/>
  <c r="A7713" i="1"/>
  <c r="B7713" i="1"/>
  <c r="C7713" i="1"/>
  <c r="D7713" i="1"/>
  <c r="A7714" i="1"/>
  <c r="B7714" i="1"/>
  <c r="C7714" i="1"/>
  <c r="D7714" i="1"/>
  <c r="A7715" i="1"/>
  <c r="B7715" i="1"/>
  <c r="C7715" i="1"/>
  <c r="D7715" i="1"/>
  <c r="A7716" i="1"/>
  <c r="B7716" i="1"/>
  <c r="C7716" i="1"/>
  <c r="D7716" i="1"/>
  <c r="A7717" i="1"/>
  <c r="B7717" i="1"/>
  <c r="C7717" i="1"/>
  <c r="D7717" i="1"/>
  <c r="A7718" i="1"/>
  <c r="B7718" i="1"/>
  <c r="C7718" i="1"/>
  <c r="D7718" i="1"/>
  <c r="A7719" i="1"/>
  <c r="B7719" i="1"/>
  <c r="C7719" i="1"/>
  <c r="D7719" i="1"/>
  <c r="A7720" i="1"/>
  <c r="B7720" i="1"/>
  <c r="C7720" i="1"/>
  <c r="D7720" i="1"/>
  <c r="A7721" i="1"/>
  <c r="B7721" i="1"/>
  <c r="C7721" i="1"/>
  <c r="D7721" i="1"/>
  <c r="A7722" i="1"/>
  <c r="B7722" i="1"/>
  <c r="C7722" i="1"/>
  <c r="D7722" i="1"/>
  <c r="A7723" i="1"/>
  <c r="B7723" i="1"/>
  <c r="C7723" i="1"/>
  <c r="D7723" i="1"/>
  <c r="A7724" i="1"/>
  <c r="B7724" i="1"/>
  <c r="C7724" i="1"/>
  <c r="D7724" i="1"/>
  <c r="A7725" i="1"/>
  <c r="B7725" i="1"/>
  <c r="C7725" i="1"/>
  <c r="D7725" i="1"/>
  <c r="A7726" i="1"/>
  <c r="B7726" i="1"/>
  <c r="C7726" i="1"/>
  <c r="D7726" i="1"/>
  <c r="A7727" i="1"/>
  <c r="B7727" i="1"/>
  <c r="C7727" i="1"/>
  <c r="D7727" i="1"/>
  <c r="A7728" i="1"/>
  <c r="B7728" i="1"/>
  <c r="C7728" i="1"/>
  <c r="D7728" i="1"/>
  <c r="A7729" i="1"/>
  <c r="B7729" i="1"/>
  <c r="C7729" i="1"/>
  <c r="A7730" i="1"/>
  <c r="B7730" i="1"/>
  <c r="C7730" i="1"/>
  <c r="D7730" i="1"/>
  <c r="A7731" i="1"/>
  <c r="B7731" i="1"/>
  <c r="C7731" i="1"/>
  <c r="D7731" i="1"/>
  <c r="A7732" i="1"/>
  <c r="B7732" i="1"/>
  <c r="C7732" i="1"/>
  <c r="D7732" i="1"/>
  <c r="A7733" i="1"/>
  <c r="B7733" i="1"/>
  <c r="C7733" i="1"/>
  <c r="D7733" i="1"/>
  <c r="A7734" i="1"/>
  <c r="B7734" i="1"/>
  <c r="C7734" i="1"/>
  <c r="D7734" i="1"/>
  <c r="A7735" i="1"/>
  <c r="B7735" i="1"/>
  <c r="C7735" i="1"/>
  <c r="D7735" i="1"/>
  <c r="A7736" i="1"/>
  <c r="B7736" i="1"/>
  <c r="C7736" i="1"/>
  <c r="D7736" i="1"/>
  <c r="A7737" i="1"/>
  <c r="B7737" i="1"/>
  <c r="C7737" i="1"/>
  <c r="D7737" i="1"/>
  <c r="A7738" i="1"/>
  <c r="B7738" i="1"/>
  <c r="C7738" i="1"/>
  <c r="D7738" i="1"/>
  <c r="A7739" i="1"/>
  <c r="B7739" i="1"/>
  <c r="C7739" i="1"/>
  <c r="D7739" i="1"/>
  <c r="A7740" i="1"/>
  <c r="B7740" i="1"/>
  <c r="C7740" i="1"/>
  <c r="D7740" i="1"/>
  <c r="A7741" i="1"/>
  <c r="B7741" i="1"/>
  <c r="C7741" i="1"/>
  <c r="D7741" i="1"/>
  <c r="A7742" i="1"/>
  <c r="B7742" i="1"/>
  <c r="C7742" i="1"/>
  <c r="D7742" i="1"/>
  <c r="A7743" i="1"/>
  <c r="B7743" i="1"/>
  <c r="C7743" i="1"/>
  <c r="D7743" i="1"/>
  <c r="A7744" i="1"/>
  <c r="B7744" i="1"/>
  <c r="C7744" i="1"/>
  <c r="D7744" i="1"/>
  <c r="A7745" i="1"/>
  <c r="B7745" i="1"/>
  <c r="C7745" i="1"/>
  <c r="D7745" i="1"/>
  <c r="A7746" i="1"/>
  <c r="B7746" i="1"/>
  <c r="C7746" i="1"/>
  <c r="D7746" i="1"/>
  <c r="A7747" i="1"/>
  <c r="B7747" i="1"/>
  <c r="C7747" i="1"/>
  <c r="D7747" i="1"/>
  <c r="A7748" i="1"/>
  <c r="B7748" i="1"/>
  <c r="C7748" i="1"/>
  <c r="D7748" i="1"/>
  <c r="A7749" i="1"/>
  <c r="B7749" i="1"/>
  <c r="C7749" i="1"/>
  <c r="D7749" i="1"/>
  <c r="A7750" i="1"/>
  <c r="B7750" i="1"/>
  <c r="C7750" i="1"/>
  <c r="D7750" i="1"/>
  <c r="A7751" i="1"/>
  <c r="B7751" i="1"/>
  <c r="C7751" i="1"/>
  <c r="D7751" i="1"/>
  <c r="A7752" i="1"/>
  <c r="B7752" i="1"/>
  <c r="C7752" i="1"/>
  <c r="D7752" i="1"/>
  <c r="A7753" i="1"/>
  <c r="B7753" i="1"/>
  <c r="C7753" i="1"/>
  <c r="D7753" i="1"/>
  <c r="A7754" i="1"/>
  <c r="B7754" i="1"/>
  <c r="C7754" i="1"/>
  <c r="D7754" i="1"/>
  <c r="A7755" i="1"/>
  <c r="B7755" i="1"/>
  <c r="C7755" i="1"/>
  <c r="D7755" i="1"/>
  <c r="A7756" i="1"/>
  <c r="B7756" i="1"/>
  <c r="C7756" i="1"/>
  <c r="D7756" i="1"/>
  <c r="A7757" i="1"/>
  <c r="B7757" i="1"/>
  <c r="C7757" i="1"/>
  <c r="D7757" i="1"/>
  <c r="A7758" i="1"/>
  <c r="B7758" i="1"/>
  <c r="C7758" i="1"/>
  <c r="D7758" i="1"/>
  <c r="A7759" i="1"/>
  <c r="B7759" i="1"/>
  <c r="C7759" i="1"/>
  <c r="D7759" i="1"/>
  <c r="A7760" i="1"/>
  <c r="B7760" i="1"/>
  <c r="C7760" i="1"/>
  <c r="D7760" i="1"/>
  <c r="A7761" i="1"/>
  <c r="B7761" i="1"/>
  <c r="C7761" i="1"/>
  <c r="D7761" i="1"/>
  <c r="A7762" i="1"/>
  <c r="B7762" i="1"/>
  <c r="C7762" i="1"/>
  <c r="D7762" i="1"/>
  <c r="A7763" i="1"/>
  <c r="B7763" i="1"/>
  <c r="C7763" i="1"/>
  <c r="D7763" i="1"/>
  <c r="A7764" i="1"/>
  <c r="B7764" i="1"/>
  <c r="C7764" i="1"/>
  <c r="D7764" i="1"/>
  <c r="A7765" i="1"/>
  <c r="B7765" i="1"/>
  <c r="C7765" i="1"/>
  <c r="D7765" i="1"/>
  <c r="A7766" i="1"/>
  <c r="B7766" i="1"/>
  <c r="C7766" i="1"/>
  <c r="D7766" i="1"/>
  <c r="A7767" i="1"/>
  <c r="B7767" i="1"/>
  <c r="C7767" i="1"/>
  <c r="D7767" i="1"/>
  <c r="A7768" i="1"/>
  <c r="B7768" i="1"/>
  <c r="C7768" i="1"/>
  <c r="D7768" i="1"/>
  <c r="A7769" i="1"/>
  <c r="B7769" i="1"/>
  <c r="C7769" i="1"/>
  <c r="D7769" i="1"/>
  <c r="A7770" i="1"/>
  <c r="B7770" i="1"/>
  <c r="C7770" i="1"/>
  <c r="D7770" i="1"/>
  <c r="A7771" i="1"/>
  <c r="B7771" i="1"/>
  <c r="C7771" i="1"/>
  <c r="D7771" i="1"/>
  <c r="A7772" i="1"/>
  <c r="B7772" i="1"/>
  <c r="C7772" i="1"/>
  <c r="D7772" i="1"/>
  <c r="A7773" i="1"/>
  <c r="B7773" i="1"/>
  <c r="C7773" i="1"/>
  <c r="A7774" i="1"/>
  <c r="B7774" i="1"/>
  <c r="C7774" i="1"/>
  <c r="D7774" i="1"/>
  <c r="A7775" i="1"/>
  <c r="B7775" i="1"/>
  <c r="C7775" i="1"/>
  <c r="D7775" i="1"/>
  <c r="A7776" i="1"/>
  <c r="B7776" i="1"/>
  <c r="C7776" i="1"/>
  <c r="D7776" i="1"/>
  <c r="A7777" i="1"/>
  <c r="B7777" i="1"/>
  <c r="C7777" i="1"/>
  <c r="D7777" i="1"/>
  <c r="A7778" i="1"/>
  <c r="B7778" i="1"/>
  <c r="C7778" i="1"/>
  <c r="D7778" i="1"/>
  <c r="A7779" i="1"/>
  <c r="B7779" i="1"/>
  <c r="C7779" i="1"/>
  <c r="D7779" i="1"/>
  <c r="A7780" i="1"/>
  <c r="B7780" i="1"/>
  <c r="C7780" i="1"/>
  <c r="D7780" i="1"/>
  <c r="A7781" i="1"/>
  <c r="B7781" i="1"/>
  <c r="C7781" i="1"/>
  <c r="D7781" i="1"/>
  <c r="A7782" i="1"/>
  <c r="B7782" i="1"/>
  <c r="C7782" i="1"/>
  <c r="D7782" i="1"/>
  <c r="A7783" i="1"/>
  <c r="B7783" i="1"/>
  <c r="C7783" i="1"/>
  <c r="D7783" i="1"/>
  <c r="A7784" i="1"/>
  <c r="B7784" i="1"/>
  <c r="C7784" i="1"/>
  <c r="D7784" i="1"/>
  <c r="A7785" i="1"/>
  <c r="B7785" i="1"/>
  <c r="C7785" i="1"/>
  <c r="D7785" i="1"/>
  <c r="A7786" i="1"/>
  <c r="B7786" i="1"/>
  <c r="C7786" i="1"/>
  <c r="D7786" i="1"/>
  <c r="A7787" i="1"/>
  <c r="B7787" i="1"/>
  <c r="C7787" i="1"/>
  <c r="D7787" i="1"/>
  <c r="A7788" i="1"/>
  <c r="B7788" i="1"/>
  <c r="C7788" i="1"/>
  <c r="D7788" i="1"/>
  <c r="A7789" i="1"/>
  <c r="B7789" i="1"/>
  <c r="C7789" i="1"/>
  <c r="D7789" i="1"/>
  <c r="A7790" i="1"/>
  <c r="B7790" i="1"/>
  <c r="C7790" i="1"/>
  <c r="D7790" i="1"/>
  <c r="A7791" i="1"/>
  <c r="B7791" i="1"/>
  <c r="C7791" i="1"/>
  <c r="D7791" i="1"/>
  <c r="A7792" i="1"/>
  <c r="B7792" i="1"/>
  <c r="C7792" i="1"/>
  <c r="D7792" i="1"/>
  <c r="A7793" i="1"/>
  <c r="B7793" i="1"/>
  <c r="C7793" i="1"/>
  <c r="D7793" i="1"/>
  <c r="A7794" i="1"/>
  <c r="B7794" i="1"/>
  <c r="C7794" i="1"/>
  <c r="D7794" i="1"/>
  <c r="A7795" i="1"/>
  <c r="B7795" i="1"/>
  <c r="C7795" i="1"/>
  <c r="D7795" i="1"/>
  <c r="A7796" i="1"/>
  <c r="B7796" i="1"/>
  <c r="C7796" i="1"/>
  <c r="D7796" i="1"/>
  <c r="A7797" i="1"/>
  <c r="B7797" i="1"/>
  <c r="C7797" i="1"/>
  <c r="D7797" i="1"/>
  <c r="A7798" i="1"/>
  <c r="B7798" i="1"/>
  <c r="C7798" i="1"/>
  <c r="D7798" i="1"/>
  <c r="A7799" i="1"/>
  <c r="B7799" i="1"/>
  <c r="C7799" i="1"/>
  <c r="D7799" i="1"/>
  <c r="A7800" i="1"/>
  <c r="B7800" i="1"/>
  <c r="C7800" i="1"/>
  <c r="D7800" i="1"/>
  <c r="A7801" i="1"/>
  <c r="B7801" i="1"/>
  <c r="C7801" i="1"/>
  <c r="D7801" i="1"/>
  <c r="A7802" i="1"/>
  <c r="B7802" i="1"/>
  <c r="C7802" i="1"/>
  <c r="D7802" i="1"/>
  <c r="A7803" i="1"/>
  <c r="B7803" i="1"/>
  <c r="C7803" i="1"/>
  <c r="D7803" i="1"/>
  <c r="A7804" i="1"/>
  <c r="B7804" i="1"/>
  <c r="C7804" i="1"/>
  <c r="D7804" i="1"/>
  <c r="A7805" i="1"/>
  <c r="B7805" i="1"/>
  <c r="C7805" i="1"/>
  <c r="D7805" i="1"/>
  <c r="A7806" i="1"/>
  <c r="B7806" i="1"/>
  <c r="C7806" i="1"/>
  <c r="D7806" i="1"/>
  <c r="A7807" i="1"/>
  <c r="B7807" i="1"/>
  <c r="C7807" i="1"/>
  <c r="D7807" i="1"/>
  <c r="A7808" i="1"/>
  <c r="B7808" i="1"/>
  <c r="C7808" i="1"/>
  <c r="D7808" i="1"/>
  <c r="A7809" i="1"/>
  <c r="B7809" i="1"/>
  <c r="C7809" i="1"/>
  <c r="D7809" i="1"/>
  <c r="A7810" i="1"/>
  <c r="B7810" i="1"/>
  <c r="C7810" i="1"/>
  <c r="D7810" i="1"/>
  <c r="A7811" i="1"/>
  <c r="B7811" i="1"/>
  <c r="C7811" i="1"/>
  <c r="D7811" i="1"/>
  <c r="A7812" i="1"/>
  <c r="B7812" i="1"/>
  <c r="C7812" i="1"/>
  <c r="D7812" i="1"/>
  <c r="A7813" i="1"/>
  <c r="B7813" i="1"/>
  <c r="C7813" i="1"/>
  <c r="D7813" i="1"/>
  <c r="A7814" i="1"/>
  <c r="B7814" i="1"/>
  <c r="C7814" i="1"/>
  <c r="D7814" i="1"/>
  <c r="A7815" i="1"/>
  <c r="B7815" i="1"/>
  <c r="C7815" i="1"/>
  <c r="D7815" i="1"/>
  <c r="A7816" i="1"/>
  <c r="B7816" i="1"/>
  <c r="C7816" i="1"/>
  <c r="D7816" i="1"/>
  <c r="A7817" i="1"/>
  <c r="B7817" i="1"/>
  <c r="C7817" i="1"/>
  <c r="D7817" i="1"/>
  <c r="A7818" i="1"/>
  <c r="B7818" i="1"/>
  <c r="C7818" i="1"/>
  <c r="D7818" i="1"/>
  <c r="A7819" i="1"/>
  <c r="B7819" i="1"/>
  <c r="C7819" i="1"/>
  <c r="D7819" i="1"/>
  <c r="A7820" i="1"/>
  <c r="B7820" i="1"/>
  <c r="C7820" i="1"/>
  <c r="A7821" i="1"/>
  <c r="B7821" i="1"/>
  <c r="C7821" i="1"/>
  <c r="D7821" i="1"/>
  <c r="A7822" i="1"/>
  <c r="B7822" i="1"/>
  <c r="C7822" i="1"/>
  <c r="D7822" i="1"/>
  <c r="A7823" i="1"/>
  <c r="B7823" i="1"/>
  <c r="C7823" i="1"/>
  <c r="D7823" i="1"/>
  <c r="A7824" i="1"/>
  <c r="B7824" i="1"/>
  <c r="C7824" i="1"/>
  <c r="D7824" i="1"/>
  <c r="A7825" i="1"/>
  <c r="B7825" i="1"/>
  <c r="C7825" i="1"/>
  <c r="D7825" i="1"/>
  <c r="A7826" i="1"/>
  <c r="B7826" i="1"/>
  <c r="C7826" i="1"/>
  <c r="D7826" i="1"/>
  <c r="A7827" i="1"/>
  <c r="B7827" i="1"/>
  <c r="C7827" i="1"/>
  <c r="D7827" i="1"/>
  <c r="A7828" i="1"/>
  <c r="B7828" i="1"/>
  <c r="C7828" i="1"/>
  <c r="D7828" i="1"/>
  <c r="A7829" i="1"/>
  <c r="B7829" i="1"/>
  <c r="C7829" i="1"/>
  <c r="D7829" i="1"/>
  <c r="A7830" i="1"/>
  <c r="B7830" i="1"/>
  <c r="C7830" i="1"/>
  <c r="D7830" i="1"/>
  <c r="A7831" i="1"/>
  <c r="B7831" i="1"/>
  <c r="C7831" i="1"/>
  <c r="D7831" i="1"/>
  <c r="A7832" i="1"/>
  <c r="B7832" i="1"/>
  <c r="C7832" i="1"/>
  <c r="D7832" i="1"/>
  <c r="A7833" i="1"/>
  <c r="B7833" i="1"/>
  <c r="C7833" i="1"/>
  <c r="D7833" i="1"/>
  <c r="A7834" i="1"/>
  <c r="B7834" i="1"/>
  <c r="C7834" i="1"/>
  <c r="D7834" i="1"/>
  <c r="A7835" i="1"/>
  <c r="B7835" i="1"/>
  <c r="C7835" i="1"/>
  <c r="A7836" i="1"/>
  <c r="B7836" i="1"/>
  <c r="C7836" i="1"/>
  <c r="D7836" i="1"/>
  <c r="A7837" i="1"/>
  <c r="B7837" i="1"/>
  <c r="C7837" i="1"/>
  <c r="D7837" i="1"/>
  <c r="A7838" i="1"/>
  <c r="B7838" i="1"/>
  <c r="C7838" i="1"/>
  <c r="D7838" i="1"/>
  <c r="A7839" i="1"/>
  <c r="B7839" i="1"/>
  <c r="C7839" i="1"/>
  <c r="D7839" i="1"/>
  <c r="A7840" i="1"/>
  <c r="B7840" i="1"/>
  <c r="C7840" i="1"/>
  <c r="D7840" i="1"/>
  <c r="A7841" i="1"/>
  <c r="B7841" i="1"/>
  <c r="C7841" i="1"/>
  <c r="D7841" i="1"/>
  <c r="A7842" i="1"/>
  <c r="B7842" i="1"/>
  <c r="C7842" i="1"/>
  <c r="D7842" i="1"/>
  <c r="A7843" i="1"/>
  <c r="B7843" i="1"/>
  <c r="C7843" i="1"/>
  <c r="D7843" i="1"/>
  <c r="A7844" i="1"/>
  <c r="B7844" i="1"/>
  <c r="C7844" i="1"/>
  <c r="D7844" i="1"/>
  <c r="A7845" i="1"/>
  <c r="B7845" i="1"/>
  <c r="C7845" i="1"/>
  <c r="D7845" i="1"/>
  <c r="A7846" i="1"/>
  <c r="B7846" i="1"/>
  <c r="C7846" i="1"/>
  <c r="D7846" i="1"/>
  <c r="A7847" i="1"/>
  <c r="B7847" i="1"/>
  <c r="C7847" i="1"/>
  <c r="D7847" i="1"/>
  <c r="A7848" i="1"/>
  <c r="B7848" i="1"/>
  <c r="C7848" i="1"/>
  <c r="A7849" i="1"/>
  <c r="B7849" i="1"/>
  <c r="C7849" i="1"/>
  <c r="D7849" i="1"/>
  <c r="A7850" i="1"/>
  <c r="B7850" i="1"/>
  <c r="C7850" i="1"/>
  <c r="D7850" i="1"/>
  <c r="A7851" i="1"/>
  <c r="B7851" i="1"/>
  <c r="C7851" i="1"/>
  <c r="D7851" i="1"/>
  <c r="A7852" i="1"/>
  <c r="B7852" i="1"/>
  <c r="C7852" i="1"/>
  <c r="D7852" i="1"/>
  <c r="A7853" i="1"/>
  <c r="B7853" i="1"/>
  <c r="C7853" i="1"/>
  <c r="D7853" i="1"/>
  <c r="A7854" i="1"/>
  <c r="B7854" i="1"/>
  <c r="C7854" i="1"/>
  <c r="D7854" i="1"/>
  <c r="A7855" i="1"/>
  <c r="B7855" i="1"/>
  <c r="C7855" i="1"/>
  <c r="D7855" i="1"/>
  <c r="A7856" i="1"/>
  <c r="B7856" i="1"/>
  <c r="C7856" i="1"/>
  <c r="D7856" i="1"/>
  <c r="A7857" i="1"/>
  <c r="B7857" i="1"/>
  <c r="C7857" i="1"/>
  <c r="D7857" i="1"/>
  <c r="A7858" i="1"/>
  <c r="B7858" i="1"/>
  <c r="C7858" i="1"/>
  <c r="D7858" i="1"/>
  <c r="A7859" i="1"/>
  <c r="B7859" i="1"/>
  <c r="C7859" i="1"/>
  <c r="D7859" i="1"/>
  <c r="A7860" i="1"/>
  <c r="B7860" i="1"/>
  <c r="C7860" i="1"/>
  <c r="D7860" i="1"/>
  <c r="A7861" i="1"/>
  <c r="B7861" i="1"/>
  <c r="C7861" i="1"/>
  <c r="D7861" i="1"/>
  <c r="A7862" i="1"/>
  <c r="B7862" i="1"/>
  <c r="C7862" i="1"/>
  <c r="D7862" i="1"/>
  <c r="A7863" i="1"/>
  <c r="B7863" i="1"/>
  <c r="C7863" i="1"/>
  <c r="D7863" i="1"/>
  <c r="A7864" i="1"/>
  <c r="B7864" i="1"/>
  <c r="C7864" i="1"/>
  <c r="D7864" i="1"/>
  <c r="A7865" i="1"/>
  <c r="B7865" i="1"/>
  <c r="C7865" i="1"/>
  <c r="D7865" i="1"/>
  <c r="A7866" i="1"/>
  <c r="B7866" i="1"/>
  <c r="C7866" i="1"/>
  <c r="D7866" i="1"/>
  <c r="A7867" i="1"/>
  <c r="B7867" i="1"/>
  <c r="C7867" i="1"/>
  <c r="D7867" i="1"/>
  <c r="A7868" i="1"/>
  <c r="B7868" i="1"/>
  <c r="C7868" i="1"/>
  <c r="D7868" i="1"/>
  <c r="A7869" i="1"/>
  <c r="B7869" i="1"/>
  <c r="C7869" i="1"/>
  <c r="D7869" i="1"/>
  <c r="A7870" i="1"/>
  <c r="B7870" i="1"/>
  <c r="C7870" i="1"/>
  <c r="D7870" i="1"/>
  <c r="A7871" i="1"/>
  <c r="B7871" i="1"/>
  <c r="C7871" i="1"/>
  <c r="D7871" i="1"/>
  <c r="A7872" i="1"/>
  <c r="B7872" i="1"/>
  <c r="C7872" i="1"/>
  <c r="D7872" i="1"/>
  <c r="A7873" i="1"/>
  <c r="B7873" i="1"/>
  <c r="C7873" i="1"/>
  <c r="D7873" i="1"/>
  <c r="A7874" i="1"/>
  <c r="B7874" i="1"/>
  <c r="C7874" i="1"/>
  <c r="D7874" i="1"/>
  <c r="A7875" i="1"/>
  <c r="B7875" i="1"/>
  <c r="C7875" i="1"/>
  <c r="D7875" i="1"/>
  <c r="A7876" i="1"/>
  <c r="B7876" i="1"/>
  <c r="C7876" i="1"/>
  <c r="D7876" i="1"/>
  <c r="A7877" i="1"/>
  <c r="B7877" i="1"/>
  <c r="C7877" i="1"/>
  <c r="D7877" i="1"/>
  <c r="A7878" i="1"/>
  <c r="B7878" i="1"/>
  <c r="C7878" i="1"/>
  <c r="D7878" i="1"/>
  <c r="A7879" i="1"/>
  <c r="B7879" i="1"/>
  <c r="C7879" i="1"/>
  <c r="D7879" i="1"/>
  <c r="A7880" i="1"/>
  <c r="B7880" i="1"/>
  <c r="C7880" i="1"/>
  <c r="D7880" i="1"/>
  <c r="A7881" i="1"/>
  <c r="B7881" i="1"/>
  <c r="C7881" i="1"/>
  <c r="D7881" i="1"/>
  <c r="A7882" i="1"/>
  <c r="B7882" i="1"/>
  <c r="C7882" i="1"/>
  <c r="A7883" i="1"/>
  <c r="B7883" i="1"/>
  <c r="C7883" i="1"/>
  <c r="D7883" i="1"/>
  <c r="A7884" i="1"/>
  <c r="B7884" i="1"/>
  <c r="C7884" i="1"/>
  <c r="D7884" i="1"/>
  <c r="A7885" i="1"/>
  <c r="B7885" i="1"/>
  <c r="C7885" i="1"/>
  <c r="D7885" i="1"/>
  <c r="A7886" i="1"/>
  <c r="B7886" i="1"/>
  <c r="C7886" i="1"/>
  <c r="D7886" i="1"/>
  <c r="A7887" i="1"/>
  <c r="B7887" i="1"/>
  <c r="C7887" i="1"/>
  <c r="D7887" i="1"/>
  <c r="A7888" i="1"/>
  <c r="B7888" i="1"/>
  <c r="C7888" i="1"/>
  <c r="D7888" i="1"/>
  <c r="A7889" i="1"/>
  <c r="B7889" i="1"/>
  <c r="C7889" i="1"/>
  <c r="D7889" i="1"/>
  <c r="A7890" i="1"/>
  <c r="B7890" i="1"/>
  <c r="C7890" i="1"/>
  <c r="D7890" i="1"/>
  <c r="A7891" i="1"/>
  <c r="B7891" i="1"/>
  <c r="C7891" i="1"/>
  <c r="D7891" i="1"/>
  <c r="A7892" i="1"/>
  <c r="B7892" i="1"/>
  <c r="C7892" i="1"/>
  <c r="D7892" i="1"/>
  <c r="A7893" i="1"/>
  <c r="B7893" i="1"/>
  <c r="C7893" i="1"/>
  <c r="D7893" i="1"/>
  <c r="A7894" i="1"/>
  <c r="B7894" i="1"/>
  <c r="C7894" i="1"/>
  <c r="D7894" i="1"/>
  <c r="A7895" i="1"/>
  <c r="B7895" i="1"/>
  <c r="C7895" i="1"/>
  <c r="D7895" i="1"/>
  <c r="A7896" i="1"/>
  <c r="B7896" i="1"/>
  <c r="C7896" i="1"/>
  <c r="A7897" i="1"/>
  <c r="B7897" i="1"/>
  <c r="C7897" i="1"/>
  <c r="D7897" i="1"/>
  <c r="A7898" i="1"/>
  <c r="B7898" i="1"/>
  <c r="C7898" i="1"/>
  <c r="D7898" i="1"/>
  <c r="A7899" i="1"/>
  <c r="B7899" i="1"/>
  <c r="C7899" i="1"/>
  <c r="D7899" i="1"/>
  <c r="A7900" i="1"/>
  <c r="B7900" i="1"/>
  <c r="C7900" i="1"/>
  <c r="D7900" i="1"/>
  <c r="A7901" i="1"/>
  <c r="B7901" i="1"/>
  <c r="C7901" i="1"/>
  <c r="D7901" i="1"/>
  <c r="A7902" i="1"/>
  <c r="B7902" i="1"/>
  <c r="C7902" i="1"/>
  <c r="D7902" i="1"/>
  <c r="A7903" i="1"/>
  <c r="B7903" i="1"/>
  <c r="C7903" i="1"/>
  <c r="D7903" i="1"/>
  <c r="A7904" i="1"/>
  <c r="B7904" i="1"/>
  <c r="C7904" i="1"/>
  <c r="D7904" i="1"/>
  <c r="A7905" i="1"/>
  <c r="B7905" i="1"/>
  <c r="C7905" i="1"/>
  <c r="D7905" i="1"/>
  <c r="A7906" i="1"/>
  <c r="B7906" i="1"/>
  <c r="C7906" i="1"/>
  <c r="A7907" i="1"/>
  <c r="B7907" i="1"/>
  <c r="C7907" i="1"/>
  <c r="D7907" i="1"/>
  <c r="A7908" i="1"/>
  <c r="B7908" i="1"/>
  <c r="C7908" i="1"/>
  <c r="D7908" i="1"/>
  <c r="A7909" i="1"/>
  <c r="B7909" i="1"/>
  <c r="C7909" i="1"/>
  <c r="D7909" i="1"/>
  <c r="A7910" i="1"/>
  <c r="B7910" i="1"/>
  <c r="C7910" i="1"/>
  <c r="D7910" i="1"/>
  <c r="A7911" i="1"/>
  <c r="B7911" i="1"/>
  <c r="C7911" i="1"/>
  <c r="D7911" i="1"/>
  <c r="A7912" i="1"/>
  <c r="B7912" i="1"/>
  <c r="C7912" i="1"/>
  <c r="D7912" i="1"/>
  <c r="A7913" i="1"/>
  <c r="B7913" i="1"/>
  <c r="C7913" i="1"/>
  <c r="D7913" i="1"/>
  <c r="A7914" i="1"/>
  <c r="B7914" i="1"/>
  <c r="C7914" i="1"/>
  <c r="D7914" i="1"/>
  <c r="A7915" i="1"/>
  <c r="B7915" i="1"/>
  <c r="C7915" i="1"/>
  <c r="D7915" i="1"/>
  <c r="A7916" i="1"/>
  <c r="B7916" i="1"/>
  <c r="C7916" i="1"/>
  <c r="D7916" i="1"/>
  <c r="A7917" i="1"/>
  <c r="B7917" i="1"/>
  <c r="C7917" i="1"/>
  <c r="D7917" i="1"/>
  <c r="A7918" i="1"/>
  <c r="B7918" i="1"/>
  <c r="C7918" i="1"/>
  <c r="D7918" i="1"/>
  <c r="A7919" i="1"/>
  <c r="B7919" i="1"/>
  <c r="C7919" i="1"/>
  <c r="D7919" i="1"/>
  <c r="A7920" i="1"/>
  <c r="B7920" i="1"/>
  <c r="C7920" i="1"/>
  <c r="D7920" i="1"/>
  <c r="A7921" i="1"/>
  <c r="B7921" i="1"/>
  <c r="C7921" i="1"/>
  <c r="D7921" i="1"/>
  <c r="A7922" i="1"/>
  <c r="B7922" i="1"/>
  <c r="C7922" i="1"/>
  <c r="D7922" i="1"/>
  <c r="A7923" i="1"/>
  <c r="B7923" i="1"/>
  <c r="C7923" i="1"/>
  <c r="D7923" i="1"/>
  <c r="A7924" i="1"/>
  <c r="B7924" i="1"/>
  <c r="C7924" i="1"/>
  <c r="D7924" i="1"/>
  <c r="A7925" i="1"/>
  <c r="B7925" i="1"/>
  <c r="C7925" i="1"/>
  <c r="D7925" i="1"/>
  <c r="A7926" i="1"/>
  <c r="B7926" i="1"/>
  <c r="C7926" i="1"/>
  <c r="D7926" i="1"/>
  <c r="A7927" i="1"/>
  <c r="B7927" i="1"/>
  <c r="C7927" i="1"/>
  <c r="D7927" i="1"/>
  <c r="A7928" i="1"/>
  <c r="B7928" i="1"/>
  <c r="C7928" i="1"/>
  <c r="D7928" i="1"/>
  <c r="A7929" i="1"/>
  <c r="B7929" i="1"/>
  <c r="C7929" i="1"/>
  <c r="D7929" i="1"/>
  <c r="A7930" i="1"/>
  <c r="B7930" i="1"/>
  <c r="C7930" i="1"/>
  <c r="D7930" i="1"/>
  <c r="A7931" i="1"/>
  <c r="B7931" i="1"/>
  <c r="C7931" i="1"/>
  <c r="D7931" i="1"/>
  <c r="A7932" i="1"/>
  <c r="B7932" i="1"/>
  <c r="C7932" i="1"/>
  <c r="D7932" i="1"/>
  <c r="A7933" i="1"/>
  <c r="B7933" i="1"/>
  <c r="C7933" i="1"/>
  <c r="D7933" i="1"/>
  <c r="A7934" i="1"/>
  <c r="B7934" i="1"/>
  <c r="C7934" i="1"/>
  <c r="D7934" i="1"/>
  <c r="A7935" i="1"/>
  <c r="B7935" i="1"/>
  <c r="C7935" i="1"/>
  <c r="D7935" i="1"/>
  <c r="A7936" i="1"/>
  <c r="B7936" i="1"/>
  <c r="C7936" i="1"/>
  <c r="D7936" i="1"/>
  <c r="A7937" i="1"/>
  <c r="B7937" i="1"/>
  <c r="C7937" i="1"/>
  <c r="A7938" i="1"/>
  <c r="B7938" i="1"/>
  <c r="C7938" i="1"/>
  <c r="D7938" i="1"/>
  <c r="A7939" i="1"/>
  <c r="B7939" i="1"/>
  <c r="C7939" i="1"/>
  <c r="D7939" i="1"/>
  <c r="A7940" i="1"/>
  <c r="B7940" i="1"/>
  <c r="C7940" i="1"/>
  <c r="D7940" i="1"/>
  <c r="A7941" i="1"/>
  <c r="B7941" i="1"/>
  <c r="C7941" i="1"/>
  <c r="D7941" i="1"/>
  <c r="A7942" i="1"/>
  <c r="B7942" i="1"/>
  <c r="C7942" i="1"/>
  <c r="D7942" i="1"/>
  <c r="A7943" i="1"/>
  <c r="B7943" i="1"/>
  <c r="C7943" i="1"/>
  <c r="D7943" i="1"/>
  <c r="A7944" i="1"/>
  <c r="B7944" i="1"/>
  <c r="C7944" i="1"/>
  <c r="D7944" i="1"/>
  <c r="A7945" i="1"/>
  <c r="B7945" i="1"/>
  <c r="C7945" i="1"/>
  <c r="D7945" i="1"/>
  <c r="A7946" i="1"/>
  <c r="B7946" i="1"/>
  <c r="C7946" i="1"/>
  <c r="D7946" i="1"/>
  <c r="A7947" i="1"/>
  <c r="B7947" i="1"/>
  <c r="C7947" i="1"/>
  <c r="D7947" i="1"/>
  <c r="A7948" i="1"/>
  <c r="B7948" i="1"/>
  <c r="C7948" i="1"/>
  <c r="D7948" i="1"/>
  <c r="A7949" i="1"/>
  <c r="B7949" i="1"/>
  <c r="C7949" i="1"/>
  <c r="D7949" i="1"/>
  <c r="A7950" i="1"/>
  <c r="B7950" i="1"/>
  <c r="C7950" i="1"/>
  <c r="D7950" i="1"/>
  <c r="A7951" i="1"/>
  <c r="B7951" i="1"/>
  <c r="C7951" i="1"/>
  <c r="D7951" i="1"/>
  <c r="A7952" i="1"/>
  <c r="B7952" i="1"/>
  <c r="C7952" i="1"/>
  <c r="D7952" i="1"/>
  <c r="A7953" i="1"/>
  <c r="B7953" i="1"/>
  <c r="C7953" i="1"/>
  <c r="D7953" i="1"/>
  <c r="A7954" i="1"/>
  <c r="B7954" i="1"/>
  <c r="C7954" i="1"/>
  <c r="D7954" i="1"/>
  <c r="A7955" i="1"/>
  <c r="B7955" i="1"/>
  <c r="C7955" i="1"/>
  <c r="D7955" i="1"/>
  <c r="A7956" i="1"/>
  <c r="B7956" i="1"/>
  <c r="C7956" i="1"/>
  <c r="D7956" i="1"/>
  <c r="A7957" i="1"/>
  <c r="B7957" i="1"/>
  <c r="C7957" i="1"/>
  <c r="D7957" i="1"/>
  <c r="A7958" i="1"/>
  <c r="B7958" i="1"/>
  <c r="C7958" i="1"/>
  <c r="D7958" i="1"/>
  <c r="A7959" i="1"/>
  <c r="B7959" i="1"/>
  <c r="C7959" i="1"/>
  <c r="D7959" i="1"/>
  <c r="A7960" i="1"/>
  <c r="B7960" i="1"/>
  <c r="C7960" i="1"/>
  <c r="D7960" i="1"/>
  <c r="A7961" i="1"/>
  <c r="B7961" i="1"/>
  <c r="C7961" i="1"/>
  <c r="D7961" i="1"/>
  <c r="A7962" i="1"/>
  <c r="B7962" i="1"/>
  <c r="C7962" i="1"/>
  <c r="D7962" i="1"/>
  <c r="A7963" i="1"/>
  <c r="B7963" i="1"/>
  <c r="C7963" i="1"/>
  <c r="D7963" i="1"/>
  <c r="A7964" i="1"/>
  <c r="B7964" i="1"/>
  <c r="C7964" i="1"/>
  <c r="D7964" i="1"/>
  <c r="A7965" i="1"/>
  <c r="B7965" i="1"/>
  <c r="C7965" i="1"/>
  <c r="D7965" i="1"/>
  <c r="A7966" i="1"/>
  <c r="B7966" i="1"/>
  <c r="C7966" i="1"/>
  <c r="D7966" i="1"/>
  <c r="A7967" i="1"/>
  <c r="B7967" i="1"/>
  <c r="C7967" i="1"/>
  <c r="D7967" i="1"/>
  <c r="A7968" i="1"/>
  <c r="B7968" i="1"/>
  <c r="C7968" i="1"/>
  <c r="D7968" i="1"/>
  <c r="A7969" i="1"/>
  <c r="B7969" i="1"/>
  <c r="C7969" i="1"/>
  <c r="D7969" i="1"/>
  <c r="A7970" i="1"/>
  <c r="B7970" i="1"/>
  <c r="C7970" i="1"/>
  <c r="D7970" i="1"/>
  <c r="A7971" i="1"/>
  <c r="B7971" i="1"/>
  <c r="C7971" i="1"/>
  <c r="D7971" i="1"/>
  <c r="A7972" i="1"/>
  <c r="B7972" i="1"/>
  <c r="C7972" i="1"/>
  <c r="D7972" i="1"/>
  <c r="A7973" i="1"/>
  <c r="B7973" i="1"/>
  <c r="C7973" i="1"/>
  <c r="D7973" i="1"/>
  <c r="A7974" i="1"/>
  <c r="B7974" i="1"/>
  <c r="C7974" i="1"/>
  <c r="D7974" i="1"/>
  <c r="A7975" i="1"/>
  <c r="B7975" i="1"/>
  <c r="C7975" i="1"/>
  <c r="D7975" i="1"/>
  <c r="A7976" i="1"/>
  <c r="B7976" i="1"/>
  <c r="C7976" i="1"/>
  <c r="D7976" i="1"/>
  <c r="A7977" i="1"/>
  <c r="B7977" i="1"/>
  <c r="C7977" i="1"/>
  <c r="D7977" i="1"/>
  <c r="A7978" i="1"/>
  <c r="B7978" i="1"/>
  <c r="C7978" i="1"/>
  <c r="D7978" i="1"/>
  <c r="A7979" i="1"/>
  <c r="B7979" i="1"/>
  <c r="C7979" i="1"/>
  <c r="D7979" i="1"/>
  <c r="A7980" i="1"/>
  <c r="B7980" i="1"/>
  <c r="C7980" i="1"/>
  <c r="D7980" i="1"/>
  <c r="A7981" i="1"/>
  <c r="B7981" i="1"/>
  <c r="C7981" i="1"/>
  <c r="D7981" i="1"/>
  <c r="A7982" i="1"/>
  <c r="B7982" i="1"/>
  <c r="C7982" i="1"/>
  <c r="D7982" i="1"/>
  <c r="A7983" i="1"/>
  <c r="B7983" i="1"/>
  <c r="C7983" i="1"/>
  <c r="D7983" i="1"/>
  <c r="A7984" i="1"/>
  <c r="B7984" i="1"/>
  <c r="C7984" i="1"/>
  <c r="D7984" i="1"/>
  <c r="A7985" i="1"/>
  <c r="B7985" i="1"/>
  <c r="C7985" i="1"/>
  <c r="D7985" i="1"/>
  <c r="A7986" i="1"/>
  <c r="B7986" i="1"/>
  <c r="C7986" i="1"/>
  <c r="D7986" i="1"/>
  <c r="A7987" i="1"/>
  <c r="B7987" i="1"/>
  <c r="C7987" i="1"/>
  <c r="D7987" i="1"/>
  <c r="A7988" i="1"/>
  <c r="B7988" i="1"/>
  <c r="C7988" i="1"/>
  <c r="D7988" i="1"/>
  <c r="A7989" i="1"/>
  <c r="B7989" i="1"/>
  <c r="C7989" i="1"/>
  <c r="D7989" i="1"/>
  <c r="A7990" i="1"/>
  <c r="B7990" i="1"/>
  <c r="C7990" i="1"/>
  <c r="D7990" i="1"/>
  <c r="A7991" i="1"/>
  <c r="B7991" i="1"/>
  <c r="C7991" i="1"/>
  <c r="D7991" i="1"/>
  <c r="A7992" i="1"/>
  <c r="B7992" i="1"/>
  <c r="C7992" i="1"/>
  <c r="D7992" i="1"/>
  <c r="A7993" i="1"/>
  <c r="B7993" i="1"/>
  <c r="C7993" i="1"/>
  <c r="D7993" i="1"/>
  <c r="A7994" i="1"/>
  <c r="B7994" i="1"/>
  <c r="C7994" i="1"/>
  <c r="D7994" i="1"/>
  <c r="A7995" i="1"/>
  <c r="B7995" i="1"/>
  <c r="C7995" i="1"/>
  <c r="D7995" i="1"/>
  <c r="A7996" i="1"/>
  <c r="B7996" i="1"/>
  <c r="C7996" i="1"/>
  <c r="D7996" i="1"/>
  <c r="A7997" i="1"/>
  <c r="B7997" i="1"/>
  <c r="C7997" i="1"/>
  <c r="A7998" i="1"/>
  <c r="B7998" i="1"/>
  <c r="C7998" i="1"/>
  <c r="D7998" i="1"/>
  <c r="A7999" i="1"/>
  <c r="B7999" i="1"/>
  <c r="C7999" i="1"/>
  <c r="D7999" i="1"/>
  <c r="A8000" i="1"/>
  <c r="B8000" i="1"/>
  <c r="C8000" i="1"/>
  <c r="D8000" i="1"/>
  <c r="A8001" i="1"/>
  <c r="B8001" i="1"/>
  <c r="C8001" i="1"/>
  <c r="D8001" i="1"/>
  <c r="A8002" i="1"/>
  <c r="B8002" i="1"/>
  <c r="C8002" i="1"/>
  <c r="D8002" i="1"/>
  <c r="A8003" i="1"/>
  <c r="B8003" i="1"/>
  <c r="C8003" i="1"/>
  <c r="D8003" i="1"/>
  <c r="A8004" i="1"/>
  <c r="B8004" i="1"/>
  <c r="C8004" i="1"/>
  <c r="D8004" i="1"/>
  <c r="A8005" i="1"/>
  <c r="B8005" i="1"/>
  <c r="C8005" i="1"/>
  <c r="D8005" i="1"/>
  <c r="A8006" i="1"/>
  <c r="B8006" i="1"/>
  <c r="C8006" i="1"/>
  <c r="D8006" i="1"/>
  <c r="A8007" i="1"/>
  <c r="B8007" i="1"/>
  <c r="C8007" i="1"/>
  <c r="D8007" i="1"/>
  <c r="A8008" i="1"/>
  <c r="B8008" i="1"/>
  <c r="C8008" i="1"/>
  <c r="D8008" i="1"/>
  <c r="A8009" i="1"/>
  <c r="B8009" i="1"/>
  <c r="C8009" i="1"/>
  <c r="D8009" i="1"/>
  <c r="A8010" i="1"/>
  <c r="B8010" i="1"/>
  <c r="C8010" i="1"/>
  <c r="D8010" i="1"/>
  <c r="A8011" i="1"/>
  <c r="B8011" i="1"/>
  <c r="C8011" i="1"/>
  <c r="D8011" i="1"/>
  <c r="A8012" i="1"/>
  <c r="B8012" i="1"/>
  <c r="C8012" i="1"/>
  <c r="A8013" i="1"/>
  <c r="B8013" i="1"/>
  <c r="C8013" i="1"/>
  <c r="D8013" i="1"/>
  <c r="A8014" i="1"/>
  <c r="B8014" i="1"/>
  <c r="C8014" i="1"/>
  <c r="D8014" i="1"/>
  <c r="A8015" i="1"/>
  <c r="B8015" i="1"/>
  <c r="C8015" i="1"/>
  <c r="D8015" i="1"/>
  <c r="A8016" i="1"/>
  <c r="B8016" i="1"/>
  <c r="C8016" i="1"/>
  <c r="D8016" i="1"/>
  <c r="A8017" i="1"/>
  <c r="B8017" i="1"/>
  <c r="C8017" i="1"/>
  <c r="D8017" i="1"/>
  <c r="A8018" i="1"/>
  <c r="B8018" i="1"/>
  <c r="C8018" i="1"/>
  <c r="D8018" i="1"/>
  <c r="A8019" i="1"/>
  <c r="B8019" i="1"/>
  <c r="C8019" i="1"/>
  <c r="D8019" i="1"/>
  <c r="A8020" i="1"/>
  <c r="B8020" i="1"/>
  <c r="C8020" i="1"/>
  <c r="D8020" i="1"/>
  <c r="A8021" i="1"/>
  <c r="B8021" i="1"/>
  <c r="C8021" i="1"/>
  <c r="D8021" i="1"/>
  <c r="A8022" i="1"/>
  <c r="B8022" i="1"/>
  <c r="C8022" i="1"/>
  <c r="D8022" i="1"/>
  <c r="A8023" i="1"/>
  <c r="B8023" i="1"/>
  <c r="C8023" i="1"/>
  <c r="D8023" i="1"/>
  <c r="A8024" i="1"/>
  <c r="B8024" i="1"/>
  <c r="C8024" i="1"/>
  <c r="D8024" i="1"/>
  <c r="A8025" i="1"/>
  <c r="B8025" i="1"/>
  <c r="C8025" i="1"/>
  <c r="D8025" i="1"/>
  <c r="A8026" i="1"/>
  <c r="B8026" i="1"/>
  <c r="C8026" i="1"/>
  <c r="D8026" i="1"/>
  <c r="A8027" i="1"/>
  <c r="B8027" i="1"/>
  <c r="C8027" i="1"/>
  <c r="D8027" i="1"/>
  <c r="A8028" i="1"/>
  <c r="B8028" i="1"/>
  <c r="C8028" i="1"/>
  <c r="D8028" i="1"/>
  <c r="A8029" i="1"/>
  <c r="B8029" i="1"/>
  <c r="C8029" i="1"/>
  <c r="D8029" i="1"/>
  <c r="A8030" i="1"/>
  <c r="B8030" i="1"/>
  <c r="C8030" i="1"/>
  <c r="D8030" i="1"/>
  <c r="A8031" i="1"/>
  <c r="B8031" i="1"/>
  <c r="C8031" i="1"/>
  <c r="D8031" i="1"/>
  <c r="A8032" i="1"/>
  <c r="B8032" i="1"/>
  <c r="C8032" i="1"/>
  <c r="D8032" i="1"/>
  <c r="A8033" i="1"/>
  <c r="B8033" i="1"/>
  <c r="C8033" i="1"/>
  <c r="D8033" i="1"/>
  <c r="A8034" i="1"/>
  <c r="B8034" i="1"/>
  <c r="C8034" i="1"/>
  <c r="D8034" i="1"/>
  <c r="A8035" i="1"/>
  <c r="B8035" i="1"/>
  <c r="C8035" i="1"/>
  <c r="D8035" i="1"/>
  <c r="A8036" i="1"/>
  <c r="B8036" i="1"/>
  <c r="C8036" i="1"/>
  <c r="D8036" i="1"/>
  <c r="A8037" i="1"/>
  <c r="B8037" i="1"/>
  <c r="C8037" i="1"/>
  <c r="D8037" i="1"/>
  <c r="A8038" i="1"/>
  <c r="B8038" i="1"/>
  <c r="C8038" i="1"/>
  <c r="D8038" i="1"/>
  <c r="A8039" i="1"/>
  <c r="B8039" i="1"/>
  <c r="C8039" i="1"/>
  <c r="D8039" i="1"/>
  <c r="A8040" i="1"/>
  <c r="B8040" i="1"/>
  <c r="C8040" i="1"/>
  <c r="D8040" i="1"/>
  <c r="A8041" i="1"/>
  <c r="B8041" i="1"/>
  <c r="C8041" i="1"/>
  <c r="D8041" i="1"/>
  <c r="A8042" i="1"/>
  <c r="B8042" i="1"/>
  <c r="C8042" i="1"/>
  <c r="D8042" i="1"/>
  <c r="A8043" i="1"/>
  <c r="B8043" i="1"/>
  <c r="C8043" i="1"/>
  <c r="D8043" i="1"/>
  <c r="A8044" i="1"/>
  <c r="B8044" i="1"/>
  <c r="C8044" i="1"/>
  <c r="D8044" i="1"/>
  <c r="A8045" i="1"/>
  <c r="B8045" i="1"/>
  <c r="C8045" i="1"/>
  <c r="D8045" i="1"/>
  <c r="A8046" i="1"/>
  <c r="B8046" i="1"/>
  <c r="C8046" i="1"/>
  <c r="D8046" i="1"/>
  <c r="A8047" i="1"/>
  <c r="B8047" i="1"/>
  <c r="C8047" i="1"/>
  <c r="D8047" i="1"/>
  <c r="A8048" i="1"/>
  <c r="B8048" i="1"/>
  <c r="C8048" i="1"/>
  <c r="D8048" i="1"/>
  <c r="A8049" i="1"/>
  <c r="B8049" i="1"/>
  <c r="C8049" i="1"/>
  <c r="D8049" i="1"/>
  <c r="A8050" i="1"/>
  <c r="B8050" i="1"/>
  <c r="C8050" i="1"/>
  <c r="D8050" i="1"/>
  <c r="A8051" i="1"/>
  <c r="B8051" i="1"/>
  <c r="C8051" i="1"/>
  <c r="D8051" i="1"/>
  <c r="A8052" i="1"/>
  <c r="B8052" i="1"/>
  <c r="C8052" i="1"/>
  <c r="D8052" i="1"/>
  <c r="A8053" i="1"/>
  <c r="B8053" i="1"/>
  <c r="C8053" i="1"/>
  <c r="D8053" i="1"/>
  <c r="A8054" i="1"/>
  <c r="B8054" i="1"/>
  <c r="C8054" i="1"/>
  <c r="D8054" i="1"/>
  <c r="A8055" i="1"/>
  <c r="B8055" i="1"/>
  <c r="C8055" i="1"/>
  <c r="D8055" i="1"/>
  <c r="A8056" i="1"/>
  <c r="B8056" i="1"/>
  <c r="C8056" i="1"/>
  <c r="D8056" i="1"/>
  <c r="A8057" i="1"/>
  <c r="B8057" i="1"/>
  <c r="C8057" i="1"/>
  <c r="D8057" i="1"/>
  <c r="A8058" i="1"/>
  <c r="B8058" i="1"/>
  <c r="C8058" i="1"/>
  <c r="D8058" i="1"/>
  <c r="A8059" i="1"/>
  <c r="B8059" i="1"/>
  <c r="C8059" i="1"/>
  <c r="D8059" i="1"/>
  <c r="A8060" i="1"/>
  <c r="B8060" i="1"/>
  <c r="C8060" i="1"/>
  <c r="D8060" i="1"/>
  <c r="A8061" i="1"/>
  <c r="B8061" i="1"/>
  <c r="C8061" i="1"/>
  <c r="D8061" i="1"/>
  <c r="A8062" i="1"/>
  <c r="B8062" i="1"/>
  <c r="C8062" i="1"/>
  <c r="D8062" i="1"/>
  <c r="A8063" i="1"/>
  <c r="B8063" i="1"/>
  <c r="C8063" i="1"/>
  <c r="D8063" i="1"/>
  <c r="A8064" i="1"/>
  <c r="B8064" i="1"/>
  <c r="C8064" i="1"/>
  <c r="D8064" i="1"/>
  <c r="A8065" i="1"/>
  <c r="B8065" i="1"/>
  <c r="C8065" i="1"/>
  <c r="D8065" i="1"/>
  <c r="A8066" i="1"/>
  <c r="B8066" i="1"/>
  <c r="C8066" i="1"/>
  <c r="D8066" i="1"/>
  <c r="A8067" i="1"/>
  <c r="B8067" i="1"/>
  <c r="C8067" i="1"/>
  <c r="D8067" i="1"/>
  <c r="A8068" i="1"/>
  <c r="B8068" i="1"/>
  <c r="C8068" i="1"/>
  <c r="D8068" i="1"/>
  <c r="A8069" i="1"/>
  <c r="B8069" i="1"/>
  <c r="C8069" i="1"/>
  <c r="D8069" i="1"/>
  <c r="A8070" i="1"/>
  <c r="B8070" i="1"/>
  <c r="C8070" i="1"/>
  <c r="D8070" i="1"/>
  <c r="A8071" i="1"/>
  <c r="B8071" i="1"/>
  <c r="C8071" i="1"/>
  <c r="D8071" i="1"/>
  <c r="A8072" i="1"/>
  <c r="B8072" i="1"/>
  <c r="C8072" i="1"/>
  <c r="D8072" i="1"/>
  <c r="A8073" i="1"/>
  <c r="B8073" i="1"/>
  <c r="C8073" i="1"/>
  <c r="D8073" i="1"/>
  <c r="A8074" i="1"/>
  <c r="B8074" i="1"/>
  <c r="C8074" i="1"/>
  <c r="D8074" i="1"/>
  <c r="A8075" i="1"/>
  <c r="B8075" i="1"/>
  <c r="C8075" i="1"/>
  <c r="D8075" i="1"/>
  <c r="A8076" i="1"/>
  <c r="B8076" i="1"/>
  <c r="C8076" i="1"/>
  <c r="D8076" i="1"/>
  <c r="A8077" i="1"/>
  <c r="B8077" i="1"/>
  <c r="C8077" i="1"/>
  <c r="D8077" i="1"/>
  <c r="A8078" i="1"/>
  <c r="B8078" i="1"/>
  <c r="C8078" i="1"/>
  <c r="D8078" i="1"/>
  <c r="A8079" i="1"/>
  <c r="B8079" i="1"/>
  <c r="C8079" i="1"/>
  <c r="D8079" i="1"/>
  <c r="A8080" i="1"/>
  <c r="B8080" i="1"/>
  <c r="C8080" i="1"/>
  <c r="D8080" i="1"/>
  <c r="A8081" i="1"/>
  <c r="B8081" i="1"/>
  <c r="C8081" i="1"/>
  <c r="D8081" i="1"/>
  <c r="A8082" i="1"/>
  <c r="B8082" i="1"/>
  <c r="C8082" i="1"/>
  <c r="D8082" i="1"/>
  <c r="A8083" i="1"/>
  <c r="B8083" i="1"/>
  <c r="C8083" i="1"/>
  <c r="D8083" i="1"/>
  <c r="A8084" i="1"/>
  <c r="B8084" i="1"/>
  <c r="C8084" i="1"/>
  <c r="D8084" i="1"/>
  <c r="A8085" i="1"/>
  <c r="B8085" i="1"/>
  <c r="C8085" i="1"/>
  <c r="D8085" i="1"/>
  <c r="A8086" i="1"/>
  <c r="B8086" i="1"/>
  <c r="C8086" i="1"/>
  <c r="D8086" i="1"/>
  <c r="A8087" i="1"/>
  <c r="B8087" i="1"/>
  <c r="C8087" i="1"/>
  <c r="D8087" i="1"/>
  <c r="A8088" i="1"/>
  <c r="B8088" i="1"/>
  <c r="C8088" i="1"/>
  <c r="D8088" i="1"/>
  <c r="A8089" i="1"/>
  <c r="B8089" i="1"/>
  <c r="C8089" i="1"/>
  <c r="D8089" i="1"/>
  <c r="A8090" i="1"/>
  <c r="B8090" i="1"/>
  <c r="C8090" i="1"/>
  <c r="D8090" i="1"/>
  <c r="A8091" i="1"/>
  <c r="B8091" i="1"/>
  <c r="C8091" i="1"/>
  <c r="D8091" i="1"/>
  <c r="A8092" i="1"/>
  <c r="B8092" i="1"/>
  <c r="C8092" i="1"/>
  <c r="D8092" i="1"/>
  <c r="A8093" i="1"/>
  <c r="B8093" i="1"/>
  <c r="C8093" i="1"/>
  <c r="D8093" i="1"/>
  <c r="A8094" i="1"/>
  <c r="B8094" i="1"/>
  <c r="C8094" i="1"/>
  <c r="D8094" i="1"/>
  <c r="A8095" i="1"/>
  <c r="B8095" i="1"/>
  <c r="C8095" i="1"/>
  <c r="D8095" i="1"/>
  <c r="A8096" i="1"/>
  <c r="B8096" i="1"/>
  <c r="C8096" i="1"/>
  <c r="D8096" i="1"/>
  <c r="A8097" i="1"/>
  <c r="B8097" i="1"/>
  <c r="C8097" i="1"/>
  <c r="D8097" i="1"/>
  <c r="A8098" i="1"/>
  <c r="B8098" i="1"/>
  <c r="C8098" i="1"/>
  <c r="D8098" i="1"/>
  <c r="A8099" i="1"/>
  <c r="B8099" i="1"/>
  <c r="C8099" i="1"/>
  <c r="D8099" i="1"/>
  <c r="A8100" i="1"/>
  <c r="B8100" i="1"/>
  <c r="C8100" i="1"/>
  <c r="D8100" i="1"/>
  <c r="A8101" i="1"/>
  <c r="B8101" i="1"/>
  <c r="C8101" i="1"/>
  <c r="D8101" i="1"/>
  <c r="A8102" i="1"/>
  <c r="B8102" i="1"/>
  <c r="C8102" i="1"/>
  <c r="D8102" i="1"/>
  <c r="A8103" i="1"/>
  <c r="B8103" i="1"/>
  <c r="C8103" i="1"/>
  <c r="D8103" i="1"/>
  <c r="A8104" i="1"/>
  <c r="B8104" i="1"/>
  <c r="C8104" i="1"/>
  <c r="D8104" i="1"/>
  <c r="A8105" i="1"/>
  <c r="B8105" i="1"/>
  <c r="C8105" i="1"/>
  <c r="D8105" i="1"/>
  <c r="A8106" i="1"/>
  <c r="B8106" i="1"/>
  <c r="C8106" i="1"/>
  <c r="D8106" i="1"/>
  <c r="A8107" i="1"/>
  <c r="B8107" i="1"/>
  <c r="C8107" i="1"/>
  <c r="D8107" i="1"/>
  <c r="A8108" i="1"/>
  <c r="B8108" i="1"/>
  <c r="C8108" i="1"/>
  <c r="D8108" i="1"/>
  <c r="A8109" i="1"/>
  <c r="B8109" i="1"/>
  <c r="C8109" i="1"/>
  <c r="D8109" i="1"/>
  <c r="A8110" i="1"/>
  <c r="B8110" i="1"/>
  <c r="C8110" i="1"/>
  <c r="D8110" i="1"/>
  <c r="A8111" i="1"/>
  <c r="B8111" i="1"/>
  <c r="C8111" i="1"/>
  <c r="D8111" i="1"/>
  <c r="A8112" i="1"/>
  <c r="B8112" i="1"/>
  <c r="C8112" i="1"/>
  <c r="D8112" i="1"/>
  <c r="A8113" i="1"/>
  <c r="B8113" i="1"/>
  <c r="C8113" i="1"/>
  <c r="D8113" i="1"/>
  <c r="A8114" i="1"/>
  <c r="B8114" i="1"/>
  <c r="C8114" i="1"/>
  <c r="D8114" i="1"/>
  <c r="A8115" i="1"/>
  <c r="B8115" i="1"/>
  <c r="C8115" i="1"/>
  <c r="D8115" i="1"/>
  <c r="A8116" i="1"/>
  <c r="B8116" i="1"/>
  <c r="C8116" i="1"/>
  <c r="D8116" i="1"/>
  <c r="A8117" i="1"/>
  <c r="B8117" i="1"/>
  <c r="C8117" i="1"/>
  <c r="D8117" i="1"/>
  <c r="A8118" i="1"/>
  <c r="B8118" i="1"/>
  <c r="C8118" i="1"/>
  <c r="D8118" i="1"/>
  <c r="A8119" i="1"/>
  <c r="B8119" i="1"/>
  <c r="C8119" i="1"/>
  <c r="D8119" i="1"/>
  <c r="A8120" i="1"/>
  <c r="B8120" i="1"/>
  <c r="C8120" i="1"/>
  <c r="D8120" i="1"/>
  <c r="A8121" i="1"/>
  <c r="B8121" i="1"/>
  <c r="C8121" i="1"/>
  <c r="D8121" i="1"/>
  <c r="A8122" i="1"/>
  <c r="B8122" i="1"/>
  <c r="C8122" i="1"/>
  <c r="D8122" i="1"/>
  <c r="A8123" i="1"/>
  <c r="B8123" i="1"/>
  <c r="C8123" i="1"/>
  <c r="D8123" i="1"/>
  <c r="A8124" i="1"/>
  <c r="B8124" i="1"/>
  <c r="C8124" i="1"/>
  <c r="D8124" i="1"/>
  <c r="A8125" i="1"/>
  <c r="B8125" i="1"/>
  <c r="C8125" i="1"/>
  <c r="D8125" i="1"/>
  <c r="A8126" i="1"/>
  <c r="B8126" i="1"/>
  <c r="C8126" i="1"/>
  <c r="D8126" i="1"/>
  <c r="A8127" i="1"/>
  <c r="B8127" i="1"/>
  <c r="C8127" i="1"/>
  <c r="D8127" i="1"/>
  <c r="A8128" i="1"/>
  <c r="B8128" i="1"/>
  <c r="C8128" i="1"/>
  <c r="D8128" i="1"/>
  <c r="A8129" i="1"/>
  <c r="B8129" i="1"/>
  <c r="C8129" i="1"/>
  <c r="D8129" i="1"/>
  <c r="A8130" i="1"/>
  <c r="B8130" i="1"/>
  <c r="C8130" i="1"/>
  <c r="D8130" i="1"/>
  <c r="A8131" i="1"/>
  <c r="B8131" i="1"/>
  <c r="C8131" i="1"/>
  <c r="D8131" i="1"/>
  <c r="A8132" i="1"/>
  <c r="B8132" i="1"/>
  <c r="C8132" i="1"/>
  <c r="D8132" i="1"/>
  <c r="A8133" i="1"/>
  <c r="B8133" i="1"/>
  <c r="C8133" i="1"/>
  <c r="D8133" i="1"/>
  <c r="A8134" i="1"/>
  <c r="B8134" i="1"/>
  <c r="C8134" i="1"/>
  <c r="D8134" i="1"/>
  <c r="A8135" i="1"/>
  <c r="B8135" i="1"/>
  <c r="C8135" i="1"/>
  <c r="D8135" i="1"/>
  <c r="A8136" i="1"/>
  <c r="B8136" i="1"/>
  <c r="C8136" i="1"/>
  <c r="D8136" i="1"/>
  <c r="A8137" i="1"/>
  <c r="B8137" i="1"/>
  <c r="C8137" i="1"/>
  <c r="D8137" i="1"/>
  <c r="A8138" i="1"/>
  <c r="B8138" i="1"/>
  <c r="C8138" i="1"/>
  <c r="D8138" i="1"/>
  <c r="A8139" i="1"/>
  <c r="B8139" i="1"/>
  <c r="C8139" i="1"/>
  <c r="D8139" i="1"/>
  <c r="A8140" i="1"/>
  <c r="B8140" i="1"/>
  <c r="C8140" i="1"/>
  <c r="D8140" i="1"/>
  <c r="A8141" i="1"/>
  <c r="B8141" i="1"/>
  <c r="C8141" i="1"/>
  <c r="D8141" i="1"/>
  <c r="A8142" i="1"/>
  <c r="B8142" i="1"/>
  <c r="C8142" i="1"/>
  <c r="D8142" i="1"/>
  <c r="A8143" i="1"/>
  <c r="B8143" i="1"/>
  <c r="C8143" i="1"/>
  <c r="D8143" i="1"/>
  <c r="A8144" i="1"/>
  <c r="B8144" i="1"/>
  <c r="C8144" i="1"/>
  <c r="D8144" i="1"/>
  <c r="A8145" i="1"/>
  <c r="B8145" i="1"/>
  <c r="C8145" i="1"/>
  <c r="D8145" i="1"/>
  <c r="A8146" i="1"/>
  <c r="B8146" i="1"/>
  <c r="C8146" i="1"/>
  <c r="D8146" i="1"/>
  <c r="A8147" i="1"/>
  <c r="B8147" i="1"/>
  <c r="C8147" i="1"/>
  <c r="D8147" i="1"/>
  <c r="A8148" i="1"/>
  <c r="B8148" i="1"/>
  <c r="C8148" i="1"/>
  <c r="D8148" i="1"/>
  <c r="A8149" i="1"/>
  <c r="B8149" i="1"/>
  <c r="C8149" i="1"/>
  <c r="D8149" i="1"/>
  <c r="A8150" i="1"/>
  <c r="B8150" i="1"/>
  <c r="C8150" i="1"/>
  <c r="D8150" i="1"/>
  <c r="A8151" i="1"/>
  <c r="B8151" i="1"/>
  <c r="C8151" i="1"/>
  <c r="D8151" i="1"/>
  <c r="A8152" i="1"/>
  <c r="B8152" i="1"/>
  <c r="C8152" i="1"/>
  <c r="D8152" i="1"/>
  <c r="A8153" i="1"/>
  <c r="B8153" i="1"/>
  <c r="C8153" i="1"/>
  <c r="D8153" i="1"/>
  <c r="A8154" i="1"/>
  <c r="B8154" i="1"/>
  <c r="C8154" i="1"/>
  <c r="D8154" i="1"/>
  <c r="A8155" i="1"/>
  <c r="B8155" i="1"/>
  <c r="C8155" i="1"/>
  <c r="D8155" i="1"/>
  <c r="A8156" i="1"/>
  <c r="B8156" i="1"/>
  <c r="C8156" i="1"/>
  <c r="D8156" i="1"/>
  <c r="A8157" i="1"/>
  <c r="B8157" i="1"/>
  <c r="C8157" i="1"/>
  <c r="D8157" i="1"/>
  <c r="A8158" i="1"/>
  <c r="B8158" i="1"/>
  <c r="C8158" i="1"/>
  <c r="D8158" i="1"/>
  <c r="A8159" i="1"/>
  <c r="B8159" i="1"/>
  <c r="C8159" i="1"/>
  <c r="D8159" i="1"/>
  <c r="A8160" i="1"/>
  <c r="B8160" i="1"/>
  <c r="C8160" i="1"/>
  <c r="D8160" i="1"/>
  <c r="A8161" i="1"/>
  <c r="B8161" i="1"/>
  <c r="C8161" i="1"/>
  <c r="D8161" i="1"/>
  <c r="A8162" i="1"/>
  <c r="B8162" i="1"/>
  <c r="C8162" i="1"/>
  <c r="D8162" i="1"/>
  <c r="A8163" i="1"/>
  <c r="B8163" i="1"/>
  <c r="C8163" i="1"/>
  <c r="D8163" i="1"/>
  <c r="A8164" i="1"/>
  <c r="B8164" i="1"/>
  <c r="C8164" i="1"/>
  <c r="D8164" i="1"/>
  <c r="A8165" i="1"/>
  <c r="B8165" i="1"/>
  <c r="C8165" i="1"/>
  <c r="D8165" i="1"/>
  <c r="A8166" i="1"/>
  <c r="B8166" i="1"/>
  <c r="C8166" i="1"/>
  <c r="D8166" i="1"/>
  <c r="A8167" i="1"/>
  <c r="B8167" i="1"/>
  <c r="C8167" i="1"/>
  <c r="D8167" i="1"/>
  <c r="A8168" i="1"/>
  <c r="B8168" i="1"/>
  <c r="C8168" i="1"/>
  <c r="D8168" i="1"/>
  <c r="A8169" i="1"/>
  <c r="B8169" i="1"/>
  <c r="C8169" i="1"/>
  <c r="D8169" i="1"/>
  <c r="A8170" i="1"/>
  <c r="B8170" i="1"/>
  <c r="C8170" i="1"/>
  <c r="D8170" i="1"/>
  <c r="A8171" i="1"/>
  <c r="B8171" i="1"/>
  <c r="C8171" i="1"/>
  <c r="D8171" i="1"/>
  <c r="A8172" i="1"/>
  <c r="B8172" i="1"/>
  <c r="C8172" i="1"/>
  <c r="D8172" i="1"/>
  <c r="A8173" i="1"/>
  <c r="B8173" i="1"/>
  <c r="C8173" i="1"/>
  <c r="D8173" i="1"/>
  <c r="A8174" i="1"/>
  <c r="B8174" i="1"/>
  <c r="C8174" i="1"/>
  <c r="D8174" i="1"/>
  <c r="A8175" i="1"/>
  <c r="B8175" i="1"/>
  <c r="C8175" i="1"/>
  <c r="D8175" i="1"/>
  <c r="A8176" i="1"/>
  <c r="B8176" i="1"/>
  <c r="C8176" i="1"/>
  <c r="D8176" i="1"/>
  <c r="A8177" i="1"/>
  <c r="B8177" i="1"/>
  <c r="C8177" i="1"/>
  <c r="D8177" i="1"/>
  <c r="A8178" i="1"/>
  <c r="B8178" i="1"/>
  <c r="C8178" i="1"/>
  <c r="D8178" i="1"/>
  <c r="A8179" i="1"/>
  <c r="B8179" i="1"/>
  <c r="C8179" i="1"/>
  <c r="D8179" i="1"/>
  <c r="A8180" i="1"/>
  <c r="B8180" i="1"/>
  <c r="C8180" i="1"/>
  <c r="D8180" i="1"/>
  <c r="A8181" i="1"/>
  <c r="B8181" i="1"/>
  <c r="C8181" i="1"/>
  <c r="D8181" i="1"/>
  <c r="A8182" i="1"/>
  <c r="B8182" i="1"/>
  <c r="C8182" i="1"/>
  <c r="A8183" i="1"/>
  <c r="B8183" i="1"/>
  <c r="C8183" i="1"/>
  <c r="D8183" i="1"/>
  <c r="A8184" i="1"/>
  <c r="B8184" i="1"/>
  <c r="C8184" i="1"/>
  <c r="D8184" i="1"/>
  <c r="A8185" i="1"/>
  <c r="B8185" i="1"/>
  <c r="C8185" i="1"/>
  <c r="D8185" i="1"/>
  <c r="A8186" i="1"/>
  <c r="B8186" i="1"/>
  <c r="C8186" i="1"/>
  <c r="D8186" i="1"/>
  <c r="A8187" i="1"/>
  <c r="B8187" i="1"/>
  <c r="C8187" i="1"/>
  <c r="D8187" i="1"/>
  <c r="A8188" i="1"/>
  <c r="B8188" i="1"/>
  <c r="C8188" i="1"/>
  <c r="D8188" i="1"/>
  <c r="A8189" i="1"/>
  <c r="B8189" i="1"/>
  <c r="C8189" i="1"/>
  <c r="D8189" i="1"/>
  <c r="A8190" i="1"/>
  <c r="B8190" i="1"/>
  <c r="C8190" i="1"/>
  <c r="D8190" i="1"/>
  <c r="A8191" i="1"/>
  <c r="B8191" i="1"/>
  <c r="C8191" i="1"/>
  <c r="D8191" i="1"/>
  <c r="A8192" i="1"/>
  <c r="B8192" i="1"/>
  <c r="C8192" i="1"/>
  <c r="D8192" i="1"/>
  <c r="A8193" i="1"/>
  <c r="B8193" i="1"/>
  <c r="C8193" i="1"/>
  <c r="D8193" i="1"/>
  <c r="A8194" i="1"/>
  <c r="B8194" i="1"/>
  <c r="C8194" i="1"/>
  <c r="D8194" i="1"/>
  <c r="A8195" i="1"/>
  <c r="B8195" i="1"/>
  <c r="C8195" i="1"/>
  <c r="D8195" i="1"/>
  <c r="A8196" i="1"/>
  <c r="B8196" i="1"/>
  <c r="C8196" i="1"/>
  <c r="D8196" i="1"/>
  <c r="A8197" i="1"/>
  <c r="B8197" i="1"/>
  <c r="C8197" i="1"/>
  <c r="D8197" i="1"/>
  <c r="A8198" i="1"/>
  <c r="B8198" i="1"/>
  <c r="C8198" i="1"/>
  <c r="D8198" i="1"/>
  <c r="A8199" i="1"/>
  <c r="B8199" i="1"/>
  <c r="C8199" i="1"/>
  <c r="D8199" i="1"/>
  <c r="A8200" i="1"/>
  <c r="B8200" i="1"/>
  <c r="C8200" i="1"/>
  <c r="D8200" i="1"/>
  <c r="A8201" i="1"/>
  <c r="B8201" i="1"/>
  <c r="C8201" i="1"/>
  <c r="D8201" i="1"/>
  <c r="A8202" i="1"/>
  <c r="B8202" i="1"/>
  <c r="C8202" i="1"/>
  <c r="D8202" i="1"/>
  <c r="A8203" i="1"/>
  <c r="B8203" i="1"/>
  <c r="C8203" i="1"/>
  <c r="D8203" i="1"/>
  <c r="A8204" i="1"/>
  <c r="B8204" i="1"/>
  <c r="C8204" i="1"/>
  <c r="D8204" i="1"/>
  <c r="A8205" i="1"/>
  <c r="B8205" i="1"/>
  <c r="C8205" i="1"/>
  <c r="D8205" i="1"/>
  <c r="A8206" i="1"/>
  <c r="B8206" i="1"/>
  <c r="C8206" i="1"/>
  <c r="D8206" i="1"/>
  <c r="A8207" i="1"/>
  <c r="B8207" i="1"/>
  <c r="C8207" i="1"/>
  <c r="D8207" i="1"/>
  <c r="A8208" i="1"/>
  <c r="B8208" i="1"/>
  <c r="C8208" i="1"/>
  <c r="D8208" i="1"/>
  <c r="A8209" i="1"/>
  <c r="B8209" i="1"/>
  <c r="C8209" i="1"/>
  <c r="D8209" i="1"/>
  <c r="A8210" i="1"/>
  <c r="B8210" i="1"/>
  <c r="C8210" i="1"/>
  <c r="D8210" i="1"/>
  <c r="A8211" i="1"/>
  <c r="B8211" i="1"/>
  <c r="C8211" i="1"/>
  <c r="D8211" i="1"/>
  <c r="A8212" i="1"/>
  <c r="B8212" i="1"/>
  <c r="C8212" i="1"/>
  <c r="D8212" i="1"/>
  <c r="A8213" i="1"/>
  <c r="B8213" i="1"/>
  <c r="C8213" i="1"/>
  <c r="D8213" i="1"/>
  <c r="A8214" i="1"/>
  <c r="B8214" i="1"/>
  <c r="C8214" i="1"/>
  <c r="D8214" i="1"/>
  <c r="A8215" i="1"/>
  <c r="B8215" i="1"/>
  <c r="C8215" i="1"/>
  <c r="D8215" i="1"/>
  <c r="A8216" i="1"/>
  <c r="B8216" i="1"/>
  <c r="C8216" i="1"/>
  <c r="D8216" i="1"/>
  <c r="A8217" i="1"/>
  <c r="B8217" i="1"/>
  <c r="C8217" i="1"/>
  <c r="D8217" i="1"/>
  <c r="A8218" i="1"/>
  <c r="B8218" i="1"/>
  <c r="C8218" i="1"/>
  <c r="D8218" i="1"/>
  <c r="A8219" i="1"/>
  <c r="B8219" i="1"/>
  <c r="C8219" i="1"/>
  <c r="D8219" i="1"/>
  <c r="A8220" i="1"/>
  <c r="B8220" i="1"/>
  <c r="C8220" i="1"/>
  <c r="D8220" i="1"/>
  <c r="A8221" i="1"/>
  <c r="B8221" i="1"/>
  <c r="C8221" i="1"/>
  <c r="D8221" i="1"/>
  <c r="A8222" i="1"/>
  <c r="B8222" i="1"/>
  <c r="C8222" i="1"/>
  <c r="D8222" i="1"/>
  <c r="A8223" i="1"/>
  <c r="B8223" i="1"/>
  <c r="C8223" i="1"/>
  <c r="D8223" i="1"/>
  <c r="A8224" i="1"/>
  <c r="B8224" i="1"/>
  <c r="C8224" i="1"/>
  <c r="D8224" i="1"/>
  <c r="A8225" i="1"/>
  <c r="B8225" i="1"/>
  <c r="C8225" i="1"/>
  <c r="D8225" i="1"/>
  <c r="A8226" i="1"/>
  <c r="B8226" i="1"/>
  <c r="C8226" i="1"/>
  <c r="D8226" i="1"/>
  <c r="A8227" i="1"/>
  <c r="B8227" i="1"/>
  <c r="C8227" i="1"/>
  <c r="D8227" i="1"/>
  <c r="A8228" i="1"/>
  <c r="B8228" i="1"/>
  <c r="C8228" i="1"/>
  <c r="D8228" i="1"/>
  <c r="A8229" i="1"/>
  <c r="B8229" i="1"/>
  <c r="C8229" i="1"/>
  <c r="D8229" i="1"/>
  <c r="A8230" i="1"/>
  <c r="B8230" i="1"/>
  <c r="C8230" i="1"/>
  <c r="D8230" i="1"/>
  <c r="A8231" i="1"/>
  <c r="B8231" i="1"/>
  <c r="C8231" i="1"/>
  <c r="D8231" i="1"/>
  <c r="A8232" i="1"/>
  <c r="B8232" i="1"/>
  <c r="C8232" i="1"/>
  <c r="D8232" i="1"/>
  <c r="A8233" i="1"/>
  <c r="B8233" i="1"/>
  <c r="C8233" i="1"/>
  <c r="D8233" i="1"/>
  <c r="A8234" i="1"/>
  <c r="B8234" i="1"/>
  <c r="C8234" i="1"/>
  <c r="D8234" i="1"/>
  <c r="A8235" i="1"/>
  <c r="B8235" i="1"/>
  <c r="C8235" i="1"/>
  <c r="D8235" i="1"/>
  <c r="A8236" i="1"/>
  <c r="B8236" i="1"/>
  <c r="C8236" i="1"/>
  <c r="D8236" i="1"/>
  <c r="A8237" i="1"/>
  <c r="B8237" i="1"/>
  <c r="C8237" i="1"/>
  <c r="D8237" i="1"/>
  <c r="A8238" i="1"/>
  <c r="B8238" i="1"/>
  <c r="C8238" i="1"/>
  <c r="D8238" i="1"/>
  <c r="A8239" i="1"/>
  <c r="B8239" i="1"/>
  <c r="C8239" i="1"/>
  <c r="D8239" i="1"/>
  <c r="A8240" i="1"/>
  <c r="B8240" i="1"/>
  <c r="C8240" i="1"/>
  <c r="D8240" i="1"/>
  <c r="A8241" i="1"/>
  <c r="B8241" i="1"/>
  <c r="C8241" i="1"/>
  <c r="D8241" i="1"/>
  <c r="A8242" i="1"/>
  <c r="B8242" i="1"/>
  <c r="C8242" i="1"/>
  <c r="D8242" i="1"/>
  <c r="A8243" i="1"/>
  <c r="B8243" i="1"/>
  <c r="C8243" i="1"/>
  <c r="D8243" i="1"/>
  <c r="A8244" i="1"/>
  <c r="B8244" i="1"/>
  <c r="C8244" i="1"/>
  <c r="D8244" i="1"/>
  <c r="A8245" i="1"/>
  <c r="B8245" i="1"/>
  <c r="C8245" i="1"/>
  <c r="D8245" i="1"/>
  <c r="A8246" i="1"/>
  <c r="B8246" i="1"/>
  <c r="C8246" i="1"/>
  <c r="D8246" i="1"/>
  <c r="A8247" i="1"/>
  <c r="B8247" i="1"/>
  <c r="C8247" i="1"/>
  <c r="D8247" i="1"/>
  <c r="A8248" i="1"/>
  <c r="B8248" i="1"/>
  <c r="C8248" i="1"/>
  <c r="D8248" i="1"/>
  <c r="A8249" i="1"/>
  <c r="B8249" i="1"/>
  <c r="C8249" i="1"/>
  <c r="D8249" i="1"/>
  <c r="A8250" i="1"/>
  <c r="B8250" i="1"/>
  <c r="C8250" i="1"/>
  <c r="D8250" i="1"/>
  <c r="A8251" i="1"/>
  <c r="B8251" i="1"/>
  <c r="C8251" i="1"/>
  <c r="D8251" i="1"/>
  <c r="A8252" i="1"/>
  <c r="B8252" i="1"/>
  <c r="C8252" i="1"/>
  <c r="D8252" i="1"/>
  <c r="A8253" i="1"/>
  <c r="B8253" i="1"/>
  <c r="C8253" i="1"/>
  <c r="D8253" i="1"/>
  <c r="A8254" i="1"/>
  <c r="B8254" i="1"/>
  <c r="C8254" i="1"/>
  <c r="D8254" i="1"/>
  <c r="A8255" i="1"/>
  <c r="B8255" i="1"/>
  <c r="C8255" i="1"/>
  <c r="D8255" i="1"/>
  <c r="A8256" i="1"/>
  <c r="B8256" i="1"/>
  <c r="C8256" i="1"/>
  <c r="D8256" i="1"/>
  <c r="A8257" i="1"/>
  <c r="B8257" i="1"/>
  <c r="C8257" i="1"/>
  <c r="D8257" i="1"/>
  <c r="A8258" i="1"/>
  <c r="B8258" i="1"/>
  <c r="C8258" i="1"/>
  <c r="D8258" i="1"/>
  <c r="A8259" i="1"/>
  <c r="B8259" i="1"/>
  <c r="C8259" i="1"/>
  <c r="D8259" i="1"/>
  <c r="A8260" i="1"/>
  <c r="B8260" i="1"/>
  <c r="C8260" i="1"/>
  <c r="A8261" i="1"/>
  <c r="B8261" i="1"/>
  <c r="C8261" i="1"/>
  <c r="D8261" i="1"/>
  <c r="A8262" i="1"/>
  <c r="B8262" i="1"/>
  <c r="C8262" i="1"/>
  <c r="D8262" i="1"/>
  <c r="A8263" i="1"/>
  <c r="B8263" i="1"/>
  <c r="C8263" i="1"/>
  <c r="D8263" i="1"/>
  <c r="A8264" i="1"/>
  <c r="B8264" i="1"/>
  <c r="C8264" i="1"/>
  <c r="D8264" i="1"/>
  <c r="A8265" i="1"/>
  <c r="B8265" i="1"/>
  <c r="C8265" i="1"/>
  <c r="D8265" i="1"/>
  <c r="A8266" i="1"/>
  <c r="B8266" i="1"/>
  <c r="C8266" i="1"/>
  <c r="D8266" i="1"/>
  <c r="A8267" i="1"/>
  <c r="B8267" i="1"/>
  <c r="C8267" i="1"/>
  <c r="D8267" i="1"/>
  <c r="A8268" i="1"/>
  <c r="B8268" i="1"/>
  <c r="C8268" i="1"/>
  <c r="D8268" i="1"/>
  <c r="A8269" i="1"/>
  <c r="B8269" i="1"/>
  <c r="C8269" i="1"/>
  <c r="D8269" i="1"/>
  <c r="A8270" i="1"/>
  <c r="B8270" i="1"/>
  <c r="C8270" i="1"/>
  <c r="D8270" i="1"/>
  <c r="A8271" i="1"/>
  <c r="B8271" i="1"/>
  <c r="C8271" i="1"/>
  <c r="D8271" i="1"/>
  <c r="A8272" i="1"/>
  <c r="B8272" i="1"/>
  <c r="C8272" i="1"/>
  <c r="D8272" i="1"/>
  <c r="A8273" i="1"/>
  <c r="B8273" i="1"/>
  <c r="C8273" i="1"/>
  <c r="D8273" i="1"/>
  <c r="A8274" i="1"/>
  <c r="B8274" i="1"/>
  <c r="C8274" i="1"/>
  <c r="D8274" i="1"/>
  <c r="A8275" i="1"/>
  <c r="B8275" i="1"/>
  <c r="C8275" i="1"/>
  <c r="D8275" i="1"/>
  <c r="A8276" i="1"/>
  <c r="B8276" i="1"/>
  <c r="C8276" i="1"/>
  <c r="D8276" i="1"/>
  <c r="A8277" i="1"/>
  <c r="B8277" i="1"/>
  <c r="C8277" i="1"/>
  <c r="D8277" i="1"/>
  <c r="A8278" i="1"/>
  <c r="B8278" i="1"/>
  <c r="C8278" i="1"/>
  <c r="D8278" i="1"/>
  <c r="A8279" i="1"/>
  <c r="B8279" i="1"/>
  <c r="C8279" i="1"/>
  <c r="D8279" i="1"/>
  <c r="A8280" i="1"/>
  <c r="B8280" i="1"/>
  <c r="C8280" i="1"/>
  <c r="D8280" i="1"/>
  <c r="A8281" i="1"/>
  <c r="B8281" i="1"/>
  <c r="C8281" i="1"/>
  <c r="A8282" i="1"/>
  <c r="B8282" i="1"/>
  <c r="C8282" i="1"/>
  <c r="D8282" i="1"/>
  <c r="A8283" i="1"/>
  <c r="B8283" i="1"/>
  <c r="C8283" i="1"/>
  <c r="D8283" i="1"/>
  <c r="A8284" i="1"/>
  <c r="B8284" i="1"/>
  <c r="C8284" i="1"/>
  <c r="D8284" i="1"/>
  <c r="A8285" i="1"/>
  <c r="B8285" i="1"/>
  <c r="C8285" i="1"/>
  <c r="D8285" i="1"/>
  <c r="A8286" i="1"/>
  <c r="B8286" i="1"/>
  <c r="C8286" i="1"/>
  <c r="D8286" i="1"/>
  <c r="A8287" i="1"/>
  <c r="B8287" i="1"/>
  <c r="C8287" i="1"/>
  <c r="D8287" i="1"/>
  <c r="A8288" i="1"/>
  <c r="B8288" i="1"/>
  <c r="C8288" i="1"/>
  <c r="D8288" i="1"/>
  <c r="A8289" i="1"/>
  <c r="B8289" i="1"/>
  <c r="C8289" i="1"/>
  <c r="D8289" i="1"/>
  <c r="A8290" i="1"/>
  <c r="B8290" i="1"/>
  <c r="C8290" i="1"/>
  <c r="D8290" i="1"/>
  <c r="A8291" i="1"/>
  <c r="B8291" i="1"/>
  <c r="C8291" i="1"/>
  <c r="D8291" i="1"/>
  <c r="A8292" i="1"/>
  <c r="B8292" i="1"/>
  <c r="C8292" i="1"/>
  <c r="D8292" i="1"/>
  <c r="A8293" i="1"/>
  <c r="B8293" i="1"/>
  <c r="C8293" i="1"/>
  <c r="D8293" i="1"/>
  <c r="A8294" i="1"/>
  <c r="B8294" i="1"/>
  <c r="C8294" i="1"/>
  <c r="D8294" i="1"/>
  <c r="A8295" i="1"/>
  <c r="B8295" i="1"/>
  <c r="C8295" i="1"/>
  <c r="D8295" i="1"/>
  <c r="A8296" i="1"/>
  <c r="B8296" i="1"/>
  <c r="C8296" i="1"/>
  <c r="D8296" i="1"/>
  <c r="A8297" i="1"/>
  <c r="B8297" i="1"/>
  <c r="C8297" i="1"/>
  <c r="D8297" i="1"/>
  <c r="A8298" i="1"/>
  <c r="B8298" i="1"/>
  <c r="C8298" i="1"/>
  <c r="D8298" i="1"/>
  <c r="A8299" i="1"/>
  <c r="B8299" i="1"/>
  <c r="C8299" i="1"/>
  <c r="D8299" i="1"/>
  <c r="A8300" i="1"/>
  <c r="B8300" i="1"/>
  <c r="C8300" i="1"/>
  <c r="D8300" i="1"/>
  <c r="A8301" i="1"/>
  <c r="B8301" i="1"/>
  <c r="C8301" i="1"/>
  <c r="D8301" i="1"/>
  <c r="A8302" i="1"/>
  <c r="B8302" i="1"/>
  <c r="C8302" i="1"/>
  <c r="D8302" i="1"/>
  <c r="A8303" i="1"/>
  <c r="B8303" i="1"/>
  <c r="C8303" i="1"/>
  <c r="D8303" i="1"/>
  <c r="A8304" i="1"/>
  <c r="B8304" i="1"/>
  <c r="C8304" i="1"/>
  <c r="D8304" i="1"/>
  <c r="A8305" i="1"/>
  <c r="B8305" i="1"/>
  <c r="C8305" i="1"/>
  <c r="D8305" i="1"/>
  <c r="A8306" i="1"/>
  <c r="B8306" i="1"/>
  <c r="C8306" i="1"/>
  <c r="D8306" i="1"/>
  <c r="A8307" i="1"/>
  <c r="B8307" i="1"/>
  <c r="C8307" i="1"/>
  <c r="D8307" i="1"/>
  <c r="A8308" i="1"/>
  <c r="B8308" i="1"/>
  <c r="C8308" i="1"/>
  <c r="D8308" i="1"/>
  <c r="A8309" i="1"/>
  <c r="B8309" i="1"/>
  <c r="C8309" i="1"/>
  <c r="D8309" i="1"/>
  <c r="A8310" i="1"/>
  <c r="B8310" i="1"/>
  <c r="C8310" i="1"/>
  <c r="D8310" i="1"/>
  <c r="A8311" i="1"/>
  <c r="B8311" i="1"/>
  <c r="C8311" i="1"/>
  <c r="D8311" i="1"/>
  <c r="A8312" i="1"/>
  <c r="B8312" i="1"/>
  <c r="C8312" i="1"/>
  <c r="D8312" i="1"/>
  <c r="A8313" i="1"/>
  <c r="B8313" i="1"/>
  <c r="C8313" i="1"/>
  <c r="D8313" i="1"/>
  <c r="A8314" i="1"/>
  <c r="B8314" i="1"/>
  <c r="C8314" i="1"/>
  <c r="D8314" i="1"/>
  <c r="A8315" i="1"/>
  <c r="B8315" i="1"/>
  <c r="C8315" i="1"/>
  <c r="D8315" i="1"/>
  <c r="A8316" i="1"/>
  <c r="B8316" i="1"/>
  <c r="C8316" i="1"/>
  <c r="D8316" i="1"/>
  <c r="A8317" i="1"/>
  <c r="B8317" i="1"/>
  <c r="C8317" i="1"/>
  <c r="D8317" i="1"/>
  <c r="A8318" i="1"/>
  <c r="B8318" i="1"/>
  <c r="C8318" i="1"/>
  <c r="D8318" i="1"/>
  <c r="A8319" i="1"/>
  <c r="B8319" i="1"/>
  <c r="C8319" i="1"/>
  <c r="D8319" i="1"/>
  <c r="A8320" i="1"/>
  <c r="B8320" i="1"/>
  <c r="C8320" i="1"/>
  <c r="D8320" i="1"/>
  <c r="A8321" i="1"/>
  <c r="B8321" i="1"/>
  <c r="C8321" i="1"/>
  <c r="D8321" i="1"/>
  <c r="A8322" i="1"/>
  <c r="B8322" i="1"/>
  <c r="C8322" i="1"/>
  <c r="D8322" i="1"/>
  <c r="A8323" i="1"/>
  <c r="B8323" i="1"/>
  <c r="C8323" i="1"/>
  <c r="D8323" i="1"/>
  <c r="A8324" i="1"/>
  <c r="B8324" i="1"/>
  <c r="C8324" i="1"/>
  <c r="D8324" i="1"/>
  <c r="A8325" i="1"/>
  <c r="B8325" i="1"/>
  <c r="C8325" i="1"/>
  <c r="D8325" i="1"/>
  <c r="A8326" i="1"/>
  <c r="B8326" i="1"/>
  <c r="C8326" i="1"/>
  <c r="D8326" i="1"/>
  <c r="A8327" i="1"/>
  <c r="B8327" i="1"/>
  <c r="C8327" i="1"/>
  <c r="D8327" i="1"/>
  <c r="A8328" i="1"/>
  <c r="B8328" i="1"/>
  <c r="C8328" i="1"/>
  <c r="D8328" i="1"/>
  <c r="A8329" i="1"/>
  <c r="B8329" i="1"/>
  <c r="C8329" i="1"/>
  <c r="D8329" i="1"/>
  <c r="A8330" i="1"/>
  <c r="B8330" i="1"/>
  <c r="C8330" i="1"/>
  <c r="D8330" i="1"/>
  <c r="A8331" i="1"/>
  <c r="B8331" i="1"/>
  <c r="C8331" i="1"/>
  <c r="D8331" i="1"/>
  <c r="A8332" i="1"/>
  <c r="B8332" i="1"/>
  <c r="C8332" i="1"/>
  <c r="D8332" i="1"/>
  <c r="A8333" i="1"/>
  <c r="B8333" i="1"/>
  <c r="C8333" i="1"/>
  <c r="D8333" i="1"/>
  <c r="A8334" i="1"/>
  <c r="B8334" i="1"/>
  <c r="C8334" i="1"/>
  <c r="D8334" i="1"/>
  <c r="A8335" i="1"/>
  <c r="B8335" i="1"/>
  <c r="C8335" i="1"/>
  <c r="D8335" i="1"/>
  <c r="A8336" i="1"/>
  <c r="B8336" i="1"/>
  <c r="C8336" i="1"/>
  <c r="D8336" i="1"/>
  <c r="A8337" i="1"/>
  <c r="B8337" i="1"/>
  <c r="C8337" i="1"/>
  <c r="D8337" i="1"/>
  <c r="A8338" i="1"/>
  <c r="B8338" i="1"/>
  <c r="C8338" i="1"/>
  <c r="D8338" i="1"/>
  <c r="A8339" i="1"/>
  <c r="B8339" i="1"/>
  <c r="C8339" i="1"/>
  <c r="D8339" i="1"/>
  <c r="A8340" i="1"/>
  <c r="B8340" i="1"/>
  <c r="C8340" i="1"/>
  <c r="D8340" i="1"/>
  <c r="A8341" i="1"/>
  <c r="B8341" i="1"/>
  <c r="C8341" i="1"/>
  <c r="D8341" i="1"/>
  <c r="A8342" i="1"/>
  <c r="B8342" i="1"/>
  <c r="C8342" i="1"/>
  <c r="D8342" i="1"/>
  <c r="A8343" i="1"/>
  <c r="B8343" i="1"/>
  <c r="C8343" i="1"/>
  <c r="D8343" i="1"/>
  <c r="A8344" i="1"/>
  <c r="B8344" i="1"/>
  <c r="C8344" i="1"/>
  <c r="D8344" i="1"/>
  <c r="A8345" i="1"/>
  <c r="B8345" i="1"/>
  <c r="C8345" i="1"/>
  <c r="D8345" i="1"/>
  <c r="A8346" i="1"/>
  <c r="B8346" i="1"/>
  <c r="C8346" i="1"/>
  <c r="D8346" i="1"/>
  <c r="A8347" i="1"/>
  <c r="B8347" i="1"/>
  <c r="C8347" i="1"/>
  <c r="D8347" i="1"/>
  <c r="A8348" i="1"/>
  <c r="B8348" i="1"/>
  <c r="C8348" i="1"/>
  <c r="D8348" i="1"/>
  <c r="A8349" i="1"/>
  <c r="B8349" i="1"/>
  <c r="C8349" i="1"/>
  <c r="D8349" i="1"/>
  <c r="A8350" i="1"/>
  <c r="B8350" i="1"/>
  <c r="C8350" i="1"/>
  <c r="D8350" i="1"/>
  <c r="A8351" i="1"/>
  <c r="B8351" i="1"/>
  <c r="C8351" i="1"/>
  <c r="D8351" i="1"/>
  <c r="A8352" i="1"/>
  <c r="B8352" i="1"/>
  <c r="C8352" i="1"/>
  <c r="D8352" i="1"/>
  <c r="A8353" i="1"/>
  <c r="B8353" i="1"/>
  <c r="C8353" i="1"/>
  <c r="D8353" i="1"/>
  <c r="A8354" i="1"/>
  <c r="B8354" i="1"/>
  <c r="C8354" i="1"/>
  <c r="D8354" i="1"/>
  <c r="A8355" i="1"/>
  <c r="B8355" i="1"/>
  <c r="C8355" i="1"/>
  <c r="D8355" i="1"/>
  <c r="A8356" i="1"/>
  <c r="B8356" i="1"/>
  <c r="C8356" i="1"/>
  <c r="D8356" i="1"/>
  <c r="A8357" i="1"/>
  <c r="B8357" i="1"/>
  <c r="C8357" i="1"/>
  <c r="D8357" i="1"/>
  <c r="A8358" i="1"/>
  <c r="B8358" i="1"/>
  <c r="C8358" i="1"/>
  <c r="D8358" i="1"/>
  <c r="A8359" i="1"/>
  <c r="B8359" i="1"/>
  <c r="C8359" i="1"/>
  <c r="D8359" i="1"/>
  <c r="A8360" i="1"/>
  <c r="B8360" i="1"/>
  <c r="C8360" i="1"/>
  <c r="D8360" i="1"/>
  <c r="A8361" i="1"/>
  <c r="B8361" i="1"/>
  <c r="C8361" i="1"/>
  <c r="D8361" i="1"/>
  <c r="A8362" i="1"/>
  <c r="B8362" i="1"/>
  <c r="C8362" i="1"/>
  <c r="D8362" i="1"/>
  <c r="A8363" i="1"/>
  <c r="B8363" i="1"/>
  <c r="C8363" i="1"/>
  <c r="D8363" i="1"/>
  <c r="A8364" i="1"/>
  <c r="B8364" i="1"/>
  <c r="C8364" i="1"/>
  <c r="D8364" i="1"/>
  <c r="A8365" i="1"/>
  <c r="B8365" i="1"/>
  <c r="C8365" i="1"/>
  <c r="D8365" i="1"/>
  <c r="A8366" i="1"/>
  <c r="B8366" i="1"/>
  <c r="C8366" i="1"/>
  <c r="D8366" i="1"/>
  <c r="A8367" i="1"/>
  <c r="B8367" i="1"/>
  <c r="C8367" i="1"/>
  <c r="D8367" i="1"/>
  <c r="A8368" i="1"/>
  <c r="B8368" i="1"/>
  <c r="C8368" i="1"/>
  <c r="D8368" i="1"/>
  <c r="A8369" i="1"/>
  <c r="B8369" i="1"/>
  <c r="C8369" i="1"/>
  <c r="D8369" i="1"/>
  <c r="A8370" i="1"/>
  <c r="B8370" i="1"/>
  <c r="C8370" i="1"/>
  <c r="D8370" i="1"/>
  <c r="A8371" i="1"/>
  <c r="B8371" i="1"/>
  <c r="C8371" i="1"/>
  <c r="D8371" i="1"/>
  <c r="A8372" i="1"/>
  <c r="B8372" i="1"/>
  <c r="C8372" i="1"/>
  <c r="D8372" i="1"/>
  <c r="A8373" i="1"/>
  <c r="B8373" i="1"/>
  <c r="C8373" i="1"/>
  <c r="D8373" i="1"/>
  <c r="A8374" i="1"/>
  <c r="B8374" i="1"/>
  <c r="C8374" i="1"/>
  <c r="D8374" i="1"/>
  <c r="A8375" i="1"/>
  <c r="B8375" i="1"/>
  <c r="C8375" i="1"/>
  <c r="D8375" i="1"/>
  <c r="A8376" i="1"/>
  <c r="B8376" i="1"/>
  <c r="C8376" i="1"/>
  <c r="D8376" i="1"/>
  <c r="A8377" i="1"/>
  <c r="B8377" i="1"/>
  <c r="C8377" i="1"/>
  <c r="D8377" i="1"/>
  <c r="A8378" i="1"/>
  <c r="B8378" i="1"/>
  <c r="C8378" i="1"/>
  <c r="D8378" i="1"/>
  <c r="A8379" i="1"/>
  <c r="B8379" i="1"/>
  <c r="C8379" i="1"/>
  <c r="D8379" i="1"/>
  <c r="A8380" i="1"/>
  <c r="B8380" i="1"/>
  <c r="C8380" i="1"/>
  <c r="D8380" i="1"/>
  <c r="A8381" i="1"/>
  <c r="B8381" i="1"/>
  <c r="C8381" i="1"/>
  <c r="D8381" i="1"/>
  <c r="A8382" i="1"/>
  <c r="B8382" i="1"/>
  <c r="C8382" i="1"/>
  <c r="D8382" i="1"/>
  <c r="A8383" i="1"/>
  <c r="B8383" i="1"/>
  <c r="C8383" i="1"/>
  <c r="D8383" i="1"/>
  <c r="A8384" i="1"/>
  <c r="B8384" i="1"/>
  <c r="C8384" i="1"/>
  <c r="D8384" i="1"/>
  <c r="A8385" i="1"/>
  <c r="B8385" i="1"/>
  <c r="C8385" i="1"/>
  <c r="D8385" i="1"/>
  <c r="A8386" i="1"/>
  <c r="B8386" i="1"/>
  <c r="C8386" i="1"/>
  <c r="D8386" i="1"/>
  <c r="A8387" i="1"/>
  <c r="B8387" i="1"/>
  <c r="C8387" i="1"/>
  <c r="D8387" i="1"/>
  <c r="A8388" i="1"/>
  <c r="B8388" i="1"/>
  <c r="C8388" i="1"/>
  <c r="D8388" i="1"/>
  <c r="A8389" i="1"/>
  <c r="B8389" i="1"/>
  <c r="C8389" i="1"/>
  <c r="D8389" i="1"/>
  <c r="A8390" i="1"/>
  <c r="B8390" i="1"/>
  <c r="C8390" i="1"/>
  <c r="D8390" i="1"/>
  <c r="A8391" i="1"/>
  <c r="B8391" i="1"/>
  <c r="C8391" i="1"/>
  <c r="D8391" i="1"/>
  <c r="A8392" i="1"/>
  <c r="B8392" i="1"/>
  <c r="C8392" i="1"/>
  <c r="D8392" i="1"/>
  <c r="A8393" i="1"/>
  <c r="B8393" i="1"/>
  <c r="C8393" i="1"/>
  <c r="D8393" i="1"/>
  <c r="A8394" i="1"/>
  <c r="B8394" i="1"/>
  <c r="C8394" i="1"/>
  <c r="D8394" i="1"/>
  <c r="A8395" i="1"/>
  <c r="B8395" i="1"/>
  <c r="C8395" i="1"/>
  <c r="D8395" i="1"/>
  <c r="A8396" i="1"/>
  <c r="B8396" i="1"/>
  <c r="C8396" i="1"/>
  <c r="D8396" i="1"/>
  <c r="A8397" i="1"/>
  <c r="B8397" i="1"/>
  <c r="C8397" i="1"/>
  <c r="D8397" i="1"/>
  <c r="A8398" i="1"/>
  <c r="B8398" i="1"/>
  <c r="C8398" i="1"/>
  <c r="D8398" i="1"/>
  <c r="A8399" i="1"/>
  <c r="B8399" i="1"/>
  <c r="C8399" i="1"/>
  <c r="D8399" i="1"/>
  <c r="A8400" i="1"/>
  <c r="B8400" i="1"/>
  <c r="C8400" i="1"/>
  <c r="D8400" i="1"/>
  <c r="A8401" i="1"/>
  <c r="B8401" i="1"/>
  <c r="C8401" i="1"/>
  <c r="D8401" i="1"/>
  <c r="A8402" i="1"/>
  <c r="B8402" i="1"/>
  <c r="C8402" i="1"/>
  <c r="D8402" i="1"/>
  <c r="A8403" i="1"/>
  <c r="B8403" i="1"/>
  <c r="C8403" i="1"/>
  <c r="D8403" i="1"/>
  <c r="A8404" i="1"/>
  <c r="B8404" i="1"/>
  <c r="C8404" i="1"/>
  <c r="D8404" i="1"/>
  <c r="A8405" i="1"/>
  <c r="B8405" i="1"/>
  <c r="C8405" i="1"/>
  <c r="D8405" i="1"/>
  <c r="A8406" i="1"/>
  <c r="B8406" i="1"/>
  <c r="C8406" i="1"/>
  <c r="D8406" i="1"/>
  <c r="A8407" i="1"/>
  <c r="B8407" i="1"/>
  <c r="C8407" i="1"/>
  <c r="D8407" i="1"/>
  <c r="A8408" i="1"/>
  <c r="B8408" i="1"/>
  <c r="C8408" i="1"/>
  <c r="D8408" i="1"/>
  <c r="A8409" i="1"/>
  <c r="B8409" i="1"/>
  <c r="C8409" i="1"/>
  <c r="D8409" i="1"/>
  <c r="A8410" i="1"/>
  <c r="B8410" i="1"/>
  <c r="C8410" i="1"/>
  <c r="D8410" i="1"/>
  <c r="A8411" i="1"/>
  <c r="B8411" i="1"/>
  <c r="C8411" i="1"/>
  <c r="D8411" i="1"/>
  <c r="A8412" i="1"/>
  <c r="B8412" i="1"/>
  <c r="C8412" i="1"/>
  <c r="D8412" i="1"/>
  <c r="A8413" i="1"/>
  <c r="B8413" i="1"/>
  <c r="C8413" i="1"/>
  <c r="D8413" i="1"/>
  <c r="A8414" i="1"/>
  <c r="B8414" i="1"/>
  <c r="C8414" i="1"/>
  <c r="D8414" i="1"/>
  <c r="A8415" i="1"/>
  <c r="B8415" i="1"/>
  <c r="C8415" i="1"/>
  <c r="D8415" i="1"/>
  <c r="A8416" i="1"/>
  <c r="B8416" i="1"/>
  <c r="C8416" i="1"/>
  <c r="D8416" i="1"/>
  <c r="A8417" i="1"/>
  <c r="B8417" i="1"/>
  <c r="C8417" i="1"/>
  <c r="D8417" i="1"/>
  <c r="A8418" i="1"/>
  <c r="B8418" i="1"/>
  <c r="C8418" i="1"/>
  <c r="D8418" i="1"/>
  <c r="A8419" i="1"/>
  <c r="B8419" i="1"/>
  <c r="C8419" i="1"/>
  <c r="D8419" i="1"/>
  <c r="A8420" i="1"/>
  <c r="B8420" i="1"/>
  <c r="C8420" i="1"/>
  <c r="D8420" i="1"/>
  <c r="A8421" i="1"/>
  <c r="B8421" i="1"/>
  <c r="C8421" i="1"/>
  <c r="D8421" i="1"/>
  <c r="A8422" i="1"/>
  <c r="B8422" i="1"/>
  <c r="C8422" i="1"/>
  <c r="D8422" i="1"/>
  <c r="A8423" i="1"/>
  <c r="B8423" i="1"/>
  <c r="C8423" i="1"/>
  <c r="D8423" i="1"/>
  <c r="A8424" i="1"/>
  <c r="B8424" i="1"/>
  <c r="C8424" i="1"/>
  <c r="D8424" i="1"/>
  <c r="A8425" i="1"/>
  <c r="B8425" i="1"/>
  <c r="C8425" i="1"/>
  <c r="D8425" i="1"/>
  <c r="A8426" i="1"/>
  <c r="B8426" i="1"/>
  <c r="C8426" i="1"/>
  <c r="D8426" i="1"/>
  <c r="A8427" i="1"/>
  <c r="B8427" i="1"/>
  <c r="C8427" i="1"/>
  <c r="D8427" i="1"/>
  <c r="A8428" i="1"/>
  <c r="B8428" i="1"/>
  <c r="C8428" i="1"/>
  <c r="D8428" i="1"/>
  <c r="A8429" i="1"/>
  <c r="B8429" i="1"/>
  <c r="C8429" i="1"/>
  <c r="D8429" i="1"/>
  <c r="A8430" i="1"/>
  <c r="B8430" i="1"/>
  <c r="C8430" i="1"/>
  <c r="D8430" i="1"/>
  <c r="A8431" i="1"/>
  <c r="B8431" i="1"/>
  <c r="C8431" i="1"/>
  <c r="D8431" i="1"/>
  <c r="A8432" i="1"/>
  <c r="B8432" i="1"/>
  <c r="C8432" i="1"/>
  <c r="D8432" i="1"/>
  <c r="A8433" i="1"/>
  <c r="B8433" i="1"/>
  <c r="C8433" i="1"/>
  <c r="D8433" i="1"/>
  <c r="A8434" i="1"/>
  <c r="B8434" i="1"/>
  <c r="C8434" i="1"/>
  <c r="D8434" i="1"/>
  <c r="A8435" i="1"/>
  <c r="B8435" i="1"/>
  <c r="C8435" i="1"/>
  <c r="D8435" i="1"/>
  <c r="A8436" i="1"/>
  <c r="B8436" i="1"/>
  <c r="C8436" i="1"/>
  <c r="D8436" i="1"/>
  <c r="A8437" i="1"/>
  <c r="B8437" i="1"/>
  <c r="C8437" i="1"/>
  <c r="D8437" i="1"/>
  <c r="A8438" i="1"/>
  <c r="B8438" i="1"/>
  <c r="C8438" i="1"/>
  <c r="D8438" i="1"/>
  <c r="A8439" i="1"/>
  <c r="B8439" i="1"/>
  <c r="C8439" i="1"/>
  <c r="D8439" i="1"/>
  <c r="A8440" i="1"/>
  <c r="B8440" i="1"/>
  <c r="C8440" i="1"/>
  <c r="D8440" i="1"/>
  <c r="A8441" i="1"/>
  <c r="B8441" i="1"/>
  <c r="C8441" i="1"/>
  <c r="D8441" i="1"/>
  <c r="A8442" i="1"/>
  <c r="B8442" i="1"/>
  <c r="C8442" i="1"/>
  <c r="D8442" i="1"/>
  <c r="A8443" i="1"/>
  <c r="B8443" i="1"/>
  <c r="C8443" i="1"/>
  <c r="D8443" i="1"/>
  <c r="A8444" i="1"/>
  <c r="B8444" i="1"/>
  <c r="C8444" i="1"/>
  <c r="D8444" i="1"/>
  <c r="A8445" i="1"/>
  <c r="B8445" i="1"/>
  <c r="C8445" i="1"/>
  <c r="D8445" i="1"/>
  <c r="A8446" i="1"/>
  <c r="B8446" i="1"/>
  <c r="C8446" i="1"/>
  <c r="D8446" i="1"/>
  <c r="A8447" i="1"/>
  <c r="B8447" i="1"/>
  <c r="C8447" i="1"/>
  <c r="D8447" i="1"/>
  <c r="A8448" i="1"/>
  <c r="B8448" i="1"/>
  <c r="C8448" i="1"/>
  <c r="D8448" i="1"/>
  <c r="A8449" i="1"/>
  <c r="B8449" i="1"/>
  <c r="C8449" i="1"/>
  <c r="D8449" i="1"/>
  <c r="A8450" i="1"/>
  <c r="B8450" i="1"/>
  <c r="C8450" i="1"/>
  <c r="D8450" i="1"/>
  <c r="A8451" i="1"/>
  <c r="B8451" i="1"/>
  <c r="C8451" i="1"/>
  <c r="D8451" i="1"/>
  <c r="A8452" i="1"/>
  <c r="B8452" i="1"/>
  <c r="C8452" i="1"/>
  <c r="D8452" i="1"/>
  <c r="A8453" i="1"/>
  <c r="B8453" i="1"/>
  <c r="C8453" i="1"/>
  <c r="D8453" i="1"/>
  <c r="A8454" i="1"/>
  <c r="B8454" i="1"/>
  <c r="C8454" i="1"/>
  <c r="D8454" i="1"/>
  <c r="A8455" i="1"/>
  <c r="B8455" i="1"/>
  <c r="C8455" i="1"/>
  <c r="D8455" i="1"/>
  <c r="A8456" i="1"/>
  <c r="B8456" i="1"/>
  <c r="C8456" i="1"/>
  <c r="D8456" i="1"/>
  <c r="A8457" i="1"/>
  <c r="B8457" i="1"/>
  <c r="C8457" i="1"/>
  <c r="D8457" i="1"/>
  <c r="A8458" i="1"/>
  <c r="B8458" i="1"/>
  <c r="C8458" i="1"/>
  <c r="D8458" i="1"/>
  <c r="A8459" i="1"/>
  <c r="B8459" i="1"/>
  <c r="C8459" i="1"/>
  <c r="D8459" i="1"/>
  <c r="A8460" i="1"/>
  <c r="B8460" i="1"/>
  <c r="C8460" i="1"/>
  <c r="D8460" i="1"/>
  <c r="A8461" i="1"/>
  <c r="B8461" i="1"/>
  <c r="C8461" i="1"/>
  <c r="D8461" i="1"/>
  <c r="A8462" i="1"/>
  <c r="B8462" i="1"/>
  <c r="C8462" i="1"/>
  <c r="D8462" i="1"/>
  <c r="A8463" i="1"/>
  <c r="B8463" i="1"/>
  <c r="C8463" i="1"/>
  <c r="D8463" i="1"/>
  <c r="A8464" i="1"/>
  <c r="B8464" i="1"/>
  <c r="C8464" i="1"/>
  <c r="D8464" i="1"/>
  <c r="A8465" i="1"/>
  <c r="B8465" i="1"/>
  <c r="C8465" i="1"/>
  <c r="D8465" i="1"/>
  <c r="A8466" i="1"/>
  <c r="B8466" i="1"/>
  <c r="C8466" i="1"/>
  <c r="D8466" i="1"/>
  <c r="A8467" i="1"/>
  <c r="B8467" i="1"/>
  <c r="C8467" i="1"/>
  <c r="D8467" i="1"/>
  <c r="A8468" i="1"/>
  <c r="B8468" i="1"/>
  <c r="C8468" i="1"/>
  <c r="D8468" i="1"/>
  <c r="A8469" i="1"/>
  <c r="B8469" i="1"/>
  <c r="C8469" i="1"/>
  <c r="D8469" i="1"/>
  <c r="A8470" i="1"/>
  <c r="B8470" i="1"/>
  <c r="C8470" i="1"/>
  <c r="D8470" i="1"/>
  <c r="A8471" i="1"/>
  <c r="B8471" i="1"/>
  <c r="C8471" i="1"/>
  <c r="D8471" i="1"/>
  <c r="A8472" i="1"/>
  <c r="B8472" i="1"/>
  <c r="C8472" i="1"/>
  <c r="D8472" i="1"/>
  <c r="A8473" i="1"/>
  <c r="B8473" i="1"/>
  <c r="C8473" i="1"/>
  <c r="D8473" i="1"/>
  <c r="A8474" i="1"/>
  <c r="B8474" i="1"/>
  <c r="C8474" i="1"/>
  <c r="D8474" i="1"/>
  <c r="A8475" i="1"/>
  <c r="B8475" i="1"/>
  <c r="C8475" i="1"/>
  <c r="D8475" i="1"/>
  <c r="A8476" i="1"/>
  <c r="B8476" i="1"/>
  <c r="C8476" i="1"/>
  <c r="D8476" i="1"/>
  <c r="A8477" i="1"/>
  <c r="B8477" i="1"/>
  <c r="C8477" i="1"/>
  <c r="D8477" i="1"/>
  <c r="A8478" i="1"/>
  <c r="B8478" i="1"/>
  <c r="C8478" i="1"/>
  <c r="D8478" i="1"/>
  <c r="A8479" i="1"/>
  <c r="B8479" i="1"/>
  <c r="C8479" i="1"/>
  <c r="D8479" i="1"/>
  <c r="A8480" i="1"/>
  <c r="B8480" i="1"/>
  <c r="C8480" i="1"/>
  <c r="D8480" i="1"/>
  <c r="A8481" i="1"/>
  <c r="B8481" i="1"/>
  <c r="C8481" i="1"/>
  <c r="D8481" i="1"/>
  <c r="A8482" i="1"/>
  <c r="B8482" i="1"/>
  <c r="C8482" i="1"/>
  <c r="D8482" i="1"/>
  <c r="A8483" i="1"/>
  <c r="B8483" i="1"/>
  <c r="C8483" i="1"/>
  <c r="D8483" i="1"/>
  <c r="A8484" i="1"/>
  <c r="B8484" i="1"/>
  <c r="C8484" i="1"/>
  <c r="D8484" i="1"/>
  <c r="A8485" i="1"/>
  <c r="B8485" i="1"/>
  <c r="C8485" i="1"/>
  <c r="D8485" i="1"/>
  <c r="A8486" i="1"/>
  <c r="B8486" i="1"/>
  <c r="C8486" i="1"/>
  <c r="D8486" i="1"/>
  <c r="A8487" i="1"/>
  <c r="B8487" i="1"/>
  <c r="C8487" i="1"/>
  <c r="D8487" i="1"/>
  <c r="A8488" i="1"/>
  <c r="B8488" i="1"/>
  <c r="C8488" i="1"/>
  <c r="D8488" i="1"/>
  <c r="A8489" i="1"/>
  <c r="B8489" i="1"/>
  <c r="C8489" i="1"/>
  <c r="D8489" i="1"/>
  <c r="A8490" i="1"/>
  <c r="B8490" i="1"/>
  <c r="C8490" i="1"/>
  <c r="D8490" i="1"/>
  <c r="A8491" i="1"/>
  <c r="B8491" i="1"/>
  <c r="C8491" i="1"/>
  <c r="D8491" i="1"/>
  <c r="A8492" i="1"/>
  <c r="B8492" i="1"/>
  <c r="C8492" i="1"/>
  <c r="D8492" i="1"/>
  <c r="A8493" i="1"/>
  <c r="B8493" i="1"/>
  <c r="C8493" i="1"/>
  <c r="D8493" i="1"/>
  <c r="A8494" i="1"/>
  <c r="B8494" i="1"/>
  <c r="C8494" i="1"/>
  <c r="D8494" i="1"/>
  <c r="A8495" i="1"/>
  <c r="B8495" i="1"/>
  <c r="C8495" i="1"/>
  <c r="D8495" i="1"/>
  <c r="A8496" i="1"/>
  <c r="B8496" i="1"/>
  <c r="C8496" i="1"/>
  <c r="D8496" i="1"/>
  <c r="A8497" i="1"/>
  <c r="B8497" i="1"/>
  <c r="C8497" i="1"/>
  <c r="D8497" i="1"/>
  <c r="A8498" i="1"/>
  <c r="B8498" i="1"/>
  <c r="C8498" i="1"/>
  <c r="D8498" i="1"/>
  <c r="A8499" i="1"/>
  <c r="B8499" i="1"/>
  <c r="C8499" i="1"/>
  <c r="D8499" i="1"/>
  <c r="A8500" i="1"/>
  <c r="B8500" i="1"/>
  <c r="C8500" i="1"/>
  <c r="D8500" i="1"/>
  <c r="A8501" i="1"/>
  <c r="B8501" i="1"/>
  <c r="C8501" i="1"/>
  <c r="D8501" i="1"/>
  <c r="A8502" i="1"/>
  <c r="B8502" i="1"/>
  <c r="C8502" i="1"/>
  <c r="D8502" i="1"/>
  <c r="A8503" i="1"/>
  <c r="B8503" i="1"/>
  <c r="C8503" i="1"/>
  <c r="D8503" i="1"/>
  <c r="A8504" i="1"/>
  <c r="B8504" i="1"/>
  <c r="C8504" i="1"/>
  <c r="D8504" i="1"/>
  <c r="A8505" i="1"/>
  <c r="B8505" i="1"/>
  <c r="C8505" i="1"/>
  <c r="D8505" i="1"/>
  <c r="A8506" i="1"/>
  <c r="B8506" i="1"/>
  <c r="C8506" i="1"/>
  <c r="D8506" i="1"/>
  <c r="A8507" i="1"/>
  <c r="B8507" i="1"/>
  <c r="C8507" i="1"/>
  <c r="D8507" i="1"/>
  <c r="A8508" i="1"/>
  <c r="B8508" i="1"/>
  <c r="C8508" i="1"/>
  <c r="D8508" i="1"/>
  <c r="A8509" i="1"/>
  <c r="B8509" i="1"/>
  <c r="C8509" i="1"/>
  <c r="D8509" i="1"/>
  <c r="A8510" i="1"/>
  <c r="B8510" i="1"/>
  <c r="C8510" i="1"/>
  <c r="D8510" i="1"/>
  <c r="A8511" i="1"/>
  <c r="B8511" i="1"/>
  <c r="C8511" i="1"/>
  <c r="D8511" i="1"/>
  <c r="A8512" i="1"/>
  <c r="B8512" i="1"/>
  <c r="C8512" i="1"/>
  <c r="D8512" i="1"/>
  <c r="A8513" i="1"/>
  <c r="B8513" i="1"/>
  <c r="C8513" i="1"/>
  <c r="D8513" i="1"/>
  <c r="A8514" i="1"/>
  <c r="B8514" i="1"/>
  <c r="C8514" i="1"/>
  <c r="D8514" i="1"/>
  <c r="A8515" i="1"/>
  <c r="B8515" i="1"/>
  <c r="C8515" i="1"/>
  <c r="D8515" i="1"/>
  <c r="A8516" i="1"/>
  <c r="B8516" i="1"/>
  <c r="C8516" i="1"/>
  <c r="D8516" i="1"/>
  <c r="A8517" i="1"/>
  <c r="B8517" i="1"/>
  <c r="C8517" i="1"/>
  <c r="D8517" i="1"/>
  <c r="A8518" i="1"/>
  <c r="B8518" i="1"/>
  <c r="C8518" i="1"/>
  <c r="D8518" i="1"/>
  <c r="A8519" i="1"/>
  <c r="B8519" i="1"/>
  <c r="C8519" i="1"/>
  <c r="D8519" i="1"/>
  <c r="A8520" i="1"/>
  <c r="B8520" i="1"/>
  <c r="C8520" i="1"/>
  <c r="D8520" i="1"/>
  <c r="A8521" i="1"/>
  <c r="B8521" i="1"/>
  <c r="C8521" i="1"/>
  <c r="D8521" i="1"/>
  <c r="A8522" i="1"/>
  <c r="B8522" i="1"/>
  <c r="C8522" i="1"/>
  <c r="D8522" i="1"/>
  <c r="A8523" i="1"/>
  <c r="B8523" i="1"/>
  <c r="C8523" i="1"/>
  <c r="D8523" i="1"/>
  <c r="A8524" i="1"/>
  <c r="B8524" i="1"/>
  <c r="C8524" i="1"/>
  <c r="D8524" i="1"/>
  <c r="A8525" i="1"/>
  <c r="B8525" i="1"/>
  <c r="C8525" i="1"/>
  <c r="D8525" i="1"/>
  <c r="A8526" i="1"/>
  <c r="B8526" i="1"/>
  <c r="C8526" i="1"/>
  <c r="D8526" i="1"/>
  <c r="A8527" i="1"/>
  <c r="B8527" i="1"/>
  <c r="C8527" i="1"/>
  <c r="D8527" i="1"/>
  <c r="A8528" i="1"/>
  <c r="B8528" i="1"/>
  <c r="C8528" i="1"/>
  <c r="D8528" i="1"/>
  <c r="A8529" i="1"/>
  <c r="B8529" i="1"/>
  <c r="C8529" i="1"/>
  <c r="D8529" i="1"/>
  <c r="A8530" i="1"/>
  <c r="B8530" i="1"/>
  <c r="C8530" i="1"/>
  <c r="D8530" i="1"/>
  <c r="A8531" i="1"/>
  <c r="B8531" i="1"/>
  <c r="C8531" i="1"/>
  <c r="D8531" i="1"/>
  <c r="A8532" i="1"/>
  <c r="B8532" i="1"/>
  <c r="C8532" i="1"/>
  <c r="D8532" i="1"/>
  <c r="A8533" i="1"/>
  <c r="B8533" i="1"/>
  <c r="C8533" i="1"/>
  <c r="D8533" i="1"/>
  <c r="A8534" i="1"/>
  <c r="B8534" i="1"/>
  <c r="C8534" i="1"/>
  <c r="A8535" i="1"/>
  <c r="B8535" i="1"/>
  <c r="C8535" i="1"/>
  <c r="D8535" i="1"/>
  <c r="A8536" i="1"/>
  <c r="B8536" i="1"/>
  <c r="C8536" i="1"/>
  <c r="D8536" i="1"/>
  <c r="A8537" i="1"/>
  <c r="B8537" i="1"/>
  <c r="C8537" i="1"/>
  <c r="D8537" i="1"/>
  <c r="A8538" i="1"/>
  <c r="B8538" i="1"/>
  <c r="C8538" i="1"/>
  <c r="D8538" i="1"/>
  <c r="A8539" i="1"/>
  <c r="B8539" i="1"/>
  <c r="C8539" i="1"/>
  <c r="D8539" i="1"/>
  <c r="A8540" i="1"/>
  <c r="B8540" i="1"/>
  <c r="C8540" i="1"/>
  <c r="D8540" i="1"/>
  <c r="A8541" i="1"/>
  <c r="B8541" i="1"/>
  <c r="C8541" i="1"/>
  <c r="D8541" i="1"/>
  <c r="A8542" i="1"/>
  <c r="B8542" i="1"/>
  <c r="C8542" i="1"/>
  <c r="D8542" i="1"/>
  <c r="A8543" i="1"/>
  <c r="B8543" i="1"/>
  <c r="C8543" i="1"/>
  <c r="D8543" i="1"/>
  <c r="A8544" i="1"/>
  <c r="B8544" i="1"/>
  <c r="C8544" i="1"/>
  <c r="D8544" i="1"/>
  <c r="A8545" i="1"/>
  <c r="B8545" i="1"/>
  <c r="C8545" i="1"/>
  <c r="D8545" i="1"/>
  <c r="A8546" i="1"/>
  <c r="B8546" i="1"/>
  <c r="C8546" i="1"/>
  <c r="D8546" i="1"/>
  <c r="A8547" i="1"/>
  <c r="B8547" i="1"/>
  <c r="C8547" i="1"/>
  <c r="D8547" i="1"/>
  <c r="A8548" i="1"/>
  <c r="B8548" i="1"/>
  <c r="C8548" i="1"/>
  <c r="D8548" i="1"/>
  <c r="A8549" i="1"/>
  <c r="B8549" i="1"/>
  <c r="C8549" i="1"/>
  <c r="D8549" i="1"/>
  <c r="A8550" i="1"/>
  <c r="B8550" i="1"/>
  <c r="C8550" i="1"/>
  <c r="D8550" i="1"/>
  <c r="A8551" i="1"/>
  <c r="B8551" i="1"/>
  <c r="C8551" i="1"/>
  <c r="D8551" i="1"/>
  <c r="A8552" i="1"/>
  <c r="B8552" i="1"/>
  <c r="C8552" i="1"/>
  <c r="D8552" i="1"/>
  <c r="A8553" i="1"/>
  <c r="B8553" i="1"/>
  <c r="C8553" i="1"/>
  <c r="D8553" i="1"/>
  <c r="A8554" i="1"/>
  <c r="B8554" i="1"/>
  <c r="C8554" i="1"/>
  <c r="D8554" i="1"/>
  <c r="A8555" i="1"/>
  <c r="B8555" i="1"/>
  <c r="C8555" i="1"/>
  <c r="D8555" i="1"/>
  <c r="A8556" i="1"/>
  <c r="B8556" i="1"/>
  <c r="C8556" i="1"/>
  <c r="D8556" i="1"/>
  <c r="A8557" i="1"/>
  <c r="B8557" i="1"/>
  <c r="C8557" i="1"/>
  <c r="D8557" i="1"/>
  <c r="A8558" i="1"/>
  <c r="B8558" i="1"/>
  <c r="C8558" i="1"/>
  <c r="D8558" i="1"/>
  <c r="A8559" i="1"/>
  <c r="B8559" i="1"/>
  <c r="C8559" i="1"/>
  <c r="D8559" i="1"/>
  <c r="A8560" i="1"/>
  <c r="B8560" i="1"/>
  <c r="C8560" i="1"/>
  <c r="D8560" i="1"/>
  <c r="A8561" i="1"/>
  <c r="B8561" i="1"/>
  <c r="C8561" i="1"/>
  <c r="D8561" i="1"/>
  <c r="A8562" i="1"/>
  <c r="B8562" i="1"/>
  <c r="C8562" i="1"/>
  <c r="D8562" i="1"/>
  <c r="A8563" i="1"/>
  <c r="B8563" i="1"/>
  <c r="C8563" i="1"/>
  <c r="D8563" i="1"/>
  <c r="A8564" i="1"/>
  <c r="B8564" i="1"/>
  <c r="C8564" i="1"/>
  <c r="D8564" i="1"/>
  <c r="A8565" i="1"/>
  <c r="B8565" i="1"/>
  <c r="C8565" i="1"/>
  <c r="D8565" i="1"/>
  <c r="A8566" i="1"/>
  <c r="B8566" i="1"/>
  <c r="C8566" i="1"/>
  <c r="D8566" i="1"/>
  <c r="A8567" i="1"/>
  <c r="B8567" i="1"/>
  <c r="C8567" i="1"/>
  <c r="D8567" i="1"/>
  <c r="A8568" i="1"/>
  <c r="B8568" i="1"/>
  <c r="C8568" i="1"/>
  <c r="D8568" i="1"/>
  <c r="A8569" i="1"/>
  <c r="B8569" i="1"/>
  <c r="C8569" i="1"/>
  <c r="D8569" i="1"/>
  <c r="A8570" i="1"/>
  <c r="B8570" i="1"/>
  <c r="C8570" i="1"/>
  <c r="D8570" i="1"/>
  <c r="A8571" i="1"/>
  <c r="B8571" i="1"/>
  <c r="C8571" i="1"/>
  <c r="D8571" i="1"/>
  <c r="A8572" i="1"/>
  <c r="B8572" i="1"/>
  <c r="C8572" i="1"/>
  <c r="D8572" i="1"/>
  <c r="A8573" i="1"/>
  <c r="B8573" i="1"/>
  <c r="C8573" i="1"/>
  <c r="D8573" i="1"/>
  <c r="A8574" i="1"/>
  <c r="B8574" i="1"/>
  <c r="C8574" i="1"/>
  <c r="D8574" i="1"/>
  <c r="A8575" i="1"/>
  <c r="B8575" i="1"/>
  <c r="C8575" i="1"/>
  <c r="D8575" i="1"/>
  <c r="A8576" i="1"/>
  <c r="B8576" i="1"/>
  <c r="C8576" i="1"/>
  <c r="D8576" i="1"/>
  <c r="A8577" i="1"/>
  <c r="B8577" i="1"/>
  <c r="C8577" i="1"/>
  <c r="D8577" i="1"/>
  <c r="A8578" i="1"/>
  <c r="B8578" i="1"/>
  <c r="C8578" i="1"/>
  <c r="D8578" i="1"/>
  <c r="A8579" i="1"/>
  <c r="B8579" i="1"/>
  <c r="C8579" i="1"/>
  <c r="D8579" i="1"/>
  <c r="A8580" i="1"/>
  <c r="B8580" i="1"/>
  <c r="C8580" i="1"/>
  <c r="D8580" i="1"/>
  <c r="A8581" i="1"/>
  <c r="B8581" i="1"/>
  <c r="C8581" i="1"/>
  <c r="D8581" i="1"/>
  <c r="A8582" i="1"/>
  <c r="B8582" i="1"/>
  <c r="C8582" i="1"/>
  <c r="D8582" i="1"/>
  <c r="A8583" i="1"/>
  <c r="B8583" i="1"/>
  <c r="C8583" i="1"/>
  <c r="D8583" i="1"/>
  <c r="A8584" i="1"/>
  <c r="B8584" i="1"/>
  <c r="C8584" i="1"/>
  <c r="D8584" i="1"/>
  <c r="A8585" i="1"/>
  <c r="B8585" i="1"/>
  <c r="C8585" i="1"/>
  <c r="D8585" i="1"/>
  <c r="A8586" i="1"/>
  <c r="B8586" i="1"/>
  <c r="C8586" i="1"/>
  <c r="D8586" i="1"/>
  <c r="A8587" i="1"/>
  <c r="B8587" i="1"/>
  <c r="C8587" i="1"/>
  <c r="D8587" i="1"/>
  <c r="A8588" i="1"/>
  <c r="B8588" i="1"/>
  <c r="C8588" i="1"/>
  <c r="D8588" i="1"/>
  <c r="A8589" i="1"/>
  <c r="B8589" i="1"/>
  <c r="C8589" i="1"/>
  <c r="D8589" i="1"/>
  <c r="A8590" i="1"/>
  <c r="B8590" i="1"/>
  <c r="C8590" i="1"/>
  <c r="D8590" i="1"/>
  <c r="A8591" i="1"/>
  <c r="B8591" i="1"/>
  <c r="C8591" i="1"/>
  <c r="D8591" i="1"/>
  <c r="A8592" i="1"/>
  <c r="B8592" i="1"/>
  <c r="C8592" i="1"/>
  <c r="D8592" i="1"/>
  <c r="A8593" i="1"/>
  <c r="B8593" i="1"/>
  <c r="C8593" i="1"/>
  <c r="D8593" i="1"/>
  <c r="A8594" i="1"/>
  <c r="B8594" i="1"/>
  <c r="C8594" i="1"/>
  <c r="D8594" i="1"/>
  <c r="A8595" i="1"/>
  <c r="B8595" i="1"/>
  <c r="C8595" i="1"/>
  <c r="D8595" i="1"/>
  <c r="A8596" i="1"/>
  <c r="B8596" i="1"/>
  <c r="C8596" i="1"/>
  <c r="D8596" i="1"/>
  <c r="A8597" i="1"/>
  <c r="B8597" i="1"/>
  <c r="C8597" i="1"/>
  <c r="D8597" i="1"/>
  <c r="A8598" i="1"/>
  <c r="B8598" i="1"/>
  <c r="C8598" i="1"/>
  <c r="D8598" i="1"/>
  <c r="A8599" i="1"/>
  <c r="B8599" i="1"/>
  <c r="C8599" i="1"/>
  <c r="D8599" i="1"/>
  <c r="A8600" i="1"/>
  <c r="B8600" i="1"/>
  <c r="C8600" i="1"/>
  <c r="D8600" i="1"/>
  <c r="A8601" i="1"/>
  <c r="B8601" i="1"/>
  <c r="C8601" i="1"/>
  <c r="D8601" i="1"/>
  <c r="A8602" i="1"/>
  <c r="B8602" i="1"/>
  <c r="C8602" i="1"/>
  <c r="D8602" i="1"/>
  <c r="A8603" i="1"/>
  <c r="B8603" i="1"/>
  <c r="C8603" i="1"/>
  <c r="D8603" i="1"/>
  <c r="A8604" i="1"/>
  <c r="B8604" i="1"/>
  <c r="C8604" i="1"/>
  <c r="D8604" i="1"/>
  <c r="A8605" i="1"/>
  <c r="B8605" i="1"/>
  <c r="C8605" i="1"/>
  <c r="D8605" i="1"/>
  <c r="A8606" i="1"/>
  <c r="B8606" i="1"/>
  <c r="C8606" i="1"/>
  <c r="D8606" i="1"/>
  <c r="A8607" i="1"/>
  <c r="B8607" i="1"/>
  <c r="C8607" i="1"/>
  <c r="D8607" i="1"/>
  <c r="A8608" i="1"/>
  <c r="B8608" i="1"/>
  <c r="C8608" i="1"/>
  <c r="D8608" i="1"/>
  <c r="A8609" i="1"/>
  <c r="B8609" i="1"/>
  <c r="C8609" i="1"/>
  <c r="D8609" i="1"/>
  <c r="A8610" i="1"/>
  <c r="B8610" i="1"/>
  <c r="C8610" i="1"/>
  <c r="D8610" i="1"/>
  <c r="A8611" i="1"/>
  <c r="B8611" i="1"/>
  <c r="C8611" i="1"/>
  <c r="D8611" i="1"/>
  <c r="A8612" i="1"/>
  <c r="B8612" i="1"/>
  <c r="C8612" i="1"/>
  <c r="D8612" i="1"/>
  <c r="A8613" i="1"/>
  <c r="B8613" i="1"/>
  <c r="C8613" i="1"/>
  <c r="D8613" i="1"/>
  <c r="A8614" i="1"/>
  <c r="B8614" i="1"/>
  <c r="C8614" i="1"/>
  <c r="D8614" i="1"/>
  <c r="A8615" i="1"/>
  <c r="B8615" i="1"/>
  <c r="C8615" i="1"/>
  <c r="D8615" i="1"/>
  <c r="A8616" i="1"/>
  <c r="B8616" i="1"/>
  <c r="C8616" i="1"/>
  <c r="D8616" i="1"/>
  <c r="A8617" i="1"/>
  <c r="B8617" i="1"/>
  <c r="C8617" i="1"/>
  <c r="D8617" i="1"/>
  <c r="A8618" i="1"/>
  <c r="B8618" i="1"/>
  <c r="C8618" i="1"/>
  <c r="D8618" i="1"/>
  <c r="A8619" i="1"/>
  <c r="B8619" i="1"/>
  <c r="C8619" i="1"/>
  <c r="D8619" i="1"/>
  <c r="A8620" i="1"/>
  <c r="B8620" i="1"/>
  <c r="C8620" i="1"/>
  <c r="D8620" i="1"/>
  <c r="A8621" i="1"/>
  <c r="B8621" i="1"/>
  <c r="C8621" i="1"/>
  <c r="D8621" i="1"/>
  <c r="A8622" i="1"/>
  <c r="B8622" i="1"/>
  <c r="C8622" i="1"/>
  <c r="D8622" i="1"/>
  <c r="A8623" i="1"/>
  <c r="B8623" i="1"/>
  <c r="C8623" i="1"/>
  <c r="D8623" i="1"/>
  <c r="A8624" i="1"/>
  <c r="B8624" i="1"/>
  <c r="C8624" i="1"/>
  <c r="D8624" i="1"/>
  <c r="A8625" i="1"/>
  <c r="B8625" i="1"/>
  <c r="C8625" i="1"/>
  <c r="D8625" i="1"/>
  <c r="A8626" i="1"/>
  <c r="B8626" i="1"/>
  <c r="C8626" i="1"/>
  <c r="D8626" i="1"/>
  <c r="A8627" i="1"/>
  <c r="B8627" i="1"/>
  <c r="C8627" i="1"/>
  <c r="D8627" i="1"/>
  <c r="A8628" i="1"/>
  <c r="B8628" i="1"/>
  <c r="C8628" i="1"/>
  <c r="D8628" i="1"/>
  <c r="A8629" i="1"/>
  <c r="B8629" i="1"/>
  <c r="C8629" i="1"/>
  <c r="D8629" i="1"/>
  <c r="A8630" i="1"/>
  <c r="B8630" i="1"/>
  <c r="C8630" i="1"/>
  <c r="D8630" i="1"/>
  <c r="A8631" i="1"/>
  <c r="B8631" i="1"/>
  <c r="C8631" i="1"/>
  <c r="D8631" i="1"/>
  <c r="A8632" i="1"/>
  <c r="B8632" i="1"/>
  <c r="C8632" i="1"/>
  <c r="D8632" i="1"/>
  <c r="A8633" i="1"/>
  <c r="B8633" i="1"/>
  <c r="C8633" i="1"/>
  <c r="D8633" i="1"/>
  <c r="A8634" i="1"/>
  <c r="B8634" i="1"/>
  <c r="C8634" i="1"/>
  <c r="D8634" i="1"/>
  <c r="A8635" i="1"/>
  <c r="B8635" i="1"/>
  <c r="C8635" i="1"/>
  <c r="D8635" i="1"/>
  <c r="A8636" i="1"/>
  <c r="B8636" i="1"/>
  <c r="C8636" i="1"/>
  <c r="D8636" i="1"/>
  <c r="A8637" i="1"/>
  <c r="B8637" i="1"/>
  <c r="C8637" i="1"/>
  <c r="D8637" i="1"/>
  <c r="A8638" i="1"/>
  <c r="B8638" i="1"/>
  <c r="C8638" i="1"/>
  <c r="D8638" i="1"/>
  <c r="A8639" i="1"/>
  <c r="B8639" i="1"/>
  <c r="C8639" i="1"/>
  <c r="D8639" i="1"/>
  <c r="A8640" i="1"/>
  <c r="B8640" i="1"/>
  <c r="C8640" i="1"/>
  <c r="D8640" i="1"/>
  <c r="A8641" i="1"/>
  <c r="B8641" i="1"/>
  <c r="C8641" i="1"/>
  <c r="D8641" i="1"/>
  <c r="A8642" i="1"/>
  <c r="B8642" i="1"/>
  <c r="C8642" i="1"/>
  <c r="D8642" i="1"/>
  <c r="A8643" i="1"/>
  <c r="B8643" i="1"/>
  <c r="C8643" i="1"/>
  <c r="D8643" i="1"/>
  <c r="A8644" i="1"/>
  <c r="B8644" i="1"/>
  <c r="C8644" i="1"/>
  <c r="D8644" i="1"/>
  <c r="A8645" i="1"/>
  <c r="B8645" i="1"/>
  <c r="C8645" i="1"/>
  <c r="D8645" i="1"/>
  <c r="A8646" i="1"/>
  <c r="B8646" i="1"/>
  <c r="C8646" i="1"/>
  <c r="D8646" i="1"/>
  <c r="A8647" i="1"/>
  <c r="B8647" i="1"/>
  <c r="C8647" i="1"/>
  <c r="D8647" i="1"/>
  <c r="A8648" i="1"/>
  <c r="B8648" i="1"/>
  <c r="C8648" i="1"/>
  <c r="D8648" i="1"/>
  <c r="A8649" i="1"/>
  <c r="B8649" i="1"/>
  <c r="C8649" i="1"/>
  <c r="D8649" i="1"/>
  <c r="A8650" i="1"/>
  <c r="B8650" i="1"/>
  <c r="C8650" i="1"/>
  <c r="D8650" i="1"/>
  <c r="A8651" i="1"/>
  <c r="B8651" i="1"/>
  <c r="C8651" i="1"/>
  <c r="D8651" i="1"/>
  <c r="A8652" i="1"/>
  <c r="B8652" i="1"/>
  <c r="C8652" i="1"/>
  <c r="D8652" i="1"/>
  <c r="A8653" i="1"/>
  <c r="B8653" i="1"/>
  <c r="C8653" i="1"/>
  <c r="D8653" i="1"/>
  <c r="A8654" i="1"/>
  <c r="B8654" i="1"/>
  <c r="C8654" i="1"/>
  <c r="D8654" i="1"/>
  <c r="A8655" i="1"/>
  <c r="B8655" i="1"/>
  <c r="C8655" i="1"/>
  <c r="D8655" i="1"/>
  <c r="A8656" i="1"/>
  <c r="B8656" i="1"/>
  <c r="C8656" i="1"/>
  <c r="D8656" i="1"/>
  <c r="A8657" i="1"/>
  <c r="B8657" i="1"/>
  <c r="C8657" i="1"/>
  <c r="D8657" i="1"/>
  <c r="A8658" i="1"/>
  <c r="B8658" i="1"/>
  <c r="C8658" i="1"/>
  <c r="D8658" i="1"/>
  <c r="A8659" i="1"/>
  <c r="B8659" i="1"/>
  <c r="C8659" i="1"/>
  <c r="D8659" i="1"/>
  <c r="A8660" i="1"/>
  <c r="B8660" i="1"/>
  <c r="C8660" i="1"/>
  <c r="D8660" i="1"/>
  <c r="A8661" i="1"/>
  <c r="B8661" i="1"/>
  <c r="C8661" i="1"/>
  <c r="D8661" i="1"/>
  <c r="A8662" i="1"/>
  <c r="B8662" i="1"/>
  <c r="C8662" i="1"/>
  <c r="D8662" i="1"/>
  <c r="A8663" i="1"/>
  <c r="B8663" i="1"/>
  <c r="C8663" i="1"/>
  <c r="D8663" i="1"/>
  <c r="A8664" i="1"/>
  <c r="B8664" i="1"/>
  <c r="C8664" i="1"/>
  <c r="D8664" i="1"/>
  <c r="A8665" i="1"/>
  <c r="B8665" i="1"/>
  <c r="C8665" i="1"/>
  <c r="D8665" i="1"/>
  <c r="A8666" i="1"/>
  <c r="B8666" i="1"/>
  <c r="C8666" i="1"/>
  <c r="D8666" i="1"/>
  <c r="A8667" i="1"/>
  <c r="B8667" i="1"/>
  <c r="C8667" i="1"/>
  <c r="D8667" i="1"/>
  <c r="A8668" i="1"/>
  <c r="B8668" i="1"/>
  <c r="C8668" i="1"/>
  <c r="D8668" i="1"/>
  <c r="A8669" i="1"/>
  <c r="B8669" i="1"/>
  <c r="C8669" i="1"/>
  <c r="D8669" i="1"/>
  <c r="A8670" i="1"/>
  <c r="B8670" i="1"/>
  <c r="C8670" i="1"/>
  <c r="D8670" i="1"/>
  <c r="A8671" i="1"/>
  <c r="B8671" i="1"/>
  <c r="C8671" i="1"/>
  <c r="D8671" i="1"/>
  <c r="A8672" i="1"/>
  <c r="B8672" i="1"/>
  <c r="C8672" i="1"/>
  <c r="D8672" i="1"/>
  <c r="A8673" i="1"/>
  <c r="B8673" i="1"/>
  <c r="C8673" i="1"/>
  <c r="D8673" i="1"/>
  <c r="A8674" i="1"/>
  <c r="B8674" i="1"/>
  <c r="C8674" i="1"/>
  <c r="D8674" i="1"/>
  <c r="A8675" i="1"/>
  <c r="B8675" i="1"/>
  <c r="C8675" i="1"/>
  <c r="D8675" i="1"/>
  <c r="A8676" i="1"/>
  <c r="B8676" i="1"/>
  <c r="C8676" i="1"/>
  <c r="D8676" i="1"/>
  <c r="A8677" i="1"/>
  <c r="B8677" i="1"/>
  <c r="C8677" i="1"/>
  <c r="D8677" i="1"/>
  <c r="A8678" i="1"/>
  <c r="B8678" i="1"/>
  <c r="C8678" i="1"/>
  <c r="D8678" i="1"/>
  <c r="A8679" i="1"/>
  <c r="B8679" i="1"/>
  <c r="C8679" i="1"/>
  <c r="D8679" i="1"/>
  <c r="A8680" i="1"/>
  <c r="B8680" i="1"/>
  <c r="C8680" i="1"/>
  <c r="D8680" i="1"/>
  <c r="A8681" i="1"/>
  <c r="B8681" i="1"/>
  <c r="C8681" i="1"/>
  <c r="D8681" i="1"/>
  <c r="A8682" i="1"/>
  <c r="B8682" i="1"/>
  <c r="C8682" i="1"/>
  <c r="D8682" i="1"/>
  <c r="A8683" i="1"/>
  <c r="B8683" i="1"/>
  <c r="C8683" i="1"/>
  <c r="D8683" i="1"/>
  <c r="A8684" i="1"/>
  <c r="B8684" i="1"/>
  <c r="C8684" i="1"/>
  <c r="D8684" i="1"/>
  <c r="A8685" i="1"/>
  <c r="B8685" i="1"/>
  <c r="C8685" i="1"/>
  <c r="D8685" i="1"/>
  <c r="A8686" i="1"/>
  <c r="B8686" i="1"/>
  <c r="C8686" i="1"/>
  <c r="D8686" i="1"/>
  <c r="A8687" i="1"/>
  <c r="B8687" i="1"/>
  <c r="C8687" i="1"/>
  <c r="D8687" i="1"/>
  <c r="A8688" i="1"/>
  <c r="B8688" i="1"/>
  <c r="C8688" i="1"/>
  <c r="D8688" i="1"/>
  <c r="A8689" i="1"/>
  <c r="B8689" i="1"/>
  <c r="C8689" i="1"/>
  <c r="D8689" i="1"/>
  <c r="A8690" i="1"/>
  <c r="B8690" i="1"/>
  <c r="C8690" i="1"/>
  <c r="D8690" i="1"/>
  <c r="A8691" i="1"/>
  <c r="B8691" i="1"/>
  <c r="C8691" i="1"/>
  <c r="D8691" i="1"/>
  <c r="A8692" i="1"/>
  <c r="B8692" i="1"/>
  <c r="C8692" i="1"/>
  <c r="D8692" i="1"/>
  <c r="A8693" i="1"/>
  <c r="B8693" i="1"/>
  <c r="C8693" i="1"/>
  <c r="D8693" i="1"/>
  <c r="A8694" i="1"/>
  <c r="B8694" i="1"/>
  <c r="C8694" i="1"/>
  <c r="D8694" i="1"/>
  <c r="A8695" i="1"/>
  <c r="B8695" i="1"/>
  <c r="C8695" i="1"/>
  <c r="D8695" i="1"/>
  <c r="A8696" i="1"/>
  <c r="B8696" i="1"/>
  <c r="C8696" i="1"/>
  <c r="D8696" i="1"/>
  <c r="A8697" i="1"/>
  <c r="B8697" i="1"/>
  <c r="C8697" i="1"/>
  <c r="D8697" i="1"/>
  <c r="A8698" i="1"/>
  <c r="B8698" i="1"/>
  <c r="C8698" i="1"/>
  <c r="D8698" i="1"/>
  <c r="A8699" i="1"/>
  <c r="B8699" i="1"/>
  <c r="C8699" i="1"/>
  <c r="D8699" i="1"/>
  <c r="A8700" i="1"/>
  <c r="B8700" i="1"/>
  <c r="C8700" i="1"/>
  <c r="D8700" i="1"/>
  <c r="A8701" i="1"/>
  <c r="B8701" i="1"/>
  <c r="C8701" i="1"/>
  <c r="D8701" i="1"/>
  <c r="A8702" i="1"/>
  <c r="B8702" i="1"/>
  <c r="C8702" i="1"/>
  <c r="D8702" i="1"/>
  <c r="A8703" i="1"/>
  <c r="B8703" i="1"/>
  <c r="C8703" i="1"/>
  <c r="D8703" i="1"/>
  <c r="A8704" i="1"/>
  <c r="B8704" i="1"/>
  <c r="C8704" i="1"/>
  <c r="D8704" i="1"/>
  <c r="A8705" i="1"/>
  <c r="B8705" i="1"/>
  <c r="C8705" i="1"/>
  <c r="D8705" i="1"/>
  <c r="A8706" i="1"/>
  <c r="B8706" i="1"/>
  <c r="C8706" i="1"/>
  <c r="D8706" i="1"/>
  <c r="A8707" i="1"/>
  <c r="B8707" i="1"/>
  <c r="C8707" i="1"/>
  <c r="A8708" i="1"/>
  <c r="B8708" i="1"/>
  <c r="C8708" i="1"/>
  <c r="D8708" i="1"/>
  <c r="A8709" i="1"/>
  <c r="B8709" i="1"/>
  <c r="C8709" i="1"/>
  <c r="D8709" i="1"/>
  <c r="A8710" i="1"/>
  <c r="B8710" i="1"/>
  <c r="C8710" i="1"/>
  <c r="D8710" i="1"/>
  <c r="A8711" i="1"/>
  <c r="B8711" i="1"/>
  <c r="C8711" i="1"/>
  <c r="D8711" i="1"/>
  <c r="A8712" i="1"/>
  <c r="B8712" i="1"/>
  <c r="C8712" i="1"/>
  <c r="D8712" i="1"/>
  <c r="A8713" i="1"/>
  <c r="B8713" i="1"/>
  <c r="C8713" i="1"/>
  <c r="D8713" i="1"/>
  <c r="A8714" i="1"/>
  <c r="B8714" i="1"/>
  <c r="C8714" i="1"/>
  <c r="D8714" i="1"/>
  <c r="A8715" i="1"/>
  <c r="B8715" i="1"/>
  <c r="C8715" i="1"/>
  <c r="D8715" i="1"/>
  <c r="A8716" i="1"/>
  <c r="B8716" i="1"/>
  <c r="C8716" i="1"/>
  <c r="D8716" i="1"/>
  <c r="A8717" i="1"/>
  <c r="B8717" i="1"/>
  <c r="C8717" i="1"/>
  <c r="D8717" i="1"/>
  <c r="A8718" i="1"/>
  <c r="B8718" i="1"/>
  <c r="C8718" i="1"/>
  <c r="D8718" i="1"/>
  <c r="A8719" i="1"/>
  <c r="B8719" i="1"/>
  <c r="C8719" i="1"/>
  <c r="D8719" i="1"/>
  <c r="A8720" i="1"/>
  <c r="B8720" i="1"/>
  <c r="C8720" i="1"/>
  <c r="D8720" i="1"/>
  <c r="A8721" i="1"/>
  <c r="B8721" i="1"/>
  <c r="C8721" i="1"/>
  <c r="D8721" i="1"/>
  <c r="A8722" i="1"/>
  <c r="B8722" i="1"/>
  <c r="C8722" i="1"/>
  <c r="D8722" i="1"/>
  <c r="A8723" i="1"/>
  <c r="B8723" i="1"/>
  <c r="C8723" i="1"/>
  <c r="D8723" i="1"/>
  <c r="A8724" i="1"/>
  <c r="B8724" i="1"/>
  <c r="C8724" i="1"/>
  <c r="D8724" i="1"/>
  <c r="A8725" i="1"/>
  <c r="B8725" i="1"/>
  <c r="C8725" i="1"/>
  <c r="D8725" i="1"/>
  <c r="A8726" i="1"/>
  <c r="B8726" i="1"/>
  <c r="C8726" i="1"/>
  <c r="D8726" i="1"/>
  <c r="A8727" i="1"/>
  <c r="B8727" i="1"/>
  <c r="C8727" i="1"/>
  <c r="D8727" i="1"/>
  <c r="A8728" i="1"/>
  <c r="B8728" i="1"/>
  <c r="C8728" i="1"/>
  <c r="D8728" i="1"/>
  <c r="A8729" i="1"/>
  <c r="B8729" i="1"/>
  <c r="C8729" i="1"/>
  <c r="D8729" i="1"/>
  <c r="A8730" i="1"/>
  <c r="B8730" i="1"/>
  <c r="C8730" i="1"/>
  <c r="D8730" i="1"/>
  <c r="A8731" i="1"/>
  <c r="B8731" i="1"/>
  <c r="C8731" i="1"/>
  <c r="D8731" i="1"/>
  <c r="A8732" i="1"/>
  <c r="B8732" i="1"/>
  <c r="C8732" i="1"/>
  <c r="D8732" i="1"/>
  <c r="A8733" i="1"/>
  <c r="B8733" i="1"/>
  <c r="C8733" i="1"/>
  <c r="D8733" i="1"/>
  <c r="A8734" i="1"/>
  <c r="B8734" i="1"/>
  <c r="C8734" i="1"/>
  <c r="D8734" i="1"/>
  <c r="A8735" i="1"/>
  <c r="B8735" i="1"/>
  <c r="C8735" i="1"/>
  <c r="D8735" i="1"/>
  <c r="A8736" i="1"/>
  <c r="B8736" i="1"/>
  <c r="C8736" i="1"/>
  <c r="D8736" i="1"/>
  <c r="A8737" i="1"/>
  <c r="B8737" i="1"/>
  <c r="C8737" i="1"/>
  <c r="D8737" i="1"/>
  <c r="A8738" i="1"/>
  <c r="B8738" i="1"/>
  <c r="C8738" i="1"/>
  <c r="D8738" i="1"/>
  <c r="A8739" i="1"/>
  <c r="B8739" i="1"/>
  <c r="C8739" i="1"/>
  <c r="D8739" i="1"/>
  <c r="A8740" i="1"/>
  <c r="B8740" i="1"/>
  <c r="C8740" i="1"/>
  <c r="D8740" i="1"/>
  <c r="A8741" i="1"/>
  <c r="B8741" i="1"/>
  <c r="C8741" i="1"/>
  <c r="D8741" i="1"/>
  <c r="A8742" i="1"/>
  <c r="B8742" i="1"/>
  <c r="C8742" i="1"/>
  <c r="D8742" i="1"/>
  <c r="A8743" i="1"/>
  <c r="B8743" i="1"/>
  <c r="C8743" i="1"/>
  <c r="D8743" i="1"/>
  <c r="A8744" i="1"/>
  <c r="B8744" i="1"/>
  <c r="C8744" i="1"/>
  <c r="D8744" i="1"/>
  <c r="A8745" i="1"/>
  <c r="B8745" i="1"/>
  <c r="C8745" i="1"/>
  <c r="D8745" i="1"/>
  <c r="A8746" i="1"/>
  <c r="B8746" i="1"/>
  <c r="C8746" i="1"/>
  <c r="D8746" i="1"/>
  <c r="A8747" i="1"/>
  <c r="B8747" i="1"/>
  <c r="C8747" i="1"/>
  <c r="D8747" i="1"/>
  <c r="A8748" i="1"/>
  <c r="B8748" i="1"/>
  <c r="C8748" i="1"/>
  <c r="D8748" i="1"/>
  <c r="A8749" i="1"/>
  <c r="B8749" i="1"/>
  <c r="C8749" i="1"/>
  <c r="D8749" i="1"/>
  <c r="A8750" i="1"/>
  <c r="B8750" i="1"/>
  <c r="C8750" i="1"/>
  <c r="D8750" i="1"/>
  <c r="A8751" i="1"/>
  <c r="B8751" i="1"/>
  <c r="C8751" i="1"/>
  <c r="D8751" i="1"/>
  <c r="A8752" i="1"/>
  <c r="B8752" i="1"/>
  <c r="C8752" i="1"/>
  <c r="D8752" i="1"/>
  <c r="A8753" i="1"/>
  <c r="B8753" i="1"/>
  <c r="C8753" i="1"/>
  <c r="D8753" i="1"/>
  <c r="A8754" i="1"/>
  <c r="B8754" i="1"/>
  <c r="C8754" i="1"/>
  <c r="D8754" i="1"/>
  <c r="A8755" i="1"/>
  <c r="B8755" i="1"/>
  <c r="C8755" i="1"/>
  <c r="D8755" i="1"/>
  <c r="A8756" i="1"/>
  <c r="B8756" i="1"/>
  <c r="C8756" i="1"/>
  <c r="D8756" i="1"/>
  <c r="A8757" i="1"/>
  <c r="B8757" i="1"/>
  <c r="C8757" i="1"/>
  <c r="D8757" i="1"/>
  <c r="A8758" i="1"/>
  <c r="B8758" i="1"/>
  <c r="C8758" i="1"/>
  <c r="D8758" i="1"/>
  <c r="A8759" i="1"/>
  <c r="B8759" i="1"/>
  <c r="C8759" i="1"/>
  <c r="D8759" i="1"/>
  <c r="A8760" i="1"/>
  <c r="B8760" i="1"/>
  <c r="C8760" i="1"/>
  <c r="D8760" i="1"/>
  <c r="A8761" i="1"/>
  <c r="B8761" i="1"/>
  <c r="C8761" i="1"/>
  <c r="D8761" i="1"/>
  <c r="A8762" i="1"/>
  <c r="B8762" i="1"/>
  <c r="C8762" i="1"/>
  <c r="D8762" i="1"/>
  <c r="A8763" i="1"/>
  <c r="B8763" i="1"/>
  <c r="C8763" i="1"/>
  <c r="D8763" i="1"/>
  <c r="A8764" i="1"/>
  <c r="B8764" i="1"/>
  <c r="C8764" i="1"/>
  <c r="D8764" i="1"/>
  <c r="A8765" i="1"/>
  <c r="B8765" i="1"/>
  <c r="C8765" i="1"/>
  <c r="D8765" i="1"/>
  <c r="A8766" i="1"/>
  <c r="B8766" i="1"/>
  <c r="C8766" i="1"/>
  <c r="D8766" i="1"/>
  <c r="A8767" i="1"/>
  <c r="B8767" i="1"/>
  <c r="C8767" i="1"/>
  <c r="D8767" i="1"/>
  <c r="A8768" i="1"/>
  <c r="B8768" i="1"/>
  <c r="C8768" i="1"/>
  <c r="D8768" i="1"/>
  <c r="A8769" i="1"/>
  <c r="B8769" i="1"/>
  <c r="C8769" i="1"/>
  <c r="D8769" i="1"/>
  <c r="A8770" i="1"/>
  <c r="B8770" i="1"/>
  <c r="C8770" i="1"/>
  <c r="D8770" i="1"/>
  <c r="A8771" i="1"/>
  <c r="B8771" i="1"/>
  <c r="C8771" i="1"/>
  <c r="D8771" i="1"/>
  <c r="A8772" i="1"/>
  <c r="B8772" i="1"/>
  <c r="C8772" i="1"/>
  <c r="D8772" i="1"/>
  <c r="A8773" i="1"/>
  <c r="B8773" i="1"/>
  <c r="C8773" i="1"/>
  <c r="D8773" i="1"/>
  <c r="A8774" i="1"/>
  <c r="B8774" i="1"/>
  <c r="C8774" i="1"/>
  <c r="D8774" i="1"/>
  <c r="A8775" i="1"/>
  <c r="B8775" i="1"/>
  <c r="C8775" i="1"/>
  <c r="D8775" i="1"/>
  <c r="A8776" i="1"/>
  <c r="B8776" i="1"/>
  <c r="C8776" i="1"/>
  <c r="D8776" i="1"/>
  <c r="A8777" i="1"/>
  <c r="B8777" i="1"/>
  <c r="C8777" i="1"/>
  <c r="D8777" i="1"/>
  <c r="A8778" i="1"/>
  <c r="B8778" i="1"/>
  <c r="C8778" i="1"/>
  <c r="D8778" i="1"/>
  <c r="A8779" i="1"/>
  <c r="B8779" i="1"/>
  <c r="C8779" i="1"/>
  <c r="D8779" i="1"/>
  <c r="A8780" i="1"/>
  <c r="B8780" i="1"/>
  <c r="C8780" i="1"/>
  <c r="D8780" i="1"/>
  <c r="A8781" i="1"/>
  <c r="B8781" i="1"/>
  <c r="C8781" i="1"/>
  <c r="D8781" i="1"/>
  <c r="A8782" i="1"/>
  <c r="B8782" i="1"/>
  <c r="C8782" i="1"/>
  <c r="D8782" i="1"/>
  <c r="A8783" i="1"/>
  <c r="B8783" i="1"/>
  <c r="C8783" i="1"/>
  <c r="D8783" i="1"/>
  <c r="A8784" i="1"/>
  <c r="B8784" i="1"/>
  <c r="C8784" i="1"/>
  <c r="D8784" i="1"/>
  <c r="A8785" i="1"/>
  <c r="B8785" i="1"/>
  <c r="C8785" i="1"/>
  <c r="D8785" i="1"/>
  <c r="A8786" i="1"/>
  <c r="B8786" i="1"/>
  <c r="C8786" i="1"/>
  <c r="D8786" i="1"/>
  <c r="A8787" i="1"/>
  <c r="B8787" i="1"/>
  <c r="C8787" i="1"/>
  <c r="D8787" i="1"/>
  <c r="A8788" i="1"/>
  <c r="B8788" i="1"/>
  <c r="C8788" i="1"/>
  <c r="D8788" i="1"/>
  <c r="A8789" i="1"/>
  <c r="B8789" i="1"/>
  <c r="C8789" i="1"/>
  <c r="D8789" i="1"/>
  <c r="A8790" i="1"/>
  <c r="B8790" i="1"/>
  <c r="C8790" i="1"/>
  <c r="D8790" i="1"/>
  <c r="A8791" i="1"/>
  <c r="B8791" i="1"/>
  <c r="C8791" i="1"/>
  <c r="D8791" i="1"/>
  <c r="A8792" i="1"/>
  <c r="B8792" i="1"/>
  <c r="C8792" i="1"/>
  <c r="D8792" i="1"/>
  <c r="A8793" i="1"/>
  <c r="B8793" i="1"/>
  <c r="C8793" i="1"/>
  <c r="D8793" i="1"/>
  <c r="A8794" i="1"/>
  <c r="B8794" i="1"/>
  <c r="C8794" i="1"/>
  <c r="D8794" i="1"/>
  <c r="A8795" i="1"/>
  <c r="B8795" i="1"/>
  <c r="C8795" i="1"/>
  <c r="D8795" i="1"/>
  <c r="A8796" i="1"/>
  <c r="B8796" i="1"/>
  <c r="C8796" i="1"/>
  <c r="D8796" i="1"/>
  <c r="A8797" i="1"/>
  <c r="B8797" i="1"/>
  <c r="C8797" i="1"/>
  <c r="D8797" i="1"/>
  <c r="A8798" i="1"/>
  <c r="B8798" i="1"/>
  <c r="C8798" i="1"/>
  <c r="D8798" i="1"/>
  <c r="A8799" i="1"/>
  <c r="B8799" i="1"/>
  <c r="C8799" i="1"/>
  <c r="D8799" i="1"/>
  <c r="A8800" i="1"/>
  <c r="B8800" i="1"/>
  <c r="C8800" i="1"/>
  <c r="D8800" i="1"/>
  <c r="A8801" i="1"/>
  <c r="B8801" i="1"/>
  <c r="C8801" i="1"/>
  <c r="D8801" i="1"/>
  <c r="A8802" i="1"/>
  <c r="B8802" i="1"/>
  <c r="C8802" i="1"/>
  <c r="D8802" i="1"/>
  <c r="A8803" i="1"/>
  <c r="B8803" i="1"/>
  <c r="C8803" i="1"/>
  <c r="D8803" i="1"/>
  <c r="A8804" i="1"/>
  <c r="B8804" i="1"/>
  <c r="C8804" i="1"/>
  <c r="D8804" i="1"/>
  <c r="A8805" i="1"/>
  <c r="B8805" i="1"/>
  <c r="C8805" i="1"/>
  <c r="D8805" i="1"/>
  <c r="A8806" i="1"/>
  <c r="B8806" i="1"/>
  <c r="C8806" i="1"/>
  <c r="D8806" i="1"/>
  <c r="A8807" i="1"/>
  <c r="B8807" i="1"/>
  <c r="C8807" i="1"/>
  <c r="D8807" i="1"/>
  <c r="A8808" i="1"/>
  <c r="B8808" i="1"/>
  <c r="C8808" i="1"/>
  <c r="D8808" i="1"/>
  <c r="A8809" i="1"/>
  <c r="B8809" i="1"/>
  <c r="C8809" i="1"/>
  <c r="D8809" i="1"/>
  <c r="A8810" i="1"/>
  <c r="B8810" i="1"/>
  <c r="C8810" i="1"/>
  <c r="D8810" i="1"/>
  <c r="A8811" i="1"/>
  <c r="B8811" i="1"/>
  <c r="C8811" i="1"/>
  <c r="D8811" i="1"/>
  <c r="A8812" i="1"/>
  <c r="B8812" i="1"/>
  <c r="C8812" i="1"/>
  <c r="D8812" i="1"/>
  <c r="A8813" i="1"/>
  <c r="B8813" i="1"/>
  <c r="C8813" i="1"/>
  <c r="D8813" i="1"/>
  <c r="A8814" i="1"/>
  <c r="B8814" i="1"/>
  <c r="C8814" i="1"/>
  <c r="D8814" i="1"/>
  <c r="A8815" i="1"/>
  <c r="B8815" i="1"/>
  <c r="C8815" i="1"/>
  <c r="D8815" i="1"/>
  <c r="A8816" i="1"/>
  <c r="B8816" i="1"/>
  <c r="C8816" i="1"/>
  <c r="D8816" i="1"/>
  <c r="A8817" i="1"/>
  <c r="B8817" i="1"/>
  <c r="C8817" i="1"/>
  <c r="D8817" i="1"/>
  <c r="A8818" i="1"/>
  <c r="B8818" i="1"/>
  <c r="C8818" i="1"/>
  <c r="D8818" i="1"/>
  <c r="A8819" i="1"/>
  <c r="B8819" i="1"/>
  <c r="C8819" i="1"/>
  <c r="D8819" i="1"/>
  <c r="A8820" i="1"/>
  <c r="B8820" i="1"/>
  <c r="C8820" i="1"/>
  <c r="D8820" i="1"/>
  <c r="A8821" i="1"/>
  <c r="B8821" i="1"/>
  <c r="C8821" i="1"/>
  <c r="D8821" i="1"/>
  <c r="A8822" i="1"/>
  <c r="B8822" i="1"/>
  <c r="C8822" i="1"/>
  <c r="D8822" i="1"/>
  <c r="A8823" i="1"/>
  <c r="B8823" i="1"/>
  <c r="C8823" i="1"/>
  <c r="D8823" i="1"/>
  <c r="A8824" i="1"/>
  <c r="B8824" i="1"/>
  <c r="C8824" i="1"/>
  <c r="D8824" i="1"/>
  <c r="A8825" i="1"/>
  <c r="B8825" i="1"/>
  <c r="C8825" i="1"/>
  <c r="D8825" i="1"/>
  <c r="A8826" i="1"/>
  <c r="B8826" i="1"/>
  <c r="C8826" i="1"/>
  <c r="D8826" i="1"/>
  <c r="A8827" i="1"/>
  <c r="B8827" i="1"/>
  <c r="C8827" i="1"/>
  <c r="D8827" i="1"/>
  <c r="A8828" i="1"/>
  <c r="B8828" i="1"/>
  <c r="C8828" i="1"/>
  <c r="D8828" i="1"/>
  <c r="A8829" i="1"/>
  <c r="B8829" i="1"/>
  <c r="C8829" i="1"/>
  <c r="D8829" i="1"/>
  <c r="A8830" i="1"/>
  <c r="B8830" i="1"/>
  <c r="C8830" i="1"/>
  <c r="D8830" i="1"/>
  <c r="A8831" i="1"/>
  <c r="B8831" i="1"/>
  <c r="C8831" i="1"/>
  <c r="D8831" i="1"/>
  <c r="A8832" i="1"/>
  <c r="B8832" i="1"/>
  <c r="C8832" i="1"/>
  <c r="D8832" i="1"/>
  <c r="A8833" i="1"/>
  <c r="B8833" i="1"/>
  <c r="C8833" i="1"/>
  <c r="D8833" i="1"/>
  <c r="A8834" i="1"/>
  <c r="B8834" i="1"/>
  <c r="C8834" i="1"/>
  <c r="D8834" i="1"/>
  <c r="A8835" i="1"/>
  <c r="B8835" i="1"/>
  <c r="C8835" i="1"/>
  <c r="D8835" i="1"/>
  <c r="A8836" i="1"/>
  <c r="B8836" i="1"/>
  <c r="C8836" i="1"/>
  <c r="D8836" i="1"/>
  <c r="A8837" i="1"/>
  <c r="B8837" i="1"/>
  <c r="C8837" i="1"/>
  <c r="D8837" i="1"/>
  <c r="A8838" i="1"/>
  <c r="B8838" i="1"/>
  <c r="C8838" i="1"/>
  <c r="D8838" i="1"/>
  <c r="A8839" i="1"/>
  <c r="B8839" i="1"/>
  <c r="C8839" i="1"/>
  <c r="D8839" i="1"/>
  <c r="A8840" i="1"/>
  <c r="B8840" i="1"/>
  <c r="C8840" i="1"/>
  <c r="D8840" i="1"/>
  <c r="A8841" i="1"/>
  <c r="B8841" i="1"/>
  <c r="C8841" i="1"/>
  <c r="A8842" i="1"/>
  <c r="B8842" i="1"/>
  <c r="C8842" i="1"/>
  <c r="D8842" i="1"/>
  <c r="A8843" i="1"/>
  <c r="B8843" i="1"/>
  <c r="C8843" i="1"/>
  <c r="D8843" i="1"/>
  <c r="A8844" i="1"/>
  <c r="B8844" i="1"/>
  <c r="C8844" i="1"/>
  <c r="D8844" i="1"/>
  <c r="A8845" i="1"/>
  <c r="B8845" i="1"/>
  <c r="C8845" i="1"/>
  <c r="D8845" i="1"/>
  <c r="A8846" i="1"/>
  <c r="B8846" i="1"/>
  <c r="C8846" i="1"/>
  <c r="D8846" i="1"/>
  <c r="A8847" i="1"/>
  <c r="B8847" i="1"/>
  <c r="C8847" i="1"/>
  <c r="D8847" i="1"/>
  <c r="A8848" i="1"/>
  <c r="B8848" i="1"/>
  <c r="C8848" i="1"/>
  <c r="D8848" i="1"/>
  <c r="A8849" i="1"/>
  <c r="B8849" i="1"/>
  <c r="C8849" i="1"/>
  <c r="D8849" i="1"/>
  <c r="A8850" i="1"/>
  <c r="B8850" i="1"/>
  <c r="C8850" i="1"/>
  <c r="D8850" i="1"/>
  <c r="A8851" i="1"/>
  <c r="B8851" i="1"/>
  <c r="C8851" i="1"/>
  <c r="D8851" i="1"/>
  <c r="A8852" i="1"/>
  <c r="B8852" i="1"/>
  <c r="C8852" i="1"/>
  <c r="D8852" i="1"/>
  <c r="A8853" i="1"/>
  <c r="B8853" i="1"/>
  <c r="C8853" i="1"/>
  <c r="D8853" i="1"/>
  <c r="A8854" i="1"/>
  <c r="B8854" i="1"/>
  <c r="C8854" i="1"/>
  <c r="D8854" i="1"/>
  <c r="A8855" i="1"/>
  <c r="B8855" i="1"/>
  <c r="C8855" i="1"/>
  <c r="D8855" i="1"/>
  <c r="A8856" i="1"/>
  <c r="B8856" i="1"/>
  <c r="C8856" i="1"/>
  <c r="D8856" i="1"/>
  <c r="A8857" i="1"/>
  <c r="B8857" i="1"/>
  <c r="C8857" i="1"/>
  <c r="D8857" i="1"/>
  <c r="A8858" i="1"/>
  <c r="B8858" i="1"/>
  <c r="C8858" i="1"/>
  <c r="D8858" i="1"/>
  <c r="A8859" i="1"/>
  <c r="B8859" i="1"/>
  <c r="C8859" i="1"/>
  <c r="D8859" i="1"/>
  <c r="A8860" i="1"/>
  <c r="B8860" i="1"/>
  <c r="C8860" i="1"/>
  <c r="D8860" i="1"/>
  <c r="A8861" i="1"/>
  <c r="B8861" i="1"/>
  <c r="C8861" i="1"/>
  <c r="D8861" i="1"/>
  <c r="A8862" i="1"/>
  <c r="B8862" i="1"/>
  <c r="C8862" i="1"/>
  <c r="D8862" i="1"/>
  <c r="A8863" i="1"/>
  <c r="B8863" i="1"/>
  <c r="C8863" i="1"/>
  <c r="D8863" i="1"/>
  <c r="A8864" i="1"/>
  <c r="B8864" i="1"/>
  <c r="C8864" i="1"/>
  <c r="D8864" i="1"/>
  <c r="A8865" i="1"/>
  <c r="B8865" i="1"/>
  <c r="C8865" i="1"/>
  <c r="D8865" i="1"/>
  <c r="A8866" i="1"/>
  <c r="B8866" i="1"/>
  <c r="C8866" i="1"/>
  <c r="D8866" i="1"/>
  <c r="A8867" i="1"/>
  <c r="B8867" i="1"/>
  <c r="C8867" i="1"/>
  <c r="D8867" i="1"/>
  <c r="A8868" i="1"/>
  <c r="B8868" i="1"/>
  <c r="C8868" i="1"/>
  <c r="D8868" i="1"/>
  <c r="A8869" i="1"/>
  <c r="B8869" i="1"/>
  <c r="C8869" i="1"/>
  <c r="D8869" i="1"/>
  <c r="A8870" i="1"/>
  <c r="B8870" i="1"/>
  <c r="C8870" i="1"/>
  <c r="D8870" i="1"/>
  <c r="A8871" i="1"/>
  <c r="B8871" i="1"/>
  <c r="C8871" i="1"/>
  <c r="D8871" i="1"/>
  <c r="A8872" i="1"/>
  <c r="B8872" i="1"/>
  <c r="C8872" i="1"/>
  <c r="D8872" i="1"/>
  <c r="A8873" i="1"/>
  <c r="B8873" i="1"/>
  <c r="C8873" i="1"/>
  <c r="A8874" i="1"/>
  <c r="B8874" i="1"/>
  <c r="C8874" i="1"/>
  <c r="D8874" i="1"/>
  <c r="A8875" i="1"/>
  <c r="B8875" i="1"/>
  <c r="C8875" i="1"/>
  <c r="D8875" i="1"/>
  <c r="A8876" i="1"/>
  <c r="B8876" i="1"/>
  <c r="C8876" i="1"/>
  <c r="D8876" i="1"/>
  <c r="A8877" i="1"/>
  <c r="B8877" i="1"/>
  <c r="C8877" i="1"/>
  <c r="D8877" i="1"/>
  <c r="A8878" i="1"/>
  <c r="B8878" i="1"/>
  <c r="C8878" i="1"/>
  <c r="D8878" i="1"/>
  <c r="A8879" i="1"/>
  <c r="B8879" i="1"/>
  <c r="C8879" i="1"/>
  <c r="D8879" i="1"/>
  <c r="A8880" i="1"/>
  <c r="B8880" i="1"/>
  <c r="C8880" i="1"/>
  <c r="D8880" i="1"/>
  <c r="A8881" i="1"/>
  <c r="B8881" i="1"/>
  <c r="C8881" i="1"/>
  <c r="D8881" i="1"/>
  <c r="A8882" i="1"/>
  <c r="B8882" i="1"/>
  <c r="C8882" i="1"/>
  <c r="D8882" i="1"/>
  <c r="A8883" i="1"/>
  <c r="B8883" i="1"/>
  <c r="C8883" i="1"/>
  <c r="D8883" i="1"/>
  <c r="A8884" i="1"/>
  <c r="B8884" i="1"/>
  <c r="C8884" i="1"/>
  <c r="D8884" i="1"/>
  <c r="A8885" i="1"/>
  <c r="B8885" i="1"/>
  <c r="C8885" i="1"/>
  <c r="D8885" i="1"/>
  <c r="A8886" i="1"/>
  <c r="B8886" i="1"/>
  <c r="C8886" i="1"/>
  <c r="D8886" i="1"/>
  <c r="A8887" i="1"/>
  <c r="B8887" i="1"/>
  <c r="C8887" i="1"/>
  <c r="D8887" i="1"/>
  <c r="A8888" i="1"/>
  <c r="B8888" i="1"/>
  <c r="C8888" i="1"/>
  <c r="D8888" i="1"/>
  <c r="A8889" i="1"/>
  <c r="B8889" i="1"/>
  <c r="C8889" i="1"/>
  <c r="D8889" i="1"/>
  <c r="A8890" i="1"/>
  <c r="B8890" i="1"/>
  <c r="C8890" i="1"/>
  <c r="D8890" i="1"/>
  <c r="A8891" i="1"/>
  <c r="B8891" i="1"/>
  <c r="C8891" i="1"/>
  <c r="D8891" i="1"/>
  <c r="A8892" i="1"/>
  <c r="B8892" i="1"/>
  <c r="C8892" i="1"/>
  <c r="D8892" i="1"/>
  <c r="A8893" i="1"/>
  <c r="B8893" i="1"/>
  <c r="C8893" i="1"/>
  <c r="D8893" i="1"/>
  <c r="A8894" i="1"/>
  <c r="B8894" i="1"/>
  <c r="C8894" i="1"/>
  <c r="D8894" i="1"/>
  <c r="A8895" i="1"/>
  <c r="B8895" i="1"/>
  <c r="C8895" i="1"/>
  <c r="D8895" i="1"/>
  <c r="A8896" i="1"/>
  <c r="B8896" i="1"/>
  <c r="C8896" i="1"/>
  <c r="D8896" i="1"/>
  <c r="A8897" i="1"/>
  <c r="B8897" i="1"/>
  <c r="C8897" i="1"/>
  <c r="D8897" i="1"/>
  <c r="A8898" i="1"/>
  <c r="B8898" i="1"/>
  <c r="C8898" i="1"/>
  <c r="D8898" i="1"/>
  <c r="A8899" i="1"/>
  <c r="B8899" i="1"/>
  <c r="C8899" i="1"/>
  <c r="D8899" i="1"/>
  <c r="A8900" i="1"/>
  <c r="B8900" i="1"/>
  <c r="C8900" i="1"/>
  <c r="D8900" i="1"/>
  <c r="A8901" i="1"/>
  <c r="B8901" i="1"/>
  <c r="C8901" i="1"/>
  <c r="D8901" i="1"/>
  <c r="A8902" i="1"/>
  <c r="B8902" i="1"/>
  <c r="C8902" i="1"/>
  <c r="D8902" i="1"/>
  <c r="A8903" i="1"/>
  <c r="B8903" i="1"/>
  <c r="C8903" i="1"/>
  <c r="D8903" i="1"/>
  <c r="A8904" i="1"/>
  <c r="B8904" i="1"/>
  <c r="C8904" i="1"/>
  <c r="D8904" i="1"/>
  <c r="A8905" i="1"/>
  <c r="B8905" i="1"/>
  <c r="C8905" i="1"/>
  <c r="D8905" i="1"/>
  <c r="A8906" i="1"/>
  <c r="B8906" i="1"/>
  <c r="C8906" i="1"/>
  <c r="D8906" i="1"/>
  <c r="A8907" i="1"/>
  <c r="B8907" i="1"/>
  <c r="C8907" i="1"/>
  <c r="D8907" i="1"/>
  <c r="A8908" i="1"/>
  <c r="B8908" i="1"/>
  <c r="C8908" i="1"/>
  <c r="D8908" i="1"/>
  <c r="A8909" i="1"/>
  <c r="B8909" i="1"/>
  <c r="C8909" i="1"/>
  <c r="D8909" i="1"/>
  <c r="A8910" i="1"/>
  <c r="B8910" i="1"/>
  <c r="C8910" i="1"/>
  <c r="D8910" i="1"/>
  <c r="A8911" i="1"/>
  <c r="B8911" i="1"/>
  <c r="C8911" i="1"/>
  <c r="D8911" i="1"/>
  <c r="A8912" i="1"/>
  <c r="B8912" i="1"/>
  <c r="C8912" i="1"/>
  <c r="D8912" i="1"/>
  <c r="A8913" i="1"/>
  <c r="B8913" i="1"/>
  <c r="C8913" i="1"/>
  <c r="D8913" i="1"/>
  <c r="A8914" i="1"/>
  <c r="B8914" i="1"/>
  <c r="C8914" i="1"/>
  <c r="D8914" i="1"/>
  <c r="A8915" i="1"/>
  <c r="B8915" i="1"/>
  <c r="C8915" i="1"/>
  <c r="D8915" i="1"/>
  <c r="A8916" i="1"/>
  <c r="B8916" i="1"/>
  <c r="C8916" i="1"/>
  <c r="D8916" i="1"/>
  <c r="A8917" i="1"/>
  <c r="B8917" i="1"/>
  <c r="C8917" i="1"/>
  <c r="D8917" i="1"/>
  <c r="A8918" i="1"/>
  <c r="B8918" i="1"/>
  <c r="C8918" i="1"/>
  <c r="D8918" i="1"/>
  <c r="A8919" i="1"/>
  <c r="B8919" i="1"/>
  <c r="C8919" i="1"/>
  <c r="D8919" i="1"/>
  <c r="A8920" i="1"/>
  <c r="B8920" i="1"/>
  <c r="C8920" i="1"/>
  <c r="D8920" i="1"/>
  <c r="A8921" i="1"/>
  <c r="B8921" i="1"/>
  <c r="C8921" i="1"/>
  <c r="D8921" i="1"/>
  <c r="A8922" i="1"/>
  <c r="B8922" i="1"/>
  <c r="C8922" i="1"/>
  <c r="D8922" i="1"/>
  <c r="A8923" i="1"/>
  <c r="B8923" i="1"/>
  <c r="C8923" i="1"/>
  <c r="D8923" i="1"/>
  <c r="A8924" i="1"/>
  <c r="B8924" i="1"/>
  <c r="C8924" i="1"/>
  <c r="D8924" i="1"/>
  <c r="A8925" i="1"/>
  <c r="B8925" i="1"/>
  <c r="C8925" i="1"/>
  <c r="D8925" i="1"/>
  <c r="A8926" i="1"/>
  <c r="B8926" i="1"/>
  <c r="C8926" i="1"/>
  <c r="D8926" i="1"/>
  <c r="A8927" i="1"/>
  <c r="B8927" i="1"/>
  <c r="C8927" i="1"/>
  <c r="D8927" i="1"/>
  <c r="A8928" i="1"/>
  <c r="B8928" i="1"/>
  <c r="C8928" i="1"/>
  <c r="D8928" i="1"/>
  <c r="A8929" i="1"/>
  <c r="B8929" i="1"/>
  <c r="C8929" i="1"/>
  <c r="D8929" i="1"/>
  <c r="A8930" i="1"/>
  <c r="B8930" i="1"/>
  <c r="C8930" i="1"/>
  <c r="D8930" i="1"/>
  <c r="A8931" i="1"/>
  <c r="B8931" i="1"/>
  <c r="C8931" i="1"/>
  <c r="A8932" i="1"/>
  <c r="B8932" i="1"/>
  <c r="C8932" i="1"/>
  <c r="A8933" i="1"/>
  <c r="B8933" i="1"/>
  <c r="C8933" i="1"/>
  <c r="D8933" i="1"/>
  <c r="A8934" i="1"/>
  <c r="B8934" i="1"/>
  <c r="C8934" i="1"/>
  <c r="D8934" i="1"/>
  <c r="A8935" i="1"/>
  <c r="B8935" i="1"/>
  <c r="C8935" i="1"/>
  <c r="D8935" i="1"/>
  <c r="A8936" i="1"/>
  <c r="B8936" i="1"/>
  <c r="C8936" i="1"/>
  <c r="D8936" i="1"/>
  <c r="A8937" i="1"/>
  <c r="B8937" i="1"/>
  <c r="C8937" i="1"/>
  <c r="D8937" i="1"/>
  <c r="A8938" i="1"/>
  <c r="B8938" i="1"/>
  <c r="C8938" i="1"/>
  <c r="D8938" i="1"/>
  <c r="A8939" i="1"/>
  <c r="B8939" i="1"/>
  <c r="C8939" i="1"/>
  <c r="D8939" i="1"/>
  <c r="A8940" i="1"/>
  <c r="B8940" i="1"/>
  <c r="C8940" i="1"/>
  <c r="D8940" i="1"/>
  <c r="A8941" i="1"/>
  <c r="B8941" i="1"/>
  <c r="C8941" i="1"/>
  <c r="D8941" i="1"/>
  <c r="A8942" i="1"/>
  <c r="B8942" i="1"/>
  <c r="C8942" i="1"/>
  <c r="D8942" i="1"/>
  <c r="A8943" i="1"/>
  <c r="B8943" i="1"/>
  <c r="C8943" i="1"/>
  <c r="D8943" i="1"/>
  <c r="A8944" i="1"/>
  <c r="B8944" i="1"/>
  <c r="C8944" i="1"/>
  <c r="D8944" i="1"/>
  <c r="A8945" i="1"/>
  <c r="B8945" i="1"/>
  <c r="C8945" i="1"/>
  <c r="D8945" i="1"/>
  <c r="A8946" i="1"/>
  <c r="B8946" i="1"/>
  <c r="C8946" i="1"/>
  <c r="D8946" i="1"/>
  <c r="A8947" i="1"/>
  <c r="B8947" i="1"/>
  <c r="C8947" i="1"/>
  <c r="D8947" i="1"/>
  <c r="A8948" i="1"/>
  <c r="B8948" i="1"/>
  <c r="C8948" i="1"/>
  <c r="D8948" i="1"/>
  <c r="A8949" i="1"/>
  <c r="B8949" i="1"/>
  <c r="C8949" i="1"/>
  <c r="D8949" i="1"/>
  <c r="A8950" i="1"/>
  <c r="B8950" i="1"/>
  <c r="C8950" i="1"/>
  <c r="D8950" i="1"/>
  <c r="A8951" i="1"/>
  <c r="B8951" i="1"/>
  <c r="C8951" i="1"/>
  <c r="D8951" i="1"/>
  <c r="A8952" i="1"/>
  <c r="B8952" i="1"/>
  <c r="C8952" i="1"/>
  <c r="D8952" i="1"/>
  <c r="A8953" i="1"/>
  <c r="B8953" i="1"/>
  <c r="C8953" i="1"/>
  <c r="D8953" i="1"/>
  <c r="A8954" i="1"/>
  <c r="B8954" i="1"/>
  <c r="C8954" i="1"/>
  <c r="D8954" i="1"/>
  <c r="A8955" i="1"/>
  <c r="B8955" i="1"/>
  <c r="C8955" i="1"/>
  <c r="D8955" i="1"/>
  <c r="A8956" i="1"/>
  <c r="B8956" i="1"/>
  <c r="C8956" i="1"/>
  <c r="D8956" i="1"/>
  <c r="A8957" i="1"/>
  <c r="B8957" i="1"/>
  <c r="C8957" i="1"/>
  <c r="D8957" i="1"/>
  <c r="A8958" i="1"/>
  <c r="B8958" i="1"/>
  <c r="C8958" i="1"/>
  <c r="D8958" i="1"/>
  <c r="A8959" i="1"/>
  <c r="B8959" i="1"/>
  <c r="C8959" i="1"/>
  <c r="D8959" i="1"/>
  <c r="A8960" i="1"/>
  <c r="B8960" i="1"/>
  <c r="C8960" i="1"/>
  <c r="D8960" i="1"/>
  <c r="A8961" i="1"/>
  <c r="B8961" i="1"/>
  <c r="C8961" i="1"/>
  <c r="D8961" i="1"/>
  <c r="A8962" i="1"/>
  <c r="B8962" i="1"/>
  <c r="C8962" i="1"/>
  <c r="D8962" i="1"/>
  <c r="A8963" i="1"/>
  <c r="B8963" i="1"/>
  <c r="C8963" i="1"/>
  <c r="D8963" i="1"/>
  <c r="A8964" i="1"/>
  <c r="B8964" i="1"/>
  <c r="C8964" i="1"/>
  <c r="D8964" i="1"/>
  <c r="A8965" i="1"/>
  <c r="B8965" i="1"/>
  <c r="C8965" i="1"/>
  <c r="D8965" i="1"/>
  <c r="A8966" i="1"/>
  <c r="B8966" i="1"/>
  <c r="C8966" i="1"/>
  <c r="D8966" i="1"/>
  <c r="A8967" i="1"/>
  <c r="B8967" i="1"/>
  <c r="C8967" i="1"/>
  <c r="D8967" i="1"/>
  <c r="A8968" i="1"/>
  <c r="B8968" i="1"/>
  <c r="C8968" i="1"/>
  <c r="D8968" i="1"/>
  <c r="A8969" i="1"/>
  <c r="B8969" i="1"/>
  <c r="C8969" i="1"/>
  <c r="D8969" i="1"/>
  <c r="A8970" i="1"/>
  <c r="B8970" i="1"/>
  <c r="C8970" i="1"/>
  <c r="D8970" i="1"/>
  <c r="A8971" i="1"/>
  <c r="B8971" i="1"/>
  <c r="C8971" i="1"/>
  <c r="D8971" i="1"/>
  <c r="A8972" i="1"/>
  <c r="B8972" i="1"/>
  <c r="C8972" i="1"/>
  <c r="D8972" i="1"/>
  <c r="A8973" i="1"/>
  <c r="B8973" i="1"/>
  <c r="C8973" i="1"/>
  <c r="D8973" i="1"/>
  <c r="A8974" i="1"/>
  <c r="B8974" i="1"/>
  <c r="C8974" i="1"/>
  <c r="D8974" i="1"/>
  <c r="A8975" i="1"/>
  <c r="B8975" i="1"/>
  <c r="C8975" i="1"/>
  <c r="D8975" i="1"/>
  <c r="A8976" i="1"/>
  <c r="B8976" i="1"/>
  <c r="C8976" i="1"/>
  <c r="D8976" i="1"/>
  <c r="A8977" i="1"/>
  <c r="B8977" i="1"/>
  <c r="C8977" i="1"/>
  <c r="D8977" i="1"/>
  <c r="A8978" i="1"/>
  <c r="B8978" i="1"/>
  <c r="C8978" i="1"/>
  <c r="D8978" i="1"/>
  <c r="A8979" i="1"/>
  <c r="B8979" i="1"/>
  <c r="C8979" i="1"/>
  <c r="D8979" i="1"/>
  <c r="A8980" i="1"/>
  <c r="B8980" i="1"/>
  <c r="C8980" i="1"/>
  <c r="D8980" i="1"/>
  <c r="A8981" i="1"/>
  <c r="B8981" i="1"/>
  <c r="C8981" i="1"/>
  <c r="D8981" i="1"/>
  <c r="A8982" i="1"/>
  <c r="B8982" i="1"/>
  <c r="C8982" i="1"/>
  <c r="D8982" i="1"/>
  <c r="A8983" i="1"/>
  <c r="B8983" i="1"/>
  <c r="C8983" i="1"/>
  <c r="D8983" i="1"/>
  <c r="A8984" i="1"/>
  <c r="B8984" i="1"/>
  <c r="C8984" i="1"/>
  <c r="D8984" i="1"/>
  <c r="A8985" i="1"/>
  <c r="B8985" i="1"/>
  <c r="C8985" i="1"/>
  <c r="D8985" i="1"/>
  <c r="A8986" i="1"/>
  <c r="B8986" i="1"/>
  <c r="C8986" i="1"/>
  <c r="D8986" i="1"/>
  <c r="A8987" i="1"/>
  <c r="B8987" i="1"/>
  <c r="C8987" i="1"/>
  <c r="D8987" i="1"/>
  <c r="A8988" i="1"/>
  <c r="B8988" i="1"/>
  <c r="C8988" i="1"/>
  <c r="D8988" i="1"/>
  <c r="A8989" i="1"/>
  <c r="B8989" i="1"/>
  <c r="C8989" i="1"/>
  <c r="D8989" i="1"/>
  <c r="A8990" i="1"/>
  <c r="B8990" i="1"/>
  <c r="C8990" i="1"/>
  <c r="D8990" i="1"/>
  <c r="A8991" i="1"/>
  <c r="B8991" i="1"/>
  <c r="C8991" i="1"/>
  <c r="D8991" i="1"/>
  <c r="A8992" i="1"/>
  <c r="B8992" i="1"/>
  <c r="C8992" i="1"/>
  <c r="D8992" i="1"/>
  <c r="A8993" i="1"/>
  <c r="B8993" i="1"/>
  <c r="C8993" i="1"/>
  <c r="D8993" i="1"/>
  <c r="A8994" i="1"/>
  <c r="B8994" i="1"/>
  <c r="C8994" i="1"/>
  <c r="D8994" i="1"/>
  <c r="A8995" i="1"/>
  <c r="B8995" i="1"/>
  <c r="C8995" i="1"/>
  <c r="D8995" i="1"/>
  <c r="A8996" i="1"/>
  <c r="B8996" i="1"/>
  <c r="C8996" i="1"/>
  <c r="D8996" i="1"/>
  <c r="A8997" i="1"/>
  <c r="B8997" i="1"/>
  <c r="C8997" i="1"/>
  <c r="D8997" i="1"/>
  <c r="A8998" i="1"/>
  <c r="B8998" i="1"/>
  <c r="C8998" i="1"/>
  <c r="D8998" i="1"/>
  <c r="A8999" i="1"/>
  <c r="B8999" i="1"/>
  <c r="C8999" i="1"/>
  <c r="D8999" i="1"/>
  <c r="A9000" i="1"/>
  <c r="B9000" i="1"/>
  <c r="C9000" i="1"/>
  <c r="D9000" i="1"/>
  <c r="A9001" i="1"/>
  <c r="B9001" i="1"/>
  <c r="C9001" i="1"/>
  <c r="D9001" i="1"/>
  <c r="A9002" i="1"/>
  <c r="B9002" i="1"/>
  <c r="C9002" i="1"/>
  <c r="D9002" i="1"/>
  <c r="A9003" i="1"/>
  <c r="B9003" i="1"/>
  <c r="C9003" i="1"/>
  <c r="D9003" i="1"/>
  <c r="A9004" i="1"/>
  <c r="B9004" i="1"/>
  <c r="C9004" i="1"/>
  <c r="D9004" i="1"/>
  <c r="A9005" i="1"/>
  <c r="B9005" i="1"/>
  <c r="C9005" i="1"/>
  <c r="D9005" i="1"/>
  <c r="A9006" i="1"/>
  <c r="B9006" i="1"/>
  <c r="C9006" i="1"/>
  <c r="D9006" i="1"/>
  <c r="A9007" i="1"/>
  <c r="B9007" i="1"/>
  <c r="C9007" i="1"/>
  <c r="D9007" i="1"/>
  <c r="A9008" i="1"/>
  <c r="B9008" i="1"/>
  <c r="C9008" i="1"/>
  <c r="D9008" i="1"/>
  <c r="A9009" i="1"/>
  <c r="B9009" i="1"/>
  <c r="C9009" i="1"/>
  <c r="D9009" i="1"/>
  <c r="A9010" i="1"/>
  <c r="B9010" i="1"/>
  <c r="C9010" i="1"/>
  <c r="D9010" i="1"/>
  <c r="A9011" i="1"/>
  <c r="B9011" i="1"/>
  <c r="C9011" i="1"/>
  <c r="D9011" i="1"/>
  <c r="A9012" i="1"/>
  <c r="B9012" i="1"/>
  <c r="C9012" i="1"/>
  <c r="D9012" i="1"/>
  <c r="A9013" i="1"/>
  <c r="B9013" i="1"/>
  <c r="C9013" i="1"/>
  <c r="D9013" i="1"/>
  <c r="A9014" i="1"/>
  <c r="B9014" i="1"/>
  <c r="C9014" i="1"/>
  <c r="D9014" i="1"/>
  <c r="A9015" i="1"/>
  <c r="B9015" i="1"/>
  <c r="C9015" i="1"/>
  <c r="D9015" i="1"/>
  <c r="A9016" i="1"/>
  <c r="B9016" i="1"/>
  <c r="C9016" i="1"/>
  <c r="D9016" i="1"/>
  <c r="A9017" i="1"/>
  <c r="B9017" i="1"/>
  <c r="C9017" i="1"/>
  <c r="D9017" i="1"/>
  <c r="A9018" i="1"/>
  <c r="B9018" i="1"/>
  <c r="C9018" i="1"/>
  <c r="D9018" i="1"/>
  <c r="A9019" i="1"/>
  <c r="B9019" i="1"/>
  <c r="C9019" i="1"/>
  <c r="D9019" i="1"/>
  <c r="A9020" i="1"/>
  <c r="B9020" i="1"/>
  <c r="C9020" i="1"/>
  <c r="D9020" i="1"/>
  <c r="A9021" i="1"/>
  <c r="B9021" i="1"/>
  <c r="C9021" i="1"/>
  <c r="D9021" i="1"/>
  <c r="A9022" i="1"/>
  <c r="B9022" i="1"/>
  <c r="C9022" i="1"/>
  <c r="D9022" i="1"/>
  <c r="A9023" i="1"/>
  <c r="B9023" i="1"/>
  <c r="C9023" i="1"/>
  <c r="D9023" i="1"/>
  <c r="A9024" i="1"/>
  <c r="B9024" i="1"/>
  <c r="C9024" i="1"/>
  <c r="D9024" i="1"/>
  <c r="A9025" i="1"/>
  <c r="B9025" i="1"/>
  <c r="C9025" i="1"/>
  <c r="D9025" i="1"/>
  <c r="A9026" i="1"/>
  <c r="B9026" i="1"/>
  <c r="C9026" i="1"/>
  <c r="D9026" i="1"/>
  <c r="A9027" i="1"/>
  <c r="B9027" i="1"/>
  <c r="C9027" i="1"/>
  <c r="D9027" i="1"/>
  <c r="A9028" i="1"/>
  <c r="B9028" i="1"/>
  <c r="C9028" i="1"/>
  <c r="D9028" i="1"/>
  <c r="A9029" i="1"/>
  <c r="B9029" i="1"/>
  <c r="C9029" i="1"/>
  <c r="D9029" i="1"/>
  <c r="A9030" i="1"/>
  <c r="B9030" i="1"/>
  <c r="C9030" i="1"/>
  <c r="D9030" i="1"/>
  <c r="A9031" i="1"/>
  <c r="B9031" i="1"/>
  <c r="C9031" i="1"/>
  <c r="D9031" i="1"/>
  <c r="A9032" i="1"/>
  <c r="B9032" i="1"/>
  <c r="C9032" i="1"/>
  <c r="D9032" i="1"/>
  <c r="A9033" i="1"/>
  <c r="B9033" i="1"/>
  <c r="C9033" i="1"/>
  <c r="D9033" i="1"/>
  <c r="A9034" i="1"/>
  <c r="B9034" i="1"/>
  <c r="C9034" i="1"/>
  <c r="D9034" i="1"/>
  <c r="A9035" i="1"/>
  <c r="B9035" i="1"/>
  <c r="C9035" i="1"/>
  <c r="D9035" i="1"/>
  <c r="A9036" i="1"/>
  <c r="B9036" i="1"/>
  <c r="C9036" i="1"/>
  <c r="A9037" i="1"/>
  <c r="B9037" i="1"/>
  <c r="C9037" i="1"/>
  <c r="D9037" i="1"/>
  <c r="A9038" i="1"/>
  <c r="B9038" i="1"/>
  <c r="C9038" i="1"/>
  <c r="D9038" i="1"/>
  <c r="A9039" i="1"/>
  <c r="B9039" i="1"/>
  <c r="C9039" i="1"/>
  <c r="D9039" i="1"/>
  <c r="A9040" i="1"/>
  <c r="B9040" i="1"/>
  <c r="C9040" i="1"/>
  <c r="D9040" i="1"/>
  <c r="A9041" i="1"/>
  <c r="B9041" i="1"/>
  <c r="C9041" i="1"/>
  <c r="D9041" i="1"/>
  <c r="A9042" i="1"/>
  <c r="B9042" i="1"/>
  <c r="C9042" i="1"/>
  <c r="D9042" i="1"/>
  <c r="A9043" i="1"/>
  <c r="B9043" i="1"/>
  <c r="C9043" i="1"/>
  <c r="D9043" i="1"/>
  <c r="A9044" i="1"/>
  <c r="B9044" i="1"/>
  <c r="C9044" i="1"/>
  <c r="D9044" i="1"/>
  <c r="A9045" i="1"/>
  <c r="B9045" i="1"/>
  <c r="C9045" i="1"/>
  <c r="D9045" i="1"/>
  <c r="A9046" i="1"/>
  <c r="B9046" i="1"/>
  <c r="C9046" i="1"/>
  <c r="D9046" i="1"/>
  <c r="A9047" i="1"/>
  <c r="B9047" i="1"/>
  <c r="C9047" i="1"/>
  <c r="D9047" i="1"/>
  <c r="A9048" i="1"/>
  <c r="B9048" i="1"/>
  <c r="C9048" i="1"/>
  <c r="D9048" i="1"/>
  <c r="A9049" i="1"/>
  <c r="B9049" i="1"/>
  <c r="C9049" i="1"/>
  <c r="D9049" i="1"/>
  <c r="A9050" i="1"/>
  <c r="B9050" i="1"/>
  <c r="C9050" i="1"/>
  <c r="D9050" i="1"/>
  <c r="A9051" i="1"/>
  <c r="B9051" i="1"/>
  <c r="C9051" i="1"/>
  <c r="D9051" i="1"/>
  <c r="A9052" i="1"/>
  <c r="B9052" i="1"/>
  <c r="C9052" i="1"/>
  <c r="D9052" i="1"/>
  <c r="A9053" i="1"/>
  <c r="B9053" i="1"/>
  <c r="C9053" i="1"/>
  <c r="D9053" i="1"/>
  <c r="A9054" i="1"/>
  <c r="B9054" i="1"/>
  <c r="C9054" i="1"/>
  <c r="D9054" i="1"/>
  <c r="A9055" i="1"/>
  <c r="B9055" i="1"/>
  <c r="C9055" i="1"/>
  <c r="D9055" i="1"/>
  <c r="A9056" i="1"/>
  <c r="B9056" i="1"/>
  <c r="C9056" i="1"/>
  <c r="D9056" i="1"/>
  <c r="A9057" i="1"/>
  <c r="B9057" i="1"/>
  <c r="C9057" i="1"/>
  <c r="D9057" i="1"/>
  <c r="A9058" i="1"/>
  <c r="B9058" i="1"/>
  <c r="C9058" i="1"/>
  <c r="D9058" i="1"/>
  <c r="A9059" i="1"/>
  <c r="B9059" i="1"/>
  <c r="C9059" i="1"/>
  <c r="D9059" i="1"/>
  <c r="A9060" i="1"/>
  <c r="B9060" i="1"/>
  <c r="C9060" i="1"/>
  <c r="D9060" i="1"/>
  <c r="A9061" i="1"/>
  <c r="B9061" i="1"/>
  <c r="C9061" i="1"/>
  <c r="D9061" i="1"/>
  <c r="A9062" i="1"/>
  <c r="B9062" i="1"/>
  <c r="C9062" i="1"/>
  <c r="D9062" i="1"/>
  <c r="A9063" i="1"/>
  <c r="B9063" i="1"/>
  <c r="C9063" i="1"/>
  <c r="D9063" i="1"/>
  <c r="A9064" i="1"/>
  <c r="B9064" i="1"/>
  <c r="C9064" i="1"/>
  <c r="D9064" i="1"/>
  <c r="A9065" i="1"/>
  <c r="B9065" i="1"/>
  <c r="C9065" i="1"/>
  <c r="D9065" i="1"/>
  <c r="A9066" i="1"/>
  <c r="B9066" i="1"/>
  <c r="C9066" i="1"/>
  <c r="D9066" i="1"/>
  <c r="A9067" i="1"/>
  <c r="B9067" i="1"/>
  <c r="C9067" i="1"/>
  <c r="D9067" i="1"/>
  <c r="A9068" i="1"/>
  <c r="B9068" i="1"/>
  <c r="C9068" i="1"/>
  <c r="D9068" i="1"/>
  <c r="A9069" i="1"/>
  <c r="B9069" i="1"/>
  <c r="C9069" i="1"/>
  <c r="D9069" i="1"/>
  <c r="A9070" i="1"/>
  <c r="B9070" i="1"/>
  <c r="C9070" i="1"/>
  <c r="D9070" i="1"/>
  <c r="A9071" i="1"/>
  <c r="B9071" i="1"/>
  <c r="C9071" i="1"/>
  <c r="D9071" i="1"/>
  <c r="A9072" i="1"/>
  <c r="B9072" i="1"/>
  <c r="C9072" i="1"/>
  <c r="D9072" i="1"/>
  <c r="A9073" i="1"/>
  <c r="B9073" i="1"/>
  <c r="C9073" i="1"/>
  <c r="D9073" i="1"/>
  <c r="A9074" i="1"/>
  <c r="B9074" i="1"/>
  <c r="C9074" i="1"/>
  <c r="D9074" i="1"/>
  <c r="A9075" i="1"/>
  <c r="B9075" i="1"/>
  <c r="C9075" i="1"/>
  <c r="D9075" i="1"/>
  <c r="A9076" i="1"/>
  <c r="B9076" i="1"/>
  <c r="C9076" i="1"/>
  <c r="D9076" i="1"/>
  <c r="A9077" i="1"/>
  <c r="B9077" i="1"/>
  <c r="C9077" i="1"/>
  <c r="D9077" i="1"/>
  <c r="A9078" i="1"/>
  <c r="B9078" i="1"/>
  <c r="C9078" i="1"/>
  <c r="D9078" i="1"/>
  <c r="A9079" i="1"/>
  <c r="B9079" i="1"/>
  <c r="C9079" i="1"/>
  <c r="D9079" i="1"/>
  <c r="A9080" i="1"/>
  <c r="B9080" i="1"/>
  <c r="C9080" i="1"/>
  <c r="D9080" i="1"/>
  <c r="A9081" i="1"/>
  <c r="B9081" i="1"/>
  <c r="C9081" i="1"/>
  <c r="D9081" i="1"/>
  <c r="A9082" i="1"/>
  <c r="B9082" i="1"/>
  <c r="C9082" i="1"/>
  <c r="D9082" i="1"/>
  <c r="A9083" i="1"/>
  <c r="B9083" i="1"/>
  <c r="C9083" i="1"/>
  <c r="D9083" i="1"/>
  <c r="A9084" i="1"/>
  <c r="B9084" i="1"/>
  <c r="C9084" i="1"/>
  <c r="D9084" i="1"/>
  <c r="A9085" i="1"/>
  <c r="B9085" i="1"/>
  <c r="C9085" i="1"/>
  <c r="D9085" i="1"/>
  <c r="A9086" i="1"/>
  <c r="B9086" i="1"/>
  <c r="C9086" i="1"/>
  <c r="D9086" i="1"/>
  <c r="A9087" i="1"/>
  <c r="B9087" i="1"/>
  <c r="C9087" i="1"/>
  <c r="D9087" i="1"/>
  <c r="A9088" i="1"/>
  <c r="B9088" i="1"/>
  <c r="C9088" i="1"/>
  <c r="D9088" i="1"/>
  <c r="A9089" i="1"/>
  <c r="B9089" i="1"/>
  <c r="C9089" i="1"/>
  <c r="D9089" i="1"/>
  <c r="A9090" i="1"/>
  <c r="B9090" i="1"/>
  <c r="C9090" i="1"/>
  <c r="D9090" i="1"/>
  <c r="A9091" i="1"/>
  <c r="B9091" i="1"/>
  <c r="C9091" i="1"/>
  <c r="D9091" i="1"/>
  <c r="A9092" i="1"/>
  <c r="B9092" i="1"/>
  <c r="C9092" i="1"/>
  <c r="D9092" i="1"/>
  <c r="A9093" i="1"/>
  <c r="B9093" i="1"/>
  <c r="C9093" i="1"/>
  <c r="D9093" i="1"/>
  <c r="A9094" i="1"/>
  <c r="B9094" i="1"/>
  <c r="C9094" i="1"/>
  <c r="D9094" i="1"/>
  <c r="A9095" i="1"/>
  <c r="B9095" i="1"/>
  <c r="C9095" i="1"/>
  <c r="D9095" i="1"/>
  <c r="A9096" i="1"/>
  <c r="B9096" i="1"/>
  <c r="C9096" i="1"/>
  <c r="D9096" i="1"/>
  <c r="A9097" i="1"/>
  <c r="B9097" i="1"/>
  <c r="C9097" i="1"/>
  <c r="D9097" i="1"/>
  <c r="A9098" i="1"/>
  <c r="B9098" i="1"/>
  <c r="C9098" i="1"/>
  <c r="D9098" i="1"/>
  <c r="A9099" i="1"/>
  <c r="B9099" i="1"/>
  <c r="C9099" i="1"/>
  <c r="D9099" i="1"/>
  <c r="A9100" i="1"/>
  <c r="B9100" i="1"/>
  <c r="C9100" i="1"/>
  <c r="D9100" i="1"/>
  <c r="A9101" i="1"/>
  <c r="B9101" i="1"/>
  <c r="C9101" i="1"/>
  <c r="D9101" i="1"/>
  <c r="A9102" i="1"/>
  <c r="B9102" i="1"/>
  <c r="C9102" i="1"/>
  <c r="D9102" i="1"/>
  <c r="A9103" i="1"/>
  <c r="B9103" i="1"/>
  <c r="C9103" i="1"/>
  <c r="D9103" i="1"/>
  <c r="A9104" i="1"/>
  <c r="B9104" i="1"/>
  <c r="C9104" i="1"/>
  <c r="D9104" i="1"/>
  <c r="A9105" i="1"/>
  <c r="B9105" i="1"/>
  <c r="C9105" i="1"/>
  <c r="A9106" i="1"/>
  <c r="B9106" i="1"/>
  <c r="C9106" i="1"/>
  <c r="D9106" i="1"/>
  <c r="A9107" i="1"/>
  <c r="B9107" i="1"/>
  <c r="C9107" i="1"/>
  <c r="D9107" i="1"/>
  <c r="A9108" i="1"/>
  <c r="B9108" i="1"/>
  <c r="C9108" i="1"/>
  <c r="D9108" i="1"/>
  <c r="A9109" i="1"/>
  <c r="B9109" i="1"/>
  <c r="C9109" i="1"/>
  <c r="D9109" i="1"/>
  <c r="A9110" i="1"/>
  <c r="B9110" i="1"/>
  <c r="C9110" i="1"/>
  <c r="D9110" i="1"/>
  <c r="A9111" i="1"/>
  <c r="B9111" i="1"/>
  <c r="C9111" i="1"/>
  <c r="D9111" i="1"/>
  <c r="A9112" i="1"/>
  <c r="B9112" i="1"/>
  <c r="C9112" i="1"/>
  <c r="D9112" i="1"/>
  <c r="A9113" i="1"/>
  <c r="B9113" i="1"/>
  <c r="C9113" i="1"/>
  <c r="A9114" i="1"/>
  <c r="B9114" i="1"/>
  <c r="C9114" i="1"/>
  <c r="D9114" i="1"/>
  <c r="A9115" i="1"/>
  <c r="B9115" i="1"/>
  <c r="C9115" i="1"/>
  <c r="D9115" i="1"/>
  <c r="A9116" i="1"/>
  <c r="B9116" i="1"/>
  <c r="C9116" i="1"/>
  <c r="D9116" i="1"/>
  <c r="A9117" i="1"/>
  <c r="B9117" i="1"/>
  <c r="C9117" i="1"/>
  <c r="D9117" i="1"/>
  <c r="A9118" i="1"/>
  <c r="B9118" i="1"/>
  <c r="C9118" i="1"/>
  <c r="D9118" i="1"/>
  <c r="A9119" i="1"/>
  <c r="B9119" i="1"/>
  <c r="C9119" i="1"/>
  <c r="D9119" i="1"/>
  <c r="A9120" i="1"/>
  <c r="B9120" i="1"/>
  <c r="C9120" i="1"/>
  <c r="D9120" i="1"/>
  <c r="A9121" i="1"/>
  <c r="B9121" i="1"/>
  <c r="C9121" i="1"/>
  <c r="D9121" i="1"/>
  <c r="A9122" i="1"/>
  <c r="B9122" i="1"/>
  <c r="C9122" i="1"/>
  <c r="D9122" i="1"/>
  <c r="A9123" i="1"/>
  <c r="B9123" i="1"/>
  <c r="C9123" i="1"/>
  <c r="D9123" i="1"/>
  <c r="A9124" i="1"/>
  <c r="B9124" i="1"/>
  <c r="C9124" i="1"/>
  <c r="D9124" i="1"/>
  <c r="A9125" i="1"/>
  <c r="B9125" i="1"/>
  <c r="C9125" i="1"/>
  <c r="D9125" i="1"/>
  <c r="A9126" i="1"/>
  <c r="B9126" i="1"/>
  <c r="C9126" i="1"/>
  <c r="D9126" i="1"/>
  <c r="A9127" i="1"/>
  <c r="B9127" i="1"/>
  <c r="C9127" i="1"/>
  <c r="D9127" i="1"/>
  <c r="A9128" i="1"/>
  <c r="B9128" i="1"/>
  <c r="C9128" i="1"/>
  <c r="D9128" i="1"/>
  <c r="A9129" i="1"/>
  <c r="B9129" i="1"/>
  <c r="C9129" i="1"/>
  <c r="D9129" i="1"/>
  <c r="A9130" i="1"/>
  <c r="B9130" i="1"/>
  <c r="C9130" i="1"/>
  <c r="D9130" i="1"/>
  <c r="A9131" i="1"/>
  <c r="B9131" i="1"/>
  <c r="C9131" i="1"/>
  <c r="D9131" i="1"/>
  <c r="A9132" i="1"/>
  <c r="B9132" i="1"/>
  <c r="C9132" i="1"/>
  <c r="D9132" i="1"/>
  <c r="A9133" i="1"/>
  <c r="B9133" i="1"/>
  <c r="C9133" i="1"/>
  <c r="D9133" i="1"/>
  <c r="A9134" i="1"/>
  <c r="B9134" i="1"/>
  <c r="C9134" i="1"/>
  <c r="D9134" i="1"/>
  <c r="A9135" i="1"/>
  <c r="B9135" i="1"/>
  <c r="C9135" i="1"/>
  <c r="D9135" i="1"/>
  <c r="A9136" i="1"/>
  <c r="B9136" i="1"/>
  <c r="C9136" i="1"/>
  <c r="D9136" i="1"/>
  <c r="A9137" i="1"/>
  <c r="B9137" i="1"/>
  <c r="C9137" i="1"/>
  <c r="D9137" i="1"/>
  <c r="A9138" i="1"/>
  <c r="B9138" i="1"/>
  <c r="C9138" i="1"/>
  <c r="D9138" i="1"/>
  <c r="A9139" i="1"/>
  <c r="B9139" i="1"/>
  <c r="C9139" i="1"/>
  <c r="D9139" i="1"/>
  <c r="A9140" i="1"/>
  <c r="B9140" i="1"/>
  <c r="C9140" i="1"/>
  <c r="D9140" i="1"/>
  <c r="A9141" i="1"/>
  <c r="B9141" i="1"/>
  <c r="C9141" i="1"/>
  <c r="D9141" i="1"/>
  <c r="A9142" i="1"/>
  <c r="B9142" i="1"/>
  <c r="C9142" i="1"/>
  <c r="D9142" i="1"/>
  <c r="A9143" i="1"/>
  <c r="B9143" i="1"/>
  <c r="C9143" i="1"/>
  <c r="D9143" i="1"/>
  <c r="A9144" i="1"/>
  <c r="B9144" i="1"/>
  <c r="C9144" i="1"/>
  <c r="D9144" i="1"/>
  <c r="A9145" i="1"/>
  <c r="B9145" i="1"/>
  <c r="C9145" i="1"/>
  <c r="D9145" i="1"/>
  <c r="A9146" i="1"/>
  <c r="B9146" i="1"/>
  <c r="C9146" i="1"/>
  <c r="D9146" i="1"/>
  <c r="A9147" i="1"/>
  <c r="B9147" i="1"/>
  <c r="C9147" i="1"/>
  <c r="D9147" i="1"/>
  <c r="A9148" i="1"/>
  <c r="B9148" i="1"/>
  <c r="C9148" i="1"/>
  <c r="D9148" i="1"/>
  <c r="A9149" i="1"/>
  <c r="B9149" i="1"/>
  <c r="C9149" i="1"/>
  <c r="D9149" i="1"/>
  <c r="A9150" i="1"/>
  <c r="B9150" i="1"/>
  <c r="C9150" i="1"/>
  <c r="D9150" i="1"/>
  <c r="A9151" i="1"/>
  <c r="B9151" i="1"/>
  <c r="C9151" i="1"/>
  <c r="D9151" i="1"/>
  <c r="A9152" i="1"/>
  <c r="B9152" i="1"/>
  <c r="C9152" i="1"/>
  <c r="D9152" i="1"/>
  <c r="A9153" i="1"/>
  <c r="B9153" i="1"/>
  <c r="C9153" i="1"/>
  <c r="D9153" i="1"/>
  <c r="A9154" i="1"/>
  <c r="B9154" i="1"/>
  <c r="C9154" i="1"/>
  <c r="D9154" i="1"/>
  <c r="A9155" i="1"/>
  <c r="B9155" i="1"/>
  <c r="C9155" i="1"/>
  <c r="D9155" i="1"/>
  <c r="A9156" i="1"/>
  <c r="B9156" i="1"/>
  <c r="C9156" i="1"/>
  <c r="D9156" i="1"/>
  <c r="A9157" i="1"/>
  <c r="B9157" i="1"/>
  <c r="C9157" i="1"/>
  <c r="D9157" i="1"/>
  <c r="A9158" i="1"/>
  <c r="B9158" i="1"/>
  <c r="C9158" i="1"/>
  <c r="D9158" i="1"/>
  <c r="A9159" i="1"/>
  <c r="B9159" i="1"/>
  <c r="C9159" i="1"/>
  <c r="D9159" i="1"/>
  <c r="A9160" i="1"/>
  <c r="B9160" i="1"/>
  <c r="C9160" i="1"/>
  <c r="D9160" i="1"/>
  <c r="A9161" i="1"/>
  <c r="B9161" i="1"/>
  <c r="C9161" i="1"/>
  <c r="D9161" i="1"/>
  <c r="A9162" i="1"/>
  <c r="B9162" i="1"/>
  <c r="C9162" i="1"/>
  <c r="D9162" i="1"/>
  <c r="A9163" i="1"/>
  <c r="B9163" i="1"/>
  <c r="C9163" i="1"/>
  <c r="D9163" i="1"/>
  <c r="A9164" i="1"/>
  <c r="B9164" i="1"/>
  <c r="C9164" i="1"/>
  <c r="D9164" i="1"/>
  <c r="A9165" i="1"/>
  <c r="B9165" i="1"/>
  <c r="C9165" i="1"/>
  <c r="D9165" i="1"/>
  <c r="A9166" i="1"/>
  <c r="B9166" i="1"/>
  <c r="C9166" i="1"/>
  <c r="D9166" i="1"/>
  <c r="A9167" i="1"/>
  <c r="B9167" i="1"/>
  <c r="C9167" i="1"/>
  <c r="D9167" i="1"/>
  <c r="A9168" i="1"/>
  <c r="B9168" i="1"/>
  <c r="C9168" i="1"/>
  <c r="D9168" i="1"/>
  <c r="A9169" i="1"/>
  <c r="B9169" i="1"/>
  <c r="C9169" i="1"/>
  <c r="D9169" i="1"/>
  <c r="A9170" i="1"/>
  <c r="B9170" i="1"/>
  <c r="C9170" i="1"/>
  <c r="D9170" i="1"/>
  <c r="A9171" i="1"/>
  <c r="B9171" i="1"/>
  <c r="C9171" i="1"/>
  <c r="D9171" i="1"/>
  <c r="A9172" i="1"/>
  <c r="B9172" i="1"/>
  <c r="C9172" i="1"/>
  <c r="A9173" i="1"/>
  <c r="B9173" i="1"/>
  <c r="C9173" i="1"/>
  <c r="D9173" i="1"/>
  <c r="A9174" i="1"/>
  <c r="B9174" i="1"/>
  <c r="C9174" i="1"/>
  <c r="D9174" i="1"/>
  <c r="A9175" i="1"/>
  <c r="B9175" i="1"/>
  <c r="C9175" i="1"/>
  <c r="D9175" i="1"/>
  <c r="A9176" i="1"/>
  <c r="B9176" i="1"/>
  <c r="C9176" i="1"/>
  <c r="D9176" i="1"/>
  <c r="A9177" i="1"/>
  <c r="B9177" i="1"/>
  <c r="C9177" i="1"/>
  <c r="D9177" i="1"/>
  <c r="A9178" i="1"/>
  <c r="B9178" i="1"/>
  <c r="C9178" i="1"/>
  <c r="D9178" i="1"/>
  <c r="A9179" i="1"/>
  <c r="B9179" i="1"/>
  <c r="C9179" i="1"/>
  <c r="D9179" i="1"/>
  <c r="A9180" i="1"/>
  <c r="B9180" i="1"/>
  <c r="C9180" i="1"/>
  <c r="D9180" i="1"/>
  <c r="A9181" i="1"/>
  <c r="B9181" i="1"/>
  <c r="C9181" i="1"/>
  <c r="D9181" i="1"/>
  <c r="A9182" i="1"/>
  <c r="B9182" i="1"/>
  <c r="C9182" i="1"/>
  <c r="D9182" i="1"/>
  <c r="A9183" i="1"/>
  <c r="B9183" i="1"/>
  <c r="C9183" i="1"/>
  <c r="D9183" i="1"/>
  <c r="A9184" i="1"/>
  <c r="B9184" i="1"/>
  <c r="C9184" i="1"/>
  <c r="D9184" i="1"/>
  <c r="A9185" i="1"/>
  <c r="B9185" i="1"/>
  <c r="C9185" i="1"/>
  <c r="D9185" i="1"/>
  <c r="A9186" i="1"/>
  <c r="B9186" i="1"/>
  <c r="C9186" i="1"/>
  <c r="D9186" i="1"/>
  <c r="A9187" i="1"/>
  <c r="B9187" i="1"/>
  <c r="C9187" i="1"/>
  <c r="D9187" i="1"/>
  <c r="A9188" i="1"/>
  <c r="B9188" i="1"/>
  <c r="C9188" i="1"/>
  <c r="D9188" i="1"/>
  <c r="A9189" i="1"/>
  <c r="B9189" i="1"/>
  <c r="C9189" i="1"/>
  <c r="D9189" i="1"/>
  <c r="A9190" i="1"/>
  <c r="B9190" i="1"/>
  <c r="C9190" i="1"/>
  <c r="A9191" i="1"/>
  <c r="B9191" i="1"/>
  <c r="C9191" i="1"/>
  <c r="D9191" i="1"/>
  <c r="A9192" i="1"/>
  <c r="B9192" i="1"/>
  <c r="C9192" i="1"/>
  <c r="D9192" i="1"/>
  <c r="A9193" i="1"/>
  <c r="B9193" i="1"/>
  <c r="C9193" i="1"/>
  <c r="D9193" i="1"/>
  <c r="A9194" i="1"/>
  <c r="B9194" i="1"/>
  <c r="C9194" i="1"/>
  <c r="D9194" i="1"/>
  <c r="A9195" i="1"/>
  <c r="B9195" i="1"/>
  <c r="C9195" i="1"/>
  <c r="D9195" i="1"/>
  <c r="A9196" i="1"/>
  <c r="B9196" i="1"/>
  <c r="C9196" i="1"/>
  <c r="D9196" i="1"/>
  <c r="A9197" i="1"/>
  <c r="B9197" i="1"/>
  <c r="C9197" i="1"/>
  <c r="D9197" i="1"/>
  <c r="A9198" i="1"/>
  <c r="B9198" i="1"/>
  <c r="C9198" i="1"/>
  <c r="D9198" i="1"/>
  <c r="A9199" i="1"/>
  <c r="B9199" i="1"/>
  <c r="C9199" i="1"/>
  <c r="D9199" i="1"/>
  <c r="A9200" i="1"/>
  <c r="B9200" i="1"/>
  <c r="C9200" i="1"/>
  <c r="D9200" i="1"/>
  <c r="A9201" i="1"/>
  <c r="B9201" i="1"/>
  <c r="C9201" i="1"/>
  <c r="D9201" i="1"/>
  <c r="A9202" i="1"/>
  <c r="B9202" i="1"/>
  <c r="C9202" i="1"/>
  <c r="D9202" i="1"/>
  <c r="A9203" i="1"/>
  <c r="B9203" i="1"/>
  <c r="C9203" i="1"/>
  <c r="D9203" i="1"/>
  <c r="A9204" i="1"/>
  <c r="B9204" i="1"/>
  <c r="C9204" i="1"/>
  <c r="D9204" i="1"/>
  <c r="A9205" i="1"/>
  <c r="B9205" i="1"/>
  <c r="C9205" i="1"/>
  <c r="D9205" i="1"/>
  <c r="A9206" i="1"/>
  <c r="B9206" i="1"/>
  <c r="C9206" i="1"/>
  <c r="D9206" i="1"/>
  <c r="A9207" i="1"/>
  <c r="B9207" i="1"/>
  <c r="C9207" i="1"/>
  <c r="D9207" i="1"/>
  <c r="A9208" i="1"/>
  <c r="B9208" i="1"/>
  <c r="C9208" i="1"/>
  <c r="D9208" i="1"/>
  <c r="A9209" i="1"/>
  <c r="B9209" i="1"/>
  <c r="C9209" i="1"/>
  <c r="D9209" i="1"/>
  <c r="A9210" i="1"/>
  <c r="B9210" i="1"/>
  <c r="C9210" i="1"/>
  <c r="D9210" i="1"/>
  <c r="A9211" i="1"/>
  <c r="B9211" i="1"/>
  <c r="C9211" i="1"/>
  <c r="D9211" i="1"/>
  <c r="A9212" i="1"/>
  <c r="B9212" i="1"/>
  <c r="C9212" i="1"/>
  <c r="D9212" i="1"/>
  <c r="A9213" i="1"/>
  <c r="B9213" i="1"/>
  <c r="C9213" i="1"/>
  <c r="D9213" i="1"/>
  <c r="A9214" i="1"/>
  <c r="B9214" i="1"/>
  <c r="C9214" i="1"/>
  <c r="D9214" i="1"/>
  <c r="A9215" i="1"/>
  <c r="B9215" i="1"/>
  <c r="C9215" i="1"/>
  <c r="D9215" i="1"/>
  <c r="A9216" i="1"/>
  <c r="B9216" i="1"/>
  <c r="C9216" i="1"/>
  <c r="A9217" i="1"/>
  <c r="B9217" i="1"/>
  <c r="C9217" i="1"/>
  <c r="D9217" i="1"/>
  <c r="A9218" i="1"/>
  <c r="B9218" i="1"/>
  <c r="C9218" i="1"/>
  <c r="D9218" i="1"/>
  <c r="A9219" i="1"/>
  <c r="B9219" i="1"/>
  <c r="C9219" i="1"/>
  <c r="D9219" i="1"/>
  <c r="A9220" i="1"/>
  <c r="B9220" i="1"/>
  <c r="C9220" i="1"/>
  <c r="D9220" i="1"/>
  <c r="A9221" i="1"/>
  <c r="B9221" i="1"/>
  <c r="C9221" i="1"/>
  <c r="D9221" i="1"/>
  <c r="A9222" i="1"/>
  <c r="B9222" i="1"/>
  <c r="C9222" i="1"/>
  <c r="D9222" i="1"/>
  <c r="A9223" i="1"/>
  <c r="B9223" i="1"/>
  <c r="C9223" i="1"/>
  <c r="D9223" i="1"/>
  <c r="A9224" i="1"/>
  <c r="B9224" i="1"/>
  <c r="C9224" i="1"/>
  <c r="D9224" i="1"/>
  <c r="A9225" i="1"/>
  <c r="B9225" i="1"/>
  <c r="C9225" i="1"/>
  <c r="D9225" i="1"/>
  <c r="A9226" i="1"/>
  <c r="B9226" i="1"/>
  <c r="C9226" i="1"/>
  <c r="D9226" i="1"/>
  <c r="A9227" i="1"/>
  <c r="B9227" i="1"/>
  <c r="C9227" i="1"/>
  <c r="D9227" i="1"/>
  <c r="A9228" i="1"/>
  <c r="B9228" i="1"/>
  <c r="C9228" i="1"/>
  <c r="D9228" i="1"/>
  <c r="A9229" i="1"/>
  <c r="B9229" i="1"/>
  <c r="C9229" i="1"/>
  <c r="D9229" i="1"/>
  <c r="A9230" i="1"/>
  <c r="B9230" i="1"/>
  <c r="C9230" i="1"/>
  <c r="D9230" i="1"/>
  <c r="A9231" i="1"/>
  <c r="B9231" i="1"/>
  <c r="C9231" i="1"/>
  <c r="D9231" i="1"/>
  <c r="A9232" i="1"/>
  <c r="B9232" i="1"/>
  <c r="C9232" i="1"/>
  <c r="D9232" i="1"/>
  <c r="A9233" i="1"/>
  <c r="B9233" i="1"/>
  <c r="C9233" i="1"/>
  <c r="D9233" i="1"/>
  <c r="A9234" i="1"/>
  <c r="B9234" i="1"/>
  <c r="C9234" i="1"/>
  <c r="D9234" i="1"/>
  <c r="A9235" i="1"/>
  <c r="B9235" i="1"/>
  <c r="C9235" i="1"/>
  <c r="D9235" i="1"/>
  <c r="A9236" i="1"/>
  <c r="B9236" i="1"/>
  <c r="C9236" i="1"/>
  <c r="D9236" i="1"/>
  <c r="A9237" i="1"/>
  <c r="B9237" i="1"/>
  <c r="C9237" i="1"/>
  <c r="D9237" i="1"/>
  <c r="A9238" i="1"/>
  <c r="B9238" i="1"/>
  <c r="C9238" i="1"/>
  <c r="D9238" i="1"/>
  <c r="A9239" i="1"/>
  <c r="B9239" i="1"/>
  <c r="C9239" i="1"/>
  <c r="D9239" i="1"/>
  <c r="A9240" i="1"/>
  <c r="B9240" i="1"/>
  <c r="C9240" i="1"/>
  <c r="D9240" i="1"/>
  <c r="A9241" i="1"/>
  <c r="B9241" i="1"/>
  <c r="C9241" i="1"/>
  <c r="D9241" i="1"/>
  <c r="A9242" i="1"/>
  <c r="B9242" i="1"/>
  <c r="C9242" i="1"/>
  <c r="D9242" i="1"/>
  <c r="A9243" i="1"/>
  <c r="B9243" i="1"/>
  <c r="C9243" i="1"/>
  <c r="D9243" i="1"/>
  <c r="A9244" i="1"/>
  <c r="B9244" i="1"/>
  <c r="C9244" i="1"/>
  <c r="A9245" i="1"/>
  <c r="B9245" i="1"/>
  <c r="C9245" i="1"/>
  <c r="D9245" i="1"/>
  <c r="A9246" i="1"/>
  <c r="B9246" i="1"/>
  <c r="C9246" i="1"/>
  <c r="D9246" i="1"/>
  <c r="A9247" i="1"/>
  <c r="B9247" i="1"/>
  <c r="C9247" i="1"/>
  <c r="D9247" i="1"/>
  <c r="A9248" i="1"/>
  <c r="B9248" i="1"/>
  <c r="C9248" i="1"/>
  <c r="D9248" i="1"/>
  <c r="A9249" i="1"/>
  <c r="B9249" i="1"/>
  <c r="C9249" i="1"/>
  <c r="D9249" i="1"/>
  <c r="A9250" i="1"/>
  <c r="B9250" i="1"/>
  <c r="C9250" i="1"/>
  <c r="D9250" i="1"/>
  <c r="A9251" i="1"/>
  <c r="B9251" i="1"/>
  <c r="C9251" i="1"/>
  <c r="D9251" i="1"/>
  <c r="A9252" i="1"/>
  <c r="B9252" i="1"/>
  <c r="C9252" i="1"/>
  <c r="D9252" i="1"/>
  <c r="A9253" i="1"/>
  <c r="B9253" i="1"/>
  <c r="C9253" i="1"/>
  <c r="D9253" i="1"/>
  <c r="A9254" i="1"/>
  <c r="B9254" i="1"/>
  <c r="C9254" i="1"/>
  <c r="D9254" i="1"/>
  <c r="A9255" i="1"/>
  <c r="B9255" i="1"/>
  <c r="C9255" i="1"/>
  <c r="D9255" i="1"/>
  <c r="A9256" i="1"/>
  <c r="B9256" i="1"/>
  <c r="C9256" i="1"/>
  <c r="D9256" i="1"/>
  <c r="A9257" i="1"/>
  <c r="B9257" i="1"/>
  <c r="C9257" i="1"/>
  <c r="D9257" i="1"/>
  <c r="A9258" i="1"/>
  <c r="B9258" i="1"/>
  <c r="C9258" i="1"/>
  <c r="D9258" i="1"/>
  <c r="A9259" i="1"/>
  <c r="B9259" i="1"/>
  <c r="C9259" i="1"/>
  <c r="D9259" i="1"/>
  <c r="A9260" i="1"/>
  <c r="B9260" i="1"/>
  <c r="C9260" i="1"/>
  <c r="D9260" i="1"/>
  <c r="A9261" i="1"/>
  <c r="B9261" i="1"/>
  <c r="C9261" i="1"/>
  <c r="D9261" i="1"/>
  <c r="A9262" i="1"/>
  <c r="B9262" i="1"/>
  <c r="C9262" i="1"/>
  <c r="D9262" i="1"/>
  <c r="A9263" i="1"/>
  <c r="B9263" i="1"/>
  <c r="C9263" i="1"/>
  <c r="D9263" i="1"/>
  <c r="A9264" i="1"/>
  <c r="B9264" i="1"/>
  <c r="C9264" i="1"/>
  <c r="D9264" i="1"/>
  <c r="A9265" i="1"/>
  <c r="B9265" i="1"/>
  <c r="C9265" i="1"/>
  <c r="D9265" i="1"/>
  <c r="A9266" i="1"/>
  <c r="B9266" i="1"/>
  <c r="C9266" i="1"/>
  <c r="D9266" i="1"/>
  <c r="A9267" i="1"/>
  <c r="B9267" i="1"/>
  <c r="C9267" i="1"/>
  <c r="D9267" i="1"/>
  <c r="A9268" i="1"/>
  <c r="B9268" i="1"/>
  <c r="C9268" i="1"/>
  <c r="D9268" i="1"/>
  <c r="A9269" i="1"/>
  <c r="B9269" i="1"/>
  <c r="C9269" i="1"/>
  <c r="D9269" i="1"/>
  <c r="A9270" i="1"/>
  <c r="B9270" i="1"/>
  <c r="C9270" i="1"/>
  <c r="D9270" i="1"/>
  <c r="A9271" i="1"/>
  <c r="B9271" i="1"/>
  <c r="C9271" i="1"/>
  <c r="D9271" i="1"/>
  <c r="A9272" i="1"/>
  <c r="B9272" i="1"/>
  <c r="C9272" i="1"/>
  <c r="D9272" i="1"/>
  <c r="A9273" i="1"/>
  <c r="B9273" i="1"/>
  <c r="C9273" i="1"/>
  <c r="D9273" i="1"/>
  <c r="A9274" i="1"/>
  <c r="B9274" i="1"/>
  <c r="C9274" i="1"/>
  <c r="D9274" i="1"/>
  <c r="A9275" i="1"/>
  <c r="B9275" i="1"/>
  <c r="C9275" i="1"/>
  <c r="D9275" i="1"/>
  <c r="A9276" i="1"/>
  <c r="B9276" i="1"/>
  <c r="C9276" i="1"/>
  <c r="D9276" i="1"/>
  <c r="A9277" i="1"/>
  <c r="B9277" i="1"/>
  <c r="C9277" i="1"/>
  <c r="D9277" i="1"/>
  <c r="A9278" i="1"/>
  <c r="B9278" i="1"/>
  <c r="C9278" i="1"/>
  <c r="D9278" i="1"/>
  <c r="A9279" i="1"/>
  <c r="B9279" i="1"/>
  <c r="C9279" i="1"/>
  <c r="D9279" i="1"/>
  <c r="A9280" i="1"/>
  <c r="B9280" i="1"/>
  <c r="C9280" i="1"/>
  <c r="D9280" i="1"/>
  <c r="A9281" i="1"/>
  <c r="B9281" i="1"/>
  <c r="C9281" i="1"/>
  <c r="D9281" i="1"/>
  <c r="A9282" i="1"/>
  <c r="B9282" i="1"/>
  <c r="C9282" i="1"/>
  <c r="D9282" i="1"/>
  <c r="A9283" i="1"/>
  <c r="B9283" i="1"/>
  <c r="C9283" i="1"/>
  <c r="D9283" i="1"/>
  <c r="A9284" i="1"/>
  <c r="B9284" i="1"/>
  <c r="C9284" i="1"/>
  <c r="D9284" i="1"/>
  <c r="A9285" i="1"/>
  <c r="B9285" i="1"/>
  <c r="C9285" i="1"/>
  <c r="D9285" i="1"/>
  <c r="A9286" i="1"/>
  <c r="B9286" i="1"/>
  <c r="C9286" i="1"/>
  <c r="D9286" i="1"/>
  <c r="A9287" i="1"/>
  <c r="B9287" i="1"/>
  <c r="C9287" i="1"/>
  <c r="D9287" i="1"/>
  <c r="A9288" i="1"/>
  <c r="B9288" i="1"/>
  <c r="C9288" i="1"/>
  <c r="D9288" i="1"/>
  <c r="A9289" i="1"/>
  <c r="B9289" i="1"/>
  <c r="C9289" i="1"/>
  <c r="D9289" i="1"/>
  <c r="A9290" i="1"/>
  <c r="B9290" i="1"/>
  <c r="C9290" i="1"/>
  <c r="D9290" i="1"/>
  <c r="A9291" i="1"/>
  <c r="B9291" i="1"/>
  <c r="C9291" i="1"/>
  <c r="D9291" i="1"/>
  <c r="A9292" i="1"/>
  <c r="B9292" i="1"/>
  <c r="C9292" i="1"/>
  <c r="D9292" i="1"/>
  <c r="A9293" i="1"/>
  <c r="B9293" i="1"/>
  <c r="C9293" i="1"/>
  <c r="D9293" i="1"/>
  <c r="A9294" i="1"/>
  <c r="B9294" i="1"/>
  <c r="C9294" i="1"/>
  <c r="D9294" i="1"/>
  <c r="A9295" i="1"/>
  <c r="B9295" i="1"/>
  <c r="C9295" i="1"/>
  <c r="D9295" i="1"/>
  <c r="A9296" i="1"/>
  <c r="B9296" i="1"/>
  <c r="C9296" i="1"/>
  <c r="D9296" i="1"/>
  <c r="A9297" i="1"/>
  <c r="B9297" i="1"/>
  <c r="C9297" i="1"/>
  <c r="D9297" i="1"/>
  <c r="A9298" i="1"/>
  <c r="B9298" i="1"/>
  <c r="C9298" i="1"/>
  <c r="D9298" i="1"/>
  <c r="A9299" i="1"/>
  <c r="B9299" i="1"/>
  <c r="C9299" i="1"/>
  <c r="D9299" i="1"/>
  <c r="A9300" i="1"/>
  <c r="B9300" i="1"/>
  <c r="C9300" i="1"/>
  <c r="D9300" i="1"/>
  <c r="A9301" i="1"/>
  <c r="B9301" i="1"/>
  <c r="C9301" i="1"/>
  <c r="D9301" i="1"/>
  <c r="A9302" i="1"/>
  <c r="B9302" i="1"/>
  <c r="C9302" i="1"/>
  <c r="D9302" i="1"/>
  <c r="A9303" i="1"/>
  <c r="B9303" i="1"/>
  <c r="C9303" i="1"/>
  <c r="D9303" i="1"/>
  <c r="A9304" i="1"/>
  <c r="B9304" i="1"/>
  <c r="C9304" i="1"/>
  <c r="D9304" i="1"/>
  <c r="A9305" i="1"/>
  <c r="B9305" i="1"/>
  <c r="C9305" i="1"/>
  <c r="D9305" i="1"/>
  <c r="A9306" i="1"/>
  <c r="B9306" i="1"/>
  <c r="C9306" i="1"/>
  <c r="D9306" i="1"/>
  <c r="A9307" i="1"/>
  <c r="B9307" i="1"/>
  <c r="C9307" i="1"/>
  <c r="D9307" i="1"/>
  <c r="A9308" i="1"/>
  <c r="B9308" i="1"/>
  <c r="C9308" i="1"/>
  <c r="D9308" i="1"/>
  <c r="A9309" i="1"/>
  <c r="B9309" i="1"/>
  <c r="C9309" i="1"/>
  <c r="D9309" i="1"/>
  <c r="A9310" i="1"/>
  <c r="B9310" i="1"/>
  <c r="C9310" i="1"/>
  <c r="D9310" i="1"/>
  <c r="A9311" i="1"/>
  <c r="B9311" i="1"/>
  <c r="C9311" i="1"/>
  <c r="D9311" i="1"/>
  <c r="A9312" i="1"/>
  <c r="B9312" i="1"/>
  <c r="C9312" i="1"/>
  <c r="D9312" i="1"/>
  <c r="A9313" i="1"/>
  <c r="B9313" i="1"/>
  <c r="C9313" i="1"/>
  <c r="D9313" i="1"/>
  <c r="A9314" i="1"/>
  <c r="B9314" i="1"/>
  <c r="C9314" i="1"/>
  <c r="D9314" i="1"/>
  <c r="A9315" i="1"/>
  <c r="B9315" i="1"/>
  <c r="C9315" i="1"/>
  <c r="D9315" i="1"/>
  <c r="A9316" i="1"/>
  <c r="B9316" i="1"/>
  <c r="C9316" i="1"/>
  <c r="D9316" i="1"/>
  <c r="A9317" i="1"/>
  <c r="B9317" i="1"/>
  <c r="C9317" i="1"/>
  <c r="D9317" i="1"/>
  <c r="A9318" i="1"/>
  <c r="B9318" i="1"/>
  <c r="C9318" i="1"/>
  <c r="D9318" i="1"/>
  <c r="A9319" i="1"/>
  <c r="B9319" i="1"/>
  <c r="C9319" i="1"/>
  <c r="D9319" i="1"/>
  <c r="A9320" i="1"/>
  <c r="B9320" i="1"/>
  <c r="C9320" i="1"/>
  <c r="D9320" i="1"/>
  <c r="A9321" i="1"/>
  <c r="B9321" i="1"/>
  <c r="C9321" i="1"/>
  <c r="D9321" i="1"/>
  <c r="A9322" i="1"/>
  <c r="B9322" i="1"/>
  <c r="C9322" i="1"/>
  <c r="D9322" i="1"/>
  <c r="A9323" i="1"/>
  <c r="B9323" i="1"/>
  <c r="C9323" i="1"/>
  <c r="D9323" i="1"/>
  <c r="A9324" i="1"/>
  <c r="B9324" i="1"/>
  <c r="C9324" i="1"/>
  <c r="D9324" i="1"/>
  <c r="A9325" i="1"/>
  <c r="B9325" i="1"/>
  <c r="C9325" i="1"/>
  <c r="D9325" i="1"/>
  <c r="A9326" i="1"/>
  <c r="B9326" i="1"/>
  <c r="C9326" i="1"/>
  <c r="D9326" i="1"/>
  <c r="A9327" i="1"/>
  <c r="B9327" i="1"/>
  <c r="C9327" i="1"/>
  <c r="D9327" i="1"/>
  <c r="A9328" i="1"/>
  <c r="B9328" i="1"/>
  <c r="C9328" i="1"/>
  <c r="D9328" i="1"/>
  <c r="A9329" i="1"/>
  <c r="B9329" i="1"/>
  <c r="C9329" i="1"/>
  <c r="D9329" i="1"/>
  <c r="A9330" i="1"/>
  <c r="B9330" i="1"/>
  <c r="C9330" i="1"/>
  <c r="D9330" i="1"/>
  <c r="A9331" i="1"/>
  <c r="B9331" i="1"/>
  <c r="C9331" i="1"/>
  <c r="D9331" i="1"/>
  <c r="A9332" i="1"/>
  <c r="B9332" i="1"/>
  <c r="C9332" i="1"/>
  <c r="D9332" i="1"/>
  <c r="A9333" i="1"/>
  <c r="B9333" i="1"/>
  <c r="C9333" i="1"/>
  <c r="D9333" i="1"/>
  <c r="A9334" i="1"/>
  <c r="B9334" i="1"/>
  <c r="C9334" i="1"/>
  <c r="D9334" i="1"/>
  <c r="A9335" i="1"/>
  <c r="B9335" i="1"/>
  <c r="C9335" i="1"/>
  <c r="D9335" i="1"/>
  <c r="A9336" i="1"/>
  <c r="B9336" i="1"/>
  <c r="C9336" i="1"/>
  <c r="D9336" i="1"/>
  <c r="A9337" i="1"/>
  <c r="B9337" i="1"/>
  <c r="C9337" i="1"/>
  <c r="D9337" i="1"/>
  <c r="A9338" i="1"/>
  <c r="B9338" i="1"/>
  <c r="C9338" i="1"/>
  <c r="D9338" i="1"/>
  <c r="A9339" i="1"/>
  <c r="B9339" i="1"/>
  <c r="C9339" i="1"/>
  <c r="D9339" i="1"/>
  <c r="A9340" i="1"/>
  <c r="B9340" i="1"/>
  <c r="C9340" i="1"/>
  <c r="D9340" i="1"/>
  <c r="A9341" i="1"/>
  <c r="B9341" i="1"/>
  <c r="C9341" i="1"/>
  <c r="D9341" i="1"/>
  <c r="A9342" i="1"/>
  <c r="B9342" i="1"/>
  <c r="C9342" i="1"/>
  <c r="D9342" i="1"/>
  <c r="A9343" i="1"/>
  <c r="B9343" i="1"/>
  <c r="C9343" i="1"/>
  <c r="D9343" i="1"/>
  <c r="A9344" i="1"/>
  <c r="B9344" i="1"/>
  <c r="C9344" i="1"/>
  <c r="D9344" i="1"/>
  <c r="A9345" i="1"/>
  <c r="B9345" i="1"/>
  <c r="C9345" i="1"/>
  <c r="D9345" i="1"/>
  <c r="A9346" i="1"/>
  <c r="B9346" i="1"/>
  <c r="C9346" i="1"/>
  <c r="D9346" i="1"/>
  <c r="A9347" i="1"/>
  <c r="B9347" i="1"/>
  <c r="C9347" i="1"/>
  <c r="D9347" i="1"/>
  <c r="A9348" i="1"/>
  <c r="B9348" i="1"/>
  <c r="C9348" i="1"/>
  <c r="D9348" i="1"/>
  <c r="A9349" i="1"/>
  <c r="B9349" i="1"/>
  <c r="C9349" i="1"/>
  <c r="D9349" i="1"/>
  <c r="A9350" i="1"/>
  <c r="B9350" i="1"/>
  <c r="C9350" i="1"/>
  <c r="D9350" i="1"/>
  <c r="A9351" i="1"/>
  <c r="B9351" i="1"/>
  <c r="C9351" i="1"/>
  <c r="D9351" i="1"/>
  <c r="A9352" i="1"/>
  <c r="B9352" i="1"/>
  <c r="C9352" i="1"/>
  <c r="D9352" i="1"/>
  <c r="A9353" i="1"/>
  <c r="B9353" i="1"/>
  <c r="C9353" i="1"/>
  <c r="D9353" i="1"/>
  <c r="A9354" i="1"/>
  <c r="B9354" i="1"/>
  <c r="C9354" i="1"/>
  <c r="D9354" i="1"/>
  <c r="A9355" i="1"/>
  <c r="B9355" i="1"/>
  <c r="C9355" i="1"/>
  <c r="D9355" i="1"/>
  <c r="A9356" i="1"/>
  <c r="B9356" i="1"/>
  <c r="C9356" i="1"/>
  <c r="D9356" i="1"/>
  <c r="A9357" i="1"/>
  <c r="B9357" i="1"/>
  <c r="C9357" i="1"/>
  <c r="D9357" i="1"/>
  <c r="A9358" i="1"/>
  <c r="B9358" i="1"/>
  <c r="C9358" i="1"/>
  <c r="D9358" i="1"/>
  <c r="A9359" i="1"/>
  <c r="B9359" i="1"/>
  <c r="C9359" i="1"/>
  <c r="D9359" i="1"/>
  <c r="A9360" i="1"/>
  <c r="B9360" i="1"/>
  <c r="C9360" i="1"/>
  <c r="D9360" i="1"/>
  <c r="A9361" i="1"/>
  <c r="B9361" i="1"/>
  <c r="C9361" i="1"/>
  <c r="D9361" i="1"/>
  <c r="A9362" i="1"/>
  <c r="B9362" i="1"/>
  <c r="C9362" i="1"/>
  <c r="D9362" i="1"/>
  <c r="A9363" i="1"/>
  <c r="B9363" i="1"/>
  <c r="C9363" i="1"/>
  <c r="D9363" i="1"/>
  <c r="A9364" i="1"/>
  <c r="B9364" i="1"/>
  <c r="C9364" i="1"/>
  <c r="D9364" i="1"/>
  <c r="A9365" i="1"/>
  <c r="B9365" i="1"/>
  <c r="C9365" i="1"/>
  <c r="D9365" i="1"/>
  <c r="A9366" i="1"/>
  <c r="B9366" i="1"/>
  <c r="C9366" i="1"/>
  <c r="D9366" i="1"/>
  <c r="A9367" i="1"/>
  <c r="B9367" i="1"/>
  <c r="C9367" i="1"/>
  <c r="D9367" i="1"/>
  <c r="A9368" i="1"/>
  <c r="B9368" i="1"/>
  <c r="C9368" i="1"/>
  <c r="D9368" i="1"/>
  <c r="A9369" i="1"/>
  <c r="B9369" i="1"/>
  <c r="C9369" i="1"/>
  <c r="D9369" i="1"/>
  <c r="A9370" i="1"/>
  <c r="B9370" i="1"/>
  <c r="C9370" i="1"/>
  <c r="D9370" i="1"/>
  <c r="A9371" i="1"/>
  <c r="B9371" i="1"/>
  <c r="C9371" i="1"/>
  <c r="D9371" i="1"/>
  <c r="A9372" i="1"/>
  <c r="B9372" i="1"/>
  <c r="C9372" i="1"/>
  <c r="D9372" i="1"/>
  <c r="A9373" i="1"/>
  <c r="B9373" i="1"/>
  <c r="C9373" i="1"/>
  <c r="D9373" i="1"/>
  <c r="A9374" i="1"/>
  <c r="B9374" i="1"/>
  <c r="C9374" i="1"/>
  <c r="D9374" i="1"/>
  <c r="A9375" i="1"/>
  <c r="B9375" i="1"/>
  <c r="C9375" i="1"/>
  <c r="D9375" i="1"/>
  <c r="A9376" i="1"/>
  <c r="B9376" i="1"/>
  <c r="C9376" i="1"/>
  <c r="D9376" i="1"/>
  <c r="A9377" i="1"/>
  <c r="B9377" i="1"/>
  <c r="C9377" i="1"/>
  <c r="D9377" i="1"/>
  <c r="A9378" i="1"/>
  <c r="B9378" i="1"/>
  <c r="C9378" i="1"/>
  <c r="D9378" i="1"/>
  <c r="A9379" i="1"/>
  <c r="B9379" i="1"/>
  <c r="C9379" i="1"/>
  <c r="A9380" i="1"/>
  <c r="B9380" i="1"/>
  <c r="C9380" i="1"/>
  <c r="D9380" i="1"/>
  <c r="A9381" i="1"/>
  <c r="B9381" i="1"/>
  <c r="C9381" i="1"/>
  <c r="D9381" i="1"/>
  <c r="A9382" i="1"/>
  <c r="B9382" i="1"/>
  <c r="C9382" i="1"/>
  <c r="D9382" i="1"/>
  <c r="A9383" i="1"/>
  <c r="B9383" i="1"/>
  <c r="C9383" i="1"/>
  <c r="D9383" i="1"/>
  <c r="A9384" i="1"/>
  <c r="B9384" i="1"/>
  <c r="C9384" i="1"/>
  <c r="D9384" i="1"/>
  <c r="A9385" i="1"/>
  <c r="B9385" i="1"/>
  <c r="C9385" i="1"/>
  <c r="D9385" i="1"/>
  <c r="A9386" i="1"/>
  <c r="B9386" i="1"/>
  <c r="C9386" i="1"/>
  <c r="D9386" i="1"/>
  <c r="A9387" i="1"/>
  <c r="B9387" i="1"/>
  <c r="C9387" i="1"/>
  <c r="D9387" i="1"/>
  <c r="A9388" i="1"/>
  <c r="B9388" i="1"/>
  <c r="C9388" i="1"/>
  <c r="D9388" i="1"/>
  <c r="A9389" i="1"/>
  <c r="B9389" i="1"/>
  <c r="C9389" i="1"/>
  <c r="D9389" i="1"/>
  <c r="A9390" i="1"/>
  <c r="B9390" i="1"/>
  <c r="C9390" i="1"/>
  <c r="D9390" i="1"/>
  <c r="A9391" i="1"/>
  <c r="B9391" i="1"/>
  <c r="C9391" i="1"/>
  <c r="D9391" i="1"/>
  <c r="A9392" i="1"/>
  <c r="B9392" i="1"/>
  <c r="C9392" i="1"/>
  <c r="D9392" i="1"/>
  <c r="A9393" i="1"/>
  <c r="B9393" i="1"/>
  <c r="C9393" i="1"/>
  <c r="D9393" i="1"/>
  <c r="A9394" i="1"/>
  <c r="B9394" i="1"/>
  <c r="C9394" i="1"/>
  <c r="A9395" i="1"/>
  <c r="B9395" i="1"/>
  <c r="C9395" i="1"/>
  <c r="D9395" i="1"/>
  <c r="A9396" i="1"/>
  <c r="B9396" i="1"/>
  <c r="C9396" i="1"/>
  <c r="D9396" i="1"/>
  <c r="A9397" i="1"/>
  <c r="B9397" i="1"/>
  <c r="C9397" i="1"/>
  <c r="D9397" i="1"/>
  <c r="A9398" i="1"/>
  <c r="B9398" i="1"/>
  <c r="C9398" i="1"/>
  <c r="D9398" i="1"/>
  <c r="A9399" i="1"/>
  <c r="B9399" i="1"/>
  <c r="C9399" i="1"/>
  <c r="D9399" i="1"/>
  <c r="A9400" i="1"/>
  <c r="B9400" i="1"/>
  <c r="C9400" i="1"/>
  <c r="D9400" i="1"/>
  <c r="A9401" i="1"/>
  <c r="B9401" i="1"/>
  <c r="C9401" i="1"/>
  <c r="D9401" i="1"/>
  <c r="A9402" i="1"/>
  <c r="B9402" i="1"/>
  <c r="C9402" i="1"/>
  <c r="D9402" i="1"/>
  <c r="A9403" i="1"/>
  <c r="B9403" i="1"/>
  <c r="C9403" i="1"/>
  <c r="D9403" i="1"/>
  <c r="A9404" i="1"/>
  <c r="B9404" i="1"/>
  <c r="C9404" i="1"/>
  <c r="D9404" i="1"/>
  <c r="A9405" i="1"/>
  <c r="B9405" i="1"/>
  <c r="C9405" i="1"/>
  <c r="D9405" i="1"/>
  <c r="A9406" i="1"/>
  <c r="B9406" i="1"/>
  <c r="C9406" i="1"/>
  <c r="D9406" i="1"/>
  <c r="A9407" i="1"/>
  <c r="B9407" i="1"/>
  <c r="C9407" i="1"/>
  <c r="D9407" i="1"/>
  <c r="A9408" i="1"/>
  <c r="B9408" i="1"/>
  <c r="C9408" i="1"/>
  <c r="D9408" i="1"/>
  <c r="A9409" i="1"/>
  <c r="B9409" i="1"/>
  <c r="C9409" i="1"/>
  <c r="D9409" i="1"/>
  <c r="A9410" i="1"/>
  <c r="B9410" i="1"/>
  <c r="C9410" i="1"/>
  <c r="D9410" i="1"/>
  <c r="A9411" i="1"/>
  <c r="B9411" i="1"/>
  <c r="C9411" i="1"/>
  <c r="D9411" i="1"/>
  <c r="A9412" i="1"/>
  <c r="B9412" i="1"/>
  <c r="C9412" i="1"/>
  <c r="D9412" i="1"/>
  <c r="A9413" i="1"/>
  <c r="B9413" i="1"/>
  <c r="C9413" i="1"/>
  <c r="D9413" i="1"/>
  <c r="A9414" i="1"/>
  <c r="B9414" i="1"/>
  <c r="C9414" i="1"/>
  <c r="A9415" i="1"/>
  <c r="B9415" i="1"/>
  <c r="C9415" i="1"/>
  <c r="D9415" i="1"/>
  <c r="A9416" i="1"/>
  <c r="B9416" i="1"/>
  <c r="C9416" i="1"/>
  <c r="D9416" i="1"/>
  <c r="A9417" i="1"/>
  <c r="B9417" i="1"/>
  <c r="C9417" i="1"/>
  <c r="D9417" i="1"/>
  <c r="A9418" i="1"/>
  <c r="B9418" i="1"/>
  <c r="C9418" i="1"/>
  <c r="D9418" i="1"/>
  <c r="A9419" i="1"/>
  <c r="B9419" i="1"/>
  <c r="C9419" i="1"/>
  <c r="D9419" i="1"/>
  <c r="A9420" i="1"/>
  <c r="B9420" i="1"/>
  <c r="C9420" i="1"/>
  <c r="D9420" i="1"/>
  <c r="A9421" i="1"/>
  <c r="B9421" i="1"/>
  <c r="C9421" i="1"/>
  <c r="D9421" i="1"/>
  <c r="A9422" i="1"/>
  <c r="B9422" i="1"/>
  <c r="C9422" i="1"/>
  <c r="D9422" i="1"/>
  <c r="A9423" i="1"/>
  <c r="B9423" i="1"/>
  <c r="C9423" i="1"/>
  <c r="D9423" i="1"/>
  <c r="A9424" i="1"/>
  <c r="B9424" i="1"/>
  <c r="C9424" i="1"/>
  <c r="D9424" i="1"/>
  <c r="A9425" i="1"/>
  <c r="B9425" i="1"/>
  <c r="C9425" i="1"/>
  <c r="D9425" i="1"/>
  <c r="A9426" i="1"/>
  <c r="B9426" i="1"/>
  <c r="C9426" i="1"/>
  <c r="D9426" i="1"/>
  <c r="A9427" i="1"/>
  <c r="B9427" i="1"/>
  <c r="C9427" i="1"/>
  <c r="D9427" i="1"/>
  <c r="A9428" i="1"/>
  <c r="B9428" i="1"/>
  <c r="C9428" i="1"/>
  <c r="D9428" i="1"/>
  <c r="A9429" i="1"/>
  <c r="B9429" i="1"/>
  <c r="C9429" i="1"/>
  <c r="D9429" i="1"/>
  <c r="A9430" i="1"/>
  <c r="B9430" i="1"/>
  <c r="C9430" i="1"/>
  <c r="D9430" i="1"/>
  <c r="A9431" i="1"/>
  <c r="B9431" i="1"/>
  <c r="C9431" i="1"/>
  <c r="A9432" i="1"/>
  <c r="B9432" i="1"/>
  <c r="C9432" i="1"/>
  <c r="D9432" i="1"/>
  <c r="A9433" i="1"/>
  <c r="B9433" i="1"/>
  <c r="C9433" i="1"/>
  <c r="D9433" i="1"/>
  <c r="A9434" i="1"/>
  <c r="B9434" i="1"/>
  <c r="C9434" i="1"/>
  <c r="D9434" i="1"/>
  <c r="A9435" i="1"/>
  <c r="B9435" i="1"/>
  <c r="C9435" i="1"/>
  <c r="D9435" i="1"/>
  <c r="A9436" i="1"/>
  <c r="B9436" i="1"/>
  <c r="C9436" i="1"/>
  <c r="D9436" i="1"/>
  <c r="A9437" i="1"/>
  <c r="B9437" i="1"/>
  <c r="C9437" i="1"/>
  <c r="D9437" i="1"/>
  <c r="A9438" i="1"/>
  <c r="B9438" i="1"/>
  <c r="C9438" i="1"/>
  <c r="D9438" i="1"/>
  <c r="A9439" i="1"/>
  <c r="B9439" i="1"/>
  <c r="C9439" i="1"/>
  <c r="D9439" i="1"/>
  <c r="A9440" i="1"/>
  <c r="B9440" i="1"/>
  <c r="C9440" i="1"/>
  <c r="D9440" i="1"/>
  <c r="A9441" i="1"/>
  <c r="B9441" i="1"/>
  <c r="C9441" i="1"/>
  <c r="D9441" i="1"/>
  <c r="A9442" i="1"/>
  <c r="B9442" i="1"/>
  <c r="C9442" i="1"/>
  <c r="D9442" i="1"/>
  <c r="A9443" i="1"/>
  <c r="B9443" i="1"/>
  <c r="C9443" i="1"/>
  <c r="D9443" i="1"/>
  <c r="A9444" i="1"/>
  <c r="B9444" i="1"/>
  <c r="C9444" i="1"/>
  <c r="D9444" i="1"/>
  <c r="A9445" i="1"/>
  <c r="B9445" i="1"/>
  <c r="C9445" i="1"/>
  <c r="D9445" i="1"/>
  <c r="A9446" i="1"/>
  <c r="B9446" i="1"/>
  <c r="C9446" i="1"/>
  <c r="D9446" i="1"/>
  <c r="A9447" i="1"/>
  <c r="B9447" i="1"/>
  <c r="C9447" i="1"/>
  <c r="D9447" i="1"/>
  <c r="A9448" i="1"/>
  <c r="B9448" i="1"/>
  <c r="C9448" i="1"/>
  <c r="D9448" i="1"/>
  <c r="A9449" i="1"/>
  <c r="B9449" i="1"/>
  <c r="C9449" i="1"/>
  <c r="D9449" i="1"/>
  <c r="A9450" i="1"/>
  <c r="B9450" i="1"/>
  <c r="C9450" i="1"/>
  <c r="D9450" i="1"/>
  <c r="A9451" i="1"/>
  <c r="B9451" i="1"/>
  <c r="C9451" i="1"/>
  <c r="D9451" i="1"/>
  <c r="A9452" i="1"/>
  <c r="B9452" i="1"/>
  <c r="C9452" i="1"/>
  <c r="D9452" i="1"/>
  <c r="A9453" i="1"/>
  <c r="B9453" i="1"/>
  <c r="C9453" i="1"/>
  <c r="D9453" i="1"/>
  <c r="A9454" i="1"/>
  <c r="B9454" i="1"/>
  <c r="C9454" i="1"/>
  <c r="D9454" i="1"/>
  <c r="A9455" i="1"/>
  <c r="B9455" i="1"/>
  <c r="C9455" i="1"/>
  <c r="D9455" i="1"/>
  <c r="A9456" i="1"/>
  <c r="B9456" i="1"/>
  <c r="C9456" i="1"/>
  <c r="D9456" i="1"/>
  <c r="A9457" i="1"/>
  <c r="B9457" i="1"/>
  <c r="C9457" i="1"/>
  <c r="D9457" i="1"/>
  <c r="A9458" i="1"/>
  <c r="B9458" i="1"/>
  <c r="C9458" i="1"/>
  <c r="D9458" i="1"/>
  <c r="A9459" i="1"/>
  <c r="B9459" i="1"/>
  <c r="C9459" i="1"/>
  <c r="D9459" i="1"/>
  <c r="A9460" i="1"/>
  <c r="B9460" i="1"/>
  <c r="C9460" i="1"/>
  <c r="D9460" i="1"/>
  <c r="A9461" i="1"/>
  <c r="B9461" i="1"/>
  <c r="C9461" i="1"/>
  <c r="D9461" i="1"/>
  <c r="A9462" i="1"/>
  <c r="B9462" i="1"/>
  <c r="C9462" i="1"/>
  <c r="D9462" i="1"/>
  <c r="A9463" i="1"/>
  <c r="B9463" i="1"/>
  <c r="C9463" i="1"/>
  <c r="D9463" i="1"/>
  <c r="A9464" i="1"/>
  <c r="B9464" i="1"/>
  <c r="C9464" i="1"/>
  <c r="D9464" i="1"/>
  <c r="A9465" i="1"/>
  <c r="B9465" i="1"/>
  <c r="C9465" i="1"/>
  <c r="D9465" i="1"/>
  <c r="A9466" i="1"/>
  <c r="B9466" i="1"/>
  <c r="C9466" i="1"/>
  <c r="D9466" i="1"/>
  <c r="A9467" i="1"/>
  <c r="B9467" i="1"/>
  <c r="C9467" i="1"/>
  <c r="D9467" i="1"/>
  <c r="A9468" i="1"/>
  <c r="B9468" i="1"/>
  <c r="C9468" i="1"/>
  <c r="D9468" i="1"/>
  <c r="A9469" i="1"/>
  <c r="B9469" i="1"/>
  <c r="C9469" i="1"/>
  <c r="D9469" i="1"/>
  <c r="A9470" i="1"/>
  <c r="B9470" i="1"/>
  <c r="C9470" i="1"/>
  <c r="D9470" i="1"/>
  <c r="A9471" i="1"/>
  <c r="B9471" i="1"/>
  <c r="C9471" i="1"/>
  <c r="D9471" i="1"/>
  <c r="A9472" i="1"/>
  <c r="B9472" i="1"/>
  <c r="C9472" i="1"/>
  <c r="D9472" i="1"/>
  <c r="A9473" i="1"/>
  <c r="B9473" i="1"/>
  <c r="C9473" i="1"/>
  <c r="D9473" i="1"/>
  <c r="A9474" i="1"/>
  <c r="B9474" i="1"/>
  <c r="C9474" i="1"/>
  <c r="D9474" i="1"/>
  <c r="A9475" i="1"/>
  <c r="B9475" i="1"/>
  <c r="C9475" i="1"/>
  <c r="D9475" i="1"/>
  <c r="A9476" i="1"/>
  <c r="B9476" i="1"/>
  <c r="C9476" i="1"/>
  <c r="D9476" i="1"/>
  <c r="A9477" i="1"/>
  <c r="B9477" i="1"/>
  <c r="C9477" i="1"/>
  <c r="D9477" i="1"/>
  <c r="A9478" i="1"/>
  <c r="B9478" i="1"/>
  <c r="C9478" i="1"/>
  <c r="D9478" i="1"/>
  <c r="A9479" i="1"/>
  <c r="B9479" i="1"/>
  <c r="C9479" i="1"/>
  <c r="D9479" i="1"/>
  <c r="A9480" i="1"/>
  <c r="B9480" i="1"/>
  <c r="C9480" i="1"/>
  <c r="D9480" i="1"/>
  <c r="A9481" i="1"/>
  <c r="B9481" i="1"/>
  <c r="C9481" i="1"/>
  <c r="D9481" i="1"/>
  <c r="A9482" i="1"/>
  <c r="B9482" i="1"/>
  <c r="C9482" i="1"/>
  <c r="D9482" i="1"/>
  <c r="A9483" i="1"/>
  <c r="B9483" i="1"/>
  <c r="C9483" i="1"/>
  <c r="D9483" i="1"/>
  <c r="A9484" i="1"/>
  <c r="B9484" i="1"/>
  <c r="C9484" i="1"/>
  <c r="D9484" i="1"/>
  <c r="A9485" i="1"/>
  <c r="B9485" i="1"/>
  <c r="C9485" i="1"/>
  <c r="D9485" i="1"/>
  <c r="A9486" i="1"/>
  <c r="B9486" i="1"/>
  <c r="C9486" i="1"/>
  <c r="D9486" i="1"/>
  <c r="A9487" i="1"/>
  <c r="B9487" i="1"/>
  <c r="C9487" i="1"/>
  <c r="D9487" i="1"/>
  <c r="A9488" i="1"/>
  <c r="B9488" i="1"/>
  <c r="C9488" i="1"/>
  <c r="D9488" i="1"/>
  <c r="A9489" i="1"/>
  <c r="B9489" i="1"/>
  <c r="C9489" i="1"/>
  <c r="D9489" i="1"/>
  <c r="A9490" i="1"/>
  <c r="B9490" i="1"/>
  <c r="C9490" i="1"/>
  <c r="D9490" i="1"/>
  <c r="A9491" i="1"/>
  <c r="B9491" i="1"/>
  <c r="C9491" i="1"/>
  <c r="D9491" i="1"/>
  <c r="A9492" i="1"/>
  <c r="B9492" i="1"/>
  <c r="C9492" i="1"/>
  <c r="D9492" i="1"/>
  <c r="A9493" i="1"/>
  <c r="B9493" i="1"/>
  <c r="C9493" i="1"/>
  <c r="D9493" i="1"/>
  <c r="A9494" i="1"/>
  <c r="B9494" i="1"/>
  <c r="C9494" i="1"/>
  <c r="D9494" i="1"/>
  <c r="A9495" i="1"/>
  <c r="B9495" i="1"/>
  <c r="C9495" i="1"/>
  <c r="D9495" i="1"/>
  <c r="A9496" i="1"/>
  <c r="B9496" i="1"/>
  <c r="C9496" i="1"/>
  <c r="D9496" i="1"/>
  <c r="A9497" i="1"/>
  <c r="B9497" i="1"/>
  <c r="C9497" i="1"/>
  <c r="D9497" i="1"/>
  <c r="A9498" i="1"/>
  <c r="B9498" i="1"/>
  <c r="C9498" i="1"/>
  <c r="D9498" i="1"/>
  <c r="A9499" i="1"/>
  <c r="B9499" i="1"/>
  <c r="C9499" i="1"/>
  <c r="D9499" i="1"/>
  <c r="A9500" i="1"/>
  <c r="B9500" i="1"/>
  <c r="C9500" i="1"/>
  <c r="D9500" i="1"/>
  <c r="A9501" i="1"/>
  <c r="B9501" i="1"/>
  <c r="C9501" i="1"/>
  <c r="D9501" i="1"/>
  <c r="A9502" i="1"/>
  <c r="B9502" i="1"/>
  <c r="C9502" i="1"/>
  <c r="D9502" i="1"/>
  <c r="A9503" i="1"/>
  <c r="B9503" i="1"/>
  <c r="C9503" i="1"/>
  <c r="D9503" i="1"/>
  <c r="A9504" i="1"/>
  <c r="B9504" i="1"/>
  <c r="C9504" i="1"/>
  <c r="D9504" i="1"/>
  <c r="A9505" i="1"/>
  <c r="B9505" i="1"/>
  <c r="C9505" i="1"/>
  <c r="D9505" i="1"/>
  <c r="A9506" i="1"/>
  <c r="B9506" i="1"/>
  <c r="C9506" i="1"/>
  <c r="D9506" i="1"/>
  <c r="A9507" i="1"/>
  <c r="B9507" i="1"/>
  <c r="C9507" i="1"/>
  <c r="D9507" i="1"/>
  <c r="A9508" i="1"/>
  <c r="B9508" i="1"/>
  <c r="C9508" i="1"/>
  <c r="D9508" i="1"/>
  <c r="A9509" i="1"/>
  <c r="B9509" i="1"/>
  <c r="C9509" i="1"/>
  <c r="D9509" i="1"/>
  <c r="A9510" i="1"/>
  <c r="B9510" i="1"/>
  <c r="C9510" i="1"/>
  <c r="D9510" i="1"/>
  <c r="A9511" i="1"/>
  <c r="B9511" i="1"/>
  <c r="C9511" i="1"/>
  <c r="D9511" i="1"/>
  <c r="A9512" i="1"/>
  <c r="B9512" i="1"/>
  <c r="C9512" i="1"/>
  <c r="D9512" i="1"/>
  <c r="A9513" i="1"/>
  <c r="B9513" i="1"/>
  <c r="C9513" i="1"/>
  <c r="D9513" i="1"/>
  <c r="A9514" i="1"/>
  <c r="B9514" i="1"/>
  <c r="C9514" i="1"/>
  <c r="D9514" i="1"/>
  <c r="A9515" i="1"/>
  <c r="B9515" i="1"/>
  <c r="C9515" i="1"/>
  <c r="D9515" i="1"/>
  <c r="A9516" i="1"/>
  <c r="B9516" i="1"/>
  <c r="C9516" i="1"/>
  <c r="D9516" i="1"/>
  <c r="A9517" i="1"/>
  <c r="B9517" i="1"/>
  <c r="C9517" i="1"/>
  <c r="D9517" i="1"/>
  <c r="A9518" i="1"/>
  <c r="B9518" i="1"/>
  <c r="C9518" i="1"/>
  <c r="D9518" i="1"/>
  <c r="A9519" i="1"/>
  <c r="B9519" i="1"/>
  <c r="C9519" i="1"/>
  <c r="D9519" i="1"/>
  <c r="A9520" i="1"/>
  <c r="B9520" i="1"/>
  <c r="C9520" i="1"/>
  <c r="D9520" i="1"/>
  <c r="A9521" i="1"/>
  <c r="B9521" i="1"/>
  <c r="C9521" i="1"/>
  <c r="D9521" i="1"/>
  <c r="A9522" i="1"/>
  <c r="B9522" i="1"/>
  <c r="C9522" i="1"/>
  <c r="D9522" i="1"/>
  <c r="A9523" i="1"/>
  <c r="B9523" i="1"/>
  <c r="C9523" i="1"/>
  <c r="D9523" i="1"/>
  <c r="A9524" i="1"/>
  <c r="B9524" i="1"/>
  <c r="C9524" i="1"/>
  <c r="D9524" i="1"/>
  <c r="A9525" i="1"/>
  <c r="B9525" i="1"/>
  <c r="C9525" i="1"/>
  <c r="D9525" i="1"/>
  <c r="A9526" i="1"/>
  <c r="B9526" i="1"/>
  <c r="C9526" i="1"/>
  <c r="D9526" i="1"/>
  <c r="A9527" i="1"/>
  <c r="B9527" i="1"/>
  <c r="C9527" i="1"/>
  <c r="D9527" i="1"/>
  <c r="A9528" i="1"/>
  <c r="B9528" i="1"/>
  <c r="C9528" i="1"/>
  <c r="D9528" i="1"/>
  <c r="A9529" i="1"/>
  <c r="B9529" i="1"/>
  <c r="C9529" i="1"/>
  <c r="D9529" i="1"/>
  <c r="A9530" i="1"/>
  <c r="B9530" i="1"/>
  <c r="C9530" i="1"/>
  <c r="D9530" i="1"/>
  <c r="A9531" i="1"/>
  <c r="B9531" i="1"/>
  <c r="C9531" i="1"/>
  <c r="D9531" i="1"/>
  <c r="A9532" i="1"/>
  <c r="B9532" i="1"/>
  <c r="C9532" i="1"/>
  <c r="D9532" i="1"/>
  <c r="A9533" i="1"/>
  <c r="B9533" i="1"/>
  <c r="C9533" i="1"/>
  <c r="D9533" i="1"/>
  <c r="A9534" i="1"/>
  <c r="B9534" i="1"/>
  <c r="C9534" i="1"/>
  <c r="D9534" i="1"/>
  <c r="A9535" i="1"/>
  <c r="B9535" i="1"/>
  <c r="C9535" i="1"/>
  <c r="D9535" i="1"/>
  <c r="A9536" i="1"/>
  <c r="B9536" i="1"/>
  <c r="C9536" i="1"/>
  <c r="D9536" i="1"/>
  <c r="A9537" i="1"/>
  <c r="B9537" i="1"/>
  <c r="C9537" i="1"/>
  <c r="D9537" i="1"/>
  <c r="A9538" i="1"/>
  <c r="B9538" i="1"/>
  <c r="C9538" i="1"/>
  <c r="A9539" i="1"/>
  <c r="B9539" i="1"/>
  <c r="C9539" i="1"/>
  <c r="D9539" i="1"/>
  <c r="A9540" i="1"/>
  <c r="B9540" i="1"/>
  <c r="C9540" i="1"/>
  <c r="D9540" i="1"/>
  <c r="A9541" i="1"/>
  <c r="B9541" i="1"/>
  <c r="C9541" i="1"/>
  <c r="D9541" i="1"/>
  <c r="A9542" i="1"/>
  <c r="B9542" i="1"/>
  <c r="C9542" i="1"/>
  <c r="D9542" i="1"/>
  <c r="A9543" i="1"/>
  <c r="B9543" i="1"/>
  <c r="C9543" i="1"/>
  <c r="D9543" i="1"/>
  <c r="A9544" i="1"/>
  <c r="B9544" i="1"/>
  <c r="C9544" i="1"/>
  <c r="D9544" i="1"/>
  <c r="A9545" i="1"/>
  <c r="B9545" i="1"/>
  <c r="C9545" i="1"/>
  <c r="D9545" i="1"/>
  <c r="A9546" i="1"/>
  <c r="B9546" i="1"/>
  <c r="C9546" i="1"/>
  <c r="D9546" i="1"/>
  <c r="A9547" i="1"/>
  <c r="B9547" i="1"/>
  <c r="C9547" i="1"/>
  <c r="D9547" i="1"/>
  <c r="A9548" i="1"/>
  <c r="B9548" i="1"/>
  <c r="C9548" i="1"/>
  <c r="D9548" i="1"/>
  <c r="A9549" i="1"/>
  <c r="B9549" i="1"/>
  <c r="C9549" i="1"/>
  <c r="D9549" i="1"/>
  <c r="A9550" i="1"/>
  <c r="B9550" i="1"/>
  <c r="C9550" i="1"/>
  <c r="D9550" i="1"/>
  <c r="A9551" i="1"/>
  <c r="B9551" i="1"/>
  <c r="C9551" i="1"/>
  <c r="D9551" i="1"/>
  <c r="A9552" i="1"/>
  <c r="B9552" i="1"/>
  <c r="C9552" i="1"/>
  <c r="D9552" i="1"/>
  <c r="A9553" i="1"/>
  <c r="B9553" i="1"/>
  <c r="C9553" i="1"/>
  <c r="D9553" i="1"/>
  <c r="A9554" i="1"/>
  <c r="B9554" i="1"/>
  <c r="C9554" i="1"/>
  <c r="D9554" i="1"/>
  <c r="A9555" i="1"/>
  <c r="B9555" i="1"/>
  <c r="C9555" i="1"/>
  <c r="D9555" i="1"/>
  <c r="A9556" i="1"/>
  <c r="B9556" i="1"/>
  <c r="C9556" i="1"/>
  <c r="D9556" i="1"/>
  <c r="A9557" i="1"/>
  <c r="B9557" i="1"/>
  <c r="C9557" i="1"/>
  <c r="D9557" i="1"/>
  <c r="A9558" i="1"/>
  <c r="B9558" i="1"/>
  <c r="C9558" i="1"/>
  <c r="D9558" i="1"/>
  <c r="A9559" i="1"/>
  <c r="B9559" i="1"/>
  <c r="C9559" i="1"/>
  <c r="D9559" i="1"/>
  <c r="A9560" i="1"/>
  <c r="B9560" i="1"/>
  <c r="C9560" i="1"/>
  <c r="D9560" i="1"/>
  <c r="A9561" i="1"/>
  <c r="B9561" i="1"/>
  <c r="C9561" i="1"/>
  <c r="D9561" i="1"/>
  <c r="A9562" i="1"/>
  <c r="B9562" i="1"/>
  <c r="C9562" i="1"/>
  <c r="D9562" i="1"/>
  <c r="A9563" i="1"/>
  <c r="B9563" i="1"/>
  <c r="C9563" i="1"/>
  <c r="D9563" i="1"/>
  <c r="A9564" i="1"/>
  <c r="B9564" i="1"/>
  <c r="C9564" i="1"/>
  <c r="A9565" i="1"/>
  <c r="B9565" i="1"/>
  <c r="C9565" i="1"/>
  <c r="D9565" i="1"/>
  <c r="A9566" i="1"/>
  <c r="B9566" i="1"/>
  <c r="C9566" i="1"/>
  <c r="D9566" i="1"/>
  <c r="A9567" i="1"/>
  <c r="B9567" i="1"/>
  <c r="C9567" i="1"/>
  <c r="D9567" i="1"/>
  <c r="A9568" i="1"/>
  <c r="B9568" i="1"/>
  <c r="C9568" i="1"/>
  <c r="D9568" i="1"/>
  <c r="A9569" i="1"/>
  <c r="B9569" i="1"/>
  <c r="C9569" i="1"/>
  <c r="D9569" i="1"/>
  <c r="A9570" i="1"/>
  <c r="B9570" i="1"/>
  <c r="C9570" i="1"/>
  <c r="D9570" i="1"/>
  <c r="A9571" i="1"/>
  <c r="B9571" i="1"/>
  <c r="C9571" i="1"/>
  <c r="D9571" i="1"/>
  <c r="A9572" i="1"/>
  <c r="B9572" i="1"/>
  <c r="C9572" i="1"/>
  <c r="D9572" i="1"/>
  <c r="A9573" i="1"/>
  <c r="B9573" i="1"/>
  <c r="C9573" i="1"/>
  <c r="D9573" i="1"/>
  <c r="A9574" i="1"/>
  <c r="B9574" i="1"/>
  <c r="C9574" i="1"/>
  <c r="D9574" i="1"/>
  <c r="A9575" i="1"/>
  <c r="B9575" i="1"/>
  <c r="C9575" i="1"/>
  <c r="D9575" i="1"/>
  <c r="A9576" i="1"/>
  <c r="B9576" i="1"/>
  <c r="C9576" i="1"/>
  <c r="D9576" i="1"/>
  <c r="A9577" i="1"/>
  <c r="B9577" i="1"/>
  <c r="C9577" i="1"/>
  <c r="D9577" i="1"/>
  <c r="A9578" i="1"/>
  <c r="B9578" i="1"/>
  <c r="C9578" i="1"/>
  <c r="D9578" i="1"/>
  <c r="A9579" i="1"/>
  <c r="B9579" i="1"/>
  <c r="C9579" i="1"/>
  <c r="D9579" i="1"/>
  <c r="A9580" i="1"/>
  <c r="B9580" i="1"/>
  <c r="C9580" i="1"/>
  <c r="D9580" i="1"/>
  <c r="A9581" i="1"/>
  <c r="B9581" i="1"/>
  <c r="C9581" i="1"/>
  <c r="D9581" i="1"/>
  <c r="A9582" i="1"/>
  <c r="B9582" i="1"/>
  <c r="C9582" i="1"/>
  <c r="D9582" i="1"/>
  <c r="A9583" i="1"/>
  <c r="B9583" i="1"/>
  <c r="C9583" i="1"/>
  <c r="D9583" i="1"/>
  <c r="A9584" i="1"/>
  <c r="B9584" i="1"/>
  <c r="C9584" i="1"/>
  <c r="D9584" i="1"/>
  <c r="A9585" i="1"/>
  <c r="B9585" i="1"/>
  <c r="C9585" i="1"/>
  <c r="A9586" i="1"/>
  <c r="B9586" i="1"/>
  <c r="C9586" i="1"/>
  <c r="D9586" i="1"/>
  <c r="A9587" i="1"/>
  <c r="B9587" i="1"/>
  <c r="C9587" i="1"/>
  <c r="D9587" i="1"/>
  <c r="A9588" i="1"/>
  <c r="B9588" i="1"/>
  <c r="C9588" i="1"/>
  <c r="D9588" i="1"/>
  <c r="A9589" i="1"/>
  <c r="B9589" i="1"/>
  <c r="C9589" i="1"/>
  <c r="D9589" i="1"/>
  <c r="A9590" i="1"/>
  <c r="B9590" i="1"/>
  <c r="C9590" i="1"/>
  <c r="D9590" i="1"/>
  <c r="A9591" i="1"/>
  <c r="B9591" i="1"/>
  <c r="C9591" i="1"/>
  <c r="D9591" i="1"/>
  <c r="A9592" i="1"/>
  <c r="B9592" i="1"/>
  <c r="C9592" i="1"/>
  <c r="D9592" i="1"/>
  <c r="A9593" i="1"/>
  <c r="B9593" i="1"/>
  <c r="C9593" i="1"/>
  <c r="D9593" i="1"/>
  <c r="A9594" i="1"/>
  <c r="B9594" i="1"/>
  <c r="C9594" i="1"/>
  <c r="D9594" i="1"/>
  <c r="A9595" i="1"/>
  <c r="B9595" i="1"/>
  <c r="C9595" i="1"/>
  <c r="D9595" i="1"/>
  <c r="A9596" i="1"/>
  <c r="B9596" i="1"/>
  <c r="C9596" i="1"/>
  <c r="A9597" i="1"/>
  <c r="B9597" i="1"/>
  <c r="C9597" i="1"/>
  <c r="D9597" i="1"/>
  <c r="A9598" i="1"/>
  <c r="B9598" i="1"/>
  <c r="C9598" i="1"/>
  <c r="D9598" i="1"/>
  <c r="A9599" i="1"/>
  <c r="B9599" i="1"/>
  <c r="C9599" i="1"/>
  <c r="D9599" i="1"/>
  <c r="A9600" i="1"/>
  <c r="B9600" i="1"/>
  <c r="C9600" i="1"/>
  <c r="D9600" i="1"/>
  <c r="A9601" i="1"/>
  <c r="B9601" i="1"/>
  <c r="C9601" i="1"/>
  <c r="D9601" i="1"/>
  <c r="A9602" i="1"/>
  <c r="B9602" i="1"/>
  <c r="C9602" i="1"/>
  <c r="D9602" i="1"/>
  <c r="A9603" i="1"/>
  <c r="B9603" i="1"/>
  <c r="C9603" i="1"/>
  <c r="D9603" i="1"/>
  <c r="A9604" i="1"/>
  <c r="B9604" i="1"/>
  <c r="C9604" i="1"/>
  <c r="D9604" i="1"/>
  <c r="A9605" i="1"/>
  <c r="B9605" i="1"/>
  <c r="C9605" i="1"/>
  <c r="D9605" i="1"/>
  <c r="A9606" i="1"/>
  <c r="B9606" i="1"/>
  <c r="C9606" i="1"/>
  <c r="D9606" i="1"/>
  <c r="A9607" i="1"/>
  <c r="B9607" i="1"/>
  <c r="C9607" i="1"/>
  <c r="D9607" i="1"/>
  <c r="A9608" i="1"/>
  <c r="B9608" i="1"/>
  <c r="C9608" i="1"/>
  <c r="D9608" i="1"/>
  <c r="A9609" i="1"/>
  <c r="B9609" i="1"/>
  <c r="C9609" i="1"/>
  <c r="D9609" i="1"/>
  <c r="A9610" i="1"/>
  <c r="B9610" i="1"/>
  <c r="C9610" i="1"/>
  <c r="D9610" i="1"/>
  <c r="A9611" i="1"/>
  <c r="B9611" i="1"/>
  <c r="C9611" i="1"/>
  <c r="D9611" i="1"/>
  <c r="A9612" i="1"/>
  <c r="B9612" i="1"/>
  <c r="C9612" i="1"/>
  <c r="D9612" i="1"/>
  <c r="A9613" i="1"/>
  <c r="B9613" i="1"/>
  <c r="C9613" i="1"/>
  <c r="D9613" i="1"/>
  <c r="A9614" i="1"/>
  <c r="B9614" i="1"/>
  <c r="C9614" i="1"/>
  <c r="D9614" i="1"/>
  <c r="A9615" i="1"/>
  <c r="B9615" i="1"/>
  <c r="C9615" i="1"/>
  <c r="D9615" i="1"/>
  <c r="A9616" i="1"/>
  <c r="B9616" i="1"/>
  <c r="C9616" i="1"/>
  <c r="D9616" i="1"/>
  <c r="A9617" i="1"/>
  <c r="B9617" i="1"/>
  <c r="C9617" i="1"/>
  <c r="D9617" i="1"/>
  <c r="A9618" i="1"/>
  <c r="B9618" i="1"/>
  <c r="C9618" i="1"/>
  <c r="D9618" i="1"/>
  <c r="A9619" i="1"/>
  <c r="B9619" i="1"/>
  <c r="C9619" i="1"/>
  <c r="D9619" i="1"/>
  <c r="A9620" i="1"/>
  <c r="B9620" i="1"/>
  <c r="C9620" i="1"/>
  <c r="D9620" i="1"/>
  <c r="A9621" i="1"/>
  <c r="B9621" i="1"/>
  <c r="C9621" i="1"/>
  <c r="D9621" i="1"/>
  <c r="A9622" i="1"/>
  <c r="B9622" i="1"/>
  <c r="C9622" i="1"/>
  <c r="D9622" i="1"/>
  <c r="A9623" i="1"/>
  <c r="B9623" i="1"/>
  <c r="C9623" i="1"/>
  <c r="D9623" i="1"/>
  <c r="A9624" i="1"/>
  <c r="B9624" i="1"/>
  <c r="C9624" i="1"/>
  <c r="D9624" i="1"/>
  <c r="A9625" i="1"/>
  <c r="B9625" i="1"/>
  <c r="C9625" i="1"/>
  <c r="D9625" i="1"/>
  <c r="A9626" i="1"/>
  <c r="B9626" i="1"/>
  <c r="C9626" i="1"/>
  <c r="D9626" i="1"/>
  <c r="A9627" i="1"/>
  <c r="B9627" i="1"/>
  <c r="C9627" i="1"/>
  <c r="D9627" i="1"/>
  <c r="A9628" i="1"/>
  <c r="B9628" i="1"/>
  <c r="C9628" i="1"/>
  <c r="D9628" i="1"/>
  <c r="A9629" i="1"/>
  <c r="B9629" i="1"/>
  <c r="C9629" i="1"/>
  <c r="D9629" i="1"/>
  <c r="A9630" i="1"/>
  <c r="B9630" i="1"/>
  <c r="C9630" i="1"/>
  <c r="D9630" i="1"/>
  <c r="A9631" i="1"/>
  <c r="B9631" i="1"/>
  <c r="C9631" i="1"/>
  <c r="D9631" i="1"/>
  <c r="A9632" i="1"/>
  <c r="B9632" i="1"/>
  <c r="C9632" i="1"/>
  <c r="D9632" i="1"/>
  <c r="A9633" i="1"/>
  <c r="B9633" i="1"/>
  <c r="C9633" i="1"/>
  <c r="D9633" i="1"/>
  <c r="A9634" i="1"/>
  <c r="B9634" i="1"/>
  <c r="C9634" i="1"/>
  <c r="D9634" i="1"/>
  <c r="A9635" i="1"/>
  <c r="B9635" i="1"/>
  <c r="C9635" i="1"/>
  <c r="D9635" i="1"/>
  <c r="A9636" i="1"/>
  <c r="B9636" i="1"/>
  <c r="C9636" i="1"/>
  <c r="D9636" i="1"/>
  <c r="A9637" i="1"/>
  <c r="B9637" i="1"/>
  <c r="C9637" i="1"/>
  <c r="D9637" i="1"/>
  <c r="A9638" i="1"/>
  <c r="B9638" i="1"/>
  <c r="C9638" i="1"/>
  <c r="D9638" i="1"/>
  <c r="A9639" i="1"/>
  <c r="B9639" i="1"/>
  <c r="C9639" i="1"/>
  <c r="D9639" i="1"/>
  <c r="A9640" i="1"/>
  <c r="B9640" i="1"/>
  <c r="C9640" i="1"/>
  <c r="D9640" i="1"/>
  <c r="A9641" i="1"/>
  <c r="B9641" i="1"/>
  <c r="C9641" i="1"/>
  <c r="D9641" i="1"/>
  <c r="A9642" i="1"/>
  <c r="B9642" i="1"/>
  <c r="C9642" i="1"/>
  <c r="D9642" i="1"/>
  <c r="A9643" i="1"/>
  <c r="B9643" i="1"/>
  <c r="C9643" i="1"/>
  <c r="D9643" i="1"/>
  <c r="A9644" i="1"/>
  <c r="B9644" i="1"/>
  <c r="C9644" i="1"/>
  <c r="D9644" i="1"/>
  <c r="A9645" i="1"/>
  <c r="B9645" i="1"/>
  <c r="C9645" i="1"/>
  <c r="D9645" i="1"/>
  <c r="A9646" i="1"/>
  <c r="B9646" i="1"/>
  <c r="C9646" i="1"/>
  <c r="D9646" i="1"/>
  <c r="A9647" i="1"/>
  <c r="B9647" i="1"/>
  <c r="C9647" i="1"/>
  <c r="D9647" i="1"/>
  <c r="A9648" i="1"/>
  <c r="B9648" i="1"/>
  <c r="C9648" i="1"/>
  <c r="D9648" i="1"/>
  <c r="A9649" i="1"/>
  <c r="B9649" i="1"/>
  <c r="C9649" i="1"/>
  <c r="D9649" i="1"/>
  <c r="A9650" i="1"/>
  <c r="B9650" i="1"/>
  <c r="C9650" i="1"/>
  <c r="D9650" i="1"/>
  <c r="A9651" i="1"/>
  <c r="B9651" i="1"/>
  <c r="C9651" i="1"/>
  <c r="D9651" i="1"/>
  <c r="A9652" i="1"/>
  <c r="B9652" i="1"/>
  <c r="C9652" i="1"/>
  <c r="D9652" i="1"/>
  <c r="A9653" i="1"/>
  <c r="B9653" i="1"/>
  <c r="C9653" i="1"/>
  <c r="D9653" i="1"/>
  <c r="A9654" i="1"/>
  <c r="B9654" i="1"/>
  <c r="C9654" i="1"/>
  <c r="D9654" i="1"/>
  <c r="A9655" i="1"/>
  <c r="B9655" i="1"/>
  <c r="C9655" i="1"/>
  <c r="D9655" i="1"/>
  <c r="A9656" i="1"/>
  <c r="B9656" i="1"/>
  <c r="C9656" i="1"/>
  <c r="D9656" i="1"/>
  <c r="A9657" i="1"/>
  <c r="B9657" i="1"/>
  <c r="C9657" i="1"/>
  <c r="D9657" i="1"/>
  <c r="A9658" i="1"/>
  <c r="B9658" i="1"/>
  <c r="C9658" i="1"/>
  <c r="D9658" i="1"/>
  <c r="A9659" i="1"/>
  <c r="B9659" i="1"/>
  <c r="C9659" i="1"/>
  <c r="D9659" i="1"/>
  <c r="A9660" i="1"/>
  <c r="B9660" i="1"/>
  <c r="C9660" i="1"/>
  <c r="D9660" i="1"/>
  <c r="A9661" i="1"/>
  <c r="B9661" i="1"/>
  <c r="C9661" i="1"/>
  <c r="D9661" i="1"/>
  <c r="A9662" i="1"/>
  <c r="B9662" i="1"/>
  <c r="C9662" i="1"/>
  <c r="D9662" i="1"/>
  <c r="A9663" i="1"/>
  <c r="B9663" i="1"/>
  <c r="C9663" i="1"/>
  <c r="D9663" i="1"/>
  <c r="A9664" i="1"/>
  <c r="B9664" i="1"/>
  <c r="C9664" i="1"/>
  <c r="D9664" i="1"/>
  <c r="A9665" i="1"/>
  <c r="B9665" i="1"/>
  <c r="C9665" i="1"/>
  <c r="D9665" i="1"/>
  <c r="A9666" i="1"/>
  <c r="B9666" i="1"/>
  <c r="C9666" i="1"/>
  <c r="D9666" i="1"/>
  <c r="A9667" i="1"/>
  <c r="B9667" i="1"/>
  <c r="C9667" i="1"/>
  <c r="D9667" i="1"/>
  <c r="A9668" i="1"/>
  <c r="B9668" i="1"/>
  <c r="C9668" i="1"/>
  <c r="D9668" i="1"/>
  <c r="A9669" i="1"/>
  <c r="B9669" i="1"/>
  <c r="C9669" i="1"/>
  <c r="D9669" i="1"/>
  <c r="A9670" i="1"/>
  <c r="B9670" i="1"/>
  <c r="C9670" i="1"/>
  <c r="D9670" i="1"/>
  <c r="A9671" i="1"/>
  <c r="B9671" i="1"/>
  <c r="C9671" i="1"/>
  <c r="D9671" i="1"/>
  <c r="A9672" i="1"/>
  <c r="B9672" i="1"/>
  <c r="C9672" i="1"/>
  <c r="D9672" i="1"/>
  <c r="A9673" i="1"/>
  <c r="B9673" i="1"/>
  <c r="C9673" i="1"/>
  <c r="D9673" i="1"/>
  <c r="A9674" i="1"/>
  <c r="B9674" i="1"/>
  <c r="C9674" i="1"/>
  <c r="D9674" i="1"/>
  <c r="A9675" i="1"/>
  <c r="B9675" i="1"/>
  <c r="C9675" i="1"/>
  <c r="D9675" i="1"/>
  <c r="A9676" i="1"/>
  <c r="B9676" i="1"/>
  <c r="C9676" i="1"/>
  <c r="D9676" i="1"/>
  <c r="A9677" i="1"/>
  <c r="B9677" i="1"/>
  <c r="C9677" i="1"/>
  <c r="D9677" i="1"/>
  <c r="A9678" i="1"/>
  <c r="B9678" i="1"/>
  <c r="C9678" i="1"/>
  <c r="D9678" i="1"/>
  <c r="A9679" i="1"/>
  <c r="B9679" i="1"/>
  <c r="C9679" i="1"/>
  <c r="D9679" i="1"/>
  <c r="A9680" i="1"/>
  <c r="B9680" i="1"/>
  <c r="C9680" i="1"/>
  <c r="D9680" i="1"/>
  <c r="A9681" i="1"/>
  <c r="B9681" i="1"/>
  <c r="C9681" i="1"/>
  <c r="D9681" i="1"/>
  <c r="A9682" i="1"/>
  <c r="B9682" i="1"/>
  <c r="C9682" i="1"/>
  <c r="D9682" i="1"/>
  <c r="A9683" i="1"/>
  <c r="B9683" i="1"/>
  <c r="C9683" i="1"/>
  <c r="D9683" i="1"/>
  <c r="A9684" i="1"/>
  <c r="B9684" i="1"/>
  <c r="C9684" i="1"/>
  <c r="D9684" i="1"/>
  <c r="A9685" i="1"/>
  <c r="B9685" i="1"/>
  <c r="C9685" i="1"/>
  <c r="D9685" i="1"/>
  <c r="A9686" i="1"/>
  <c r="B9686" i="1"/>
  <c r="C9686" i="1"/>
  <c r="D9686" i="1"/>
  <c r="A9687" i="1"/>
  <c r="B9687" i="1"/>
  <c r="C9687" i="1"/>
  <c r="D9687" i="1"/>
  <c r="A9688" i="1"/>
  <c r="B9688" i="1"/>
  <c r="C9688" i="1"/>
  <c r="D9688" i="1"/>
  <c r="A9689" i="1"/>
  <c r="B9689" i="1"/>
  <c r="C9689" i="1"/>
  <c r="D9689" i="1"/>
  <c r="A9690" i="1"/>
  <c r="B9690" i="1"/>
  <c r="C9690" i="1"/>
  <c r="D9690" i="1"/>
  <c r="A9691" i="1"/>
  <c r="B9691" i="1"/>
  <c r="C9691" i="1"/>
  <c r="D9691" i="1"/>
  <c r="A9692" i="1"/>
  <c r="B9692" i="1"/>
  <c r="C9692" i="1"/>
  <c r="D9692" i="1"/>
  <c r="A9693" i="1"/>
  <c r="B9693" i="1"/>
  <c r="C9693" i="1"/>
  <c r="D9693" i="1"/>
  <c r="A9694" i="1"/>
  <c r="B9694" i="1"/>
  <c r="C9694" i="1"/>
  <c r="D9694" i="1"/>
  <c r="A9695" i="1"/>
  <c r="B9695" i="1"/>
  <c r="C9695" i="1"/>
  <c r="D9695" i="1"/>
  <c r="A9696" i="1"/>
  <c r="B9696" i="1"/>
  <c r="C9696" i="1"/>
  <c r="D9696" i="1"/>
  <c r="A9697" i="1"/>
  <c r="B9697" i="1"/>
  <c r="C9697" i="1"/>
  <c r="D9697" i="1"/>
  <c r="A9698" i="1"/>
  <c r="B9698" i="1"/>
  <c r="C9698" i="1"/>
  <c r="D9698" i="1"/>
  <c r="A9699" i="1"/>
  <c r="B9699" i="1"/>
  <c r="C9699" i="1"/>
  <c r="D9699" i="1"/>
  <c r="A9700" i="1"/>
  <c r="B9700" i="1"/>
  <c r="C9700" i="1"/>
  <c r="D9700" i="1"/>
  <c r="A9701" i="1"/>
  <c r="B9701" i="1"/>
  <c r="C9701" i="1"/>
  <c r="D9701" i="1"/>
  <c r="A9702" i="1"/>
  <c r="B9702" i="1"/>
  <c r="C9702" i="1"/>
  <c r="D9702" i="1"/>
  <c r="A9703" i="1"/>
  <c r="B9703" i="1"/>
  <c r="C9703" i="1"/>
  <c r="D9703" i="1"/>
  <c r="A9704" i="1"/>
  <c r="B9704" i="1"/>
  <c r="C9704" i="1"/>
  <c r="D9704" i="1"/>
  <c r="A9705" i="1"/>
  <c r="B9705" i="1"/>
  <c r="C9705" i="1"/>
  <c r="D9705" i="1"/>
  <c r="A9706" i="1"/>
  <c r="B9706" i="1"/>
  <c r="C9706" i="1"/>
  <c r="D9706" i="1"/>
  <c r="A9707" i="1"/>
  <c r="B9707" i="1"/>
  <c r="C9707" i="1"/>
  <c r="D9707" i="1"/>
  <c r="A9708" i="1"/>
  <c r="B9708" i="1"/>
  <c r="C9708" i="1"/>
  <c r="D9708" i="1"/>
  <c r="A9709" i="1"/>
  <c r="B9709" i="1"/>
  <c r="C9709" i="1"/>
  <c r="D9709" i="1"/>
  <c r="A9710" i="1"/>
  <c r="B9710" i="1"/>
  <c r="C9710" i="1"/>
  <c r="D9710" i="1"/>
  <c r="A9711" i="1"/>
  <c r="B9711" i="1"/>
  <c r="C9711" i="1"/>
  <c r="D9711" i="1"/>
  <c r="A9712" i="1"/>
  <c r="B9712" i="1"/>
  <c r="C9712" i="1"/>
  <c r="D9712" i="1"/>
  <c r="A9713" i="1"/>
  <c r="B9713" i="1"/>
  <c r="C9713" i="1"/>
  <c r="D9713" i="1"/>
  <c r="A9714" i="1"/>
  <c r="B9714" i="1"/>
  <c r="C9714" i="1"/>
  <c r="D9714" i="1"/>
  <c r="A9715" i="1"/>
  <c r="B9715" i="1"/>
  <c r="C9715" i="1"/>
  <c r="D9715" i="1"/>
  <c r="A9716" i="1"/>
  <c r="B9716" i="1"/>
  <c r="C9716" i="1"/>
  <c r="D9716" i="1"/>
  <c r="A9717" i="1"/>
  <c r="B9717" i="1"/>
  <c r="C9717" i="1"/>
  <c r="D9717" i="1"/>
  <c r="A9718" i="1"/>
  <c r="B9718" i="1"/>
  <c r="C9718" i="1"/>
  <c r="D9718" i="1"/>
  <c r="A9719" i="1"/>
  <c r="B9719" i="1"/>
  <c r="C9719" i="1"/>
  <c r="D9719" i="1"/>
  <c r="A9720" i="1"/>
  <c r="B9720" i="1"/>
  <c r="C9720" i="1"/>
  <c r="D9720" i="1"/>
  <c r="A9721" i="1"/>
  <c r="B9721" i="1"/>
  <c r="C9721" i="1"/>
  <c r="D9721" i="1"/>
  <c r="A9722" i="1"/>
  <c r="B9722" i="1"/>
  <c r="C9722" i="1"/>
  <c r="D9722" i="1"/>
  <c r="A9723" i="1"/>
  <c r="B9723" i="1"/>
  <c r="C9723" i="1"/>
  <c r="D9723" i="1"/>
  <c r="A9724" i="1"/>
  <c r="B9724" i="1"/>
  <c r="C9724" i="1"/>
  <c r="D9724" i="1"/>
  <c r="A9725" i="1"/>
  <c r="B9725" i="1"/>
  <c r="C9725" i="1"/>
  <c r="D9725" i="1"/>
  <c r="A9726" i="1"/>
  <c r="B9726" i="1"/>
  <c r="C9726" i="1"/>
  <c r="D9726" i="1"/>
  <c r="A9727" i="1"/>
  <c r="B9727" i="1"/>
  <c r="C9727" i="1"/>
  <c r="D9727" i="1"/>
  <c r="A9728" i="1"/>
  <c r="B9728" i="1"/>
  <c r="C9728" i="1"/>
  <c r="D9728" i="1"/>
  <c r="A9729" i="1"/>
  <c r="B9729" i="1"/>
  <c r="C9729" i="1"/>
  <c r="D9729" i="1"/>
  <c r="A9730" i="1"/>
  <c r="B9730" i="1"/>
  <c r="C9730" i="1"/>
  <c r="D9730" i="1"/>
  <c r="A9731" i="1"/>
  <c r="B9731" i="1"/>
  <c r="C9731" i="1"/>
  <c r="D9731" i="1"/>
  <c r="A9732" i="1"/>
  <c r="B9732" i="1"/>
  <c r="C9732" i="1"/>
  <c r="D9732" i="1"/>
  <c r="A9733" i="1"/>
  <c r="B9733" i="1"/>
  <c r="C9733" i="1"/>
  <c r="D9733" i="1"/>
  <c r="A9734" i="1"/>
  <c r="B9734" i="1"/>
  <c r="C9734" i="1"/>
  <c r="D9734" i="1"/>
  <c r="A9735" i="1"/>
  <c r="B9735" i="1"/>
  <c r="C9735" i="1"/>
  <c r="D9735" i="1"/>
  <c r="A9736" i="1"/>
  <c r="B9736" i="1"/>
  <c r="C9736" i="1"/>
  <c r="D9736" i="1"/>
  <c r="A9737" i="1"/>
  <c r="B9737" i="1"/>
  <c r="C9737" i="1"/>
  <c r="D9737" i="1"/>
  <c r="A9738" i="1"/>
  <c r="B9738" i="1"/>
  <c r="C9738" i="1"/>
  <c r="D9738" i="1"/>
  <c r="A9739" i="1"/>
  <c r="B9739" i="1"/>
  <c r="C9739" i="1"/>
  <c r="D9739" i="1"/>
  <c r="A9740" i="1"/>
  <c r="B9740" i="1"/>
  <c r="C9740" i="1"/>
  <c r="D9740" i="1"/>
  <c r="A9741" i="1"/>
  <c r="B9741" i="1"/>
  <c r="C9741" i="1"/>
  <c r="D9741" i="1"/>
  <c r="A9742" i="1"/>
  <c r="B9742" i="1"/>
  <c r="C9742" i="1"/>
  <c r="D9742" i="1"/>
  <c r="A9743" i="1"/>
  <c r="B9743" i="1"/>
  <c r="C9743" i="1"/>
  <c r="D9743" i="1"/>
  <c r="A9744" i="1"/>
  <c r="B9744" i="1"/>
  <c r="C9744" i="1"/>
  <c r="D9744" i="1"/>
  <c r="A9745" i="1"/>
  <c r="B9745" i="1"/>
  <c r="C9745" i="1"/>
  <c r="D9745" i="1"/>
  <c r="A9746" i="1"/>
  <c r="B9746" i="1"/>
  <c r="C9746" i="1"/>
  <c r="D9746" i="1"/>
  <c r="A9747" i="1"/>
  <c r="B9747" i="1"/>
  <c r="C9747" i="1"/>
  <c r="D9747" i="1"/>
  <c r="A9748" i="1"/>
  <c r="B9748" i="1"/>
  <c r="C9748" i="1"/>
  <c r="D9748" i="1"/>
  <c r="A9749" i="1"/>
  <c r="B9749" i="1"/>
  <c r="C9749" i="1"/>
  <c r="D9749" i="1"/>
  <c r="A9750" i="1"/>
  <c r="B9750" i="1"/>
  <c r="C9750" i="1"/>
  <c r="D9750" i="1"/>
  <c r="A9751" i="1"/>
  <c r="B9751" i="1"/>
  <c r="C9751" i="1"/>
  <c r="D9751" i="1"/>
  <c r="A9752" i="1"/>
  <c r="B9752" i="1"/>
  <c r="C9752" i="1"/>
  <c r="D9752" i="1"/>
  <c r="A9753" i="1"/>
  <c r="B9753" i="1"/>
  <c r="C9753" i="1"/>
  <c r="D9753" i="1"/>
  <c r="A9754" i="1"/>
  <c r="B9754" i="1"/>
  <c r="C9754" i="1"/>
  <c r="A9755" i="1"/>
  <c r="B9755" i="1"/>
  <c r="C9755" i="1"/>
  <c r="D9755" i="1"/>
  <c r="A9756" i="1"/>
  <c r="B9756" i="1"/>
  <c r="C9756" i="1"/>
  <c r="D9756" i="1"/>
  <c r="A9757" i="1"/>
  <c r="B9757" i="1"/>
  <c r="C9757" i="1"/>
  <c r="D9757" i="1"/>
  <c r="A9758" i="1"/>
  <c r="B9758" i="1"/>
  <c r="C9758" i="1"/>
  <c r="D9758" i="1"/>
  <c r="A9759" i="1"/>
  <c r="B9759" i="1"/>
  <c r="C9759" i="1"/>
  <c r="D9759" i="1"/>
  <c r="A9760" i="1"/>
  <c r="B9760" i="1"/>
  <c r="C9760" i="1"/>
  <c r="D9760" i="1"/>
  <c r="A9761" i="1"/>
  <c r="B9761" i="1"/>
  <c r="C9761" i="1"/>
  <c r="D9761" i="1"/>
  <c r="A9762" i="1"/>
  <c r="B9762" i="1"/>
  <c r="C9762" i="1"/>
  <c r="D9762" i="1"/>
  <c r="A9763" i="1"/>
  <c r="B9763" i="1"/>
  <c r="C9763" i="1"/>
  <c r="D9763" i="1"/>
  <c r="A9764" i="1"/>
  <c r="B9764" i="1"/>
  <c r="C9764" i="1"/>
  <c r="D9764" i="1"/>
  <c r="A9765" i="1"/>
  <c r="B9765" i="1"/>
  <c r="C9765" i="1"/>
  <c r="D9765" i="1"/>
  <c r="A9766" i="1"/>
  <c r="B9766" i="1"/>
  <c r="C9766" i="1"/>
  <c r="D9766" i="1"/>
  <c r="A9767" i="1"/>
  <c r="B9767" i="1"/>
  <c r="C9767" i="1"/>
  <c r="D9767" i="1"/>
  <c r="A9768" i="1"/>
  <c r="B9768" i="1"/>
  <c r="C9768" i="1"/>
  <c r="D9768" i="1"/>
  <c r="A9769" i="1"/>
  <c r="B9769" i="1"/>
  <c r="C9769" i="1"/>
  <c r="D9769" i="1"/>
  <c r="A9770" i="1"/>
  <c r="B9770" i="1"/>
  <c r="C9770" i="1"/>
  <c r="D9770" i="1"/>
  <c r="A9771" i="1"/>
  <c r="B9771" i="1"/>
  <c r="C9771" i="1"/>
  <c r="D9771" i="1"/>
  <c r="A9772" i="1"/>
  <c r="B9772" i="1"/>
  <c r="C9772" i="1"/>
  <c r="D9772" i="1"/>
  <c r="A9773" i="1"/>
  <c r="B9773" i="1"/>
  <c r="C9773" i="1"/>
  <c r="A9774" i="1"/>
  <c r="B9774" i="1"/>
  <c r="C9774" i="1"/>
  <c r="D9774" i="1"/>
  <c r="A9775" i="1"/>
  <c r="B9775" i="1"/>
  <c r="C9775" i="1"/>
  <c r="D9775" i="1"/>
  <c r="A9776" i="1"/>
  <c r="B9776" i="1"/>
  <c r="C9776" i="1"/>
  <c r="D9776" i="1"/>
  <c r="A9777" i="1"/>
  <c r="B9777" i="1"/>
  <c r="C9777" i="1"/>
  <c r="D9777" i="1"/>
  <c r="A9778" i="1"/>
  <c r="B9778" i="1"/>
  <c r="C9778" i="1"/>
  <c r="D9778" i="1"/>
  <c r="A9779" i="1"/>
  <c r="B9779" i="1"/>
  <c r="C9779" i="1"/>
  <c r="D9779" i="1"/>
  <c r="A9780" i="1"/>
  <c r="B9780" i="1"/>
  <c r="C9780" i="1"/>
  <c r="D9780" i="1"/>
  <c r="A9781" i="1"/>
  <c r="B9781" i="1"/>
  <c r="C9781" i="1"/>
  <c r="D9781" i="1"/>
  <c r="A9782" i="1"/>
  <c r="B9782" i="1"/>
  <c r="C9782" i="1"/>
  <c r="D9782" i="1"/>
  <c r="A9783" i="1"/>
  <c r="B9783" i="1"/>
  <c r="C9783" i="1"/>
  <c r="D9783" i="1"/>
  <c r="A9784" i="1"/>
  <c r="B9784" i="1"/>
  <c r="C9784" i="1"/>
  <c r="D9784" i="1"/>
  <c r="A9785" i="1"/>
  <c r="B9785" i="1"/>
  <c r="C9785" i="1"/>
  <c r="D9785" i="1"/>
  <c r="A9786" i="1"/>
  <c r="B9786" i="1"/>
  <c r="C9786" i="1"/>
  <c r="D9786" i="1"/>
  <c r="A9787" i="1"/>
  <c r="B9787" i="1"/>
  <c r="C9787" i="1"/>
  <c r="D9787" i="1"/>
  <c r="A9788" i="1"/>
  <c r="B9788" i="1"/>
  <c r="C9788" i="1"/>
  <c r="D9788" i="1"/>
  <c r="A9789" i="1"/>
  <c r="B9789" i="1"/>
  <c r="C9789" i="1"/>
  <c r="D9789" i="1"/>
  <c r="A9790" i="1"/>
  <c r="B9790" i="1"/>
  <c r="C9790" i="1"/>
  <c r="A9791" i="1"/>
  <c r="B9791" i="1"/>
  <c r="C9791" i="1"/>
  <c r="D9791" i="1"/>
  <c r="A9792" i="1"/>
  <c r="B9792" i="1"/>
  <c r="C9792" i="1"/>
  <c r="D9792" i="1"/>
  <c r="A9793" i="1"/>
  <c r="B9793" i="1"/>
  <c r="C9793" i="1"/>
  <c r="D9793" i="1"/>
  <c r="A9794" i="1"/>
  <c r="B9794" i="1"/>
  <c r="C9794" i="1"/>
  <c r="D9794" i="1"/>
  <c r="A9795" i="1"/>
  <c r="B9795" i="1"/>
  <c r="C9795" i="1"/>
  <c r="D9795" i="1"/>
  <c r="A9796" i="1"/>
  <c r="B9796" i="1"/>
  <c r="C9796" i="1"/>
  <c r="D9796" i="1"/>
  <c r="A9797" i="1"/>
  <c r="B9797" i="1"/>
  <c r="C9797" i="1"/>
  <c r="D9797" i="1"/>
  <c r="A9798" i="1"/>
  <c r="B9798" i="1"/>
  <c r="C9798" i="1"/>
  <c r="D9798" i="1"/>
  <c r="A9799" i="1"/>
  <c r="B9799" i="1"/>
  <c r="C9799" i="1"/>
  <c r="D9799" i="1"/>
  <c r="A9800" i="1"/>
  <c r="B9800" i="1"/>
  <c r="C9800" i="1"/>
  <c r="D9800" i="1"/>
  <c r="A9801" i="1"/>
  <c r="B9801" i="1"/>
  <c r="C9801" i="1"/>
  <c r="D9801" i="1"/>
  <c r="A9802" i="1"/>
  <c r="B9802" i="1"/>
  <c r="C9802" i="1"/>
  <c r="D9802" i="1"/>
  <c r="A9803" i="1"/>
  <c r="B9803" i="1"/>
  <c r="C9803" i="1"/>
  <c r="D9803" i="1"/>
  <c r="A9804" i="1"/>
  <c r="B9804" i="1"/>
  <c r="C9804" i="1"/>
  <c r="D9804" i="1"/>
  <c r="A9805" i="1"/>
  <c r="B9805" i="1"/>
  <c r="C9805" i="1"/>
  <c r="D9805" i="1"/>
  <c r="A9806" i="1"/>
  <c r="B9806" i="1"/>
  <c r="C9806" i="1"/>
  <c r="D9806" i="1"/>
  <c r="A9807" i="1"/>
  <c r="B9807" i="1"/>
  <c r="C9807" i="1"/>
  <c r="D9807" i="1"/>
  <c r="A9808" i="1"/>
  <c r="B9808" i="1"/>
  <c r="C9808" i="1"/>
  <c r="D9808" i="1"/>
  <c r="A9809" i="1"/>
  <c r="B9809" i="1"/>
  <c r="C9809" i="1"/>
  <c r="D9809" i="1"/>
  <c r="A9810" i="1"/>
  <c r="B9810" i="1"/>
  <c r="C9810" i="1"/>
  <c r="D9810" i="1"/>
  <c r="A9811" i="1"/>
  <c r="B9811" i="1"/>
  <c r="C9811" i="1"/>
  <c r="D9811" i="1"/>
  <c r="A9812" i="1"/>
  <c r="B9812" i="1"/>
  <c r="C9812" i="1"/>
  <c r="D9812" i="1"/>
  <c r="A9813" i="1"/>
  <c r="B9813" i="1"/>
  <c r="C9813" i="1"/>
  <c r="D9813" i="1"/>
  <c r="A9814" i="1"/>
  <c r="B9814" i="1"/>
  <c r="C9814" i="1"/>
  <c r="D9814" i="1"/>
  <c r="A9815" i="1"/>
  <c r="B9815" i="1"/>
  <c r="C9815" i="1"/>
  <c r="D9815" i="1"/>
  <c r="A9816" i="1"/>
  <c r="B9816" i="1"/>
  <c r="C9816" i="1"/>
  <c r="D9816" i="1"/>
  <c r="A9817" i="1"/>
  <c r="B9817" i="1"/>
  <c r="C9817" i="1"/>
  <c r="D9817" i="1"/>
  <c r="A9818" i="1"/>
  <c r="B9818" i="1"/>
  <c r="C9818" i="1"/>
  <c r="D9818" i="1"/>
  <c r="A9819" i="1"/>
  <c r="B9819" i="1"/>
  <c r="C9819" i="1"/>
  <c r="D9819" i="1"/>
  <c r="A9820" i="1"/>
  <c r="B9820" i="1"/>
  <c r="C9820" i="1"/>
  <c r="D9820" i="1"/>
  <c r="A9821" i="1"/>
  <c r="B9821" i="1"/>
  <c r="C9821" i="1"/>
  <c r="D9821" i="1"/>
  <c r="A9822" i="1"/>
  <c r="B9822" i="1"/>
  <c r="C9822" i="1"/>
  <c r="D9822" i="1"/>
  <c r="A9823" i="1"/>
  <c r="B9823" i="1"/>
  <c r="C9823" i="1"/>
  <c r="D9823" i="1"/>
  <c r="A9824" i="1"/>
  <c r="B9824" i="1"/>
  <c r="C9824" i="1"/>
  <c r="D9824" i="1"/>
  <c r="A9825" i="1"/>
  <c r="B9825" i="1"/>
  <c r="C9825" i="1"/>
  <c r="D9825" i="1"/>
  <c r="A9826" i="1"/>
  <c r="B9826" i="1"/>
  <c r="C9826" i="1"/>
  <c r="D9826" i="1"/>
  <c r="A9827" i="1"/>
  <c r="B9827" i="1"/>
  <c r="C9827" i="1"/>
  <c r="D9827" i="1"/>
  <c r="A9828" i="1"/>
  <c r="B9828" i="1"/>
  <c r="C9828" i="1"/>
  <c r="D9828" i="1"/>
  <c r="A9829" i="1"/>
  <c r="B9829" i="1"/>
  <c r="C9829" i="1"/>
  <c r="D9829" i="1"/>
  <c r="A9830" i="1"/>
  <c r="B9830" i="1"/>
  <c r="C9830" i="1"/>
  <c r="D9830" i="1"/>
  <c r="A9831" i="1"/>
  <c r="B9831" i="1"/>
  <c r="C9831" i="1"/>
  <c r="D9831" i="1"/>
  <c r="A9832" i="1"/>
  <c r="B9832" i="1"/>
  <c r="C9832" i="1"/>
  <c r="D9832" i="1"/>
  <c r="A9833" i="1"/>
  <c r="B9833" i="1"/>
  <c r="C9833" i="1"/>
  <c r="D9833" i="1"/>
  <c r="A9834" i="1"/>
  <c r="B9834" i="1"/>
  <c r="C9834" i="1"/>
  <c r="D9834" i="1"/>
  <c r="A9835" i="1"/>
  <c r="B9835" i="1"/>
  <c r="C9835" i="1"/>
  <c r="D9835" i="1"/>
  <c r="A9836" i="1"/>
  <c r="B9836" i="1"/>
  <c r="C9836" i="1"/>
  <c r="D9836" i="1"/>
  <c r="A9837" i="1"/>
  <c r="B9837" i="1"/>
  <c r="C9837" i="1"/>
  <c r="D9837" i="1"/>
  <c r="A9838" i="1"/>
  <c r="B9838" i="1"/>
  <c r="C9838" i="1"/>
  <c r="D9838" i="1"/>
  <c r="A9839" i="1"/>
  <c r="B9839" i="1"/>
  <c r="C9839" i="1"/>
  <c r="D9839" i="1"/>
  <c r="A9840" i="1"/>
  <c r="B9840" i="1"/>
  <c r="C9840" i="1"/>
  <c r="D9840" i="1"/>
  <c r="A9841" i="1"/>
  <c r="B9841" i="1"/>
  <c r="C9841" i="1"/>
  <c r="D9841" i="1"/>
  <c r="A9842" i="1"/>
  <c r="B9842" i="1"/>
  <c r="C9842" i="1"/>
  <c r="D9842" i="1"/>
  <c r="A9843" i="1"/>
  <c r="B9843" i="1"/>
  <c r="C9843" i="1"/>
  <c r="D9843" i="1"/>
  <c r="A9844" i="1"/>
  <c r="B9844" i="1"/>
  <c r="C9844" i="1"/>
  <c r="D9844" i="1"/>
  <c r="A9845" i="1"/>
  <c r="B9845" i="1"/>
  <c r="C9845" i="1"/>
  <c r="D9845" i="1"/>
  <c r="A9846" i="1"/>
  <c r="B9846" i="1"/>
  <c r="C9846" i="1"/>
  <c r="D9846" i="1"/>
  <c r="A9847" i="1"/>
  <c r="B9847" i="1"/>
  <c r="C9847" i="1"/>
  <c r="D9847" i="1"/>
  <c r="A9848" i="1"/>
  <c r="B9848" i="1"/>
  <c r="C9848" i="1"/>
  <c r="D9848" i="1"/>
  <c r="A9849" i="1"/>
  <c r="B9849" i="1"/>
  <c r="C9849" i="1"/>
  <c r="D9849" i="1"/>
  <c r="A9850" i="1"/>
  <c r="B9850" i="1"/>
  <c r="C9850" i="1"/>
  <c r="D9850" i="1"/>
  <c r="A9851" i="1"/>
  <c r="B9851" i="1"/>
  <c r="C9851" i="1"/>
  <c r="D9851" i="1"/>
  <c r="A9852" i="1"/>
  <c r="B9852" i="1"/>
  <c r="C9852" i="1"/>
  <c r="D9852" i="1"/>
  <c r="A9853" i="1"/>
  <c r="B9853" i="1"/>
  <c r="C9853" i="1"/>
  <c r="D9853" i="1"/>
  <c r="A9854" i="1"/>
  <c r="B9854" i="1"/>
  <c r="C9854" i="1"/>
  <c r="D9854" i="1"/>
  <c r="A9855" i="1"/>
  <c r="B9855" i="1"/>
  <c r="C9855" i="1"/>
  <c r="D9855" i="1"/>
  <c r="A9856" i="1"/>
  <c r="B9856" i="1"/>
  <c r="C9856" i="1"/>
  <c r="D9856" i="1"/>
  <c r="A9857" i="1"/>
  <c r="B9857" i="1"/>
  <c r="C9857" i="1"/>
  <c r="D9857" i="1"/>
  <c r="A9858" i="1"/>
  <c r="B9858" i="1"/>
  <c r="C9858" i="1"/>
  <c r="D9858" i="1"/>
  <c r="A9859" i="1"/>
  <c r="B9859" i="1"/>
  <c r="C9859" i="1"/>
  <c r="D9859" i="1"/>
  <c r="A9860" i="1"/>
  <c r="B9860" i="1"/>
  <c r="C9860" i="1"/>
  <c r="D9860" i="1"/>
  <c r="A9861" i="1"/>
  <c r="B9861" i="1"/>
  <c r="C9861" i="1"/>
  <c r="D9861" i="1"/>
  <c r="A9862" i="1"/>
  <c r="B9862" i="1"/>
  <c r="C9862" i="1"/>
  <c r="D9862" i="1"/>
  <c r="A9863" i="1"/>
  <c r="B9863" i="1"/>
  <c r="C9863" i="1"/>
  <c r="D9863" i="1"/>
  <c r="A9864" i="1"/>
  <c r="B9864" i="1"/>
  <c r="C9864" i="1"/>
  <c r="D9864" i="1"/>
  <c r="A9865" i="1"/>
  <c r="B9865" i="1"/>
  <c r="C9865" i="1"/>
  <c r="D9865" i="1"/>
  <c r="A9866" i="1"/>
  <c r="B9866" i="1"/>
  <c r="C9866" i="1"/>
  <c r="D9866" i="1"/>
  <c r="A9867" i="1"/>
  <c r="B9867" i="1"/>
  <c r="C9867" i="1"/>
  <c r="D9867" i="1"/>
  <c r="A9868" i="1"/>
  <c r="B9868" i="1"/>
  <c r="C9868" i="1"/>
  <c r="D9868" i="1"/>
  <c r="A9869" i="1"/>
  <c r="B9869" i="1"/>
  <c r="C9869" i="1"/>
  <c r="D9869" i="1"/>
  <c r="A9870" i="1"/>
  <c r="B9870" i="1"/>
  <c r="C9870" i="1"/>
  <c r="D9870" i="1"/>
  <c r="A9871" i="1"/>
  <c r="B9871" i="1"/>
  <c r="C9871" i="1"/>
  <c r="D9871" i="1"/>
  <c r="A9872" i="1"/>
  <c r="B9872" i="1"/>
  <c r="C9872" i="1"/>
  <c r="D9872" i="1"/>
  <c r="A9873" i="1"/>
  <c r="B9873" i="1"/>
  <c r="C9873" i="1"/>
  <c r="D9873" i="1"/>
  <c r="A9874" i="1"/>
  <c r="B9874" i="1"/>
  <c r="C9874" i="1"/>
  <c r="D9874" i="1"/>
  <c r="A9875" i="1"/>
  <c r="B9875" i="1"/>
  <c r="C9875" i="1"/>
  <c r="A9876" i="1"/>
  <c r="B9876" i="1"/>
  <c r="C9876" i="1"/>
  <c r="D9876" i="1"/>
  <c r="A9877" i="1"/>
  <c r="B9877" i="1"/>
  <c r="C9877" i="1"/>
  <c r="D9877" i="1"/>
  <c r="A9878" i="1"/>
  <c r="B9878" i="1"/>
  <c r="C9878" i="1"/>
  <c r="D9878" i="1"/>
  <c r="A9879" i="1"/>
  <c r="B9879" i="1"/>
  <c r="C9879" i="1"/>
  <c r="D9879" i="1"/>
  <c r="A9880" i="1"/>
  <c r="B9880" i="1"/>
  <c r="C9880" i="1"/>
  <c r="D9880" i="1"/>
  <c r="A9881" i="1"/>
  <c r="B9881" i="1"/>
  <c r="C9881" i="1"/>
  <c r="D9881" i="1"/>
  <c r="A9882" i="1"/>
  <c r="B9882" i="1"/>
  <c r="C9882" i="1"/>
  <c r="D9882" i="1"/>
  <c r="A9883" i="1"/>
  <c r="B9883" i="1"/>
  <c r="C9883" i="1"/>
  <c r="D9883" i="1"/>
  <c r="A9884" i="1"/>
  <c r="B9884" i="1"/>
  <c r="C9884" i="1"/>
  <c r="D9884" i="1"/>
  <c r="A9885" i="1"/>
  <c r="B9885" i="1"/>
  <c r="C9885" i="1"/>
  <c r="D9885" i="1"/>
  <c r="A9886" i="1"/>
  <c r="B9886" i="1"/>
  <c r="C9886" i="1"/>
  <c r="D9886" i="1"/>
  <c r="A9887" i="1"/>
  <c r="B9887" i="1"/>
  <c r="C9887" i="1"/>
  <c r="D9887" i="1"/>
  <c r="A9888" i="1"/>
  <c r="B9888" i="1"/>
  <c r="C9888" i="1"/>
  <c r="D9888" i="1"/>
  <c r="A9889" i="1"/>
  <c r="B9889" i="1"/>
  <c r="C9889" i="1"/>
  <c r="D9889" i="1"/>
  <c r="A9890" i="1"/>
  <c r="B9890" i="1"/>
  <c r="C9890" i="1"/>
  <c r="D9890" i="1"/>
  <c r="A9891" i="1"/>
  <c r="B9891" i="1"/>
  <c r="C9891" i="1"/>
  <c r="D9891" i="1"/>
  <c r="A9892" i="1"/>
  <c r="B9892" i="1"/>
  <c r="C9892" i="1"/>
  <c r="D9892" i="1"/>
  <c r="A9893" i="1"/>
  <c r="B9893" i="1"/>
  <c r="C9893" i="1"/>
  <c r="D9893" i="1"/>
  <c r="A9894" i="1"/>
  <c r="B9894" i="1"/>
  <c r="C9894" i="1"/>
  <c r="D9894" i="1"/>
  <c r="A9895" i="1"/>
  <c r="B9895" i="1"/>
  <c r="C9895" i="1"/>
  <c r="D9895" i="1"/>
  <c r="A9896" i="1"/>
  <c r="B9896" i="1"/>
  <c r="C9896" i="1"/>
  <c r="D9896" i="1"/>
  <c r="A9897" i="1"/>
  <c r="B9897" i="1"/>
  <c r="C9897" i="1"/>
  <c r="D9897" i="1"/>
  <c r="A9898" i="1"/>
  <c r="B9898" i="1"/>
  <c r="C9898" i="1"/>
  <c r="D9898" i="1"/>
  <c r="A9899" i="1"/>
  <c r="B9899" i="1"/>
  <c r="C9899" i="1"/>
  <c r="D9899" i="1"/>
  <c r="A9900" i="1"/>
  <c r="B9900" i="1"/>
  <c r="C9900" i="1"/>
  <c r="D9900" i="1"/>
  <c r="A9901" i="1"/>
  <c r="B9901" i="1"/>
  <c r="C9901" i="1"/>
  <c r="D9901" i="1"/>
  <c r="A9902" i="1"/>
  <c r="B9902" i="1"/>
  <c r="C9902" i="1"/>
  <c r="D9902" i="1"/>
  <c r="A9903" i="1"/>
  <c r="B9903" i="1"/>
  <c r="C9903" i="1"/>
  <c r="D9903" i="1"/>
  <c r="A9904" i="1"/>
  <c r="B9904" i="1"/>
  <c r="C9904" i="1"/>
  <c r="D9904" i="1"/>
  <c r="A9905" i="1"/>
  <c r="B9905" i="1"/>
  <c r="C9905" i="1"/>
  <c r="D9905" i="1"/>
  <c r="A9906" i="1"/>
  <c r="B9906" i="1"/>
  <c r="C9906" i="1"/>
  <c r="D9906" i="1"/>
  <c r="A9907" i="1"/>
  <c r="B9907" i="1"/>
  <c r="C9907" i="1"/>
  <c r="D9907" i="1"/>
  <c r="A9908" i="1"/>
  <c r="B9908" i="1"/>
  <c r="C9908" i="1"/>
  <c r="D9908" i="1"/>
  <c r="A9909" i="1"/>
  <c r="B9909" i="1"/>
  <c r="C9909" i="1"/>
  <c r="D9909" i="1"/>
  <c r="A9910" i="1"/>
  <c r="B9910" i="1"/>
  <c r="C9910" i="1"/>
  <c r="D9910" i="1"/>
  <c r="A9911" i="1"/>
  <c r="B9911" i="1"/>
  <c r="C9911" i="1"/>
  <c r="D9911" i="1"/>
  <c r="A9912" i="1"/>
  <c r="B9912" i="1"/>
  <c r="C9912" i="1"/>
  <c r="D9912" i="1"/>
  <c r="A9913" i="1"/>
  <c r="B9913" i="1"/>
  <c r="C9913" i="1"/>
  <c r="D9913" i="1"/>
  <c r="A9914" i="1"/>
  <c r="B9914" i="1"/>
  <c r="C9914" i="1"/>
  <c r="D9914" i="1"/>
  <c r="A9915" i="1"/>
  <c r="B9915" i="1"/>
  <c r="C9915" i="1"/>
  <c r="D9915" i="1"/>
  <c r="A9916" i="1"/>
  <c r="B9916" i="1"/>
  <c r="C9916" i="1"/>
  <c r="D9916" i="1"/>
  <c r="A9917" i="1"/>
  <c r="B9917" i="1"/>
  <c r="C9917" i="1"/>
  <c r="D9917" i="1"/>
  <c r="A9918" i="1"/>
  <c r="B9918" i="1"/>
  <c r="C9918" i="1"/>
  <c r="D9918" i="1"/>
  <c r="A9919" i="1"/>
  <c r="B9919" i="1"/>
  <c r="C9919" i="1"/>
  <c r="D9919" i="1"/>
  <c r="A9920" i="1"/>
  <c r="B9920" i="1"/>
  <c r="C9920" i="1"/>
  <c r="D9920" i="1"/>
  <c r="A9921" i="1"/>
  <c r="B9921" i="1"/>
  <c r="C9921" i="1"/>
  <c r="D9921" i="1"/>
  <c r="A9922" i="1"/>
  <c r="B9922" i="1"/>
  <c r="C9922" i="1"/>
  <c r="D9922" i="1"/>
  <c r="A9923" i="1"/>
  <c r="B9923" i="1"/>
  <c r="C9923" i="1"/>
  <c r="D9923" i="1"/>
  <c r="A9924" i="1"/>
  <c r="B9924" i="1"/>
  <c r="C9924" i="1"/>
  <c r="D9924" i="1"/>
  <c r="A9925" i="1"/>
  <c r="B9925" i="1"/>
  <c r="C9925" i="1"/>
  <c r="D9925" i="1"/>
  <c r="A9926" i="1"/>
  <c r="B9926" i="1"/>
  <c r="C9926" i="1"/>
  <c r="D9926" i="1"/>
  <c r="A9927" i="1"/>
  <c r="B9927" i="1"/>
  <c r="C9927" i="1"/>
  <c r="D9927" i="1"/>
  <c r="A9928" i="1"/>
  <c r="B9928" i="1"/>
  <c r="C9928" i="1"/>
  <c r="D9928" i="1"/>
  <c r="A9929" i="1"/>
  <c r="B9929" i="1"/>
  <c r="C9929" i="1"/>
  <c r="D9929" i="1"/>
  <c r="A9930" i="1"/>
  <c r="B9930" i="1"/>
  <c r="C9930" i="1"/>
  <c r="D9930" i="1"/>
  <c r="A9931" i="1"/>
  <c r="B9931" i="1"/>
  <c r="C9931" i="1"/>
  <c r="D9931" i="1"/>
  <c r="A9932" i="1"/>
  <c r="B9932" i="1"/>
  <c r="C9932" i="1"/>
  <c r="D9932" i="1"/>
  <c r="A9933" i="1"/>
  <c r="B9933" i="1"/>
  <c r="C9933" i="1"/>
  <c r="D9933" i="1"/>
  <c r="A9934" i="1"/>
  <c r="B9934" i="1"/>
  <c r="C9934" i="1"/>
  <c r="D9934" i="1"/>
  <c r="A9935" i="1"/>
  <c r="B9935" i="1"/>
  <c r="C9935" i="1"/>
  <c r="D9935" i="1"/>
  <c r="A9936" i="1"/>
  <c r="B9936" i="1"/>
  <c r="C9936" i="1"/>
  <c r="D9936" i="1"/>
  <c r="A9937" i="1"/>
  <c r="B9937" i="1"/>
  <c r="C9937" i="1"/>
  <c r="D9937" i="1"/>
  <c r="A9938" i="1"/>
  <c r="B9938" i="1"/>
  <c r="C9938" i="1"/>
  <c r="D9938" i="1"/>
  <c r="A9939" i="1"/>
  <c r="B9939" i="1"/>
  <c r="C9939" i="1"/>
  <c r="D9939" i="1"/>
  <c r="A9940" i="1"/>
  <c r="B9940" i="1"/>
  <c r="C9940" i="1"/>
  <c r="D9940" i="1"/>
  <c r="A9941" i="1"/>
  <c r="B9941" i="1"/>
  <c r="C9941" i="1"/>
  <c r="D9941" i="1"/>
  <c r="A9942" i="1"/>
  <c r="B9942" i="1"/>
  <c r="C9942" i="1"/>
  <c r="D9942" i="1"/>
  <c r="A9943" i="1"/>
  <c r="B9943" i="1"/>
  <c r="C9943" i="1"/>
  <c r="D9943" i="1"/>
  <c r="A9944" i="1"/>
  <c r="B9944" i="1"/>
  <c r="C9944" i="1"/>
  <c r="D9944" i="1"/>
  <c r="A9945" i="1"/>
  <c r="B9945" i="1"/>
  <c r="C9945" i="1"/>
  <c r="D9945" i="1"/>
  <c r="A9946" i="1"/>
  <c r="B9946" i="1"/>
  <c r="C9946" i="1"/>
  <c r="D9946" i="1"/>
  <c r="A9947" i="1"/>
  <c r="B9947" i="1"/>
  <c r="C9947" i="1"/>
  <c r="D9947" i="1"/>
  <c r="A9948" i="1"/>
  <c r="B9948" i="1"/>
  <c r="C9948" i="1"/>
  <c r="D9948" i="1"/>
  <c r="A9949" i="1"/>
  <c r="B9949" i="1"/>
  <c r="C9949" i="1"/>
  <c r="D9949" i="1"/>
  <c r="A9950" i="1"/>
  <c r="B9950" i="1"/>
  <c r="C9950" i="1"/>
  <c r="D9950" i="1"/>
  <c r="A9951" i="1"/>
  <c r="B9951" i="1"/>
  <c r="C9951" i="1"/>
  <c r="D9951" i="1"/>
  <c r="A9952" i="1"/>
  <c r="B9952" i="1"/>
  <c r="C9952" i="1"/>
  <c r="D9952" i="1"/>
  <c r="A9953" i="1"/>
  <c r="B9953" i="1"/>
  <c r="C9953" i="1"/>
  <c r="D9953" i="1"/>
  <c r="A9954" i="1"/>
  <c r="B9954" i="1"/>
  <c r="C9954" i="1"/>
  <c r="D9954" i="1"/>
  <c r="A9955" i="1"/>
  <c r="B9955" i="1"/>
  <c r="C9955" i="1"/>
  <c r="D9955" i="1"/>
  <c r="A9956" i="1"/>
  <c r="B9956" i="1"/>
  <c r="C9956" i="1"/>
  <c r="D9956" i="1"/>
  <c r="A9957" i="1"/>
  <c r="B9957" i="1"/>
  <c r="C9957" i="1"/>
  <c r="D9957" i="1"/>
  <c r="A9958" i="1"/>
  <c r="B9958" i="1"/>
  <c r="C9958" i="1"/>
  <c r="D9958" i="1"/>
  <c r="A9959" i="1"/>
  <c r="B9959" i="1"/>
  <c r="C9959" i="1"/>
  <c r="D9959" i="1"/>
  <c r="A9960" i="1"/>
  <c r="B9960" i="1"/>
  <c r="C9960" i="1"/>
  <c r="D9960" i="1"/>
  <c r="A9961" i="1"/>
  <c r="B9961" i="1"/>
  <c r="C9961" i="1"/>
  <c r="D9961" i="1"/>
  <c r="A9962" i="1"/>
  <c r="B9962" i="1"/>
  <c r="C9962" i="1"/>
  <c r="D9962" i="1"/>
  <c r="A9963" i="1"/>
  <c r="B9963" i="1"/>
  <c r="C9963" i="1"/>
  <c r="D9963" i="1"/>
  <c r="A9964" i="1"/>
  <c r="B9964" i="1"/>
  <c r="C9964" i="1"/>
  <c r="D9964" i="1"/>
  <c r="A9965" i="1"/>
  <c r="B9965" i="1"/>
  <c r="C9965" i="1"/>
  <c r="D9965" i="1"/>
  <c r="A9966" i="1"/>
  <c r="B9966" i="1"/>
  <c r="C9966" i="1"/>
  <c r="D9966" i="1"/>
  <c r="A9967" i="1"/>
  <c r="B9967" i="1"/>
  <c r="C9967" i="1"/>
  <c r="D9967" i="1"/>
  <c r="A9968" i="1"/>
  <c r="B9968" i="1"/>
  <c r="C9968" i="1"/>
  <c r="D9968" i="1"/>
  <c r="A9969" i="1"/>
  <c r="B9969" i="1"/>
  <c r="C9969" i="1"/>
  <c r="D9969" i="1"/>
  <c r="A9970" i="1"/>
  <c r="B9970" i="1"/>
  <c r="C9970" i="1"/>
  <c r="D9970" i="1"/>
  <c r="A9971" i="1"/>
  <c r="B9971" i="1"/>
  <c r="C9971" i="1"/>
  <c r="D9971" i="1"/>
  <c r="A9972" i="1"/>
  <c r="B9972" i="1"/>
  <c r="C9972" i="1"/>
  <c r="D9972" i="1"/>
  <c r="A9973" i="1"/>
  <c r="B9973" i="1"/>
  <c r="C9973" i="1"/>
  <c r="D9973" i="1"/>
  <c r="A9974" i="1"/>
  <c r="B9974" i="1"/>
  <c r="C9974" i="1"/>
  <c r="D9974" i="1"/>
  <c r="A9975" i="1"/>
  <c r="B9975" i="1"/>
  <c r="C9975" i="1"/>
  <c r="D9975" i="1"/>
  <c r="A9976" i="1"/>
  <c r="B9976" i="1"/>
  <c r="C9976" i="1"/>
  <c r="D9976" i="1"/>
  <c r="A9977" i="1"/>
  <c r="B9977" i="1"/>
  <c r="C9977" i="1"/>
  <c r="D9977" i="1"/>
  <c r="A9978" i="1"/>
  <c r="B9978" i="1"/>
  <c r="C9978" i="1"/>
  <c r="D9978" i="1"/>
  <c r="A9979" i="1"/>
  <c r="B9979" i="1"/>
  <c r="C9979" i="1"/>
  <c r="A9980" i="1"/>
  <c r="B9980" i="1"/>
  <c r="C9980" i="1"/>
  <c r="D9980" i="1"/>
  <c r="A9981" i="1"/>
  <c r="B9981" i="1"/>
  <c r="C9981" i="1"/>
  <c r="D9981" i="1"/>
  <c r="A9982" i="1"/>
  <c r="B9982" i="1"/>
  <c r="C9982" i="1"/>
  <c r="D9982" i="1"/>
  <c r="A9983" i="1"/>
  <c r="B9983" i="1"/>
  <c r="C9983" i="1"/>
  <c r="D9983" i="1"/>
  <c r="A9984" i="1"/>
  <c r="B9984" i="1"/>
  <c r="C9984" i="1"/>
  <c r="D9984" i="1"/>
  <c r="A9985" i="1"/>
  <c r="B9985" i="1"/>
  <c r="C9985" i="1"/>
  <c r="D9985" i="1"/>
  <c r="A9986" i="1"/>
  <c r="B9986" i="1"/>
  <c r="C9986" i="1"/>
  <c r="D9986" i="1"/>
  <c r="A9987" i="1"/>
  <c r="B9987" i="1"/>
  <c r="C9987" i="1"/>
  <c r="D9987" i="1"/>
  <c r="A9988" i="1"/>
  <c r="B9988" i="1"/>
  <c r="C9988" i="1"/>
  <c r="D9988" i="1"/>
  <c r="A9989" i="1"/>
  <c r="B9989" i="1"/>
  <c r="C9989" i="1"/>
  <c r="D9989" i="1"/>
  <c r="A9990" i="1"/>
  <c r="B9990" i="1"/>
  <c r="C9990" i="1"/>
  <c r="D9990" i="1"/>
  <c r="A9991" i="1"/>
  <c r="B9991" i="1"/>
  <c r="C9991" i="1"/>
  <c r="D9991" i="1"/>
  <c r="A9992" i="1"/>
  <c r="B9992" i="1"/>
  <c r="C9992" i="1"/>
  <c r="D9992" i="1"/>
  <c r="A9993" i="1"/>
  <c r="B9993" i="1"/>
  <c r="C9993" i="1"/>
  <c r="D9993" i="1"/>
  <c r="A9994" i="1"/>
  <c r="B9994" i="1"/>
  <c r="C9994" i="1"/>
  <c r="D9994" i="1"/>
  <c r="A9995" i="1"/>
  <c r="B9995" i="1"/>
  <c r="C9995" i="1"/>
  <c r="D9995" i="1"/>
  <c r="A9996" i="1"/>
  <c r="B9996" i="1"/>
  <c r="C9996" i="1"/>
  <c r="D9996" i="1"/>
  <c r="A9997" i="1"/>
  <c r="B9997" i="1"/>
  <c r="C9997" i="1"/>
  <c r="D9997" i="1"/>
  <c r="A9998" i="1"/>
  <c r="B9998" i="1"/>
  <c r="C9998" i="1"/>
  <c r="D9998" i="1"/>
  <c r="A9999" i="1"/>
  <c r="B9999" i="1"/>
  <c r="C9999" i="1"/>
  <c r="D9999" i="1"/>
  <c r="A10000" i="1"/>
  <c r="B10000" i="1"/>
  <c r="C10000" i="1"/>
  <c r="D10000" i="1"/>
  <c r="A10001" i="1"/>
  <c r="B10001" i="1"/>
  <c r="C10001" i="1"/>
  <c r="D10001" i="1"/>
  <c r="A10002" i="1"/>
  <c r="B10002" i="1"/>
  <c r="C10002" i="1"/>
  <c r="D10002" i="1"/>
  <c r="A10003" i="1"/>
  <c r="B10003" i="1"/>
  <c r="C10003" i="1"/>
  <c r="D10003" i="1"/>
  <c r="A10004" i="1"/>
  <c r="B10004" i="1"/>
  <c r="C10004" i="1"/>
  <c r="D10004" i="1"/>
  <c r="A10005" i="1"/>
  <c r="B10005" i="1"/>
  <c r="C10005" i="1"/>
  <c r="D10005" i="1"/>
  <c r="A10006" i="1"/>
  <c r="B10006" i="1"/>
  <c r="C10006" i="1"/>
  <c r="D10006" i="1"/>
  <c r="A10007" i="1"/>
  <c r="B10007" i="1"/>
  <c r="C10007" i="1"/>
  <c r="D10007" i="1"/>
  <c r="A10008" i="1"/>
  <c r="B10008" i="1"/>
  <c r="C10008" i="1"/>
  <c r="D10008" i="1"/>
  <c r="A10009" i="1"/>
  <c r="B10009" i="1"/>
  <c r="C10009" i="1"/>
  <c r="D10009" i="1"/>
  <c r="A10010" i="1"/>
  <c r="B10010" i="1"/>
  <c r="C10010" i="1"/>
  <c r="D10010" i="1"/>
  <c r="A10011" i="1"/>
  <c r="B10011" i="1"/>
  <c r="C10011" i="1"/>
  <c r="D10011" i="1"/>
  <c r="A10012" i="1"/>
  <c r="B10012" i="1"/>
  <c r="C10012" i="1"/>
  <c r="D10012" i="1"/>
  <c r="A10013" i="1"/>
  <c r="B10013" i="1"/>
  <c r="C10013" i="1"/>
  <c r="D10013" i="1"/>
  <c r="A10014" i="1"/>
  <c r="B10014" i="1"/>
  <c r="C10014" i="1"/>
  <c r="D10014" i="1"/>
  <c r="A10015" i="1"/>
  <c r="B10015" i="1"/>
  <c r="C10015" i="1"/>
  <c r="D10015" i="1"/>
  <c r="A10016" i="1"/>
  <c r="B10016" i="1"/>
  <c r="C10016" i="1"/>
  <c r="D10016" i="1"/>
  <c r="A10017" i="1"/>
  <c r="B10017" i="1"/>
  <c r="C10017" i="1"/>
  <c r="D10017" i="1"/>
  <c r="A10018" i="1"/>
  <c r="B10018" i="1"/>
  <c r="C10018" i="1"/>
  <c r="D10018" i="1"/>
  <c r="A10019" i="1"/>
  <c r="B10019" i="1"/>
  <c r="C10019" i="1"/>
  <c r="D10019" i="1"/>
  <c r="A10020" i="1"/>
  <c r="B10020" i="1"/>
  <c r="C10020" i="1"/>
  <c r="D10020" i="1"/>
  <c r="A10021" i="1"/>
  <c r="B10021" i="1"/>
  <c r="C10021" i="1"/>
  <c r="D10021" i="1"/>
  <c r="A10022" i="1"/>
  <c r="B10022" i="1"/>
  <c r="C10022" i="1"/>
  <c r="D10022" i="1"/>
  <c r="A10023" i="1"/>
  <c r="B10023" i="1"/>
  <c r="C10023" i="1"/>
  <c r="D10023" i="1"/>
  <c r="A10024" i="1"/>
  <c r="B10024" i="1"/>
  <c r="C10024" i="1"/>
  <c r="D10024" i="1"/>
  <c r="A10025" i="1"/>
  <c r="B10025" i="1"/>
  <c r="C10025" i="1"/>
  <c r="D10025" i="1"/>
  <c r="A10026" i="1"/>
  <c r="B10026" i="1"/>
  <c r="C10026" i="1"/>
  <c r="D10026" i="1"/>
  <c r="A10027" i="1"/>
  <c r="B10027" i="1"/>
  <c r="C10027" i="1"/>
  <c r="D10027" i="1"/>
  <c r="A10028" i="1"/>
  <c r="B10028" i="1"/>
  <c r="C10028" i="1"/>
  <c r="D10028" i="1"/>
  <c r="A10029" i="1"/>
  <c r="B10029" i="1"/>
  <c r="C10029" i="1"/>
  <c r="D10029" i="1"/>
  <c r="A10030" i="1"/>
  <c r="B10030" i="1"/>
  <c r="C10030" i="1"/>
  <c r="D10030" i="1"/>
  <c r="A10031" i="1"/>
  <c r="B10031" i="1"/>
  <c r="C10031" i="1"/>
  <c r="D10031" i="1"/>
  <c r="A10032" i="1"/>
  <c r="B10032" i="1"/>
  <c r="C10032" i="1"/>
  <c r="D10032" i="1"/>
  <c r="A10033" i="1"/>
  <c r="B10033" i="1"/>
  <c r="C10033" i="1"/>
  <c r="D10033" i="1"/>
  <c r="A10034" i="1"/>
  <c r="B10034" i="1"/>
  <c r="C10034" i="1"/>
  <c r="D10034" i="1"/>
  <c r="A10035" i="1"/>
  <c r="B10035" i="1"/>
  <c r="C10035" i="1"/>
  <c r="D10035" i="1"/>
  <c r="A10036" i="1"/>
  <c r="B10036" i="1"/>
  <c r="C10036" i="1"/>
  <c r="D10036" i="1"/>
  <c r="A10037" i="1"/>
  <c r="B10037" i="1"/>
  <c r="C10037" i="1"/>
  <c r="D10037" i="1"/>
  <c r="A10038" i="1"/>
  <c r="B10038" i="1"/>
  <c r="C10038" i="1"/>
  <c r="D10038" i="1"/>
  <c r="A10039" i="1"/>
  <c r="B10039" i="1"/>
  <c r="C10039" i="1"/>
  <c r="D10039" i="1"/>
  <c r="A10040" i="1"/>
  <c r="B10040" i="1"/>
  <c r="C10040" i="1"/>
  <c r="D10040" i="1"/>
  <c r="A10041" i="1"/>
  <c r="B10041" i="1"/>
  <c r="C10041" i="1"/>
  <c r="D10041" i="1"/>
  <c r="A10042" i="1"/>
  <c r="B10042" i="1"/>
  <c r="C10042" i="1"/>
  <c r="D10042" i="1"/>
  <c r="A10043" i="1"/>
  <c r="B10043" i="1"/>
  <c r="C10043" i="1"/>
  <c r="D10043" i="1"/>
  <c r="A10044" i="1"/>
  <c r="B10044" i="1"/>
  <c r="C10044" i="1"/>
  <c r="D10044" i="1"/>
  <c r="A10045" i="1"/>
  <c r="B10045" i="1"/>
  <c r="C10045" i="1"/>
  <c r="D10045" i="1"/>
  <c r="A10046" i="1"/>
  <c r="B10046" i="1"/>
  <c r="C10046" i="1"/>
  <c r="D10046" i="1"/>
  <c r="A10047" i="1"/>
  <c r="B10047" i="1"/>
  <c r="C10047" i="1"/>
  <c r="D10047" i="1"/>
  <c r="A10048" i="1"/>
  <c r="B10048" i="1"/>
  <c r="C10048" i="1"/>
  <c r="D10048" i="1"/>
  <c r="A10049" i="1"/>
  <c r="B10049" i="1"/>
  <c r="C10049" i="1"/>
  <c r="D10049" i="1"/>
  <c r="A10050" i="1"/>
  <c r="B10050" i="1"/>
  <c r="C10050" i="1"/>
  <c r="D10050" i="1"/>
  <c r="A10051" i="1"/>
  <c r="B10051" i="1"/>
  <c r="C10051" i="1"/>
  <c r="D10051" i="1"/>
  <c r="A10052" i="1"/>
  <c r="B10052" i="1"/>
  <c r="C10052" i="1"/>
  <c r="D10052" i="1"/>
  <c r="A10053" i="1"/>
  <c r="B10053" i="1"/>
  <c r="C10053" i="1"/>
  <c r="D10053" i="1"/>
  <c r="A10054" i="1"/>
  <c r="B10054" i="1"/>
  <c r="C10054" i="1"/>
  <c r="D10054" i="1"/>
  <c r="A10055" i="1"/>
  <c r="B10055" i="1"/>
  <c r="C10055" i="1"/>
  <c r="D10055" i="1"/>
  <c r="A10056" i="1"/>
  <c r="B10056" i="1"/>
  <c r="C10056" i="1"/>
  <c r="D10056" i="1"/>
  <c r="A10057" i="1"/>
  <c r="B10057" i="1"/>
  <c r="C10057" i="1"/>
  <c r="D10057" i="1"/>
  <c r="A10058" i="1"/>
  <c r="B10058" i="1"/>
  <c r="C10058" i="1"/>
  <c r="D10058" i="1"/>
  <c r="A10059" i="1"/>
  <c r="B10059" i="1"/>
  <c r="C10059" i="1"/>
  <c r="D10059" i="1"/>
  <c r="A10060" i="1"/>
  <c r="B10060" i="1"/>
  <c r="C10060" i="1"/>
  <c r="D10060" i="1"/>
  <c r="A10061" i="1"/>
  <c r="B10061" i="1"/>
  <c r="C10061" i="1"/>
  <c r="D10061" i="1"/>
  <c r="A10062" i="1"/>
  <c r="B10062" i="1"/>
  <c r="C10062" i="1"/>
  <c r="D10062" i="1"/>
  <c r="A10063" i="1"/>
  <c r="B10063" i="1"/>
  <c r="C10063" i="1"/>
  <c r="D10063" i="1"/>
  <c r="A10064" i="1"/>
  <c r="B10064" i="1"/>
  <c r="C10064" i="1"/>
  <c r="D10064" i="1"/>
  <c r="A10065" i="1"/>
  <c r="B10065" i="1"/>
  <c r="C10065" i="1"/>
  <c r="D10065" i="1"/>
  <c r="A10066" i="1"/>
  <c r="B10066" i="1"/>
  <c r="C10066" i="1"/>
  <c r="D10066" i="1"/>
  <c r="A10067" i="1"/>
  <c r="B10067" i="1"/>
  <c r="C10067" i="1"/>
  <c r="D10067" i="1"/>
  <c r="A10068" i="1"/>
  <c r="B10068" i="1"/>
  <c r="C10068" i="1"/>
  <c r="D10068" i="1"/>
  <c r="A10069" i="1"/>
  <c r="B10069" i="1"/>
  <c r="C10069" i="1"/>
  <c r="D10069" i="1"/>
  <c r="A10070" i="1"/>
  <c r="B10070" i="1"/>
  <c r="C10070" i="1"/>
  <c r="D10070" i="1"/>
  <c r="A10071" i="1"/>
  <c r="B10071" i="1"/>
  <c r="C10071" i="1"/>
  <c r="D10071" i="1"/>
  <c r="A10072" i="1"/>
  <c r="B10072" i="1"/>
  <c r="C10072" i="1"/>
  <c r="D10072" i="1"/>
  <c r="A10073" i="1"/>
  <c r="B10073" i="1"/>
  <c r="C10073" i="1"/>
  <c r="D10073" i="1"/>
  <c r="A10074" i="1"/>
  <c r="B10074" i="1"/>
  <c r="C10074" i="1"/>
  <c r="D10074" i="1"/>
  <c r="A10075" i="1"/>
  <c r="B10075" i="1"/>
  <c r="C10075" i="1"/>
  <c r="D10075" i="1"/>
  <c r="A10076" i="1"/>
  <c r="B10076" i="1"/>
  <c r="C10076" i="1"/>
  <c r="D10076" i="1"/>
  <c r="A10077" i="1"/>
  <c r="B10077" i="1"/>
  <c r="C10077" i="1"/>
  <c r="D10077" i="1"/>
  <c r="A10078" i="1"/>
  <c r="B10078" i="1"/>
  <c r="C10078" i="1"/>
  <c r="D10078" i="1"/>
  <c r="A10079" i="1"/>
  <c r="B10079" i="1"/>
  <c r="C10079" i="1"/>
  <c r="D10079" i="1"/>
  <c r="A10080" i="1"/>
  <c r="B10080" i="1"/>
  <c r="C10080" i="1"/>
  <c r="D10080" i="1"/>
  <c r="A10081" i="1"/>
  <c r="B10081" i="1"/>
  <c r="C10081" i="1"/>
  <c r="A10082" i="1"/>
  <c r="B10082" i="1"/>
  <c r="C10082" i="1"/>
  <c r="D10082" i="1"/>
  <c r="A10083" i="1"/>
  <c r="B10083" i="1"/>
  <c r="C10083" i="1"/>
  <c r="D10083" i="1"/>
  <c r="A10084" i="1"/>
  <c r="B10084" i="1"/>
  <c r="C10084" i="1"/>
  <c r="D10084" i="1"/>
  <c r="A10085" i="1"/>
  <c r="B10085" i="1"/>
  <c r="C10085" i="1"/>
  <c r="D10085" i="1"/>
  <c r="A10086" i="1"/>
  <c r="B10086" i="1"/>
  <c r="C10086" i="1"/>
  <c r="D10086" i="1"/>
  <c r="A10087" i="1"/>
  <c r="B10087" i="1"/>
  <c r="C10087" i="1"/>
  <c r="D10087" i="1"/>
  <c r="A10088" i="1"/>
  <c r="B10088" i="1"/>
  <c r="C10088" i="1"/>
  <c r="D10088" i="1"/>
  <c r="A10089" i="1"/>
  <c r="B10089" i="1"/>
  <c r="C10089" i="1"/>
  <c r="D10089" i="1"/>
  <c r="A10090" i="1"/>
  <c r="B10090" i="1"/>
  <c r="C10090" i="1"/>
  <c r="D10090" i="1"/>
  <c r="A10091" i="1"/>
  <c r="B10091" i="1"/>
  <c r="C10091" i="1"/>
  <c r="D10091" i="1"/>
  <c r="A10092" i="1"/>
  <c r="B10092" i="1"/>
  <c r="C10092" i="1"/>
  <c r="D10092" i="1"/>
  <c r="A10093" i="1"/>
  <c r="B10093" i="1"/>
  <c r="C10093" i="1"/>
  <c r="D10093" i="1"/>
  <c r="A10094" i="1"/>
  <c r="B10094" i="1"/>
  <c r="C10094" i="1"/>
  <c r="D10094" i="1"/>
  <c r="A10095" i="1"/>
  <c r="B10095" i="1"/>
  <c r="C10095" i="1"/>
  <c r="D10095" i="1"/>
  <c r="A10096" i="1"/>
  <c r="B10096" i="1"/>
  <c r="C10096" i="1"/>
  <c r="D10096" i="1"/>
  <c r="A10097" i="1"/>
  <c r="B10097" i="1"/>
  <c r="C10097" i="1"/>
  <c r="D10097" i="1"/>
  <c r="A10098" i="1"/>
  <c r="B10098" i="1"/>
  <c r="C10098" i="1"/>
  <c r="D10098" i="1"/>
  <c r="A10099" i="1"/>
  <c r="B10099" i="1"/>
  <c r="C10099" i="1"/>
  <c r="D10099" i="1"/>
  <c r="A10100" i="1"/>
  <c r="B10100" i="1"/>
  <c r="C10100" i="1"/>
  <c r="D10100" i="1"/>
  <c r="A10101" i="1"/>
  <c r="B10101" i="1"/>
  <c r="C10101" i="1"/>
  <c r="D10101" i="1"/>
  <c r="A10102" i="1"/>
  <c r="B10102" i="1"/>
  <c r="C10102" i="1"/>
  <c r="D10102" i="1"/>
  <c r="A10103" i="1"/>
  <c r="B10103" i="1"/>
  <c r="C10103" i="1"/>
  <c r="D10103" i="1"/>
  <c r="A10104" i="1"/>
  <c r="B10104" i="1"/>
  <c r="C10104" i="1"/>
  <c r="D10104" i="1"/>
  <c r="A10105" i="1"/>
  <c r="B10105" i="1"/>
  <c r="C10105" i="1"/>
  <c r="D10105" i="1"/>
  <c r="A10106" i="1"/>
  <c r="B10106" i="1"/>
  <c r="C10106" i="1"/>
  <c r="D10106" i="1"/>
  <c r="A10107" i="1"/>
  <c r="B10107" i="1"/>
  <c r="C10107" i="1"/>
  <c r="D10107" i="1"/>
  <c r="A10108" i="1"/>
  <c r="B10108" i="1"/>
  <c r="C10108" i="1"/>
  <c r="D10108" i="1"/>
  <c r="A10109" i="1"/>
  <c r="B10109" i="1"/>
  <c r="C10109" i="1"/>
  <c r="D10109" i="1"/>
  <c r="A10110" i="1"/>
  <c r="B10110" i="1"/>
  <c r="C10110" i="1"/>
  <c r="D10110" i="1"/>
  <c r="A10111" i="1"/>
  <c r="B10111" i="1"/>
  <c r="C10111" i="1"/>
  <c r="D10111" i="1"/>
  <c r="A10112" i="1"/>
  <c r="B10112" i="1"/>
  <c r="C10112" i="1"/>
  <c r="D10112" i="1"/>
  <c r="A10113" i="1"/>
  <c r="B10113" i="1"/>
  <c r="C10113" i="1"/>
  <c r="D10113" i="1"/>
  <c r="A10114" i="1"/>
  <c r="B10114" i="1"/>
  <c r="C10114" i="1"/>
  <c r="D10114" i="1"/>
  <c r="A10115" i="1"/>
  <c r="B10115" i="1"/>
  <c r="C10115" i="1"/>
  <c r="D10115" i="1"/>
  <c r="A10116" i="1"/>
  <c r="B10116" i="1"/>
  <c r="C10116" i="1"/>
  <c r="D10116" i="1"/>
  <c r="A10117" i="1"/>
  <c r="B10117" i="1"/>
  <c r="C10117" i="1"/>
  <c r="D10117" i="1"/>
  <c r="A10118" i="1"/>
  <c r="B10118" i="1"/>
  <c r="C10118" i="1"/>
  <c r="D10118" i="1"/>
  <c r="A10119" i="1"/>
  <c r="B10119" i="1"/>
  <c r="C10119" i="1"/>
  <c r="D10119" i="1"/>
  <c r="A10120" i="1"/>
  <c r="B10120" i="1"/>
  <c r="C10120" i="1"/>
  <c r="D10120" i="1"/>
  <c r="A10121" i="1"/>
  <c r="B10121" i="1"/>
  <c r="C10121" i="1"/>
  <c r="D10121" i="1"/>
  <c r="A10122" i="1"/>
  <c r="B10122" i="1"/>
  <c r="C10122" i="1"/>
  <c r="D10122" i="1"/>
  <c r="A10123" i="1"/>
  <c r="B10123" i="1"/>
  <c r="C10123" i="1"/>
  <c r="D10123" i="1"/>
  <c r="A10124" i="1"/>
  <c r="B10124" i="1"/>
  <c r="C10124" i="1"/>
  <c r="D10124" i="1"/>
  <c r="A10125" i="1"/>
  <c r="B10125" i="1"/>
  <c r="C10125" i="1"/>
  <c r="A10126" i="1"/>
  <c r="B10126" i="1"/>
  <c r="C10126" i="1"/>
  <c r="D10126" i="1"/>
  <c r="A10127" i="1"/>
  <c r="B10127" i="1"/>
  <c r="C10127" i="1"/>
  <c r="D10127" i="1"/>
  <c r="A10128" i="1"/>
  <c r="B10128" i="1"/>
  <c r="C10128" i="1"/>
  <c r="D10128" i="1"/>
  <c r="A10129" i="1"/>
  <c r="B10129" i="1"/>
  <c r="C10129" i="1"/>
  <c r="D10129" i="1"/>
  <c r="A10130" i="1"/>
  <c r="B10130" i="1"/>
  <c r="C10130" i="1"/>
  <c r="D10130" i="1"/>
  <c r="A10131" i="1"/>
  <c r="B10131" i="1"/>
  <c r="C10131" i="1"/>
  <c r="D10131" i="1"/>
  <c r="A10132" i="1"/>
  <c r="B10132" i="1"/>
  <c r="C10132" i="1"/>
  <c r="D10132" i="1"/>
  <c r="A10133" i="1"/>
  <c r="B10133" i="1"/>
  <c r="C10133" i="1"/>
  <c r="D10133" i="1"/>
  <c r="A10134" i="1"/>
  <c r="B10134" i="1"/>
  <c r="C10134" i="1"/>
  <c r="D10134" i="1"/>
  <c r="A10135" i="1"/>
  <c r="B10135" i="1"/>
  <c r="C10135" i="1"/>
  <c r="D10135" i="1"/>
  <c r="A10136" i="1"/>
  <c r="B10136" i="1"/>
  <c r="C10136" i="1"/>
  <c r="D10136" i="1"/>
  <c r="A10137" i="1"/>
  <c r="B10137" i="1"/>
  <c r="C10137" i="1"/>
  <c r="D10137" i="1"/>
  <c r="A10138" i="1"/>
  <c r="B10138" i="1"/>
  <c r="C10138" i="1"/>
  <c r="D10138" i="1"/>
  <c r="A10139" i="1"/>
  <c r="B10139" i="1"/>
  <c r="C10139" i="1"/>
  <c r="D10139" i="1"/>
  <c r="A10140" i="1"/>
  <c r="B10140" i="1"/>
  <c r="C10140" i="1"/>
  <c r="D10140" i="1"/>
  <c r="A10141" i="1"/>
  <c r="B10141" i="1"/>
  <c r="C10141" i="1"/>
  <c r="D10141" i="1"/>
  <c r="A10142" i="1"/>
  <c r="B10142" i="1"/>
  <c r="C10142" i="1"/>
  <c r="D10142" i="1"/>
  <c r="A10143" i="1"/>
  <c r="B10143" i="1"/>
  <c r="C10143" i="1"/>
  <c r="D10143" i="1"/>
  <c r="A10144" i="1"/>
  <c r="B10144" i="1"/>
  <c r="C10144" i="1"/>
  <c r="D10144" i="1"/>
  <c r="A10145" i="1"/>
  <c r="B10145" i="1"/>
  <c r="C10145" i="1"/>
  <c r="D10145" i="1"/>
  <c r="A10146" i="1"/>
  <c r="B10146" i="1"/>
  <c r="C10146" i="1"/>
  <c r="D10146" i="1"/>
  <c r="A10147" i="1"/>
  <c r="B10147" i="1"/>
  <c r="C10147" i="1"/>
  <c r="D10147" i="1"/>
  <c r="A10148" i="1"/>
  <c r="B10148" i="1"/>
  <c r="C10148" i="1"/>
  <c r="D10148" i="1"/>
  <c r="A10149" i="1"/>
  <c r="B10149" i="1"/>
  <c r="C10149" i="1"/>
  <c r="D10149" i="1"/>
  <c r="A10150" i="1"/>
  <c r="B10150" i="1"/>
  <c r="C10150" i="1"/>
  <c r="D10150" i="1"/>
  <c r="A10151" i="1"/>
  <c r="B10151" i="1"/>
  <c r="C10151" i="1"/>
  <c r="D10151" i="1"/>
  <c r="A10152" i="1"/>
  <c r="B10152" i="1"/>
  <c r="C10152" i="1"/>
  <c r="D10152" i="1"/>
  <c r="A10153" i="1"/>
  <c r="B10153" i="1"/>
  <c r="C10153" i="1"/>
  <c r="D10153" i="1"/>
  <c r="A10154" i="1"/>
  <c r="B10154" i="1"/>
  <c r="C10154" i="1"/>
  <c r="D10154" i="1"/>
  <c r="A10155" i="1"/>
  <c r="B10155" i="1"/>
  <c r="C10155" i="1"/>
  <c r="D10155" i="1"/>
  <c r="A10156" i="1"/>
  <c r="B10156" i="1"/>
  <c r="C10156" i="1"/>
  <c r="D10156" i="1"/>
  <c r="A10157" i="1"/>
  <c r="B10157" i="1"/>
  <c r="C10157" i="1"/>
  <c r="D10157" i="1"/>
  <c r="A10158" i="1"/>
  <c r="B10158" i="1"/>
  <c r="C10158" i="1"/>
  <c r="D10158" i="1"/>
  <c r="A10159" i="1"/>
  <c r="B10159" i="1"/>
  <c r="C10159" i="1"/>
  <c r="D10159" i="1"/>
  <c r="A10160" i="1"/>
  <c r="B10160" i="1"/>
  <c r="C10160" i="1"/>
  <c r="D10160" i="1"/>
  <c r="A10161" i="1"/>
  <c r="B10161" i="1"/>
  <c r="C10161" i="1"/>
  <c r="D10161" i="1"/>
  <c r="A10162" i="1"/>
  <c r="B10162" i="1"/>
  <c r="C10162" i="1"/>
  <c r="A10163" i="1"/>
  <c r="B10163" i="1"/>
  <c r="C10163" i="1"/>
  <c r="D10163" i="1"/>
  <c r="A10164" i="1"/>
  <c r="B10164" i="1"/>
  <c r="C10164" i="1"/>
  <c r="D10164" i="1"/>
  <c r="A10165" i="1"/>
  <c r="B10165" i="1"/>
  <c r="C10165" i="1"/>
  <c r="D10165" i="1"/>
  <c r="A10166" i="1"/>
  <c r="B10166" i="1"/>
  <c r="C10166" i="1"/>
  <c r="D10166" i="1"/>
  <c r="A10167" i="1"/>
  <c r="B10167" i="1"/>
  <c r="C10167" i="1"/>
  <c r="D10167" i="1"/>
  <c r="A10168" i="1"/>
  <c r="B10168" i="1"/>
  <c r="C10168" i="1"/>
  <c r="D10168" i="1"/>
  <c r="A10169" i="1"/>
  <c r="B10169" i="1"/>
  <c r="C10169" i="1"/>
  <c r="D10169" i="1"/>
  <c r="A10170" i="1"/>
  <c r="B10170" i="1"/>
  <c r="C10170" i="1"/>
  <c r="D10170" i="1"/>
  <c r="A10171" i="1"/>
  <c r="B10171" i="1"/>
  <c r="C10171" i="1"/>
  <c r="D10171" i="1"/>
  <c r="A10172" i="1"/>
  <c r="B10172" i="1"/>
  <c r="C10172" i="1"/>
  <c r="D10172" i="1"/>
  <c r="A10173" i="1"/>
  <c r="B10173" i="1"/>
  <c r="C10173" i="1"/>
  <c r="D10173" i="1"/>
  <c r="A10174" i="1"/>
  <c r="B10174" i="1"/>
  <c r="C10174" i="1"/>
  <c r="D10174" i="1"/>
  <c r="A10175" i="1"/>
  <c r="B10175" i="1"/>
  <c r="C10175" i="1"/>
  <c r="D10175" i="1"/>
  <c r="A10176" i="1"/>
  <c r="B10176" i="1"/>
  <c r="C10176" i="1"/>
  <c r="D10176" i="1"/>
  <c r="A10177" i="1"/>
  <c r="B10177" i="1"/>
  <c r="C10177" i="1"/>
  <c r="D10177" i="1"/>
  <c r="A10178" i="1"/>
  <c r="B10178" i="1"/>
  <c r="C10178" i="1"/>
  <c r="D10178" i="1"/>
  <c r="A10179" i="1"/>
  <c r="B10179" i="1"/>
  <c r="C10179" i="1"/>
  <c r="D10179" i="1"/>
  <c r="A10180" i="1"/>
  <c r="B10180" i="1"/>
  <c r="C10180" i="1"/>
  <c r="D10180" i="1"/>
  <c r="A10181" i="1"/>
  <c r="B10181" i="1"/>
  <c r="C10181" i="1"/>
  <c r="D10181" i="1"/>
  <c r="A10182" i="1"/>
  <c r="B10182" i="1"/>
  <c r="C10182" i="1"/>
  <c r="D10182" i="1"/>
  <c r="A10183" i="1"/>
  <c r="B10183" i="1"/>
  <c r="C10183" i="1"/>
  <c r="D10183" i="1"/>
  <c r="A10184" i="1"/>
  <c r="B10184" i="1"/>
  <c r="C10184" i="1"/>
  <c r="D10184" i="1"/>
  <c r="A10185" i="1"/>
  <c r="B10185" i="1"/>
  <c r="C10185" i="1"/>
  <c r="D10185" i="1"/>
  <c r="A10186" i="1"/>
  <c r="B10186" i="1"/>
  <c r="C10186" i="1"/>
  <c r="D10186" i="1"/>
  <c r="A10187" i="1"/>
  <c r="B10187" i="1"/>
  <c r="C10187" i="1"/>
  <c r="D10187" i="1"/>
  <c r="A10188" i="1"/>
  <c r="B10188" i="1"/>
  <c r="C10188" i="1"/>
  <c r="D10188" i="1"/>
  <c r="A10189" i="1"/>
  <c r="B10189" i="1"/>
  <c r="C10189" i="1"/>
  <c r="D10189" i="1"/>
  <c r="A10190" i="1"/>
  <c r="B10190" i="1"/>
  <c r="C10190" i="1"/>
  <c r="D10190" i="1"/>
  <c r="A10191" i="1"/>
  <c r="B10191" i="1"/>
  <c r="C10191" i="1"/>
  <c r="D10191" i="1"/>
  <c r="A10192" i="1"/>
  <c r="B10192" i="1"/>
  <c r="C10192" i="1"/>
  <c r="D10192" i="1"/>
  <c r="A10193" i="1"/>
  <c r="B10193" i="1"/>
  <c r="C10193" i="1"/>
  <c r="D10193" i="1"/>
  <c r="A10194" i="1"/>
  <c r="B10194" i="1"/>
  <c r="C10194" i="1"/>
  <c r="D10194" i="1"/>
  <c r="A10195" i="1"/>
  <c r="B10195" i="1"/>
  <c r="C10195" i="1"/>
  <c r="D10195" i="1"/>
  <c r="A10196" i="1"/>
  <c r="B10196" i="1"/>
  <c r="C10196" i="1"/>
  <c r="D10196" i="1"/>
  <c r="A10197" i="1"/>
  <c r="B10197" i="1"/>
  <c r="C10197" i="1"/>
  <c r="D10197" i="1"/>
  <c r="A10198" i="1"/>
  <c r="B10198" i="1"/>
  <c r="C10198" i="1"/>
  <c r="D10198" i="1"/>
  <c r="A10199" i="1"/>
  <c r="B10199" i="1"/>
  <c r="C10199" i="1"/>
  <c r="D10199" i="1"/>
  <c r="A10200" i="1"/>
  <c r="B10200" i="1"/>
  <c r="C10200" i="1"/>
  <c r="D10200" i="1"/>
  <c r="A10201" i="1"/>
  <c r="B10201" i="1"/>
  <c r="C10201" i="1"/>
  <c r="D10201" i="1"/>
  <c r="A10202" i="1"/>
  <c r="B10202" i="1"/>
  <c r="C10202" i="1"/>
  <c r="D10202" i="1"/>
  <c r="A10203" i="1"/>
  <c r="B10203" i="1"/>
  <c r="C10203" i="1"/>
  <c r="D10203" i="1"/>
  <c r="A10204" i="1"/>
  <c r="B10204" i="1"/>
  <c r="C10204" i="1"/>
  <c r="D10204" i="1"/>
  <c r="A10205" i="1"/>
  <c r="B10205" i="1"/>
  <c r="C10205" i="1"/>
  <c r="D10205" i="1"/>
  <c r="A10206" i="1"/>
  <c r="B10206" i="1"/>
  <c r="C10206" i="1"/>
  <c r="D10206" i="1"/>
  <c r="A10207" i="1"/>
  <c r="B10207" i="1"/>
  <c r="C10207" i="1"/>
  <c r="D10207" i="1"/>
  <c r="A10208" i="1"/>
  <c r="B10208" i="1"/>
  <c r="C10208" i="1"/>
  <c r="D10208" i="1"/>
  <c r="A10209" i="1"/>
  <c r="B10209" i="1"/>
  <c r="C10209" i="1"/>
  <c r="D10209" i="1"/>
  <c r="A10210" i="1"/>
  <c r="B10210" i="1"/>
  <c r="C10210" i="1"/>
  <c r="D10210" i="1"/>
  <c r="A10211" i="1"/>
  <c r="B10211" i="1"/>
  <c r="C10211" i="1"/>
  <c r="D10211" i="1"/>
  <c r="A10212" i="1"/>
  <c r="B10212" i="1"/>
  <c r="C10212" i="1"/>
  <c r="D10212" i="1"/>
  <c r="A10213" i="1"/>
  <c r="B10213" i="1"/>
  <c r="C10213" i="1"/>
  <c r="D10213" i="1"/>
  <c r="A10214" i="1"/>
  <c r="B10214" i="1"/>
  <c r="C10214" i="1"/>
  <c r="D10214" i="1"/>
  <c r="A10215" i="1"/>
  <c r="B10215" i="1"/>
  <c r="C10215" i="1"/>
  <c r="D10215" i="1"/>
  <c r="A10216" i="1"/>
  <c r="B10216" i="1"/>
  <c r="C10216" i="1"/>
  <c r="D10216" i="1"/>
  <c r="A10217" i="1"/>
  <c r="B10217" i="1"/>
  <c r="C10217" i="1"/>
  <c r="D10217" i="1"/>
  <c r="A10218" i="1"/>
  <c r="B10218" i="1"/>
  <c r="C10218" i="1"/>
  <c r="D10218" i="1"/>
  <c r="A10219" i="1"/>
  <c r="B10219" i="1"/>
  <c r="C10219" i="1"/>
  <c r="D10219" i="1"/>
  <c r="A10220" i="1"/>
  <c r="B10220" i="1"/>
  <c r="C10220" i="1"/>
  <c r="D10220" i="1"/>
  <c r="A10221" i="1"/>
  <c r="B10221" i="1"/>
  <c r="C10221" i="1"/>
  <c r="D10221" i="1"/>
  <c r="A10222" i="1"/>
  <c r="B10222" i="1"/>
  <c r="C10222" i="1"/>
  <c r="D10222" i="1"/>
  <c r="A10223" i="1"/>
  <c r="B10223" i="1"/>
  <c r="C10223" i="1"/>
  <c r="D10223" i="1"/>
  <c r="A10224" i="1"/>
  <c r="B10224" i="1"/>
  <c r="C10224" i="1"/>
  <c r="D10224" i="1"/>
  <c r="A10225" i="1"/>
  <c r="B10225" i="1"/>
  <c r="C10225" i="1"/>
  <c r="D10225" i="1"/>
  <c r="A10226" i="1"/>
  <c r="B10226" i="1"/>
  <c r="C10226" i="1"/>
  <c r="D10226" i="1"/>
  <c r="A10227" i="1"/>
  <c r="B10227" i="1"/>
  <c r="C10227" i="1"/>
  <c r="D10227" i="1"/>
  <c r="A10228" i="1"/>
  <c r="B10228" i="1"/>
  <c r="C10228" i="1"/>
  <c r="D10228" i="1"/>
  <c r="A10229" i="1"/>
  <c r="B10229" i="1"/>
  <c r="C10229" i="1"/>
  <c r="D10229" i="1"/>
  <c r="A10230" i="1"/>
  <c r="B10230" i="1"/>
  <c r="C10230" i="1"/>
  <c r="D10230" i="1"/>
  <c r="A10231" i="1"/>
  <c r="B10231" i="1"/>
  <c r="C10231" i="1"/>
  <c r="D10231" i="1"/>
  <c r="A10232" i="1"/>
  <c r="B10232" i="1"/>
  <c r="C10232" i="1"/>
  <c r="D10232" i="1"/>
  <c r="A10233" i="1"/>
  <c r="B10233" i="1"/>
  <c r="C10233" i="1"/>
  <c r="D10233" i="1"/>
  <c r="A10234" i="1"/>
  <c r="B10234" i="1"/>
  <c r="C10234" i="1"/>
  <c r="D10234" i="1"/>
  <c r="A10235" i="1"/>
  <c r="B10235" i="1"/>
  <c r="C10235" i="1"/>
  <c r="D10235" i="1"/>
  <c r="A10236" i="1"/>
  <c r="B10236" i="1"/>
  <c r="C10236" i="1"/>
  <c r="D10236" i="1"/>
  <c r="A10237" i="1"/>
  <c r="B10237" i="1"/>
  <c r="C10237" i="1"/>
  <c r="D10237" i="1"/>
  <c r="A10238" i="1"/>
  <c r="B10238" i="1"/>
  <c r="C10238" i="1"/>
  <c r="D10238" i="1"/>
  <c r="A10239" i="1"/>
  <c r="B10239" i="1"/>
  <c r="C10239" i="1"/>
  <c r="D10239" i="1"/>
  <c r="A10240" i="1"/>
  <c r="B10240" i="1"/>
  <c r="C10240" i="1"/>
  <c r="D10240" i="1"/>
  <c r="A10241" i="1"/>
  <c r="B10241" i="1"/>
  <c r="C10241" i="1"/>
  <c r="D10241" i="1"/>
  <c r="A10242" i="1"/>
  <c r="B10242" i="1"/>
  <c r="C10242" i="1"/>
  <c r="D10242" i="1"/>
  <c r="A10243" i="1"/>
  <c r="B10243" i="1"/>
  <c r="C10243" i="1"/>
  <c r="A10244" i="1"/>
  <c r="B10244" i="1"/>
  <c r="C10244" i="1"/>
  <c r="D10244" i="1"/>
  <c r="A10245" i="1"/>
  <c r="B10245" i="1"/>
  <c r="C10245" i="1"/>
  <c r="D10245" i="1"/>
  <c r="A10246" i="1"/>
  <c r="B10246" i="1"/>
  <c r="C10246" i="1"/>
  <c r="D10246" i="1"/>
  <c r="A10247" i="1"/>
  <c r="B10247" i="1"/>
  <c r="C10247" i="1"/>
  <c r="D10247" i="1"/>
  <c r="A10248" i="1"/>
  <c r="B10248" i="1"/>
  <c r="C10248" i="1"/>
  <c r="D10248" i="1"/>
  <c r="A10249" i="1"/>
  <c r="B10249" i="1"/>
  <c r="C10249" i="1"/>
  <c r="D10249" i="1"/>
  <c r="A10250" i="1"/>
  <c r="B10250" i="1"/>
  <c r="C10250" i="1"/>
  <c r="D10250" i="1"/>
  <c r="A10251" i="1"/>
  <c r="B10251" i="1"/>
  <c r="C10251" i="1"/>
  <c r="D10251" i="1"/>
  <c r="A10252" i="1"/>
  <c r="B10252" i="1"/>
  <c r="C10252" i="1"/>
  <c r="D10252" i="1"/>
  <c r="A10253" i="1"/>
  <c r="B10253" i="1"/>
  <c r="C10253" i="1"/>
  <c r="D10253" i="1"/>
  <c r="A10254" i="1"/>
  <c r="B10254" i="1"/>
  <c r="C10254" i="1"/>
  <c r="D10254" i="1"/>
  <c r="A10255" i="1"/>
  <c r="B10255" i="1"/>
  <c r="C10255" i="1"/>
  <c r="D10255" i="1"/>
  <c r="A10256" i="1"/>
  <c r="B10256" i="1"/>
  <c r="C10256" i="1"/>
  <c r="D10256" i="1"/>
  <c r="A10257" i="1"/>
  <c r="B10257" i="1"/>
  <c r="C10257" i="1"/>
  <c r="D10257" i="1"/>
  <c r="A10258" i="1"/>
  <c r="B10258" i="1"/>
  <c r="C10258" i="1"/>
  <c r="D10258" i="1"/>
  <c r="A10259" i="1"/>
  <c r="B10259" i="1"/>
  <c r="C10259" i="1"/>
  <c r="D10259" i="1"/>
  <c r="A10260" i="1"/>
  <c r="B10260" i="1"/>
  <c r="C10260" i="1"/>
  <c r="D10260" i="1"/>
  <c r="A10261" i="1"/>
  <c r="B10261" i="1"/>
  <c r="C10261" i="1"/>
  <c r="D10261" i="1"/>
  <c r="A10262" i="1"/>
  <c r="B10262" i="1"/>
  <c r="C10262" i="1"/>
  <c r="D10262" i="1"/>
  <c r="A10263" i="1"/>
  <c r="B10263" i="1"/>
  <c r="C10263" i="1"/>
  <c r="D10263" i="1"/>
  <c r="A10264" i="1"/>
  <c r="B10264" i="1"/>
  <c r="C10264" i="1"/>
  <c r="D10264" i="1"/>
  <c r="A10265" i="1"/>
  <c r="B10265" i="1"/>
  <c r="C10265" i="1"/>
  <c r="D10265" i="1"/>
  <c r="A10266" i="1"/>
  <c r="B10266" i="1"/>
  <c r="C10266" i="1"/>
  <c r="D10266" i="1"/>
  <c r="A10267" i="1"/>
  <c r="B10267" i="1"/>
  <c r="C10267" i="1"/>
  <c r="D10267" i="1"/>
  <c r="A10268" i="1"/>
  <c r="B10268" i="1"/>
  <c r="C10268" i="1"/>
  <c r="D10268" i="1"/>
  <c r="A10269" i="1"/>
  <c r="B10269" i="1"/>
  <c r="C10269" i="1"/>
  <c r="D10269" i="1"/>
  <c r="A10270" i="1"/>
  <c r="B10270" i="1"/>
  <c r="C10270" i="1"/>
  <c r="D10270" i="1"/>
  <c r="A10271" i="1"/>
  <c r="B10271" i="1"/>
  <c r="C10271" i="1"/>
  <c r="D10271" i="1"/>
  <c r="A10272" i="1"/>
  <c r="B10272" i="1"/>
  <c r="C10272" i="1"/>
  <c r="D10272" i="1"/>
  <c r="A10273" i="1"/>
  <c r="B10273" i="1"/>
  <c r="C10273" i="1"/>
  <c r="D10273" i="1"/>
  <c r="A10274" i="1"/>
  <c r="B10274" i="1"/>
  <c r="C10274" i="1"/>
  <c r="D10274" i="1"/>
  <c r="A10275" i="1"/>
  <c r="B10275" i="1"/>
  <c r="C10275" i="1"/>
  <c r="D10275" i="1"/>
  <c r="A10276" i="1"/>
  <c r="B10276" i="1"/>
  <c r="C10276" i="1"/>
  <c r="D10276" i="1"/>
  <c r="A10277" i="1"/>
  <c r="B10277" i="1"/>
  <c r="C10277" i="1"/>
  <c r="D10277" i="1"/>
  <c r="A10278" i="1"/>
  <c r="B10278" i="1"/>
  <c r="C10278" i="1"/>
  <c r="D10278" i="1"/>
  <c r="A10279" i="1"/>
  <c r="B10279" i="1"/>
  <c r="C10279" i="1"/>
  <c r="D10279" i="1"/>
  <c r="A10280" i="1"/>
  <c r="B10280" i="1"/>
  <c r="C10280" i="1"/>
  <c r="D10280" i="1"/>
  <c r="A10281" i="1"/>
  <c r="B10281" i="1"/>
  <c r="C10281" i="1"/>
  <c r="D10281" i="1"/>
  <c r="A10282" i="1"/>
  <c r="B10282" i="1"/>
  <c r="C10282" i="1"/>
  <c r="D10282" i="1"/>
  <c r="A10283" i="1"/>
  <c r="B10283" i="1"/>
  <c r="C10283" i="1"/>
  <c r="D10283" i="1"/>
  <c r="A10284" i="1"/>
  <c r="B10284" i="1"/>
  <c r="C10284" i="1"/>
  <c r="D10284" i="1"/>
  <c r="A10285" i="1"/>
  <c r="B10285" i="1"/>
  <c r="C10285" i="1"/>
  <c r="D10285" i="1"/>
  <c r="A10286" i="1"/>
  <c r="B10286" i="1"/>
  <c r="C10286" i="1"/>
  <c r="D10286" i="1"/>
  <c r="A10287" i="1"/>
  <c r="B10287" i="1"/>
  <c r="C10287" i="1"/>
  <c r="D10287" i="1"/>
  <c r="A10288" i="1"/>
  <c r="B10288" i="1"/>
  <c r="C10288" i="1"/>
  <c r="D10288" i="1"/>
  <c r="A10289" i="1"/>
  <c r="B10289" i="1"/>
  <c r="C10289" i="1"/>
  <c r="D10289" i="1"/>
  <c r="A10290" i="1"/>
  <c r="B10290" i="1"/>
  <c r="C10290" i="1"/>
  <c r="D10290" i="1"/>
  <c r="A10291" i="1"/>
  <c r="B10291" i="1"/>
  <c r="C10291" i="1"/>
  <c r="D10291" i="1"/>
  <c r="A10292" i="1"/>
  <c r="B10292" i="1"/>
  <c r="C10292" i="1"/>
  <c r="D10292" i="1"/>
  <c r="A10293" i="1"/>
  <c r="B10293" i="1"/>
  <c r="C10293" i="1"/>
  <c r="D10293" i="1"/>
  <c r="A10294" i="1"/>
  <c r="B10294" i="1"/>
  <c r="C10294" i="1"/>
  <c r="D10294" i="1"/>
  <c r="A10295" i="1"/>
  <c r="B10295" i="1"/>
  <c r="C10295" i="1"/>
  <c r="D10295" i="1"/>
  <c r="A10296" i="1"/>
  <c r="B10296" i="1"/>
  <c r="C10296" i="1"/>
  <c r="D10296" i="1"/>
  <c r="A10297" i="1"/>
  <c r="B10297" i="1"/>
  <c r="C10297" i="1"/>
  <c r="D10297" i="1"/>
  <c r="A10298" i="1"/>
  <c r="B10298" i="1"/>
  <c r="C10298" i="1"/>
  <c r="D10298" i="1"/>
  <c r="A10299" i="1"/>
  <c r="B10299" i="1"/>
  <c r="C10299" i="1"/>
  <c r="D10299" i="1"/>
  <c r="A10300" i="1"/>
  <c r="B10300" i="1"/>
  <c r="C10300" i="1"/>
  <c r="D10300" i="1"/>
  <c r="A10301" i="1"/>
  <c r="B10301" i="1"/>
  <c r="C10301" i="1"/>
  <c r="D10301" i="1"/>
  <c r="A10302" i="1"/>
  <c r="B10302" i="1"/>
  <c r="C10302" i="1"/>
  <c r="D10302" i="1"/>
  <c r="A10303" i="1"/>
  <c r="B10303" i="1"/>
  <c r="C10303" i="1"/>
  <c r="D10303" i="1"/>
  <c r="A10304" i="1"/>
  <c r="B10304" i="1"/>
  <c r="C10304" i="1"/>
  <c r="D10304" i="1"/>
  <c r="A10305" i="1"/>
  <c r="B10305" i="1"/>
  <c r="C10305" i="1"/>
  <c r="A10306" i="1"/>
  <c r="B10306" i="1"/>
  <c r="C10306" i="1"/>
  <c r="D10306" i="1"/>
  <c r="A10307" i="1"/>
  <c r="B10307" i="1"/>
  <c r="C10307" i="1"/>
  <c r="D10307" i="1"/>
  <c r="A10308" i="1"/>
  <c r="B10308" i="1"/>
  <c r="C10308" i="1"/>
  <c r="D10308" i="1"/>
  <c r="A10309" i="1"/>
  <c r="B10309" i="1"/>
  <c r="C10309" i="1"/>
  <c r="D10309" i="1"/>
  <c r="A10310" i="1"/>
  <c r="B10310" i="1"/>
  <c r="C10310" i="1"/>
  <c r="D10310" i="1"/>
  <c r="A10311" i="1"/>
  <c r="B10311" i="1"/>
  <c r="C10311" i="1"/>
  <c r="D10311" i="1"/>
  <c r="A10312" i="1"/>
  <c r="B10312" i="1"/>
  <c r="C10312" i="1"/>
  <c r="D10312" i="1"/>
  <c r="A10313" i="1"/>
  <c r="B10313" i="1"/>
  <c r="C10313" i="1"/>
  <c r="D10313" i="1"/>
  <c r="A10314" i="1"/>
  <c r="B10314" i="1"/>
  <c r="C10314" i="1"/>
  <c r="D10314" i="1"/>
  <c r="A10315" i="1"/>
  <c r="B10315" i="1"/>
  <c r="C10315" i="1"/>
  <c r="D10315" i="1"/>
  <c r="A10316" i="1"/>
  <c r="B10316" i="1"/>
  <c r="C10316" i="1"/>
  <c r="D10316" i="1"/>
  <c r="A10317" i="1"/>
  <c r="B10317" i="1"/>
  <c r="C10317" i="1"/>
  <c r="D10317" i="1"/>
  <c r="A10318" i="1"/>
  <c r="B10318" i="1"/>
  <c r="C10318" i="1"/>
  <c r="D10318" i="1"/>
  <c r="A10319" i="1"/>
  <c r="B10319" i="1"/>
  <c r="C10319" i="1"/>
  <c r="D10319" i="1"/>
  <c r="A10320" i="1"/>
  <c r="B10320" i="1"/>
  <c r="C10320" i="1"/>
  <c r="D10320" i="1"/>
  <c r="A10321" i="1"/>
  <c r="B10321" i="1"/>
  <c r="C10321" i="1"/>
  <c r="D10321" i="1"/>
  <c r="A10322" i="1"/>
  <c r="B10322" i="1"/>
  <c r="C10322" i="1"/>
  <c r="D10322" i="1"/>
  <c r="A10323" i="1"/>
  <c r="B10323" i="1"/>
  <c r="C10323" i="1"/>
  <c r="D10323" i="1"/>
  <c r="A10324" i="1"/>
  <c r="B10324" i="1"/>
  <c r="C10324" i="1"/>
  <c r="D10324" i="1"/>
  <c r="A10325" i="1"/>
  <c r="B10325" i="1"/>
  <c r="C10325" i="1"/>
  <c r="D10325" i="1"/>
  <c r="A10326" i="1"/>
  <c r="B10326" i="1"/>
  <c r="C10326" i="1"/>
  <c r="D10326" i="1"/>
  <c r="A10327" i="1"/>
  <c r="B10327" i="1"/>
  <c r="C10327" i="1"/>
  <c r="D10327" i="1"/>
  <c r="A10328" i="1"/>
  <c r="B10328" i="1"/>
  <c r="C10328" i="1"/>
  <c r="D10328" i="1"/>
  <c r="A10329" i="1"/>
  <c r="B10329" i="1"/>
  <c r="C10329" i="1"/>
  <c r="D10329" i="1"/>
  <c r="A10330" i="1"/>
  <c r="B10330" i="1"/>
  <c r="C10330" i="1"/>
  <c r="D10330" i="1"/>
  <c r="A10331" i="1"/>
  <c r="B10331" i="1"/>
  <c r="C10331" i="1"/>
  <c r="D10331" i="1"/>
  <c r="A10332" i="1"/>
  <c r="B10332" i="1"/>
  <c r="C10332" i="1"/>
  <c r="D10332" i="1"/>
  <c r="A10333" i="1"/>
  <c r="B10333" i="1"/>
  <c r="C10333" i="1"/>
  <c r="D10333" i="1"/>
  <c r="A10334" i="1"/>
  <c r="B10334" i="1"/>
  <c r="C10334" i="1"/>
  <c r="D10334" i="1"/>
  <c r="A10335" i="1"/>
  <c r="B10335" i="1"/>
  <c r="C10335" i="1"/>
  <c r="D10335" i="1"/>
  <c r="A10336" i="1"/>
  <c r="B10336" i="1"/>
  <c r="C10336" i="1"/>
  <c r="D10336" i="1"/>
  <c r="A10337" i="1"/>
  <c r="B10337" i="1"/>
  <c r="C10337" i="1"/>
  <c r="D10337" i="1"/>
  <c r="A10338" i="1"/>
  <c r="B10338" i="1"/>
  <c r="C10338" i="1"/>
  <c r="D10338" i="1"/>
  <c r="A10339" i="1"/>
  <c r="B10339" i="1"/>
  <c r="C10339" i="1"/>
  <c r="D10339" i="1"/>
  <c r="A10340" i="1"/>
  <c r="B10340" i="1"/>
  <c r="C10340" i="1"/>
  <c r="D10340" i="1"/>
  <c r="A10341" i="1"/>
  <c r="B10341" i="1"/>
  <c r="C10341" i="1"/>
  <c r="D10341" i="1"/>
  <c r="A10342" i="1"/>
  <c r="B10342" i="1"/>
  <c r="C10342" i="1"/>
  <c r="D10342" i="1"/>
  <c r="A10343" i="1"/>
  <c r="B10343" i="1"/>
  <c r="C10343" i="1"/>
  <c r="D10343" i="1"/>
  <c r="A10344" i="1"/>
  <c r="B10344" i="1"/>
  <c r="C10344" i="1"/>
  <c r="D10344" i="1"/>
  <c r="A10345" i="1"/>
  <c r="B10345" i="1"/>
  <c r="C10345" i="1"/>
  <c r="D10345" i="1"/>
  <c r="A10346" i="1"/>
  <c r="B10346" i="1"/>
  <c r="C10346" i="1"/>
  <c r="D10346" i="1"/>
  <c r="A10347" i="1"/>
  <c r="B10347" i="1"/>
  <c r="C10347" i="1"/>
  <c r="D10347" i="1"/>
  <c r="A10348" i="1"/>
  <c r="B10348" i="1"/>
  <c r="C10348" i="1"/>
  <c r="D10348" i="1"/>
  <c r="A10349" i="1"/>
  <c r="B10349" i="1"/>
  <c r="C10349" i="1"/>
  <c r="D10349" i="1"/>
  <c r="A10350" i="1"/>
  <c r="B10350" i="1"/>
  <c r="C10350" i="1"/>
  <c r="D10350" i="1"/>
  <c r="A10351" i="1"/>
  <c r="B10351" i="1"/>
  <c r="C10351" i="1"/>
  <c r="D10351" i="1"/>
  <c r="A10352" i="1"/>
  <c r="B10352" i="1"/>
  <c r="C10352" i="1"/>
  <c r="D10352" i="1"/>
  <c r="A10353" i="1"/>
  <c r="B10353" i="1"/>
  <c r="C10353" i="1"/>
  <c r="D10353" i="1"/>
  <c r="A10354" i="1"/>
  <c r="B10354" i="1"/>
  <c r="C10354" i="1"/>
  <c r="D10354" i="1"/>
  <c r="A10355" i="1"/>
  <c r="B10355" i="1"/>
  <c r="C10355" i="1"/>
  <c r="D10355" i="1"/>
  <c r="A10356" i="1"/>
  <c r="B10356" i="1"/>
  <c r="C10356" i="1"/>
  <c r="D10356" i="1"/>
  <c r="A10357" i="1"/>
  <c r="B10357" i="1"/>
  <c r="C10357" i="1"/>
  <c r="D10357" i="1"/>
  <c r="A10358" i="1"/>
  <c r="B10358" i="1"/>
  <c r="C10358" i="1"/>
  <c r="D10358" i="1"/>
  <c r="A10359" i="1"/>
  <c r="B10359" i="1"/>
  <c r="C10359" i="1"/>
  <c r="D10359" i="1"/>
  <c r="A10360" i="1"/>
  <c r="B10360" i="1"/>
  <c r="C10360" i="1"/>
  <c r="D10360" i="1"/>
  <c r="A10361" i="1"/>
  <c r="B10361" i="1"/>
  <c r="C10361" i="1"/>
  <c r="D10361" i="1"/>
  <c r="A10362" i="1"/>
  <c r="B10362" i="1"/>
  <c r="C10362" i="1"/>
  <c r="D10362" i="1"/>
  <c r="A10363" i="1"/>
  <c r="B10363" i="1"/>
  <c r="C10363" i="1"/>
  <c r="D10363" i="1"/>
  <c r="A10364" i="1"/>
  <c r="B10364" i="1"/>
  <c r="C10364" i="1"/>
  <c r="D10364" i="1"/>
  <c r="A10365" i="1"/>
  <c r="B10365" i="1"/>
  <c r="C10365" i="1"/>
  <c r="D10365" i="1"/>
  <c r="A10366" i="1"/>
  <c r="B10366" i="1"/>
  <c r="C10366" i="1"/>
  <c r="D10366" i="1"/>
  <c r="A10367" i="1"/>
  <c r="B10367" i="1"/>
  <c r="C10367" i="1"/>
  <c r="D10367" i="1"/>
  <c r="A10368" i="1"/>
  <c r="B10368" i="1"/>
  <c r="C10368" i="1"/>
  <c r="D10368" i="1"/>
  <c r="A10369" i="1"/>
  <c r="B10369" i="1"/>
  <c r="C10369" i="1"/>
  <c r="D10369" i="1"/>
  <c r="A10370" i="1"/>
  <c r="B10370" i="1"/>
  <c r="C10370" i="1"/>
  <c r="D10370" i="1"/>
  <c r="A10371" i="1"/>
  <c r="B10371" i="1"/>
  <c r="C10371" i="1"/>
  <c r="A10372" i="1"/>
  <c r="B10372" i="1"/>
  <c r="C10372" i="1"/>
  <c r="D10372" i="1"/>
  <c r="A10373" i="1"/>
  <c r="B10373" i="1"/>
  <c r="C10373" i="1"/>
  <c r="D10373" i="1"/>
  <c r="A10374" i="1"/>
  <c r="B10374" i="1"/>
  <c r="C10374" i="1"/>
  <c r="D10374" i="1"/>
  <c r="A10375" i="1"/>
  <c r="B10375" i="1"/>
  <c r="C10375" i="1"/>
  <c r="D10375" i="1"/>
  <c r="A10376" i="1"/>
  <c r="B10376" i="1"/>
  <c r="C10376" i="1"/>
  <c r="D10376" i="1"/>
  <c r="A10377" i="1"/>
  <c r="B10377" i="1"/>
  <c r="C10377" i="1"/>
  <c r="D10377" i="1"/>
  <c r="A10378" i="1"/>
  <c r="B10378" i="1"/>
  <c r="C10378" i="1"/>
  <c r="D10378" i="1"/>
  <c r="A10379" i="1"/>
  <c r="B10379" i="1"/>
  <c r="C10379" i="1"/>
  <c r="D10379" i="1"/>
  <c r="A10380" i="1"/>
  <c r="B10380" i="1"/>
  <c r="C10380" i="1"/>
  <c r="D10380" i="1"/>
  <c r="A10381" i="1"/>
  <c r="B10381" i="1"/>
  <c r="C10381" i="1"/>
  <c r="D10381" i="1"/>
  <c r="A10382" i="1"/>
  <c r="B10382" i="1"/>
  <c r="C10382" i="1"/>
  <c r="D10382" i="1"/>
  <c r="A10383" i="1"/>
  <c r="B10383" i="1"/>
  <c r="C10383" i="1"/>
  <c r="D10383" i="1"/>
  <c r="A10384" i="1"/>
  <c r="B10384" i="1"/>
  <c r="C10384" i="1"/>
  <c r="D10384" i="1"/>
  <c r="A10385" i="1"/>
  <c r="B10385" i="1"/>
  <c r="C10385" i="1"/>
  <c r="D10385" i="1"/>
  <c r="A10386" i="1"/>
  <c r="B10386" i="1"/>
  <c r="C10386" i="1"/>
  <c r="D10386" i="1"/>
  <c r="A10387" i="1"/>
  <c r="B10387" i="1"/>
  <c r="C10387" i="1"/>
  <c r="D10387" i="1"/>
  <c r="A10388" i="1"/>
  <c r="B10388" i="1"/>
  <c r="C10388" i="1"/>
  <c r="D10388" i="1"/>
  <c r="A10389" i="1"/>
  <c r="B10389" i="1"/>
  <c r="C10389" i="1"/>
  <c r="D10389" i="1"/>
  <c r="A10390" i="1"/>
  <c r="B10390" i="1"/>
  <c r="C10390" i="1"/>
  <c r="D10390" i="1"/>
  <c r="A10391" i="1"/>
  <c r="B10391" i="1"/>
  <c r="C10391" i="1"/>
  <c r="D10391" i="1"/>
  <c r="A10392" i="1"/>
  <c r="B10392" i="1"/>
  <c r="C10392" i="1"/>
  <c r="D10392" i="1"/>
  <c r="A10393" i="1"/>
  <c r="B10393" i="1"/>
  <c r="C10393" i="1"/>
  <c r="D10393" i="1"/>
  <c r="A10394" i="1"/>
  <c r="B10394" i="1"/>
  <c r="C10394" i="1"/>
  <c r="D10394" i="1"/>
  <c r="A10395" i="1"/>
  <c r="B10395" i="1"/>
  <c r="C10395" i="1"/>
  <c r="D10395" i="1"/>
  <c r="A10396" i="1"/>
  <c r="B10396" i="1"/>
  <c r="C10396" i="1"/>
  <c r="D10396" i="1"/>
  <c r="A10397" i="1"/>
  <c r="B10397" i="1"/>
  <c r="C10397" i="1"/>
  <c r="D10397" i="1"/>
  <c r="A10398" i="1"/>
  <c r="B10398" i="1"/>
  <c r="C10398" i="1"/>
  <c r="D10398" i="1"/>
  <c r="A10399" i="1"/>
  <c r="B10399" i="1"/>
  <c r="C10399" i="1"/>
  <c r="D10399" i="1"/>
  <c r="A10400" i="1"/>
  <c r="B10400" i="1"/>
  <c r="C10400" i="1"/>
  <c r="D10400" i="1"/>
  <c r="A10401" i="1"/>
  <c r="B10401" i="1"/>
  <c r="C10401" i="1"/>
  <c r="D10401" i="1"/>
  <c r="A10402" i="1"/>
  <c r="B10402" i="1"/>
  <c r="C10402" i="1"/>
  <c r="D10402" i="1"/>
  <c r="A10403" i="1"/>
  <c r="B10403" i="1"/>
  <c r="C10403" i="1"/>
  <c r="D10403" i="1"/>
  <c r="A10404" i="1"/>
  <c r="B10404" i="1"/>
  <c r="C10404" i="1"/>
  <c r="D10404" i="1"/>
  <c r="A10405" i="1"/>
  <c r="B10405" i="1"/>
  <c r="C10405" i="1"/>
  <c r="D10405" i="1"/>
  <c r="A10406" i="1"/>
  <c r="B10406" i="1"/>
  <c r="C10406" i="1"/>
  <c r="D10406" i="1"/>
  <c r="A10407" i="1"/>
  <c r="B10407" i="1"/>
  <c r="C10407" i="1"/>
  <c r="D10407" i="1"/>
  <c r="A10408" i="1"/>
  <c r="B10408" i="1"/>
  <c r="C10408" i="1"/>
  <c r="D10408" i="1"/>
  <c r="A10409" i="1"/>
  <c r="B10409" i="1"/>
  <c r="C10409" i="1"/>
  <c r="D10409" i="1"/>
  <c r="A10410" i="1"/>
  <c r="B10410" i="1"/>
  <c r="C10410" i="1"/>
  <c r="D10410" i="1"/>
  <c r="A10411" i="1"/>
  <c r="B10411" i="1"/>
  <c r="C10411" i="1"/>
  <c r="D10411" i="1"/>
  <c r="A10412" i="1"/>
  <c r="B10412" i="1"/>
  <c r="C10412" i="1"/>
  <c r="D10412" i="1"/>
  <c r="A10413" i="1"/>
  <c r="B10413" i="1"/>
  <c r="C10413" i="1"/>
  <c r="D10413" i="1"/>
  <c r="A10414" i="1"/>
  <c r="B10414" i="1"/>
  <c r="C10414" i="1"/>
  <c r="D10414" i="1"/>
  <c r="A10415" i="1"/>
  <c r="B10415" i="1"/>
  <c r="C10415" i="1"/>
  <c r="D10415" i="1"/>
  <c r="A10416" i="1"/>
  <c r="B10416" i="1"/>
  <c r="C10416" i="1"/>
  <c r="D10416" i="1"/>
  <c r="A10417" i="1"/>
  <c r="B10417" i="1"/>
  <c r="C10417" i="1"/>
  <c r="D10417" i="1"/>
  <c r="A10418" i="1"/>
  <c r="B10418" i="1"/>
  <c r="C10418" i="1"/>
  <c r="D10418" i="1"/>
  <c r="A10419" i="1"/>
  <c r="B10419" i="1"/>
  <c r="C10419" i="1"/>
  <c r="D10419" i="1"/>
  <c r="A10420" i="1"/>
  <c r="B10420" i="1"/>
  <c r="C10420" i="1"/>
  <c r="D10420" i="1"/>
  <c r="A10421" i="1"/>
  <c r="B10421" i="1"/>
  <c r="C10421" i="1"/>
  <c r="D10421" i="1"/>
  <c r="A10422" i="1"/>
  <c r="B10422" i="1"/>
  <c r="C10422" i="1"/>
  <c r="A10423" i="1"/>
  <c r="B10423" i="1"/>
  <c r="C10423" i="1"/>
  <c r="D10423" i="1"/>
  <c r="A10424" i="1"/>
  <c r="B10424" i="1"/>
  <c r="C10424" i="1"/>
  <c r="D10424" i="1"/>
  <c r="A10425" i="1"/>
  <c r="B10425" i="1"/>
  <c r="C10425" i="1"/>
  <c r="D10425" i="1"/>
  <c r="A10426" i="1"/>
  <c r="B10426" i="1"/>
  <c r="C10426" i="1"/>
  <c r="D10426" i="1"/>
  <c r="A10427" i="1"/>
  <c r="B10427" i="1"/>
  <c r="C10427" i="1"/>
  <c r="D10427" i="1"/>
  <c r="A10428" i="1"/>
  <c r="B10428" i="1"/>
  <c r="C10428" i="1"/>
  <c r="D10428" i="1"/>
  <c r="A10429" i="1"/>
  <c r="B10429" i="1"/>
  <c r="C10429" i="1"/>
  <c r="D10429" i="1"/>
  <c r="A10430" i="1"/>
  <c r="B10430" i="1"/>
  <c r="C10430" i="1"/>
  <c r="D10430" i="1"/>
  <c r="A10431" i="1"/>
  <c r="B10431" i="1"/>
  <c r="C10431" i="1"/>
  <c r="D10431" i="1"/>
  <c r="A10432" i="1"/>
  <c r="B10432" i="1"/>
  <c r="C10432" i="1"/>
  <c r="D10432" i="1"/>
  <c r="A10433" i="1"/>
  <c r="B10433" i="1"/>
  <c r="C10433" i="1"/>
  <c r="D10433" i="1"/>
  <c r="A10434" i="1"/>
  <c r="B10434" i="1"/>
  <c r="C10434" i="1"/>
  <c r="D10434" i="1"/>
  <c r="A10435" i="1"/>
  <c r="B10435" i="1"/>
  <c r="C10435" i="1"/>
  <c r="D10435" i="1"/>
  <c r="A10436" i="1"/>
  <c r="B10436" i="1"/>
  <c r="C10436" i="1"/>
  <c r="D10436" i="1"/>
  <c r="A10437" i="1"/>
  <c r="B10437" i="1"/>
  <c r="C10437" i="1"/>
  <c r="D10437" i="1"/>
  <c r="A10438" i="1"/>
  <c r="B10438" i="1"/>
  <c r="C10438" i="1"/>
  <c r="D10438" i="1"/>
  <c r="A10439" i="1"/>
  <c r="B10439" i="1"/>
  <c r="C10439" i="1"/>
  <c r="D10439" i="1"/>
  <c r="A10440" i="1"/>
  <c r="B10440" i="1"/>
  <c r="C10440" i="1"/>
  <c r="D10440" i="1"/>
  <c r="A10441" i="1"/>
  <c r="B10441" i="1"/>
  <c r="C10441" i="1"/>
  <c r="D10441" i="1"/>
  <c r="A10442" i="1"/>
  <c r="B10442" i="1"/>
  <c r="C10442" i="1"/>
  <c r="D10442" i="1"/>
  <c r="A10443" i="1"/>
  <c r="B10443" i="1"/>
  <c r="C10443" i="1"/>
  <c r="D10443" i="1"/>
  <c r="A10444" i="1"/>
  <c r="B10444" i="1"/>
  <c r="C10444" i="1"/>
  <c r="D10444" i="1"/>
  <c r="A10445" i="1"/>
  <c r="B10445" i="1"/>
  <c r="C10445" i="1"/>
  <c r="D10445" i="1"/>
  <c r="A10446" i="1"/>
  <c r="B10446" i="1"/>
  <c r="C10446" i="1"/>
  <c r="D10446" i="1"/>
  <c r="A10447" i="1"/>
  <c r="B10447" i="1"/>
  <c r="C10447" i="1"/>
  <c r="D10447" i="1"/>
  <c r="A10448" i="1"/>
  <c r="B10448" i="1"/>
  <c r="C10448" i="1"/>
  <c r="D10448" i="1"/>
  <c r="A10449" i="1"/>
  <c r="B10449" i="1"/>
  <c r="C10449" i="1"/>
  <c r="D10449" i="1"/>
  <c r="A10450" i="1"/>
  <c r="B10450" i="1"/>
  <c r="C10450" i="1"/>
  <c r="D10450" i="1"/>
  <c r="A10451" i="1"/>
  <c r="B10451" i="1"/>
  <c r="C10451" i="1"/>
  <c r="D10451" i="1"/>
  <c r="A10452" i="1"/>
  <c r="B10452" i="1"/>
  <c r="C10452" i="1"/>
  <c r="D10452" i="1"/>
  <c r="A10453" i="1"/>
  <c r="B10453" i="1"/>
  <c r="C10453" i="1"/>
  <c r="D10453" i="1"/>
  <c r="A10454" i="1"/>
  <c r="B10454" i="1"/>
  <c r="C10454" i="1"/>
  <c r="D10454" i="1"/>
  <c r="A10455" i="1"/>
  <c r="B10455" i="1"/>
  <c r="C10455" i="1"/>
  <c r="D10455" i="1"/>
  <c r="A10456" i="1"/>
  <c r="B10456" i="1"/>
  <c r="C10456" i="1"/>
  <c r="D10456" i="1"/>
  <c r="A10457" i="1"/>
  <c r="B10457" i="1"/>
  <c r="C10457" i="1"/>
  <c r="D10457" i="1"/>
  <c r="A10458" i="1"/>
  <c r="B10458" i="1"/>
  <c r="C10458" i="1"/>
  <c r="D10458" i="1"/>
  <c r="A10459" i="1"/>
  <c r="B10459" i="1"/>
  <c r="C10459" i="1"/>
  <c r="D10459" i="1"/>
  <c r="A10460" i="1"/>
  <c r="B10460" i="1"/>
  <c r="C10460" i="1"/>
  <c r="D10460" i="1"/>
  <c r="A10461" i="1"/>
  <c r="B10461" i="1"/>
  <c r="C10461" i="1"/>
  <c r="D10461" i="1"/>
  <c r="A10462" i="1"/>
  <c r="B10462" i="1"/>
  <c r="C10462" i="1"/>
  <c r="D10462" i="1"/>
  <c r="A10463" i="1"/>
  <c r="B10463" i="1"/>
  <c r="C10463" i="1"/>
  <c r="D10463" i="1"/>
  <c r="A10464" i="1"/>
  <c r="B10464" i="1"/>
  <c r="C10464" i="1"/>
  <c r="D10464" i="1"/>
  <c r="A10465" i="1"/>
  <c r="B10465" i="1"/>
  <c r="C10465" i="1"/>
  <c r="D10465" i="1"/>
  <c r="A10466" i="1"/>
  <c r="B10466" i="1"/>
  <c r="C10466" i="1"/>
  <c r="D10466" i="1"/>
  <c r="A10467" i="1"/>
  <c r="B10467" i="1"/>
  <c r="C10467" i="1"/>
  <c r="D10467" i="1"/>
  <c r="A10468" i="1"/>
  <c r="B10468" i="1"/>
  <c r="C10468" i="1"/>
  <c r="D10468" i="1"/>
  <c r="A10469" i="1"/>
  <c r="B10469" i="1"/>
  <c r="C10469" i="1"/>
  <c r="D10469" i="1"/>
  <c r="A10470" i="1"/>
  <c r="B10470" i="1"/>
  <c r="C10470" i="1"/>
  <c r="D10470" i="1"/>
  <c r="A10471" i="1"/>
  <c r="B10471" i="1"/>
  <c r="C10471" i="1"/>
  <c r="D10471" i="1"/>
  <c r="A10472" i="1"/>
  <c r="B10472" i="1"/>
  <c r="C10472" i="1"/>
  <c r="D10472" i="1"/>
  <c r="A10473" i="1"/>
  <c r="B10473" i="1"/>
  <c r="C10473" i="1"/>
  <c r="D10473" i="1"/>
  <c r="A10474" i="1"/>
  <c r="B10474" i="1"/>
  <c r="C10474" i="1"/>
  <c r="D10474" i="1"/>
  <c r="A10475" i="1"/>
  <c r="B10475" i="1"/>
  <c r="C10475" i="1"/>
  <c r="D10475" i="1"/>
  <c r="A10476" i="1"/>
  <c r="B10476" i="1"/>
  <c r="C10476" i="1"/>
  <c r="D10476" i="1"/>
  <c r="A10477" i="1"/>
  <c r="B10477" i="1"/>
  <c r="C10477" i="1"/>
  <c r="D10477" i="1"/>
  <c r="A10478" i="1"/>
  <c r="B10478" i="1"/>
  <c r="C10478" i="1"/>
  <c r="D10478" i="1"/>
  <c r="A10479" i="1"/>
  <c r="B10479" i="1"/>
  <c r="C10479" i="1"/>
  <c r="D10479" i="1"/>
  <c r="A10480" i="1"/>
  <c r="B10480" i="1"/>
  <c r="C10480" i="1"/>
  <c r="D10480" i="1"/>
  <c r="A10481" i="1"/>
  <c r="B10481" i="1"/>
  <c r="C10481" i="1"/>
  <c r="D10481" i="1"/>
  <c r="A10482" i="1"/>
  <c r="B10482" i="1"/>
  <c r="C10482" i="1"/>
  <c r="D10482" i="1"/>
  <c r="A10483" i="1"/>
  <c r="B10483" i="1"/>
  <c r="C10483" i="1"/>
  <c r="D10483" i="1"/>
  <c r="A10484" i="1"/>
  <c r="B10484" i="1"/>
  <c r="C10484" i="1"/>
  <c r="D10484" i="1"/>
  <c r="A10485" i="1"/>
  <c r="B10485" i="1"/>
  <c r="C10485" i="1"/>
  <c r="D10485" i="1"/>
  <c r="A10486" i="1"/>
  <c r="B10486" i="1"/>
  <c r="C10486" i="1"/>
  <c r="D10486" i="1"/>
  <c r="A10487" i="1"/>
  <c r="B10487" i="1"/>
  <c r="C10487" i="1"/>
  <c r="D10487" i="1"/>
  <c r="A10488" i="1"/>
  <c r="B10488" i="1"/>
  <c r="C10488" i="1"/>
  <c r="D10488" i="1"/>
  <c r="A10489" i="1"/>
  <c r="B10489" i="1"/>
  <c r="C10489" i="1"/>
  <c r="D10489" i="1"/>
  <c r="A10490" i="1"/>
  <c r="B10490" i="1"/>
  <c r="C10490" i="1"/>
  <c r="D10490" i="1"/>
  <c r="A10491" i="1"/>
  <c r="B10491" i="1"/>
  <c r="C10491" i="1"/>
  <c r="D10491" i="1"/>
  <c r="A10492" i="1"/>
  <c r="B10492" i="1"/>
  <c r="C10492" i="1"/>
  <c r="D10492" i="1"/>
  <c r="A10493" i="1"/>
  <c r="B10493" i="1"/>
  <c r="C10493" i="1"/>
  <c r="D10493" i="1"/>
  <c r="A10494" i="1"/>
  <c r="B10494" i="1"/>
  <c r="C10494" i="1"/>
  <c r="D10494" i="1"/>
  <c r="A10495" i="1"/>
  <c r="B10495" i="1"/>
  <c r="C10495" i="1"/>
  <c r="D10495" i="1"/>
  <c r="A10496" i="1"/>
  <c r="B10496" i="1"/>
  <c r="C10496" i="1"/>
  <c r="D10496" i="1"/>
  <c r="A10497" i="1"/>
  <c r="B10497" i="1"/>
  <c r="C10497" i="1"/>
  <c r="D10497" i="1"/>
  <c r="A10498" i="1"/>
  <c r="B10498" i="1"/>
  <c r="C10498" i="1"/>
  <c r="D10498" i="1"/>
  <c r="A10499" i="1"/>
  <c r="B10499" i="1"/>
  <c r="C10499" i="1"/>
  <c r="D10499" i="1"/>
  <c r="A10500" i="1"/>
  <c r="B10500" i="1"/>
  <c r="C10500" i="1"/>
  <c r="D10500" i="1"/>
  <c r="A10501" i="1"/>
  <c r="B10501" i="1"/>
  <c r="C10501" i="1"/>
  <c r="D10501" i="1"/>
  <c r="A10502" i="1"/>
  <c r="B10502" i="1"/>
  <c r="C10502" i="1"/>
  <c r="D10502" i="1"/>
  <c r="A10503" i="1"/>
  <c r="B10503" i="1"/>
  <c r="C10503" i="1"/>
  <c r="D10503" i="1"/>
  <c r="A10504" i="1"/>
  <c r="B10504" i="1"/>
  <c r="C10504" i="1"/>
  <c r="D10504" i="1"/>
  <c r="A10505" i="1"/>
  <c r="B10505" i="1"/>
  <c r="C10505" i="1"/>
  <c r="D10505" i="1"/>
  <c r="A10506" i="1"/>
  <c r="B10506" i="1"/>
  <c r="C10506" i="1"/>
  <c r="A10507" i="1"/>
  <c r="B10507" i="1"/>
  <c r="C10507" i="1"/>
  <c r="D10507" i="1"/>
  <c r="A10508" i="1"/>
  <c r="B10508" i="1"/>
  <c r="C10508" i="1"/>
  <c r="D10508" i="1"/>
  <c r="A10509" i="1"/>
  <c r="B10509" i="1"/>
  <c r="C10509" i="1"/>
  <c r="D10509" i="1"/>
  <c r="A10510" i="1"/>
  <c r="B10510" i="1"/>
  <c r="C10510" i="1"/>
  <c r="D10510" i="1"/>
  <c r="A10511" i="1"/>
  <c r="B10511" i="1"/>
  <c r="C10511" i="1"/>
  <c r="D10511" i="1"/>
  <c r="A10512" i="1"/>
  <c r="B10512" i="1"/>
  <c r="C10512" i="1"/>
  <c r="D10512" i="1"/>
  <c r="A10513" i="1"/>
  <c r="B10513" i="1"/>
  <c r="C10513" i="1"/>
  <c r="D10513" i="1"/>
  <c r="A10514" i="1"/>
  <c r="B10514" i="1"/>
  <c r="C10514" i="1"/>
  <c r="D10514" i="1"/>
  <c r="A10515" i="1"/>
  <c r="B10515" i="1"/>
  <c r="C10515" i="1"/>
  <c r="D10515" i="1"/>
  <c r="A10516" i="1"/>
  <c r="B10516" i="1"/>
  <c r="C10516" i="1"/>
  <c r="D10516" i="1"/>
  <c r="A10517" i="1"/>
  <c r="B10517" i="1"/>
  <c r="C10517" i="1"/>
  <c r="D10517" i="1"/>
  <c r="A10518" i="1"/>
  <c r="B10518" i="1"/>
  <c r="C10518" i="1"/>
  <c r="D10518" i="1"/>
  <c r="A10519" i="1"/>
  <c r="B10519" i="1"/>
  <c r="C10519" i="1"/>
  <c r="D10519" i="1"/>
  <c r="A10520" i="1"/>
  <c r="B10520" i="1"/>
  <c r="C10520" i="1"/>
  <c r="D10520" i="1"/>
  <c r="A10521" i="1"/>
  <c r="B10521" i="1"/>
  <c r="C10521" i="1"/>
  <c r="D10521" i="1"/>
  <c r="A10522" i="1"/>
  <c r="B10522" i="1"/>
  <c r="C10522" i="1"/>
  <c r="D10522" i="1"/>
  <c r="A10523" i="1"/>
  <c r="B10523" i="1"/>
  <c r="C10523" i="1"/>
  <c r="D10523" i="1"/>
  <c r="A10524" i="1"/>
  <c r="B10524" i="1"/>
  <c r="C10524" i="1"/>
  <c r="D10524" i="1"/>
  <c r="A10525" i="1"/>
  <c r="B10525" i="1"/>
  <c r="C10525" i="1"/>
  <c r="D10525" i="1"/>
  <c r="A10526" i="1"/>
  <c r="B10526" i="1"/>
  <c r="C10526" i="1"/>
  <c r="D10526" i="1"/>
  <c r="A10527" i="1"/>
  <c r="B10527" i="1"/>
  <c r="C10527" i="1"/>
  <c r="D10527" i="1"/>
  <c r="A10528" i="1"/>
  <c r="B10528" i="1"/>
  <c r="C10528" i="1"/>
  <c r="D10528" i="1"/>
  <c r="A10529" i="1"/>
  <c r="B10529" i="1"/>
  <c r="C10529" i="1"/>
  <c r="D10529" i="1"/>
  <c r="A10530" i="1"/>
  <c r="B10530" i="1"/>
  <c r="C10530" i="1"/>
  <c r="D10530" i="1"/>
  <c r="A10531" i="1"/>
  <c r="B10531" i="1"/>
  <c r="C10531" i="1"/>
  <c r="D10531" i="1"/>
  <c r="A10532" i="1"/>
  <c r="B10532" i="1"/>
  <c r="C10532" i="1"/>
  <c r="D10532" i="1"/>
  <c r="A10533" i="1"/>
  <c r="B10533" i="1"/>
  <c r="C10533" i="1"/>
  <c r="D10533" i="1"/>
  <c r="A10534" i="1"/>
  <c r="B10534" i="1"/>
  <c r="C10534" i="1"/>
  <c r="D10534" i="1"/>
  <c r="A10535" i="1"/>
  <c r="B10535" i="1"/>
  <c r="C10535" i="1"/>
  <c r="D10535" i="1"/>
  <c r="A10536" i="1"/>
  <c r="B10536" i="1"/>
  <c r="C10536" i="1"/>
  <c r="D10536" i="1"/>
  <c r="A10537" i="1"/>
  <c r="B10537" i="1"/>
  <c r="C10537" i="1"/>
  <c r="D10537" i="1"/>
  <c r="A10538" i="1"/>
  <c r="B10538" i="1"/>
  <c r="C10538" i="1"/>
  <c r="D10538" i="1"/>
  <c r="A10539" i="1"/>
  <c r="B10539" i="1"/>
  <c r="C10539" i="1"/>
  <c r="D10539" i="1"/>
  <c r="A10540" i="1"/>
  <c r="B10540" i="1"/>
  <c r="C10540" i="1"/>
  <c r="D10540" i="1"/>
  <c r="A10541" i="1"/>
  <c r="B10541" i="1"/>
  <c r="C10541" i="1"/>
  <c r="D10541" i="1"/>
  <c r="A10542" i="1"/>
  <c r="B10542" i="1"/>
  <c r="C10542" i="1"/>
  <c r="D10542" i="1"/>
  <c r="A10543" i="1"/>
  <c r="B10543" i="1"/>
  <c r="C10543" i="1"/>
  <c r="D10543" i="1"/>
  <c r="A10544" i="1"/>
  <c r="B10544" i="1"/>
  <c r="C10544" i="1"/>
  <c r="D10544" i="1"/>
  <c r="A10545" i="1"/>
  <c r="B10545" i="1"/>
  <c r="C10545" i="1"/>
  <c r="D10545" i="1"/>
  <c r="A10546" i="1"/>
  <c r="B10546" i="1"/>
  <c r="C10546" i="1"/>
  <c r="D10546" i="1"/>
  <c r="A10547" i="1"/>
  <c r="B10547" i="1"/>
  <c r="C10547" i="1"/>
  <c r="D10547" i="1"/>
  <c r="A10548" i="1"/>
  <c r="B10548" i="1"/>
  <c r="C10548" i="1"/>
  <c r="D10548" i="1"/>
  <c r="A10549" i="1"/>
  <c r="B10549" i="1"/>
  <c r="C10549" i="1"/>
  <c r="D10549" i="1"/>
  <c r="A10550" i="1"/>
  <c r="B10550" i="1"/>
  <c r="C10550" i="1"/>
  <c r="D10550" i="1"/>
  <c r="A10551" i="1"/>
  <c r="B10551" i="1"/>
  <c r="C10551" i="1"/>
  <c r="D10551" i="1"/>
  <c r="A10552" i="1"/>
  <c r="B10552" i="1"/>
  <c r="C10552" i="1"/>
  <c r="D10552" i="1"/>
  <c r="A10553" i="1"/>
  <c r="B10553" i="1"/>
  <c r="C10553" i="1"/>
  <c r="D10553" i="1"/>
  <c r="A10554" i="1"/>
  <c r="B10554" i="1"/>
  <c r="C10554" i="1"/>
  <c r="D10554" i="1"/>
  <c r="A10555" i="1"/>
  <c r="B10555" i="1"/>
  <c r="C10555" i="1"/>
  <c r="D10555" i="1"/>
  <c r="A10556" i="1"/>
  <c r="B10556" i="1"/>
  <c r="C10556" i="1"/>
  <c r="D10556" i="1"/>
  <c r="A10557" i="1"/>
  <c r="B10557" i="1"/>
  <c r="C10557" i="1"/>
  <c r="D10557" i="1"/>
  <c r="A10558" i="1"/>
  <c r="B10558" i="1"/>
  <c r="C10558" i="1"/>
  <c r="D10558" i="1"/>
  <c r="A10559" i="1"/>
  <c r="B10559" i="1"/>
  <c r="C10559" i="1"/>
  <c r="D10559" i="1"/>
  <c r="A10560" i="1"/>
  <c r="B10560" i="1"/>
  <c r="C10560" i="1"/>
  <c r="D10560" i="1"/>
  <c r="A10561" i="1"/>
  <c r="B10561" i="1"/>
  <c r="C10561" i="1"/>
  <c r="D10561" i="1"/>
  <c r="A10562" i="1"/>
  <c r="B10562" i="1"/>
  <c r="C10562" i="1"/>
  <c r="D10562" i="1"/>
  <c r="A10563" i="1"/>
  <c r="B10563" i="1"/>
  <c r="C10563" i="1"/>
  <c r="D10563" i="1"/>
  <c r="A10564" i="1"/>
  <c r="B10564" i="1"/>
  <c r="C10564" i="1"/>
  <c r="D10564" i="1"/>
  <c r="A10565" i="1"/>
  <c r="B10565" i="1"/>
  <c r="C10565" i="1"/>
  <c r="D10565" i="1"/>
  <c r="A10566" i="1"/>
  <c r="B10566" i="1"/>
  <c r="C10566" i="1"/>
  <c r="D10566" i="1"/>
  <c r="A10567" i="1"/>
  <c r="B10567" i="1"/>
  <c r="C10567" i="1"/>
  <c r="D10567" i="1"/>
  <c r="A10568" i="1"/>
  <c r="B10568" i="1"/>
  <c r="C10568" i="1"/>
  <c r="D10568" i="1"/>
  <c r="A10569" i="1"/>
  <c r="B10569" i="1"/>
  <c r="C10569" i="1"/>
  <c r="D10569" i="1"/>
  <c r="A10570" i="1"/>
  <c r="B10570" i="1"/>
  <c r="C10570" i="1"/>
  <c r="D10570" i="1"/>
  <c r="A10571" i="1"/>
  <c r="B10571" i="1"/>
  <c r="C10571" i="1"/>
  <c r="D10571" i="1"/>
  <c r="A10572" i="1"/>
  <c r="B10572" i="1"/>
  <c r="C10572" i="1"/>
  <c r="D10572" i="1"/>
  <c r="A10573" i="1"/>
  <c r="B10573" i="1"/>
  <c r="C10573" i="1"/>
  <c r="D10573" i="1"/>
  <c r="A10574" i="1"/>
  <c r="B10574" i="1"/>
  <c r="C10574" i="1"/>
  <c r="D10574" i="1"/>
  <c r="A10575" i="1"/>
  <c r="B10575" i="1"/>
  <c r="C10575" i="1"/>
  <c r="D10575" i="1"/>
  <c r="A10576" i="1"/>
  <c r="B10576" i="1"/>
  <c r="C10576" i="1"/>
  <c r="D10576" i="1"/>
  <c r="A10577" i="1"/>
  <c r="B10577" i="1"/>
  <c r="C10577" i="1"/>
  <c r="D10577" i="1"/>
  <c r="A10578" i="1"/>
  <c r="B10578" i="1"/>
  <c r="C10578" i="1"/>
  <c r="D10578" i="1"/>
  <c r="A10579" i="1"/>
  <c r="B10579" i="1"/>
  <c r="C10579" i="1"/>
  <c r="D10579" i="1"/>
  <c r="A10580" i="1"/>
  <c r="B10580" i="1"/>
  <c r="C10580" i="1"/>
  <c r="D10580" i="1"/>
  <c r="A10581" i="1"/>
  <c r="B10581" i="1"/>
  <c r="C10581" i="1"/>
  <c r="D10581" i="1"/>
  <c r="A10582" i="1"/>
  <c r="B10582" i="1"/>
  <c r="C10582" i="1"/>
  <c r="D10582" i="1"/>
  <c r="A10583" i="1"/>
  <c r="B10583" i="1"/>
  <c r="C10583" i="1"/>
  <c r="D10583" i="1"/>
  <c r="A10584" i="1"/>
  <c r="B10584" i="1"/>
  <c r="C10584" i="1"/>
  <c r="D10584" i="1"/>
  <c r="A10585" i="1"/>
  <c r="B10585" i="1"/>
  <c r="C10585" i="1"/>
  <c r="D10585" i="1"/>
  <c r="A10586" i="1"/>
  <c r="B10586" i="1"/>
  <c r="C10586" i="1"/>
  <c r="D10586" i="1"/>
  <c r="A10587" i="1"/>
  <c r="B10587" i="1"/>
  <c r="C10587" i="1"/>
  <c r="D10587" i="1"/>
  <c r="A10588" i="1"/>
  <c r="B10588" i="1"/>
  <c r="C10588" i="1"/>
  <c r="D10588" i="1"/>
  <c r="A10589" i="1"/>
  <c r="B10589" i="1"/>
  <c r="C10589" i="1"/>
  <c r="D10589" i="1"/>
  <c r="A10590" i="1"/>
  <c r="B10590" i="1"/>
  <c r="C10590" i="1"/>
  <c r="D10590" i="1"/>
  <c r="A10591" i="1"/>
  <c r="B10591" i="1"/>
  <c r="C10591" i="1"/>
  <c r="D10591" i="1"/>
  <c r="A10592" i="1"/>
  <c r="B10592" i="1"/>
  <c r="C10592" i="1"/>
  <c r="D10592" i="1"/>
  <c r="A10593" i="1"/>
  <c r="B10593" i="1"/>
  <c r="C10593" i="1"/>
  <c r="D10593" i="1"/>
  <c r="A10594" i="1"/>
  <c r="B10594" i="1"/>
  <c r="C10594" i="1"/>
  <c r="D10594" i="1"/>
  <c r="A10595" i="1"/>
  <c r="B10595" i="1"/>
  <c r="C10595" i="1"/>
  <c r="D10595" i="1"/>
  <c r="A10596" i="1"/>
  <c r="B10596" i="1"/>
  <c r="C10596" i="1"/>
  <c r="D10596" i="1"/>
  <c r="A10597" i="1"/>
  <c r="B10597" i="1"/>
  <c r="C10597" i="1"/>
  <c r="D10597" i="1"/>
  <c r="A10598" i="1"/>
  <c r="B10598" i="1"/>
  <c r="C10598" i="1"/>
  <c r="D10598" i="1"/>
  <c r="A10599" i="1"/>
  <c r="B10599" i="1"/>
  <c r="C10599" i="1"/>
  <c r="D10599" i="1"/>
  <c r="A10600" i="1"/>
  <c r="B10600" i="1"/>
  <c r="C10600" i="1"/>
  <c r="D10600" i="1"/>
  <c r="A10601" i="1"/>
  <c r="B10601" i="1"/>
  <c r="C10601" i="1"/>
  <c r="D10601" i="1"/>
  <c r="A10602" i="1"/>
  <c r="B10602" i="1"/>
  <c r="C10602" i="1"/>
  <c r="D10602" i="1"/>
  <c r="A10603" i="1"/>
  <c r="B10603" i="1"/>
  <c r="C10603" i="1"/>
  <c r="D10603" i="1"/>
  <c r="A10604" i="1"/>
  <c r="B10604" i="1"/>
  <c r="C10604" i="1"/>
  <c r="D10604" i="1"/>
  <c r="A10605" i="1"/>
  <c r="B10605" i="1"/>
  <c r="C10605" i="1"/>
  <c r="D10605" i="1"/>
  <c r="A10606" i="1"/>
  <c r="B10606" i="1"/>
  <c r="C10606" i="1"/>
  <c r="D10606" i="1"/>
  <c r="A10607" i="1"/>
  <c r="B10607" i="1"/>
  <c r="C10607" i="1"/>
  <c r="D10607" i="1"/>
  <c r="A10608" i="1"/>
  <c r="B10608" i="1"/>
  <c r="C10608" i="1"/>
  <c r="D10608" i="1"/>
  <c r="A10609" i="1"/>
  <c r="B10609" i="1"/>
  <c r="C10609" i="1"/>
  <c r="D10609" i="1"/>
  <c r="A10610" i="1"/>
  <c r="B10610" i="1"/>
  <c r="C10610" i="1"/>
  <c r="D10610" i="1"/>
  <c r="A10611" i="1"/>
  <c r="B10611" i="1"/>
  <c r="C10611" i="1"/>
  <c r="D10611" i="1"/>
  <c r="A10612" i="1"/>
  <c r="B10612" i="1"/>
  <c r="C10612" i="1"/>
  <c r="D10612" i="1"/>
  <c r="A10613" i="1"/>
  <c r="B10613" i="1"/>
  <c r="C10613" i="1"/>
  <c r="D10613" i="1"/>
  <c r="A10614" i="1"/>
  <c r="B10614" i="1"/>
  <c r="C10614" i="1"/>
  <c r="D10614" i="1"/>
  <c r="A10615" i="1"/>
  <c r="B10615" i="1"/>
  <c r="C10615" i="1"/>
  <c r="D10615" i="1"/>
  <c r="A10616" i="1"/>
  <c r="B10616" i="1"/>
  <c r="C10616" i="1"/>
  <c r="D10616" i="1"/>
  <c r="A10617" i="1"/>
  <c r="B10617" i="1"/>
  <c r="C10617" i="1"/>
  <c r="D10617" i="1"/>
  <c r="A10618" i="1"/>
  <c r="B10618" i="1"/>
  <c r="C10618" i="1"/>
  <c r="D10618" i="1"/>
  <c r="A10619" i="1"/>
  <c r="B10619" i="1"/>
  <c r="C10619" i="1"/>
  <c r="D10619" i="1"/>
  <c r="A10620" i="1"/>
  <c r="B10620" i="1"/>
  <c r="C10620" i="1"/>
  <c r="D10620" i="1"/>
  <c r="A10621" i="1"/>
  <c r="B10621" i="1"/>
  <c r="C10621" i="1"/>
  <c r="D10621" i="1"/>
  <c r="A10622" i="1"/>
  <c r="B10622" i="1"/>
  <c r="C10622" i="1"/>
  <c r="D10622" i="1"/>
  <c r="A10623" i="1"/>
  <c r="B10623" i="1"/>
  <c r="C10623" i="1"/>
  <c r="D10623" i="1"/>
  <c r="A10624" i="1"/>
  <c r="B10624" i="1"/>
  <c r="C10624" i="1"/>
  <c r="D10624" i="1"/>
  <c r="A10625" i="1"/>
  <c r="B10625" i="1"/>
  <c r="C10625" i="1"/>
  <c r="D10625" i="1"/>
  <c r="A10626" i="1"/>
  <c r="B10626" i="1"/>
  <c r="C10626" i="1"/>
  <c r="D10626" i="1"/>
  <c r="A10627" i="1"/>
  <c r="B10627" i="1"/>
  <c r="C10627" i="1"/>
  <c r="D10627" i="1"/>
  <c r="A10628" i="1"/>
  <c r="B10628" i="1"/>
  <c r="C10628" i="1"/>
  <c r="D10628" i="1"/>
  <c r="A10629" i="1"/>
  <c r="B10629" i="1"/>
  <c r="C10629" i="1"/>
  <c r="D10629" i="1"/>
  <c r="A10630" i="1"/>
  <c r="B10630" i="1"/>
  <c r="C10630" i="1"/>
  <c r="D10630" i="1"/>
  <c r="A10631" i="1"/>
  <c r="B10631" i="1"/>
  <c r="C10631" i="1"/>
  <c r="D10631" i="1"/>
  <c r="A10632" i="1"/>
  <c r="B10632" i="1"/>
  <c r="C10632" i="1"/>
  <c r="D10632" i="1"/>
  <c r="A10633" i="1"/>
  <c r="B10633" i="1"/>
  <c r="C10633" i="1"/>
  <c r="D10633" i="1"/>
  <c r="A10634" i="1"/>
  <c r="B10634" i="1"/>
  <c r="C10634" i="1"/>
  <c r="D10634" i="1"/>
  <c r="A10635" i="1"/>
  <c r="B10635" i="1"/>
  <c r="C10635" i="1"/>
  <c r="D10635" i="1"/>
  <c r="A10636" i="1"/>
  <c r="B10636" i="1"/>
  <c r="C10636" i="1"/>
  <c r="D10636" i="1"/>
  <c r="A10637" i="1"/>
  <c r="B10637" i="1"/>
  <c r="C10637" i="1"/>
  <c r="D10637" i="1"/>
  <c r="A10638" i="1"/>
  <c r="B10638" i="1"/>
  <c r="C10638" i="1"/>
  <c r="D10638" i="1"/>
  <c r="A10639" i="1"/>
  <c r="B10639" i="1"/>
  <c r="C10639" i="1"/>
  <c r="D10639" i="1"/>
  <c r="A10640" i="1"/>
  <c r="B10640" i="1"/>
  <c r="C10640" i="1"/>
  <c r="D10640" i="1"/>
  <c r="A10641" i="1"/>
  <c r="B10641" i="1"/>
  <c r="C10641" i="1"/>
  <c r="D10641" i="1"/>
  <c r="A10642" i="1"/>
  <c r="B10642" i="1"/>
  <c r="C10642" i="1"/>
  <c r="D10642" i="1"/>
  <c r="A10643" i="1"/>
  <c r="B10643" i="1"/>
  <c r="C10643" i="1"/>
  <c r="D10643" i="1"/>
  <c r="A10644" i="1"/>
  <c r="B10644" i="1"/>
  <c r="C10644" i="1"/>
  <c r="D10644" i="1"/>
  <c r="A10645" i="1"/>
  <c r="B10645" i="1"/>
  <c r="C10645" i="1"/>
  <c r="D10645" i="1"/>
  <c r="A10646" i="1"/>
  <c r="B10646" i="1"/>
  <c r="C10646" i="1"/>
  <c r="D10646" i="1"/>
  <c r="A10647" i="1"/>
  <c r="B10647" i="1"/>
  <c r="C10647" i="1"/>
  <c r="D10647" i="1"/>
  <c r="A10648" i="1"/>
  <c r="B10648" i="1"/>
  <c r="C10648" i="1"/>
  <c r="D10648" i="1"/>
  <c r="A10649" i="1"/>
  <c r="B10649" i="1"/>
  <c r="C10649" i="1"/>
  <c r="D10649" i="1"/>
  <c r="A10650" i="1"/>
  <c r="B10650" i="1"/>
  <c r="C10650" i="1"/>
  <c r="D10650" i="1"/>
  <c r="A10651" i="1"/>
  <c r="B10651" i="1"/>
  <c r="C10651" i="1"/>
  <c r="D10651" i="1"/>
  <c r="A10652" i="1"/>
  <c r="B10652" i="1"/>
  <c r="C10652" i="1"/>
  <c r="D10652" i="1"/>
  <c r="A10653" i="1"/>
  <c r="B10653" i="1"/>
  <c r="C10653" i="1"/>
  <c r="D10653" i="1"/>
  <c r="A10654" i="1"/>
  <c r="B10654" i="1"/>
  <c r="C10654" i="1"/>
  <c r="D10654" i="1"/>
  <c r="A10655" i="1"/>
  <c r="B10655" i="1"/>
  <c r="C10655" i="1"/>
  <c r="D10655" i="1"/>
  <c r="A10656" i="1"/>
  <c r="B10656" i="1"/>
  <c r="C10656" i="1"/>
  <c r="A10657" i="1"/>
  <c r="B10657" i="1"/>
  <c r="C10657" i="1"/>
  <c r="D10657" i="1"/>
  <c r="A10658" i="1"/>
  <c r="B10658" i="1"/>
  <c r="C10658" i="1"/>
  <c r="D10658" i="1"/>
  <c r="A10659" i="1"/>
  <c r="B10659" i="1"/>
  <c r="C10659" i="1"/>
  <c r="D10659" i="1"/>
  <c r="A10660" i="1"/>
  <c r="B10660" i="1"/>
  <c r="C10660" i="1"/>
  <c r="A10661" i="1"/>
  <c r="B10661" i="1"/>
  <c r="C10661" i="1"/>
  <c r="D10661" i="1"/>
  <c r="A10662" i="1"/>
  <c r="B10662" i="1"/>
  <c r="C10662" i="1"/>
  <c r="D10662" i="1"/>
  <c r="A10663" i="1"/>
  <c r="B10663" i="1"/>
  <c r="C10663" i="1"/>
  <c r="D10663" i="1"/>
  <c r="A10664" i="1"/>
  <c r="B10664" i="1"/>
  <c r="C10664" i="1"/>
  <c r="D10664" i="1"/>
  <c r="A10665" i="1"/>
  <c r="B10665" i="1"/>
  <c r="C10665" i="1"/>
  <c r="D10665" i="1"/>
  <c r="A10666" i="1"/>
  <c r="B10666" i="1"/>
  <c r="C10666" i="1"/>
  <c r="D10666" i="1"/>
  <c r="A10667" i="1"/>
  <c r="B10667" i="1"/>
  <c r="C10667" i="1"/>
  <c r="D10667" i="1"/>
  <c r="A10668" i="1"/>
  <c r="B10668" i="1"/>
  <c r="C10668" i="1"/>
  <c r="D10668" i="1"/>
  <c r="A10669" i="1"/>
  <c r="B10669" i="1"/>
  <c r="C10669" i="1"/>
  <c r="D10669" i="1"/>
  <c r="A10670" i="1"/>
  <c r="B10670" i="1"/>
  <c r="C10670" i="1"/>
  <c r="D10670" i="1"/>
  <c r="A10671" i="1"/>
  <c r="B10671" i="1"/>
  <c r="C10671" i="1"/>
  <c r="D10671" i="1"/>
  <c r="A10672" i="1"/>
  <c r="B10672" i="1"/>
  <c r="C10672" i="1"/>
  <c r="D10672" i="1"/>
  <c r="A10673" i="1"/>
  <c r="B10673" i="1"/>
  <c r="C10673" i="1"/>
  <c r="D10673" i="1"/>
  <c r="A10674" i="1"/>
  <c r="B10674" i="1"/>
  <c r="C10674" i="1"/>
  <c r="D10674" i="1"/>
  <c r="A10675" i="1"/>
  <c r="B10675" i="1"/>
  <c r="C10675" i="1"/>
  <c r="D10675" i="1"/>
  <c r="A10676" i="1"/>
  <c r="B10676" i="1"/>
  <c r="C10676" i="1"/>
  <c r="D10676" i="1"/>
  <c r="A10677" i="1"/>
  <c r="B10677" i="1"/>
  <c r="C10677" i="1"/>
  <c r="D10677" i="1"/>
  <c r="A10678" i="1"/>
  <c r="B10678" i="1"/>
  <c r="C10678" i="1"/>
  <c r="D10678" i="1"/>
  <c r="A10679" i="1"/>
  <c r="B10679" i="1"/>
  <c r="C10679" i="1"/>
  <c r="D10679" i="1"/>
  <c r="A10680" i="1"/>
  <c r="B10680" i="1"/>
  <c r="C10680" i="1"/>
  <c r="D10680" i="1"/>
  <c r="A10681" i="1"/>
  <c r="B10681" i="1"/>
  <c r="C10681" i="1"/>
  <c r="D10681" i="1"/>
  <c r="A10682" i="1"/>
  <c r="B10682" i="1"/>
  <c r="C10682" i="1"/>
  <c r="D10682" i="1"/>
  <c r="A10683" i="1"/>
  <c r="B10683" i="1"/>
  <c r="C10683" i="1"/>
  <c r="D10683" i="1"/>
  <c r="A10684" i="1"/>
  <c r="B10684" i="1"/>
  <c r="C10684" i="1"/>
  <c r="D10684" i="1"/>
  <c r="A10685" i="1"/>
  <c r="B10685" i="1"/>
  <c r="C10685" i="1"/>
  <c r="D10685" i="1"/>
  <c r="A10686" i="1"/>
  <c r="B10686" i="1"/>
  <c r="C10686" i="1"/>
  <c r="D10686" i="1"/>
  <c r="A10687" i="1"/>
  <c r="B10687" i="1"/>
  <c r="C10687" i="1"/>
  <c r="D10687" i="1"/>
  <c r="A10688" i="1"/>
  <c r="B10688" i="1"/>
  <c r="C10688" i="1"/>
  <c r="D10688" i="1"/>
  <c r="A10689" i="1"/>
  <c r="B10689" i="1"/>
  <c r="C10689" i="1"/>
  <c r="D10689" i="1"/>
  <c r="A10690" i="1"/>
  <c r="B10690" i="1"/>
  <c r="C10690" i="1"/>
  <c r="D10690" i="1"/>
  <c r="A10691" i="1"/>
  <c r="B10691" i="1"/>
  <c r="C10691" i="1"/>
  <c r="D10691" i="1"/>
  <c r="A10692" i="1"/>
  <c r="B10692" i="1"/>
  <c r="C10692" i="1"/>
  <c r="D10692" i="1"/>
  <c r="A10693" i="1"/>
  <c r="B10693" i="1"/>
  <c r="C10693" i="1"/>
  <c r="D10693" i="1"/>
  <c r="A10694" i="1"/>
  <c r="B10694" i="1"/>
  <c r="C10694" i="1"/>
  <c r="D10694" i="1"/>
  <c r="A10695" i="1"/>
  <c r="B10695" i="1"/>
  <c r="C10695" i="1"/>
  <c r="D10695" i="1"/>
  <c r="A10696" i="1"/>
  <c r="B10696" i="1"/>
  <c r="C10696" i="1"/>
  <c r="D10696" i="1"/>
  <c r="A10697" i="1"/>
  <c r="B10697" i="1"/>
  <c r="C10697" i="1"/>
  <c r="D10697" i="1"/>
  <c r="A10698" i="1"/>
  <c r="B10698" i="1"/>
  <c r="C10698" i="1"/>
  <c r="D10698" i="1"/>
  <c r="A10699" i="1"/>
  <c r="B10699" i="1"/>
  <c r="C10699" i="1"/>
  <c r="D10699" i="1"/>
  <c r="A10700" i="1"/>
  <c r="B10700" i="1"/>
  <c r="C10700" i="1"/>
  <c r="D10700" i="1"/>
  <c r="A10701" i="1"/>
  <c r="B10701" i="1"/>
  <c r="C10701" i="1"/>
  <c r="D10701" i="1"/>
  <c r="A10702" i="1"/>
  <c r="B10702" i="1"/>
  <c r="C10702" i="1"/>
  <c r="D10702" i="1"/>
  <c r="A10703" i="1"/>
  <c r="B10703" i="1"/>
  <c r="C10703" i="1"/>
  <c r="D10703" i="1"/>
  <c r="A10704" i="1"/>
  <c r="B10704" i="1"/>
  <c r="C10704" i="1"/>
  <c r="D10704" i="1"/>
  <c r="A10705" i="1"/>
  <c r="B10705" i="1"/>
  <c r="C10705" i="1"/>
  <c r="D10705" i="1"/>
  <c r="A10706" i="1"/>
  <c r="B10706" i="1"/>
  <c r="C10706" i="1"/>
  <c r="D10706" i="1"/>
  <c r="A10707" i="1"/>
  <c r="B10707" i="1"/>
  <c r="C10707" i="1"/>
  <c r="D10707" i="1"/>
  <c r="A10708" i="1"/>
  <c r="B10708" i="1"/>
  <c r="C10708" i="1"/>
  <c r="D10708" i="1"/>
  <c r="A10709" i="1"/>
  <c r="B10709" i="1"/>
  <c r="C10709" i="1"/>
  <c r="D10709" i="1"/>
  <c r="A10710" i="1"/>
  <c r="B10710" i="1"/>
  <c r="C10710" i="1"/>
  <c r="D10710" i="1"/>
  <c r="A10711" i="1"/>
  <c r="B10711" i="1"/>
  <c r="C10711" i="1"/>
  <c r="D10711" i="1"/>
  <c r="A10712" i="1"/>
  <c r="B10712" i="1"/>
  <c r="C10712" i="1"/>
  <c r="D10712" i="1"/>
  <c r="A10713" i="1"/>
  <c r="B10713" i="1"/>
  <c r="C10713" i="1"/>
  <c r="D10713" i="1"/>
  <c r="A10714" i="1"/>
  <c r="B10714" i="1"/>
  <c r="C10714" i="1"/>
  <c r="D10714" i="1"/>
  <c r="A10715" i="1"/>
  <c r="B10715" i="1"/>
  <c r="C10715" i="1"/>
  <c r="D10715" i="1"/>
  <c r="A10716" i="1"/>
  <c r="B10716" i="1"/>
  <c r="C10716" i="1"/>
  <c r="D10716" i="1"/>
  <c r="A10717" i="1"/>
  <c r="B10717" i="1"/>
  <c r="C10717" i="1"/>
  <c r="D10717" i="1"/>
  <c r="A10718" i="1"/>
  <c r="B10718" i="1"/>
  <c r="C10718" i="1"/>
  <c r="D10718" i="1"/>
  <c r="A10719" i="1"/>
  <c r="B10719" i="1"/>
  <c r="C10719" i="1"/>
  <c r="D10719" i="1"/>
  <c r="A10720" i="1"/>
  <c r="B10720" i="1"/>
  <c r="C10720" i="1"/>
  <c r="D10720" i="1"/>
  <c r="A10721" i="1"/>
  <c r="B10721" i="1"/>
  <c r="C10721" i="1"/>
  <c r="D10721" i="1"/>
  <c r="A10722" i="1"/>
  <c r="B10722" i="1"/>
  <c r="C10722" i="1"/>
  <c r="D10722" i="1"/>
  <c r="A10723" i="1"/>
  <c r="B10723" i="1"/>
  <c r="C10723" i="1"/>
  <c r="D10723" i="1"/>
  <c r="A10724" i="1"/>
  <c r="B10724" i="1"/>
  <c r="C10724" i="1"/>
  <c r="D10724" i="1"/>
  <c r="A10725" i="1"/>
  <c r="B10725" i="1"/>
  <c r="C10725" i="1"/>
  <c r="D10725" i="1"/>
  <c r="A10726" i="1"/>
  <c r="B10726" i="1"/>
  <c r="C10726" i="1"/>
  <c r="D10726" i="1"/>
  <c r="A10727" i="1"/>
  <c r="B10727" i="1"/>
  <c r="C10727" i="1"/>
  <c r="D10727" i="1"/>
  <c r="A10728" i="1"/>
  <c r="B10728" i="1"/>
  <c r="C10728" i="1"/>
  <c r="D10728" i="1"/>
  <c r="A10729" i="1"/>
  <c r="B10729" i="1"/>
  <c r="C10729" i="1"/>
  <c r="D10729" i="1"/>
  <c r="A10730" i="1"/>
  <c r="B10730" i="1"/>
  <c r="C10730" i="1"/>
  <c r="D10730" i="1"/>
  <c r="A10731" i="1"/>
  <c r="B10731" i="1"/>
  <c r="C10731" i="1"/>
  <c r="D10731" i="1"/>
  <c r="A10732" i="1"/>
  <c r="B10732" i="1"/>
  <c r="C10732" i="1"/>
  <c r="D10732" i="1"/>
  <c r="A10733" i="1"/>
  <c r="B10733" i="1"/>
  <c r="C10733" i="1"/>
  <c r="D10733" i="1"/>
  <c r="A10734" i="1"/>
  <c r="B10734" i="1"/>
  <c r="C10734" i="1"/>
  <c r="D10734" i="1"/>
  <c r="A10735" i="1"/>
  <c r="B10735" i="1"/>
  <c r="C10735" i="1"/>
  <c r="D10735" i="1"/>
  <c r="A10736" i="1"/>
  <c r="B10736" i="1"/>
  <c r="C10736" i="1"/>
  <c r="D10736" i="1"/>
  <c r="A10737" i="1"/>
  <c r="B10737" i="1"/>
  <c r="C10737" i="1"/>
  <c r="D10737" i="1"/>
  <c r="A10738" i="1"/>
  <c r="B10738" i="1"/>
  <c r="C10738" i="1"/>
  <c r="D10738" i="1"/>
  <c r="A10739" i="1"/>
  <c r="B10739" i="1"/>
  <c r="C10739" i="1"/>
  <c r="D10739" i="1"/>
  <c r="A10740" i="1"/>
  <c r="B10740" i="1"/>
  <c r="C10740" i="1"/>
  <c r="D10740" i="1"/>
  <c r="A10741" i="1"/>
  <c r="B10741" i="1"/>
  <c r="C10741" i="1"/>
  <c r="D10741" i="1"/>
  <c r="A10742" i="1"/>
  <c r="B10742" i="1"/>
  <c r="C10742" i="1"/>
  <c r="D10742" i="1"/>
  <c r="A10743" i="1"/>
  <c r="B10743" i="1"/>
  <c r="C10743" i="1"/>
  <c r="D10743" i="1"/>
  <c r="A10744" i="1"/>
  <c r="B10744" i="1"/>
  <c r="C10744" i="1"/>
  <c r="D10744" i="1"/>
  <c r="A10745" i="1"/>
  <c r="B10745" i="1"/>
  <c r="C10745" i="1"/>
  <c r="D10745" i="1"/>
  <c r="A10746" i="1"/>
  <c r="B10746" i="1"/>
  <c r="C10746" i="1"/>
  <c r="D10746" i="1"/>
  <c r="A10747" i="1"/>
  <c r="B10747" i="1"/>
  <c r="C10747" i="1"/>
  <c r="D10747" i="1"/>
  <c r="A10748" i="1"/>
  <c r="B10748" i="1"/>
  <c r="C10748" i="1"/>
  <c r="D10748" i="1"/>
  <c r="A10749" i="1"/>
  <c r="B10749" i="1"/>
  <c r="C10749" i="1"/>
  <c r="D10749" i="1"/>
  <c r="A10750" i="1"/>
  <c r="B10750" i="1"/>
  <c r="C10750" i="1"/>
  <c r="D10750" i="1"/>
  <c r="A10751" i="1"/>
  <c r="B10751" i="1"/>
  <c r="C10751" i="1"/>
  <c r="D10751" i="1"/>
  <c r="A10752" i="1"/>
  <c r="B10752" i="1"/>
  <c r="C10752" i="1"/>
  <c r="D10752" i="1"/>
  <c r="A10753" i="1"/>
  <c r="B10753" i="1"/>
  <c r="C10753" i="1"/>
  <c r="D10753" i="1"/>
  <c r="A10754" i="1"/>
  <c r="B10754" i="1"/>
  <c r="C10754" i="1"/>
  <c r="D10754" i="1"/>
  <c r="A10755" i="1"/>
  <c r="B10755" i="1"/>
  <c r="C10755" i="1"/>
  <c r="D10755" i="1"/>
  <c r="A10756" i="1"/>
  <c r="B10756" i="1"/>
  <c r="C10756" i="1"/>
  <c r="D10756" i="1"/>
  <c r="A10757" i="1"/>
  <c r="B10757" i="1"/>
  <c r="C10757" i="1"/>
  <c r="D10757" i="1"/>
  <c r="A10758" i="1"/>
  <c r="B10758" i="1"/>
  <c r="C10758" i="1"/>
  <c r="D10758" i="1"/>
  <c r="A10759" i="1"/>
  <c r="B10759" i="1"/>
  <c r="C10759" i="1"/>
  <c r="D10759" i="1"/>
  <c r="A10760" i="1"/>
  <c r="B10760" i="1"/>
  <c r="C10760" i="1"/>
  <c r="D10760" i="1"/>
  <c r="A10761" i="1"/>
  <c r="B10761" i="1"/>
  <c r="C10761" i="1"/>
  <c r="D10761" i="1"/>
  <c r="A10762" i="1"/>
  <c r="B10762" i="1"/>
  <c r="C10762" i="1"/>
  <c r="D10762" i="1"/>
  <c r="A10763" i="1"/>
  <c r="B10763" i="1"/>
  <c r="C10763" i="1"/>
  <c r="D10763" i="1"/>
  <c r="A10764" i="1"/>
  <c r="B10764" i="1"/>
  <c r="C10764" i="1"/>
  <c r="D10764" i="1"/>
  <c r="A10765" i="1"/>
  <c r="B10765" i="1"/>
  <c r="C10765" i="1"/>
  <c r="D10765" i="1"/>
  <c r="A10766" i="1"/>
  <c r="B10766" i="1"/>
  <c r="C10766" i="1"/>
  <c r="D10766" i="1"/>
  <c r="A10767" i="1"/>
  <c r="B10767" i="1"/>
  <c r="C10767" i="1"/>
  <c r="D10767" i="1"/>
  <c r="A10768" i="1"/>
  <c r="B10768" i="1"/>
  <c r="C10768" i="1"/>
  <c r="D10768" i="1"/>
  <c r="A10769" i="1"/>
  <c r="B10769" i="1"/>
  <c r="C10769" i="1"/>
  <c r="D10769" i="1"/>
  <c r="A10770" i="1"/>
  <c r="B10770" i="1"/>
  <c r="C10770" i="1"/>
  <c r="D10770" i="1"/>
  <c r="A10771" i="1"/>
  <c r="B10771" i="1"/>
  <c r="C10771" i="1"/>
  <c r="D10771" i="1"/>
  <c r="A10772" i="1"/>
  <c r="B10772" i="1"/>
  <c r="C10772" i="1"/>
  <c r="D10772" i="1"/>
  <c r="A10773" i="1"/>
  <c r="B10773" i="1"/>
  <c r="C10773" i="1"/>
  <c r="D10773" i="1"/>
  <c r="A10774" i="1"/>
  <c r="B10774" i="1"/>
  <c r="C10774" i="1"/>
  <c r="D10774" i="1"/>
  <c r="A10775" i="1"/>
  <c r="B10775" i="1"/>
  <c r="C10775" i="1"/>
  <c r="D10775" i="1"/>
  <c r="A10776" i="1"/>
  <c r="B10776" i="1"/>
  <c r="C10776" i="1"/>
  <c r="D10776" i="1"/>
  <c r="A10777" i="1"/>
  <c r="B10777" i="1"/>
  <c r="C10777" i="1"/>
  <c r="D10777" i="1"/>
  <c r="A10778" i="1"/>
  <c r="B10778" i="1"/>
  <c r="C10778" i="1"/>
  <c r="D10778" i="1"/>
  <c r="A10779" i="1"/>
  <c r="B10779" i="1"/>
  <c r="C10779" i="1"/>
  <c r="D10779" i="1"/>
  <c r="A10780" i="1"/>
  <c r="B10780" i="1"/>
  <c r="C10780" i="1"/>
  <c r="D10780" i="1"/>
  <c r="A10781" i="1"/>
  <c r="B10781" i="1"/>
  <c r="C10781" i="1"/>
  <c r="D10781" i="1"/>
  <c r="A10782" i="1"/>
  <c r="B10782" i="1"/>
  <c r="C10782" i="1"/>
  <c r="D10782" i="1"/>
  <c r="A10783" i="1"/>
  <c r="B10783" i="1"/>
  <c r="C10783" i="1"/>
  <c r="D10783" i="1"/>
  <c r="A10784" i="1"/>
  <c r="B10784" i="1"/>
  <c r="C10784" i="1"/>
  <c r="D10784" i="1"/>
  <c r="A10785" i="1"/>
  <c r="B10785" i="1"/>
  <c r="C10785" i="1"/>
  <c r="D10785" i="1"/>
  <c r="A10786" i="1"/>
  <c r="B10786" i="1"/>
  <c r="C10786" i="1"/>
  <c r="D10786" i="1"/>
  <c r="A10787" i="1"/>
  <c r="B10787" i="1"/>
  <c r="C10787" i="1"/>
  <c r="D10787" i="1"/>
  <c r="A10788" i="1"/>
  <c r="B10788" i="1"/>
  <c r="C10788" i="1"/>
  <c r="D10788" i="1"/>
  <c r="A10789" i="1"/>
  <c r="B10789" i="1"/>
  <c r="C10789" i="1"/>
  <c r="D10789" i="1"/>
  <c r="A10790" i="1"/>
  <c r="B10790" i="1"/>
  <c r="C10790" i="1"/>
  <c r="D10790" i="1"/>
  <c r="A10791" i="1"/>
  <c r="B10791" i="1"/>
  <c r="C10791" i="1"/>
  <c r="D10791" i="1"/>
  <c r="A10792" i="1"/>
  <c r="B10792" i="1"/>
  <c r="C10792" i="1"/>
  <c r="D10792" i="1"/>
  <c r="A10793" i="1"/>
  <c r="B10793" i="1"/>
  <c r="C10793" i="1"/>
  <c r="D10793" i="1"/>
  <c r="A10794" i="1"/>
  <c r="B10794" i="1"/>
  <c r="C10794" i="1"/>
  <c r="D10794" i="1"/>
  <c r="A10795" i="1"/>
  <c r="B10795" i="1"/>
  <c r="C10795" i="1"/>
  <c r="D10795" i="1"/>
  <c r="A10796" i="1"/>
  <c r="B10796" i="1"/>
  <c r="C10796" i="1"/>
  <c r="D10796" i="1"/>
  <c r="A10797" i="1"/>
  <c r="B10797" i="1"/>
  <c r="C10797" i="1"/>
  <c r="D10797" i="1"/>
  <c r="A10798" i="1"/>
  <c r="B10798" i="1"/>
  <c r="C10798" i="1"/>
  <c r="D10798" i="1"/>
  <c r="A10799" i="1"/>
  <c r="B10799" i="1"/>
  <c r="C10799" i="1"/>
  <c r="D10799" i="1"/>
  <c r="A10800" i="1"/>
  <c r="B10800" i="1"/>
  <c r="C10800" i="1"/>
  <c r="D10800" i="1"/>
  <c r="A10801" i="1"/>
  <c r="B10801" i="1"/>
  <c r="C10801" i="1"/>
  <c r="A10802" i="1"/>
  <c r="B10802" i="1"/>
  <c r="C10802" i="1"/>
  <c r="D10802" i="1"/>
  <c r="A10803" i="1"/>
  <c r="B10803" i="1"/>
  <c r="C10803" i="1"/>
  <c r="D10803" i="1"/>
  <c r="A10804" i="1"/>
  <c r="B10804" i="1"/>
  <c r="C10804" i="1"/>
  <c r="D10804" i="1"/>
  <c r="A10805" i="1"/>
  <c r="B10805" i="1"/>
  <c r="C10805" i="1"/>
  <c r="D10805" i="1"/>
  <c r="A10806" i="1"/>
  <c r="B10806" i="1"/>
  <c r="C10806" i="1"/>
  <c r="D10806" i="1"/>
  <c r="A10807" i="1"/>
  <c r="B10807" i="1"/>
  <c r="C10807" i="1"/>
  <c r="D10807" i="1"/>
  <c r="A10808" i="1"/>
  <c r="B10808" i="1"/>
  <c r="C10808" i="1"/>
  <c r="D10808" i="1"/>
  <c r="A10809" i="1"/>
  <c r="B10809" i="1"/>
  <c r="C10809" i="1"/>
  <c r="D10809" i="1"/>
  <c r="A10810" i="1"/>
  <c r="B10810" i="1"/>
  <c r="C10810" i="1"/>
  <c r="D10810" i="1"/>
  <c r="A10811" i="1"/>
  <c r="B10811" i="1"/>
  <c r="C10811" i="1"/>
  <c r="D10811" i="1"/>
  <c r="A10812" i="1"/>
  <c r="B10812" i="1"/>
  <c r="C10812" i="1"/>
  <c r="D10812" i="1"/>
  <c r="A10813" i="1"/>
  <c r="B10813" i="1"/>
  <c r="C10813" i="1"/>
  <c r="D10813" i="1"/>
  <c r="A10814" i="1"/>
  <c r="B10814" i="1"/>
  <c r="C10814" i="1"/>
  <c r="D10814" i="1"/>
  <c r="A10815" i="1"/>
  <c r="B10815" i="1"/>
  <c r="C10815" i="1"/>
  <c r="D10815" i="1"/>
  <c r="A10816" i="1"/>
  <c r="B10816" i="1"/>
  <c r="C10816" i="1"/>
  <c r="D10816" i="1"/>
  <c r="A10817" i="1"/>
  <c r="B10817" i="1"/>
  <c r="C10817" i="1"/>
  <c r="D10817" i="1"/>
  <c r="A10818" i="1"/>
  <c r="B10818" i="1"/>
  <c r="C10818" i="1"/>
  <c r="D10818" i="1"/>
  <c r="A10819" i="1"/>
  <c r="B10819" i="1"/>
  <c r="C10819" i="1"/>
  <c r="D10819" i="1"/>
  <c r="A10820" i="1"/>
  <c r="B10820" i="1"/>
  <c r="C10820" i="1"/>
  <c r="D10820" i="1"/>
  <c r="A10821" i="1"/>
  <c r="B10821" i="1"/>
  <c r="C10821" i="1"/>
  <c r="D10821" i="1"/>
  <c r="A10822" i="1"/>
  <c r="B10822" i="1"/>
  <c r="C10822" i="1"/>
  <c r="D10822" i="1"/>
  <c r="A10823" i="1"/>
  <c r="B10823" i="1"/>
  <c r="C10823" i="1"/>
  <c r="D10823" i="1"/>
  <c r="A10824" i="1"/>
  <c r="B10824" i="1"/>
  <c r="C10824" i="1"/>
  <c r="D10824" i="1"/>
  <c r="A10825" i="1"/>
  <c r="B10825" i="1"/>
  <c r="C10825" i="1"/>
  <c r="D10825" i="1"/>
  <c r="A10826" i="1"/>
  <c r="B10826" i="1"/>
  <c r="C10826" i="1"/>
  <c r="D10826" i="1"/>
  <c r="A10827" i="1"/>
  <c r="B10827" i="1"/>
  <c r="C10827" i="1"/>
  <c r="D10827" i="1"/>
  <c r="A10828" i="1"/>
  <c r="B10828" i="1"/>
  <c r="C10828" i="1"/>
  <c r="D10828" i="1"/>
  <c r="A10829" i="1"/>
  <c r="B10829" i="1"/>
  <c r="C10829" i="1"/>
  <c r="A10830" i="1"/>
  <c r="B10830" i="1"/>
  <c r="C10830" i="1"/>
  <c r="D10830" i="1"/>
  <c r="A10831" i="1"/>
  <c r="B10831" i="1"/>
  <c r="C10831" i="1"/>
  <c r="D10831" i="1"/>
  <c r="A10832" i="1"/>
  <c r="B10832" i="1"/>
  <c r="C10832" i="1"/>
  <c r="D10832" i="1"/>
  <c r="A10833" i="1"/>
  <c r="B10833" i="1"/>
  <c r="C10833" i="1"/>
  <c r="D10833" i="1"/>
  <c r="A10834" i="1"/>
  <c r="B10834" i="1"/>
  <c r="C10834" i="1"/>
  <c r="D10834" i="1"/>
  <c r="A10835" i="1"/>
  <c r="B10835" i="1"/>
  <c r="C10835" i="1"/>
  <c r="D10835" i="1"/>
  <c r="A10836" i="1"/>
  <c r="B10836" i="1"/>
  <c r="C10836" i="1"/>
  <c r="D10836" i="1"/>
  <c r="A10837" i="1"/>
  <c r="B10837" i="1"/>
  <c r="C10837" i="1"/>
  <c r="D10837" i="1"/>
  <c r="A10838" i="1"/>
  <c r="B10838" i="1"/>
  <c r="C10838" i="1"/>
  <c r="D10838" i="1"/>
  <c r="A10839" i="1"/>
  <c r="B10839" i="1"/>
  <c r="C10839" i="1"/>
  <c r="A10840" i="1"/>
  <c r="B10840" i="1"/>
  <c r="C10840" i="1"/>
  <c r="D10840" i="1"/>
  <c r="A10841" i="1"/>
  <c r="B10841" i="1"/>
  <c r="C10841" i="1"/>
  <c r="D10841" i="1"/>
  <c r="A10842" i="1"/>
  <c r="B10842" i="1"/>
  <c r="C10842" i="1"/>
  <c r="D10842" i="1"/>
  <c r="A10843" i="1"/>
  <c r="B10843" i="1"/>
  <c r="C10843" i="1"/>
  <c r="D10843" i="1"/>
  <c r="A10844" i="1"/>
  <c r="B10844" i="1"/>
  <c r="C10844" i="1"/>
  <c r="D10844" i="1"/>
  <c r="A10845" i="1"/>
  <c r="B10845" i="1"/>
  <c r="C10845" i="1"/>
  <c r="D10845" i="1"/>
  <c r="A10846" i="1"/>
  <c r="B10846" i="1"/>
  <c r="C10846" i="1"/>
  <c r="D10846" i="1"/>
  <c r="A10847" i="1"/>
  <c r="B10847" i="1"/>
  <c r="C10847" i="1"/>
  <c r="D10847" i="1"/>
  <c r="A10848" i="1"/>
  <c r="B10848" i="1"/>
  <c r="C10848" i="1"/>
  <c r="D10848" i="1"/>
  <c r="A10849" i="1"/>
  <c r="B10849" i="1"/>
  <c r="C10849" i="1"/>
  <c r="D10849" i="1"/>
  <c r="A10850" i="1"/>
  <c r="B10850" i="1"/>
  <c r="C10850" i="1"/>
  <c r="D10850" i="1"/>
  <c r="A10851" i="1"/>
  <c r="B10851" i="1"/>
  <c r="C10851" i="1"/>
  <c r="D10851" i="1"/>
  <c r="A10852" i="1"/>
  <c r="B10852" i="1"/>
  <c r="C10852" i="1"/>
  <c r="D10852" i="1"/>
  <c r="A10853" i="1"/>
  <c r="B10853" i="1"/>
  <c r="C10853" i="1"/>
  <c r="D10853" i="1"/>
  <c r="A10854" i="1"/>
  <c r="B10854" i="1"/>
  <c r="C10854" i="1"/>
  <c r="D10854" i="1"/>
  <c r="A10855" i="1"/>
  <c r="B10855" i="1"/>
  <c r="C10855" i="1"/>
  <c r="D10855" i="1"/>
  <c r="A10856" i="1"/>
  <c r="B10856" i="1"/>
  <c r="C10856" i="1"/>
  <c r="D10856" i="1"/>
  <c r="A10857" i="1"/>
  <c r="B10857" i="1"/>
  <c r="C10857" i="1"/>
  <c r="D10857" i="1"/>
  <c r="A10858" i="1"/>
  <c r="B10858" i="1"/>
  <c r="C10858" i="1"/>
  <c r="D10858" i="1"/>
  <c r="A10859" i="1"/>
  <c r="B10859" i="1"/>
  <c r="C10859" i="1"/>
  <c r="D10859" i="1"/>
  <c r="A10860" i="1"/>
  <c r="B10860" i="1"/>
  <c r="C10860" i="1"/>
  <c r="D10860" i="1"/>
  <c r="A10861" i="1"/>
  <c r="B10861" i="1"/>
  <c r="C10861" i="1"/>
  <c r="D10861" i="1"/>
  <c r="A10862" i="1"/>
  <c r="B10862" i="1"/>
  <c r="C10862" i="1"/>
  <c r="D10862" i="1"/>
  <c r="A10863" i="1"/>
  <c r="B10863" i="1"/>
  <c r="C10863" i="1"/>
  <c r="D10863" i="1"/>
  <c r="A10864" i="1"/>
  <c r="B10864" i="1"/>
  <c r="C10864" i="1"/>
  <c r="D10864" i="1"/>
  <c r="A10865" i="1"/>
  <c r="B10865" i="1"/>
  <c r="C10865" i="1"/>
  <c r="D10865" i="1"/>
  <c r="A10866" i="1"/>
  <c r="B10866" i="1"/>
  <c r="C10866" i="1"/>
  <c r="D10866" i="1"/>
  <c r="A10867" i="1"/>
  <c r="B10867" i="1"/>
  <c r="C10867" i="1"/>
  <c r="D10867" i="1"/>
  <c r="A10868" i="1"/>
  <c r="B10868" i="1"/>
  <c r="C10868" i="1"/>
  <c r="D10868" i="1"/>
  <c r="A10869" i="1"/>
  <c r="B10869" i="1"/>
  <c r="C10869" i="1"/>
  <c r="D10869" i="1"/>
  <c r="A10870" i="1"/>
  <c r="B10870" i="1"/>
  <c r="C10870" i="1"/>
  <c r="D10870" i="1"/>
  <c r="A10871" i="1"/>
  <c r="B10871" i="1"/>
  <c r="C10871" i="1"/>
  <c r="D10871" i="1"/>
  <c r="A10872" i="1"/>
  <c r="B10872" i="1"/>
  <c r="C10872" i="1"/>
  <c r="D10872" i="1"/>
  <c r="A10873" i="1"/>
  <c r="B10873" i="1"/>
  <c r="C10873" i="1"/>
  <c r="D10873" i="1"/>
  <c r="A10874" i="1"/>
  <c r="B10874" i="1"/>
  <c r="C10874" i="1"/>
  <c r="D10874" i="1"/>
  <c r="A10875" i="1"/>
  <c r="B10875" i="1"/>
  <c r="C10875" i="1"/>
  <c r="D10875" i="1"/>
  <c r="A10876" i="1"/>
  <c r="B10876" i="1"/>
  <c r="C10876" i="1"/>
  <c r="D10876" i="1"/>
  <c r="A10877" i="1"/>
  <c r="B10877" i="1"/>
  <c r="C10877" i="1"/>
  <c r="D10877" i="1"/>
  <c r="A10878" i="1"/>
  <c r="B10878" i="1"/>
  <c r="C10878" i="1"/>
  <c r="D10878" i="1"/>
  <c r="A10879" i="1"/>
  <c r="B10879" i="1"/>
  <c r="C10879" i="1"/>
  <c r="D10879" i="1"/>
  <c r="A10880" i="1"/>
  <c r="B10880" i="1"/>
  <c r="C10880" i="1"/>
  <c r="D10880" i="1"/>
  <c r="A10881" i="1"/>
  <c r="B10881" i="1"/>
  <c r="C10881" i="1"/>
  <c r="D10881" i="1"/>
  <c r="A10882" i="1"/>
  <c r="B10882" i="1"/>
  <c r="C10882" i="1"/>
  <c r="D10882" i="1"/>
  <c r="A10883" i="1"/>
  <c r="B10883" i="1"/>
  <c r="C10883" i="1"/>
  <c r="D10883" i="1"/>
  <c r="A10884" i="1"/>
  <c r="B10884" i="1"/>
  <c r="C10884" i="1"/>
  <c r="D10884" i="1"/>
  <c r="A10885" i="1"/>
  <c r="B10885" i="1"/>
  <c r="C10885" i="1"/>
  <c r="D10885" i="1"/>
  <c r="A10886" i="1"/>
  <c r="B10886" i="1"/>
  <c r="C10886" i="1"/>
  <c r="D10886" i="1"/>
  <c r="A10887" i="1"/>
  <c r="B10887" i="1"/>
  <c r="C10887" i="1"/>
  <c r="D10887" i="1"/>
  <c r="A10888" i="1"/>
  <c r="B10888" i="1"/>
  <c r="C10888" i="1"/>
  <c r="D10888" i="1"/>
  <c r="A10889" i="1"/>
  <c r="B10889" i="1"/>
  <c r="C10889" i="1"/>
  <c r="D10889" i="1"/>
  <c r="A10890" i="1"/>
  <c r="B10890" i="1"/>
  <c r="C10890" i="1"/>
  <c r="D10890" i="1"/>
  <c r="A10891" i="1"/>
  <c r="B10891" i="1"/>
  <c r="C10891" i="1"/>
  <c r="D10891" i="1"/>
  <c r="A10892" i="1"/>
  <c r="B10892" i="1"/>
  <c r="C10892" i="1"/>
  <c r="D10892" i="1"/>
  <c r="A10893" i="1"/>
  <c r="B10893" i="1"/>
  <c r="C10893" i="1"/>
  <c r="D10893" i="1"/>
  <c r="A10894" i="1"/>
  <c r="B10894" i="1"/>
  <c r="C10894" i="1"/>
  <c r="D10894" i="1"/>
  <c r="A10895" i="1"/>
  <c r="B10895" i="1"/>
  <c r="C10895" i="1"/>
  <c r="D10895" i="1"/>
  <c r="A10896" i="1"/>
  <c r="B10896" i="1"/>
  <c r="C10896" i="1"/>
  <c r="D10896" i="1"/>
  <c r="A10897" i="1"/>
  <c r="B10897" i="1"/>
  <c r="C10897" i="1"/>
  <c r="D10897" i="1"/>
  <c r="A10898" i="1"/>
  <c r="B10898" i="1"/>
  <c r="C10898" i="1"/>
  <c r="D10898" i="1"/>
  <c r="A10899" i="1"/>
  <c r="B10899" i="1"/>
  <c r="C10899" i="1"/>
  <c r="D10899" i="1"/>
  <c r="A10900" i="1"/>
  <c r="B10900" i="1"/>
  <c r="C10900" i="1"/>
  <c r="D10900" i="1"/>
  <c r="A10901" i="1"/>
  <c r="B10901" i="1"/>
  <c r="C10901" i="1"/>
  <c r="D10901" i="1"/>
  <c r="A10902" i="1"/>
  <c r="B10902" i="1"/>
  <c r="C10902" i="1"/>
  <c r="D10902" i="1"/>
  <c r="A10903" i="1"/>
  <c r="B10903" i="1"/>
  <c r="C10903" i="1"/>
  <c r="D10903" i="1"/>
  <c r="A10904" i="1"/>
  <c r="B10904" i="1"/>
  <c r="C10904" i="1"/>
  <c r="D10904" i="1"/>
  <c r="A10905" i="1"/>
  <c r="B10905" i="1"/>
  <c r="C10905" i="1"/>
  <c r="D10905" i="1"/>
  <c r="A10906" i="1"/>
  <c r="B10906" i="1"/>
  <c r="C10906" i="1"/>
  <c r="D10906" i="1"/>
  <c r="A10907" i="1"/>
  <c r="B10907" i="1"/>
  <c r="C10907" i="1"/>
  <c r="D10907" i="1"/>
  <c r="A10908" i="1"/>
  <c r="B10908" i="1"/>
  <c r="C10908" i="1"/>
  <c r="D10908" i="1"/>
  <c r="A10909" i="1"/>
  <c r="B10909" i="1"/>
  <c r="C10909" i="1"/>
  <c r="D10909" i="1"/>
  <c r="A10910" i="1"/>
  <c r="B10910" i="1"/>
  <c r="C10910" i="1"/>
  <c r="D10910" i="1"/>
  <c r="A10911" i="1"/>
  <c r="B10911" i="1"/>
  <c r="C10911" i="1"/>
  <c r="D10911" i="1"/>
  <c r="A10912" i="1"/>
  <c r="B10912" i="1"/>
  <c r="C10912" i="1"/>
  <c r="D10912" i="1"/>
  <c r="A10913" i="1"/>
  <c r="B10913" i="1"/>
  <c r="C10913" i="1"/>
  <c r="D10913" i="1"/>
  <c r="A10914" i="1"/>
  <c r="B10914" i="1"/>
  <c r="C10914" i="1"/>
  <c r="D10914" i="1"/>
  <c r="A10915" i="1"/>
  <c r="B10915" i="1"/>
  <c r="C10915" i="1"/>
  <c r="D10915" i="1"/>
  <c r="A10916" i="1"/>
  <c r="B10916" i="1"/>
  <c r="C10916" i="1"/>
  <c r="D10916" i="1"/>
  <c r="A10917" i="1"/>
  <c r="B10917" i="1"/>
  <c r="C10917" i="1"/>
  <c r="D10917" i="1"/>
  <c r="A10918" i="1"/>
  <c r="B10918" i="1"/>
  <c r="C10918" i="1"/>
  <c r="D10918" i="1"/>
  <c r="A10919" i="1"/>
  <c r="B10919" i="1"/>
  <c r="C10919" i="1"/>
  <c r="D10919" i="1"/>
  <c r="A10920" i="1"/>
  <c r="B10920" i="1"/>
  <c r="C10920" i="1"/>
  <c r="D10920" i="1"/>
  <c r="A10921" i="1"/>
  <c r="B10921" i="1"/>
  <c r="C10921" i="1"/>
  <c r="D10921" i="1"/>
  <c r="A10922" i="1"/>
  <c r="B10922" i="1"/>
  <c r="C10922" i="1"/>
  <c r="D10922" i="1"/>
  <c r="A10923" i="1"/>
  <c r="B10923" i="1"/>
  <c r="C10923" i="1"/>
  <c r="D10923" i="1"/>
  <c r="A10924" i="1"/>
  <c r="B10924" i="1"/>
  <c r="C10924" i="1"/>
  <c r="D10924" i="1"/>
  <c r="A10925" i="1"/>
  <c r="B10925" i="1"/>
  <c r="C10925" i="1"/>
  <c r="D10925" i="1"/>
  <c r="A10926" i="1"/>
  <c r="B10926" i="1"/>
  <c r="C10926" i="1"/>
  <c r="D10926" i="1"/>
  <c r="A10927" i="1"/>
  <c r="B10927" i="1"/>
  <c r="C10927" i="1"/>
  <c r="D10927" i="1"/>
  <c r="A10928" i="1"/>
  <c r="B10928" i="1"/>
  <c r="C10928" i="1"/>
  <c r="D10928" i="1"/>
  <c r="A10929" i="1"/>
  <c r="B10929" i="1"/>
  <c r="C10929" i="1"/>
  <c r="D10929" i="1"/>
  <c r="A10930" i="1"/>
  <c r="B10930" i="1"/>
  <c r="C10930" i="1"/>
  <c r="D10930" i="1"/>
  <c r="A10931" i="1"/>
  <c r="B10931" i="1"/>
  <c r="C10931" i="1"/>
  <c r="D10931" i="1"/>
  <c r="A10932" i="1"/>
  <c r="B10932" i="1"/>
  <c r="C10932" i="1"/>
  <c r="D10932" i="1"/>
  <c r="A10933" i="1"/>
  <c r="B10933" i="1"/>
  <c r="C10933" i="1"/>
  <c r="A10934" i="1"/>
  <c r="B10934" i="1"/>
  <c r="C10934" i="1"/>
  <c r="D10934" i="1"/>
  <c r="A10935" i="1"/>
  <c r="B10935" i="1"/>
  <c r="C10935" i="1"/>
  <c r="D10935" i="1"/>
  <c r="A10936" i="1"/>
  <c r="B10936" i="1"/>
  <c r="C10936" i="1"/>
  <c r="A10937" i="1"/>
  <c r="B10937" i="1"/>
  <c r="C10937" i="1"/>
  <c r="D10937" i="1"/>
  <c r="A10938" i="1"/>
  <c r="B10938" i="1"/>
  <c r="C10938" i="1"/>
  <c r="D10938" i="1"/>
  <c r="A10939" i="1"/>
  <c r="B10939" i="1"/>
  <c r="C10939" i="1"/>
  <c r="D10939" i="1"/>
  <c r="A10940" i="1"/>
  <c r="B10940" i="1"/>
  <c r="C10940" i="1"/>
  <c r="D10940" i="1"/>
  <c r="A10941" i="1"/>
  <c r="B10941" i="1"/>
  <c r="C10941" i="1"/>
  <c r="D10941" i="1"/>
  <c r="A10942" i="1"/>
  <c r="B10942" i="1"/>
  <c r="C10942" i="1"/>
  <c r="D10942" i="1"/>
  <c r="A10943" i="1"/>
  <c r="B10943" i="1"/>
  <c r="C10943" i="1"/>
  <c r="D10943" i="1"/>
  <c r="A10944" i="1"/>
  <c r="B10944" i="1"/>
  <c r="C10944" i="1"/>
  <c r="A10945" i="1"/>
  <c r="B10945" i="1"/>
  <c r="C10945" i="1"/>
  <c r="D10945" i="1"/>
  <c r="A10946" i="1"/>
  <c r="B10946" i="1"/>
  <c r="C10946" i="1"/>
  <c r="D10946" i="1"/>
  <c r="A10947" i="1"/>
  <c r="B10947" i="1"/>
  <c r="C10947" i="1"/>
  <c r="D10947" i="1"/>
  <c r="A10948" i="1"/>
  <c r="B10948" i="1"/>
  <c r="C10948" i="1"/>
  <c r="D10948" i="1"/>
  <c r="A10949" i="1"/>
  <c r="B10949" i="1"/>
  <c r="C10949" i="1"/>
  <c r="D10949" i="1"/>
  <c r="A10950" i="1"/>
  <c r="B10950" i="1"/>
  <c r="C10950" i="1"/>
  <c r="D10950" i="1"/>
  <c r="A10951" i="1"/>
  <c r="B10951" i="1"/>
  <c r="C10951" i="1"/>
  <c r="D10951" i="1"/>
  <c r="A10952" i="1"/>
  <c r="B10952" i="1"/>
  <c r="C10952" i="1"/>
  <c r="D10952" i="1"/>
  <c r="A10953" i="1"/>
  <c r="B10953" i="1"/>
  <c r="C10953" i="1"/>
  <c r="D10953" i="1"/>
  <c r="A10954" i="1"/>
  <c r="B10954" i="1"/>
  <c r="C10954" i="1"/>
  <c r="D10954" i="1"/>
  <c r="A10955" i="1"/>
  <c r="B10955" i="1"/>
  <c r="C10955" i="1"/>
  <c r="D10955" i="1"/>
  <c r="A10956" i="1"/>
  <c r="B10956" i="1"/>
  <c r="C10956" i="1"/>
  <c r="D10956" i="1"/>
  <c r="A10957" i="1"/>
  <c r="B10957" i="1"/>
  <c r="C10957" i="1"/>
  <c r="D10957" i="1"/>
  <c r="A10958" i="1"/>
  <c r="B10958" i="1"/>
  <c r="C10958" i="1"/>
  <c r="D10958" i="1"/>
  <c r="A10959" i="1"/>
  <c r="B10959" i="1"/>
  <c r="C10959" i="1"/>
  <c r="D10959" i="1"/>
  <c r="A10960" i="1"/>
  <c r="B10960" i="1"/>
  <c r="C10960" i="1"/>
  <c r="D10960" i="1"/>
  <c r="A10961" i="1"/>
  <c r="B10961" i="1"/>
  <c r="C10961" i="1"/>
  <c r="D10961" i="1"/>
  <c r="A10962" i="1"/>
  <c r="B10962" i="1"/>
  <c r="C10962" i="1"/>
  <c r="D10962" i="1"/>
  <c r="A10963" i="1"/>
  <c r="B10963" i="1"/>
  <c r="C10963" i="1"/>
  <c r="D10963" i="1"/>
  <c r="A10964" i="1"/>
  <c r="B10964" i="1"/>
  <c r="C10964" i="1"/>
  <c r="D10964" i="1"/>
  <c r="A10965" i="1"/>
  <c r="B10965" i="1"/>
  <c r="C10965" i="1"/>
  <c r="D10965" i="1"/>
  <c r="A10966" i="1"/>
  <c r="B10966" i="1"/>
  <c r="C10966" i="1"/>
  <c r="D10966" i="1"/>
  <c r="A10967" i="1"/>
  <c r="B10967" i="1"/>
  <c r="C10967" i="1"/>
  <c r="D10967" i="1"/>
  <c r="A10968" i="1"/>
  <c r="B10968" i="1"/>
  <c r="C10968" i="1"/>
  <c r="D10968" i="1"/>
  <c r="A10969" i="1"/>
  <c r="B10969" i="1"/>
  <c r="C10969" i="1"/>
  <c r="D10969" i="1"/>
  <c r="A10970" i="1"/>
  <c r="B10970" i="1"/>
  <c r="C10970" i="1"/>
  <c r="D10970" i="1"/>
  <c r="A10971" i="1"/>
  <c r="B10971" i="1"/>
  <c r="C10971" i="1"/>
  <c r="D10971" i="1"/>
  <c r="A10972" i="1"/>
  <c r="B10972" i="1"/>
  <c r="C10972" i="1"/>
  <c r="D10972" i="1"/>
  <c r="A10973" i="1"/>
  <c r="B10973" i="1"/>
  <c r="C10973" i="1"/>
  <c r="D10973" i="1"/>
  <c r="A10974" i="1"/>
  <c r="B10974" i="1"/>
  <c r="C10974" i="1"/>
  <c r="D10974" i="1"/>
  <c r="A10975" i="1"/>
  <c r="B10975" i="1"/>
  <c r="C10975" i="1"/>
  <c r="D10975" i="1"/>
  <c r="A10976" i="1"/>
  <c r="B10976" i="1"/>
  <c r="C10976" i="1"/>
  <c r="D10976" i="1"/>
  <c r="A10977" i="1"/>
  <c r="B10977" i="1"/>
  <c r="C10977" i="1"/>
  <c r="D10977" i="1"/>
  <c r="A10978" i="1"/>
  <c r="B10978" i="1"/>
  <c r="C10978" i="1"/>
  <c r="D10978" i="1"/>
  <c r="A10979" i="1"/>
  <c r="B10979" i="1"/>
  <c r="C10979" i="1"/>
  <c r="D10979" i="1"/>
  <c r="A10980" i="1"/>
  <c r="B10980" i="1"/>
  <c r="C10980" i="1"/>
  <c r="D10980" i="1"/>
  <c r="A10981" i="1"/>
  <c r="B10981" i="1"/>
  <c r="C10981" i="1"/>
  <c r="D10981" i="1"/>
  <c r="A10982" i="1"/>
  <c r="B10982" i="1"/>
  <c r="C10982" i="1"/>
  <c r="D10982" i="1"/>
  <c r="A10983" i="1"/>
  <c r="B10983" i="1"/>
  <c r="C10983" i="1"/>
  <c r="D10983" i="1"/>
  <c r="A10984" i="1"/>
  <c r="B10984" i="1"/>
  <c r="C10984" i="1"/>
  <c r="A10985" i="1"/>
  <c r="B10985" i="1"/>
  <c r="C10985" i="1"/>
  <c r="D10985" i="1"/>
  <c r="A10986" i="1"/>
  <c r="B10986" i="1"/>
  <c r="C10986" i="1"/>
  <c r="D10986" i="1"/>
  <c r="A10987" i="1"/>
  <c r="B10987" i="1"/>
  <c r="C10987" i="1"/>
  <c r="D10987" i="1"/>
  <c r="A10988" i="1"/>
  <c r="B10988" i="1"/>
  <c r="C10988" i="1"/>
  <c r="D10988" i="1"/>
  <c r="A10989" i="1"/>
  <c r="B10989" i="1"/>
  <c r="C10989" i="1"/>
  <c r="D10989" i="1"/>
  <c r="A10990" i="1"/>
  <c r="B10990" i="1"/>
  <c r="C10990" i="1"/>
  <c r="D10990" i="1"/>
  <c r="A10991" i="1"/>
  <c r="B10991" i="1"/>
  <c r="C10991" i="1"/>
  <c r="D10991" i="1"/>
  <c r="A10992" i="1"/>
  <c r="B10992" i="1"/>
  <c r="C10992" i="1"/>
  <c r="D10992" i="1"/>
  <c r="A10993" i="1"/>
  <c r="B10993" i="1"/>
  <c r="C10993" i="1"/>
  <c r="A10994" i="1"/>
  <c r="B10994" i="1"/>
  <c r="C10994" i="1"/>
  <c r="D10994" i="1"/>
  <c r="A10995" i="1"/>
  <c r="B10995" i="1"/>
  <c r="C10995" i="1"/>
  <c r="D10995" i="1"/>
  <c r="A10996" i="1"/>
  <c r="B10996" i="1"/>
  <c r="C10996" i="1"/>
  <c r="D10996" i="1"/>
  <c r="A10997" i="1"/>
  <c r="B10997" i="1"/>
  <c r="C10997" i="1"/>
  <c r="D10997" i="1"/>
  <c r="A10998" i="1"/>
  <c r="B10998" i="1"/>
  <c r="C10998" i="1"/>
  <c r="D10998" i="1"/>
  <c r="A10999" i="1"/>
  <c r="B10999" i="1"/>
  <c r="C10999" i="1"/>
  <c r="D10999" i="1"/>
  <c r="A11000" i="1"/>
  <c r="B11000" i="1"/>
  <c r="C11000" i="1"/>
  <c r="D11000" i="1"/>
  <c r="A11001" i="1"/>
  <c r="B11001" i="1"/>
  <c r="C11001" i="1"/>
  <c r="D11001" i="1"/>
  <c r="A11002" i="1"/>
  <c r="B11002" i="1"/>
  <c r="C11002" i="1"/>
  <c r="D11002" i="1"/>
  <c r="A11003" i="1"/>
  <c r="B11003" i="1"/>
  <c r="C11003" i="1"/>
  <c r="D11003" i="1"/>
  <c r="A11004" i="1"/>
  <c r="B11004" i="1"/>
  <c r="C11004" i="1"/>
  <c r="A11005" i="1"/>
  <c r="B11005" i="1"/>
  <c r="C11005" i="1"/>
  <c r="D11005" i="1"/>
  <c r="A11006" i="1"/>
  <c r="B11006" i="1"/>
  <c r="C11006" i="1"/>
  <c r="D11006" i="1"/>
  <c r="A11007" i="1"/>
  <c r="B11007" i="1"/>
  <c r="C11007" i="1"/>
  <c r="D11007" i="1"/>
  <c r="A11008" i="1"/>
  <c r="B11008" i="1"/>
  <c r="C11008" i="1"/>
  <c r="D11008" i="1"/>
  <c r="A11009" i="1"/>
  <c r="B11009" i="1"/>
  <c r="C11009" i="1"/>
  <c r="D11009" i="1"/>
  <c r="A11010" i="1"/>
  <c r="B11010" i="1"/>
  <c r="C11010" i="1"/>
  <c r="D11010" i="1"/>
  <c r="A11011" i="1"/>
  <c r="B11011" i="1"/>
  <c r="C11011" i="1"/>
  <c r="D11011" i="1"/>
  <c r="A11012" i="1"/>
  <c r="B11012" i="1"/>
  <c r="C11012" i="1"/>
  <c r="D11012" i="1"/>
  <c r="A11013" i="1"/>
  <c r="B11013" i="1"/>
  <c r="C11013" i="1"/>
  <c r="D11013" i="1"/>
  <c r="A11014" i="1"/>
  <c r="B11014" i="1"/>
  <c r="C11014" i="1"/>
  <c r="D11014" i="1"/>
  <c r="A11015" i="1"/>
  <c r="B11015" i="1"/>
  <c r="C11015" i="1"/>
  <c r="D11015" i="1"/>
  <c r="A11016" i="1"/>
  <c r="B11016" i="1"/>
  <c r="C11016" i="1"/>
  <c r="D11016" i="1"/>
  <c r="A11017" i="1"/>
  <c r="B11017" i="1"/>
  <c r="C11017" i="1"/>
  <c r="D11017" i="1"/>
  <c r="A11018" i="1"/>
  <c r="B11018" i="1"/>
  <c r="C11018" i="1"/>
  <c r="D11018" i="1"/>
  <c r="A11019" i="1"/>
  <c r="B11019" i="1"/>
  <c r="C11019" i="1"/>
  <c r="D11019" i="1"/>
  <c r="A11020" i="1"/>
  <c r="B11020" i="1"/>
  <c r="C11020" i="1"/>
  <c r="D11020" i="1"/>
  <c r="A11021" i="1"/>
  <c r="B11021" i="1"/>
  <c r="C11021" i="1"/>
  <c r="D11021" i="1"/>
  <c r="A11022" i="1"/>
  <c r="B11022" i="1"/>
  <c r="C11022" i="1"/>
  <c r="D11022" i="1"/>
  <c r="A11023" i="1"/>
  <c r="B11023" i="1"/>
  <c r="C11023" i="1"/>
  <c r="D11023" i="1"/>
  <c r="A11024" i="1"/>
  <c r="B11024" i="1"/>
  <c r="C11024" i="1"/>
  <c r="D11024" i="1"/>
  <c r="A11025" i="1"/>
  <c r="B11025" i="1"/>
  <c r="C11025" i="1"/>
  <c r="D11025" i="1"/>
  <c r="A11026" i="1"/>
  <c r="B11026" i="1"/>
  <c r="C11026" i="1"/>
  <c r="D11026" i="1"/>
  <c r="A11027" i="1"/>
  <c r="B11027" i="1"/>
  <c r="C11027" i="1"/>
  <c r="D11027" i="1"/>
  <c r="A11028" i="1"/>
  <c r="B11028" i="1"/>
  <c r="C11028" i="1"/>
  <c r="A11029" i="1"/>
  <c r="B11029" i="1"/>
  <c r="C11029" i="1"/>
  <c r="D11029" i="1"/>
  <c r="A11030" i="1"/>
  <c r="B11030" i="1"/>
  <c r="C11030" i="1"/>
  <c r="D11030" i="1"/>
  <c r="A11031" i="1"/>
  <c r="B11031" i="1"/>
  <c r="C11031" i="1"/>
  <c r="D11031" i="1"/>
  <c r="A11032" i="1"/>
  <c r="B11032" i="1"/>
  <c r="C11032" i="1"/>
  <c r="D11032" i="1"/>
  <c r="A11033" i="1"/>
  <c r="B11033" i="1"/>
  <c r="C11033" i="1"/>
  <c r="D11033" i="1"/>
  <c r="A11034" i="1"/>
  <c r="B11034" i="1"/>
  <c r="C11034" i="1"/>
  <c r="D11034" i="1"/>
  <c r="A11035" i="1"/>
  <c r="B11035" i="1"/>
  <c r="C11035" i="1"/>
  <c r="D11035" i="1"/>
  <c r="A11036" i="1"/>
  <c r="B11036" i="1"/>
  <c r="C11036" i="1"/>
  <c r="D11036" i="1"/>
  <c r="A11037" i="1"/>
  <c r="B11037" i="1"/>
  <c r="C11037" i="1"/>
  <c r="A11038" i="1"/>
  <c r="B11038" i="1"/>
  <c r="C11038" i="1"/>
  <c r="D11038" i="1"/>
  <c r="A11039" i="1"/>
  <c r="B11039" i="1"/>
  <c r="C11039" i="1"/>
  <c r="D11039" i="1"/>
  <c r="A11040" i="1"/>
  <c r="B11040" i="1"/>
  <c r="C11040" i="1"/>
  <c r="D11040" i="1"/>
  <c r="A11041" i="1"/>
  <c r="B11041" i="1"/>
  <c r="C11041" i="1"/>
  <c r="D11041" i="1"/>
  <c r="A11042" i="1"/>
  <c r="B11042" i="1"/>
  <c r="C11042" i="1"/>
  <c r="D11042" i="1"/>
  <c r="A11043" i="1"/>
  <c r="B11043" i="1"/>
  <c r="C11043" i="1"/>
  <c r="D11043" i="1"/>
  <c r="A11044" i="1"/>
  <c r="B11044" i="1"/>
  <c r="C11044" i="1"/>
  <c r="D11044" i="1"/>
  <c r="A11045" i="1"/>
  <c r="B11045" i="1"/>
  <c r="C11045" i="1"/>
  <c r="D11045" i="1"/>
  <c r="A11046" i="1"/>
  <c r="B11046" i="1"/>
  <c r="C11046" i="1"/>
  <c r="D11046" i="1"/>
  <c r="A11047" i="1"/>
  <c r="B11047" i="1"/>
  <c r="C11047" i="1"/>
  <c r="D11047" i="1"/>
  <c r="A11048" i="1"/>
  <c r="B11048" i="1"/>
  <c r="C11048" i="1"/>
  <c r="D11048" i="1"/>
  <c r="A11049" i="1"/>
  <c r="B11049" i="1"/>
  <c r="C11049" i="1"/>
  <c r="D11049" i="1"/>
  <c r="A11050" i="1"/>
  <c r="B11050" i="1"/>
  <c r="C11050" i="1"/>
  <c r="D11050" i="1"/>
  <c r="A11051" i="1"/>
  <c r="B11051" i="1"/>
  <c r="C11051" i="1"/>
  <c r="D11051" i="1"/>
  <c r="A11052" i="1"/>
  <c r="B11052" i="1"/>
  <c r="C11052" i="1"/>
  <c r="D11052" i="1"/>
  <c r="A11053" i="1"/>
  <c r="B11053" i="1"/>
  <c r="C11053" i="1"/>
  <c r="D11053" i="1"/>
  <c r="A11054" i="1"/>
  <c r="B11054" i="1"/>
  <c r="C11054" i="1"/>
  <c r="D11054" i="1"/>
  <c r="A11055" i="1"/>
  <c r="B11055" i="1"/>
  <c r="C11055" i="1"/>
  <c r="D11055" i="1"/>
  <c r="A11056" i="1"/>
  <c r="B11056" i="1"/>
  <c r="C11056" i="1"/>
  <c r="D11056" i="1"/>
  <c r="A11057" i="1"/>
  <c r="B11057" i="1"/>
  <c r="C11057" i="1"/>
  <c r="D11057" i="1"/>
  <c r="A11058" i="1"/>
  <c r="B11058" i="1"/>
  <c r="C11058" i="1"/>
  <c r="D11058" i="1"/>
  <c r="A11059" i="1"/>
  <c r="B11059" i="1"/>
  <c r="C11059" i="1"/>
  <c r="D11059" i="1"/>
  <c r="A11060" i="1"/>
  <c r="B11060" i="1"/>
  <c r="C11060" i="1"/>
  <c r="D11060" i="1"/>
  <c r="A11061" i="1"/>
  <c r="B11061" i="1"/>
  <c r="C11061" i="1"/>
  <c r="A11062" i="1"/>
  <c r="B11062" i="1"/>
  <c r="C11062" i="1"/>
  <c r="D11062" i="1"/>
  <c r="A11063" i="1"/>
  <c r="B11063" i="1"/>
  <c r="C11063" i="1"/>
  <c r="D11063" i="1"/>
  <c r="A11064" i="1"/>
  <c r="B11064" i="1"/>
  <c r="C11064" i="1"/>
  <c r="D11064" i="1"/>
  <c r="A11065" i="1"/>
  <c r="B11065" i="1"/>
  <c r="C11065" i="1"/>
  <c r="D11065" i="1"/>
  <c r="A11066" i="1"/>
  <c r="B11066" i="1"/>
  <c r="C11066" i="1"/>
  <c r="D11066" i="1"/>
  <c r="A11067" i="1"/>
  <c r="B11067" i="1"/>
  <c r="C11067" i="1"/>
  <c r="D11067" i="1"/>
  <c r="A11068" i="1"/>
  <c r="B11068" i="1"/>
  <c r="C11068" i="1"/>
  <c r="D11068" i="1"/>
  <c r="A11069" i="1"/>
  <c r="B11069" i="1"/>
  <c r="C11069" i="1"/>
  <c r="D11069" i="1"/>
  <c r="A11070" i="1"/>
  <c r="B11070" i="1"/>
  <c r="C11070" i="1"/>
  <c r="D11070" i="1"/>
  <c r="A11071" i="1"/>
  <c r="B11071" i="1"/>
  <c r="C11071" i="1"/>
  <c r="D11071" i="1"/>
  <c r="A11072" i="1"/>
  <c r="B11072" i="1"/>
  <c r="C11072" i="1"/>
  <c r="D11072" i="1"/>
  <c r="A11073" i="1"/>
  <c r="B11073" i="1"/>
  <c r="C11073" i="1"/>
  <c r="D11073" i="1"/>
  <c r="A11074" i="1"/>
  <c r="B11074" i="1"/>
  <c r="C11074" i="1"/>
  <c r="D11074" i="1"/>
  <c r="A11075" i="1"/>
  <c r="B11075" i="1"/>
  <c r="C11075" i="1"/>
  <c r="A11076" i="1"/>
  <c r="B11076" i="1"/>
  <c r="C11076" i="1"/>
  <c r="D11076" i="1"/>
  <c r="A11077" i="1"/>
  <c r="B11077" i="1"/>
  <c r="C11077" i="1"/>
  <c r="D11077" i="1"/>
  <c r="A11078" i="1"/>
  <c r="B11078" i="1"/>
  <c r="C11078" i="1"/>
  <c r="D11078" i="1"/>
  <c r="A11079" i="1"/>
  <c r="B11079" i="1"/>
  <c r="C11079" i="1"/>
  <c r="D11079" i="1"/>
  <c r="A11080" i="1"/>
  <c r="B11080" i="1"/>
  <c r="C11080" i="1"/>
  <c r="D11080" i="1"/>
  <c r="A11081" i="1"/>
  <c r="B11081" i="1"/>
  <c r="C11081" i="1"/>
  <c r="D11081" i="1"/>
  <c r="A11082" i="1"/>
  <c r="B11082" i="1"/>
  <c r="C11082" i="1"/>
  <c r="D11082" i="1"/>
  <c r="A11083" i="1"/>
  <c r="B11083" i="1"/>
  <c r="C11083" i="1"/>
  <c r="D11083" i="1"/>
  <c r="A11084" i="1"/>
  <c r="B11084" i="1"/>
  <c r="C11084" i="1"/>
  <c r="D11084" i="1"/>
  <c r="A11085" i="1"/>
  <c r="B11085" i="1"/>
  <c r="C11085" i="1"/>
  <c r="D11085" i="1"/>
  <c r="A11086" i="1"/>
  <c r="B11086" i="1"/>
  <c r="C11086" i="1"/>
  <c r="D11086" i="1"/>
  <c r="A11087" i="1"/>
  <c r="B11087" i="1"/>
  <c r="C11087" i="1"/>
  <c r="D11087" i="1"/>
  <c r="A11088" i="1"/>
  <c r="B11088" i="1"/>
  <c r="C11088" i="1"/>
  <c r="D11088" i="1"/>
  <c r="A11089" i="1"/>
  <c r="B11089" i="1"/>
  <c r="C11089" i="1"/>
  <c r="D11089" i="1"/>
  <c r="A11090" i="1"/>
  <c r="B11090" i="1"/>
  <c r="C11090" i="1"/>
  <c r="D11090" i="1"/>
  <c r="A11091" i="1"/>
  <c r="B11091" i="1"/>
  <c r="C11091" i="1"/>
  <c r="D11091" i="1"/>
  <c r="A11092" i="1"/>
  <c r="B11092" i="1"/>
  <c r="C11092" i="1"/>
  <c r="D11092" i="1"/>
  <c r="A11093" i="1"/>
  <c r="B11093" i="1"/>
  <c r="C11093" i="1"/>
  <c r="D11093" i="1"/>
  <c r="A11094" i="1"/>
  <c r="B11094" i="1"/>
  <c r="C11094" i="1"/>
  <c r="D11094" i="1"/>
  <c r="A11095" i="1"/>
  <c r="B11095" i="1"/>
  <c r="C11095" i="1"/>
  <c r="D11095" i="1"/>
  <c r="A11096" i="1"/>
  <c r="B11096" i="1"/>
  <c r="C11096" i="1"/>
  <c r="D11096" i="1"/>
  <c r="A11097" i="1"/>
  <c r="B11097" i="1"/>
  <c r="C11097" i="1"/>
  <c r="D11097" i="1"/>
  <c r="A11098" i="1"/>
  <c r="B11098" i="1"/>
  <c r="C11098" i="1"/>
  <c r="D11098" i="1"/>
  <c r="A11099" i="1"/>
  <c r="B11099" i="1"/>
  <c r="C11099" i="1"/>
  <c r="D11099" i="1"/>
  <c r="A11100" i="1"/>
  <c r="B11100" i="1"/>
  <c r="C11100" i="1"/>
  <c r="D11100" i="1"/>
  <c r="A11101" i="1"/>
  <c r="B11101" i="1"/>
  <c r="C11101" i="1"/>
  <c r="D11101" i="1"/>
  <c r="A11102" i="1"/>
  <c r="B11102" i="1"/>
  <c r="C11102" i="1"/>
  <c r="D11102" i="1"/>
  <c r="A11103" i="1"/>
  <c r="B11103" i="1"/>
  <c r="C11103" i="1"/>
  <c r="D11103" i="1"/>
  <c r="A11104" i="1"/>
  <c r="B11104" i="1"/>
  <c r="C11104" i="1"/>
  <c r="D11104" i="1"/>
  <c r="A11105" i="1"/>
  <c r="B11105" i="1"/>
  <c r="C11105" i="1"/>
  <c r="D11105" i="1"/>
  <c r="A11106" i="1"/>
  <c r="B11106" i="1"/>
  <c r="C11106" i="1"/>
  <c r="D11106" i="1"/>
  <c r="A11107" i="1"/>
  <c r="B11107" i="1"/>
  <c r="C11107" i="1"/>
  <c r="D11107" i="1"/>
  <c r="A11108" i="1"/>
  <c r="B11108" i="1"/>
  <c r="C11108" i="1"/>
  <c r="D11108" i="1"/>
  <c r="A11109" i="1"/>
  <c r="B11109" i="1"/>
  <c r="C11109" i="1"/>
  <c r="D11109" i="1"/>
  <c r="A11110" i="1"/>
  <c r="B11110" i="1"/>
  <c r="C11110" i="1"/>
  <c r="D11110" i="1"/>
  <c r="A11111" i="1"/>
  <c r="B11111" i="1"/>
  <c r="C11111" i="1"/>
  <c r="D11111" i="1"/>
  <c r="A11112" i="1"/>
  <c r="B11112" i="1"/>
  <c r="C11112" i="1"/>
  <c r="D11112" i="1"/>
  <c r="A11113" i="1"/>
  <c r="B11113" i="1"/>
  <c r="C11113" i="1"/>
  <c r="D11113" i="1"/>
  <c r="A11114" i="1"/>
  <c r="B11114" i="1"/>
  <c r="C11114" i="1"/>
  <c r="D11114" i="1"/>
  <c r="A11115" i="1"/>
  <c r="B11115" i="1"/>
  <c r="C11115" i="1"/>
  <c r="D11115" i="1"/>
  <c r="A11116" i="1"/>
  <c r="B11116" i="1"/>
  <c r="C11116" i="1"/>
  <c r="D11116" i="1"/>
  <c r="A11117" i="1"/>
  <c r="B11117" i="1"/>
  <c r="C11117" i="1"/>
  <c r="D11117" i="1"/>
  <c r="A11118" i="1"/>
  <c r="B11118" i="1"/>
  <c r="C11118" i="1"/>
  <c r="D11118" i="1"/>
  <c r="A11119" i="1"/>
  <c r="B11119" i="1"/>
  <c r="C11119" i="1"/>
  <c r="D11119" i="1"/>
  <c r="A11120" i="1"/>
  <c r="B11120" i="1"/>
  <c r="C11120" i="1"/>
  <c r="D11120" i="1"/>
  <c r="A11121" i="1"/>
  <c r="B11121" i="1"/>
  <c r="C11121" i="1"/>
  <c r="D11121" i="1"/>
  <c r="A11122" i="1"/>
  <c r="B11122" i="1"/>
  <c r="C11122" i="1"/>
  <c r="D11122" i="1"/>
  <c r="A11123" i="1"/>
  <c r="B11123" i="1"/>
  <c r="C11123" i="1"/>
  <c r="D11123" i="1"/>
  <c r="A11124" i="1"/>
  <c r="B11124" i="1"/>
  <c r="C11124" i="1"/>
  <c r="D11124" i="1"/>
  <c r="A11125" i="1"/>
  <c r="B11125" i="1"/>
  <c r="C11125" i="1"/>
  <c r="D11125" i="1"/>
  <c r="A11126" i="1"/>
  <c r="B11126" i="1"/>
  <c r="C11126" i="1"/>
  <c r="D11126" i="1"/>
  <c r="A11127" i="1"/>
  <c r="B11127" i="1"/>
  <c r="C11127" i="1"/>
  <c r="D11127" i="1"/>
  <c r="A11128" i="1"/>
  <c r="B11128" i="1"/>
  <c r="C11128" i="1"/>
  <c r="D11128" i="1"/>
  <c r="A11129" i="1"/>
  <c r="B11129" i="1"/>
  <c r="C11129" i="1"/>
  <c r="D11129" i="1"/>
  <c r="A11130" i="1"/>
  <c r="B11130" i="1"/>
  <c r="C11130" i="1"/>
  <c r="D11130" i="1"/>
  <c r="A11131" i="1"/>
  <c r="B11131" i="1"/>
  <c r="C11131" i="1"/>
  <c r="D11131" i="1"/>
  <c r="A11132" i="1"/>
  <c r="B11132" i="1"/>
  <c r="C11132" i="1"/>
  <c r="D11132" i="1"/>
  <c r="A11133" i="1"/>
  <c r="B11133" i="1"/>
  <c r="C11133" i="1"/>
  <c r="D11133" i="1"/>
  <c r="A11134" i="1"/>
  <c r="B11134" i="1"/>
  <c r="C11134" i="1"/>
  <c r="D11134" i="1"/>
  <c r="A11135" i="1"/>
  <c r="B11135" i="1"/>
  <c r="C11135" i="1"/>
  <c r="D11135" i="1"/>
  <c r="A11136" i="1"/>
  <c r="B11136" i="1"/>
  <c r="C11136" i="1"/>
  <c r="D11136" i="1"/>
  <c r="A11137" i="1"/>
  <c r="B11137" i="1"/>
  <c r="C11137" i="1"/>
  <c r="D11137" i="1"/>
  <c r="A11138" i="1"/>
  <c r="B11138" i="1"/>
  <c r="C11138" i="1"/>
  <c r="D11138" i="1"/>
  <c r="A11139" i="1"/>
  <c r="B11139" i="1"/>
  <c r="C11139" i="1"/>
  <c r="D11139" i="1"/>
  <c r="A11140" i="1"/>
  <c r="B11140" i="1"/>
  <c r="C11140" i="1"/>
  <c r="D11140" i="1"/>
  <c r="A11141" i="1"/>
  <c r="B11141" i="1"/>
  <c r="C11141" i="1"/>
  <c r="D11141" i="1"/>
  <c r="A11142" i="1"/>
  <c r="B11142" i="1"/>
  <c r="C11142" i="1"/>
  <c r="D11142" i="1"/>
  <c r="A11143" i="1"/>
  <c r="B11143" i="1"/>
  <c r="C11143" i="1"/>
  <c r="D11143" i="1"/>
  <c r="A11144" i="1"/>
  <c r="B11144" i="1"/>
  <c r="C11144" i="1"/>
  <c r="D11144" i="1"/>
  <c r="A11145" i="1"/>
  <c r="B11145" i="1"/>
  <c r="C11145" i="1"/>
  <c r="D11145" i="1"/>
  <c r="A11146" i="1"/>
  <c r="B11146" i="1"/>
  <c r="C11146" i="1"/>
  <c r="D11146" i="1"/>
  <c r="A11147" i="1"/>
  <c r="B11147" i="1"/>
  <c r="C11147" i="1"/>
  <c r="D11147" i="1"/>
  <c r="A11148" i="1"/>
  <c r="B11148" i="1"/>
  <c r="C11148" i="1"/>
  <c r="D11148" i="1"/>
  <c r="A11149" i="1"/>
  <c r="B11149" i="1"/>
  <c r="C11149" i="1"/>
  <c r="D11149" i="1"/>
  <c r="A11150" i="1"/>
  <c r="B11150" i="1"/>
  <c r="C11150" i="1"/>
  <c r="D11150" i="1"/>
  <c r="A11151" i="1"/>
  <c r="B11151" i="1"/>
  <c r="C11151" i="1"/>
  <c r="D11151" i="1"/>
  <c r="A11152" i="1"/>
  <c r="B11152" i="1"/>
  <c r="C11152" i="1"/>
  <c r="D11152" i="1"/>
  <c r="A11153" i="1"/>
  <c r="B11153" i="1"/>
  <c r="C11153" i="1"/>
  <c r="D11153" i="1"/>
  <c r="A11154" i="1"/>
  <c r="B11154" i="1"/>
  <c r="C11154" i="1"/>
  <c r="D11154" i="1"/>
  <c r="A11155" i="1"/>
  <c r="B11155" i="1"/>
  <c r="C11155" i="1"/>
  <c r="D11155" i="1"/>
  <c r="A11156" i="1"/>
  <c r="B11156" i="1"/>
  <c r="C11156" i="1"/>
  <c r="D11156" i="1"/>
  <c r="A11157" i="1"/>
  <c r="B11157" i="1"/>
  <c r="C11157" i="1"/>
  <c r="D11157" i="1"/>
  <c r="A11158" i="1"/>
  <c r="B11158" i="1"/>
  <c r="C11158" i="1"/>
  <c r="D11158" i="1"/>
  <c r="A11159" i="1"/>
  <c r="B11159" i="1"/>
  <c r="C11159" i="1"/>
  <c r="D11159" i="1"/>
  <c r="A11160" i="1"/>
  <c r="B11160" i="1"/>
  <c r="C11160" i="1"/>
  <c r="D11160" i="1"/>
  <c r="A11161" i="1"/>
  <c r="B11161" i="1"/>
  <c r="C11161" i="1"/>
  <c r="D11161" i="1"/>
  <c r="A11162" i="1"/>
  <c r="B11162" i="1"/>
  <c r="C11162" i="1"/>
  <c r="D11162" i="1"/>
  <c r="A11163" i="1"/>
  <c r="B11163" i="1"/>
  <c r="C11163" i="1"/>
  <c r="D11163" i="1"/>
  <c r="A11164" i="1"/>
  <c r="B11164" i="1"/>
  <c r="C11164" i="1"/>
  <c r="D11164" i="1"/>
  <c r="A11165" i="1"/>
  <c r="B11165" i="1"/>
  <c r="C11165" i="1"/>
  <c r="D11165" i="1"/>
  <c r="A11166" i="1"/>
  <c r="B11166" i="1"/>
  <c r="C11166" i="1"/>
  <c r="D11166" i="1"/>
  <c r="A11167" i="1"/>
  <c r="B11167" i="1"/>
  <c r="C11167" i="1"/>
  <c r="D11167" i="1"/>
  <c r="A11168" i="1"/>
  <c r="B11168" i="1"/>
  <c r="C11168" i="1"/>
  <c r="D11168" i="1"/>
  <c r="A11169" i="1"/>
  <c r="B11169" i="1"/>
  <c r="C11169" i="1"/>
  <c r="A11170" i="1"/>
  <c r="B11170" i="1"/>
  <c r="C11170" i="1"/>
  <c r="D11170" i="1"/>
  <c r="A11171" i="1"/>
  <c r="B11171" i="1"/>
  <c r="C11171" i="1"/>
  <c r="D11171" i="1"/>
  <c r="A11172" i="1"/>
  <c r="B11172" i="1"/>
  <c r="C11172" i="1"/>
  <c r="D11172" i="1"/>
  <c r="A11173" i="1"/>
  <c r="B11173" i="1"/>
  <c r="C11173" i="1"/>
  <c r="D11173" i="1"/>
  <c r="A11174" i="1"/>
  <c r="B11174" i="1"/>
  <c r="C11174" i="1"/>
  <c r="D11174" i="1"/>
  <c r="A11175" i="1"/>
  <c r="B11175" i="1"/>
  <c r="C11175" i="1"/>
  <c r="D11175" i="1"/>
  <c r="A11176" i="1"/>
  <c r="B11176" i="1"/>
  <c r="C11176" i="1"/>
  <c r="D11176" i="1"/>
  <c r="A11177" i="1"/>
  <c r="B11177" i="1"/>
  <c r="C11177" i="1"/>
  <c r="D11177" i="1"/>
  <c r="A11178" i="1"/>
  <c r="B11178" i="1"/>
  <c r="C11178" i="1"/>
  <c r="D11178" i="1"/>
  <c r="A11179" i="1"/>
  <c r="B11179" i="1"/>
  <c r="C11179" i="1"/>
  <c r="D11179" i="1"/>
  <c r="A11180" i="1"/>
  <c r="B11180" i="1"/>
  <c r="C11180" i="1"/>
  <c r="D11180" i="1"/>
  <c r="A11181" i="1"/>
  <c r="B11181" i="1"/>
  <c r="C11181" i="1"/>
  <c r="D11181" i="1"/>
  <c r="A11182" i="1"/>
  <c r="B11182" i="1"/>
  <c r="C11182" i="1"/>
  <c r="D11182" i="1"/>
  <c r="A11183" i="1"/>
  <c r="B11183" i="1"/>
  <c r="C11183" i="1"/>
  <c r="D11183" i="1"/>
  <c r="A11184" i="1"/>
  <c r="B11184" i="1"/>
  <c r="C11184" i="1"/>
  <c r="D11184" i="1"/>
  <c r="A11185" i="1"/>
  <c r="B11185" i="1"/>
  <c r="C11185" i="1"/>
  <c r="D11185" i="1"/>
  <c r="A11186" i="1"/>
  <c r="B11186" i="1"/>
  <c r="C11186" i="1"/>
  <c r="D11186" i="1"/>
  <c r="A11187" i="1"/>
  <c r="B11187" i="1"/>
  <c r="C11187" i="1"/>
  <c r="A11188" i="1"/>
  <c r="B11188" i="1"/>
  <c r="C11188" i="1"/>
  <c r="D11188" i="1"/>
  <c r="A11189" i="1"/>
  <c r="B11189" i="1"/>
  <c r="C11189" i="1"/>
  <c r="D11189" i="1"/>
  <c r="A11190" i="1"/>
  <c r="B11190" i="1"/>
  <c r="C11190" i="1"/>
  <c r="D11190" i="1"/>
  <c r="A11191" i="1"/>
  <c r="B11191" i="1"/>
  <c r="C11191" i="1"/>
  <c r="D11191" i="1"/>
  <c r="A11192" i="1"/>
  <c r="B11192" i="1"/>
  <c r="C11192" i="1"/>
  <c r="D11192" i="1"/>
  <c r="A11193" i="1"/>
  <c r="B11193" i="1"/>
  <c r="C11193" i="1"/>
  <c r="D11193" i="1"/>
  <c r="A11194" i="1"/>
  <c r="B11194" i="1"/>
  <c r="C11194" i="1"/>
  <c r="D11194" i="1"/>
  <c r="A11195" i="1"/>
  <c r="B11195" i="1"/>
  <c r="C11195" i="1"/>
  <c r="D11195" i="1"/>
  <c r="A11196" i="1"/>
  <c r="B11196" i="1"/>
  <c r="C11196" i="1"/>
  <c r="D11196" i="1"/>
  <c r="A11197" i="1"/>
  <c r="B11197" i="1"/>
  <c r="C11197" i="1"/>
  <c r="D11197" i="1"/>
  <c r="A11198" i="1"/>
  <c r="B11198" i="1"/>
  <c r="C11198" i="1"/>
  <c r="D11198" i="1"/>
  <c r="A11199" i="1"/>
  <c r="B11199" i="1"/>
  <c r="C11199" i="1"/>
  <c r="D11199" i="1"/>
  <c r="A11200" i="1"/>
  <c r="B11200" i="1"/>
  <c r="C11200" i="1"/>
  <c r="D11200" i="1"/>
  <c r="A11201" i="1"/>
  <c r="B11201" i="1"/>
  <c r="C11201" i="1"/>
  <c r="D11201" i="1"/>
  <c r="A11202" i="1"/>
  <c r="B11202" i="1"/>
  <c r="C11202" i="1"/>
  <c r="D11202" i="1"/>
  <c r="A11203" i="1"/>
  <c r="B11203" i="1"/>
  <c r="C11203" i="1"/>
  <c r="D11203" i="1"/>
  <c r="A11204" i="1"/>
  <c r="B11204" i="1"/>
  <c r="C11204" i="1"/>
  <c r="D11204" i="1"/>
  <c r="A11205" i="1"/>
  <c r="B11205" i="1"/>
  <c r="C11205" i="1"/>
  <c r="D11205" i="1"/>
  <c r="A11206" i="1"/>
  <c r="B11206" i="1"/>
  <c r="C11206" i="1"/>
  <c r="D11206" i="1"/>
  <c r="A11207" i="1"/>
  <c r="B11207" i="1"/>
  <c r="C11207" i="1"/>
  <c r="D11207" i="1"/>
  <c r="A11208" i="1"/>
  <c r="B11208" i="1"/>
  <c r="C11208" i="1"/>
  <c r="D11208" i="1"/>
  <c r="A11209" i="1"/>
  <c r="B11209" i="1"/>
  <c r="C11209" i="1"/>
  <c r="D11209" i="1"/>
  <c r="A11210" i="1"/>
  <c r="B11210" i="1"/>
  <c r="C11210" i="1"/>
  <c r="D11210" i="1"/>
  <c r="A11211" i="1"/>
  <c r="B11211" i="1"/>
  <c r="C11211" i="1"/>
  <c r="D11211" i="1"/>
  <c r="A11212" i="1"/>
  <c r="B11212" i="1"/>
  <c r="C11212" i="1"/>
  <c r="D11212" i="1"/>
  <c r="A11213" i="1"/>
  <c r="B11213" i="1"/>
  <c r="C11213" i="1"/>
  <c r="D11213" i="1"/>
  <c r="A11214" i="1"/>
  <c r="B11214" i="1"/>
  <c r="C11214" i="1"/>
  <c r="D11214" i="1"/>
  <c r="A11215" i="1"/>
  <c r="B11215" i="1"/>
  <c r="C11215" i="1"/>
  <c r="D11215" i="1"/>
  <c r="A11216" i="1"/>
  <c r="B11216" i="1"/>
  <c r="C11216" i="1"/>
  <c r="D11216" i="1"/>
  <c r="A11217" i="1"/>
  <c r="B11217" i="1"/>
  <c r="C11217" i="1"/>
  <c r="D11217" i="1"/>
  <c r="A11218" i="1"/>
  <c r="B11218" i="1"/>
  <c r="C11218" i="1"/>
  <c r="D11218" i="1"/>
  <c r="A11219" i="1"/>
  <c r="B11219" i="1"/>
  <c r="C11219" i="1"/>
  <c r="D11219" i="1"/>
  <c r="A11220" i="1"/>
  <c r="B11220" i="1"/>
  <c r="C11220" i="1"/>
  <c r="D11220" i="1"/>
  <c r="A11221" i="1"/>
  <c r="B11221" i="1"/>
  <c r="C11221" i="1"/>
  <c r="A11222" i="1"/>
  <c r="B11222" i="1"/>
  <c r="C11222" i="1"/>
  <c r="D11222" i="1"/>
  <c r="A11223" i="1"/>
  <c r="B11223" i="1"/>
  <c r="C11223" i="1"/>
  <c r="D11223" i="1"/>
  <c r="A11224" i="1"/>
  <c r="B11224" i="1"/>
  <c r="C11224" i="1"/>
  <c r="D11224" i="1"/>
  <c r="A11225" i="1"/>
  <c r="B11225" i="1"/>
  <c r="C11225" i="1"/>
  <c r="D11225" i="1"/>
  <c r="A11226" i="1"/>
  <c r="B11226" i="1"/>
  <c r="C11226" i="1"/>
  <c r="D11226" i="1"/>
  <c r="A11227" i="1"/>
  <c r="B11227" i="1"/>
  <c r="C11227" i="1"/>
  <c r="D11227" i="1"/>
  <c r="A11228" i="1"/>
  <c r="B11228" i="1"/>
  <c r="C11228" i="1"/>
  <c r="D11228" i="1"/>
  <c r="A11229" i="1"/>
  <c r="B11229" i="1"/>
  <c r="C11229" i="1"/>
  <c r="D11229" i="1"/>
  <c r="A11230" i="1"/>
  <c r="B11230" i="1"/>
  <c r="C11230" i="1"/>
  <c r="D11230" i="1"/>
  <c r="A11231" i="1"/>
  <c r="B11231" i="1"/>
  <c r="C11231" i="1"/>
  <c r="D11231" i="1"/>
  <c r="A11232" i="1"/>
  <c r="B11232" i="1"/>
  <c r="C11232" i="1"/>
  <c r="D11232" i="1"/>
  <c r="A11233" i="1"/>
  <c r="B11233" i="1"/>
  <c r="C11233" i="1"/>
  <c r="D11233" i="1"/>
  <c r="A11234" i="1"/>
  <c r="B11234" i="1"/>
  <c r="C11234" i="1"/>
  <c r="D11234" i="1"/>
  <c r="A11235" i="1"/>
  <c r="B11235" i="1"/>
  <c r="C11235" i="1"/>
  <c r="D11235" i="1"/>
  <c r="A11236" i="1"/>
  <c r="B11236" i="1"/>
  <c r="C11236" i="1"/>
  <c r="D11236" i="1"/>
  <c r="A11237" i="1"/>
  <c r="B11237" i="1"/>
  <c r="C11237" i="1"/>
  <c r="D11237" i="1"/>
  <c r="A11238" i="1"/>
  <c r="B11238" i="1"/>
  <c r="C11238" i="1"/>
  <c r="D11238" i="1"/>
  <c r="A11239" i="1"/>
  <c r="B11239" i="1"/>
  <c r="C11239" i="1"/>
  <c r="D11239" i="1"/>
  <c r="A11240" i="1"/>
  <c r="B11240" i="1"/>
  <c r="C11240" i="1"/>
  <c r="D11240" i="1"/>
  <c r="A11241" i="1"/>
  <c r="B11241" i="1"/>
  <c r="C11241" i="1"/>
  <c r="D11241" i="1"/>
  <c r="A11242" i="1"/>
  <c r="B11242" i="1"/>
  <c r="C11242" i="1"/>
  <c r="D11242" i="1"/>
  <c r="A11243" i="1"/>
  <c r="B11243" i="1"/>
  <c r="C11243" i="1"/>
  <c r="A11244" i="1"/>
  <c r="B11244" i="1"/>
  <c r="C11244" i="1"/>
  <c r="D11244" i="1"/>
  <c r="A11245" i="1"/>
  <c r="B11245" i="1"/>
  <c r="C11245" i="1"/>
  <c r="A11246" i="1"/>
  <c r="B11246" i="1"/>
  <c r="C11246" i="1"/>
  <c r="D11246" i="1"/>
  <c r="A11247" i="1"/>
  <c r="B11247" i="1"/>
  <c r="C11247" i="1"/>
  <c r="D11247" i="1"/>
  <c r="A11248" i="1"/>
  <c r="B11248" i="1"/>
  <c r="C11248" i="1"/>
  <c r="A11249" i="1"/>
  <c r="B11249" i="1"/>
  <c r="C11249" i="1"/>
  <c r="D11249" i="1"/>
  <c r="A11250" i="1"/>
  <c r="B11250" i="1"/>
  <c r="C11250" i="1"/>
  <c r="D11250" i="1"/>
  <c r="A11251" i="1"/>
  <c r="B11251" i="1"/>
  <c r="C11251" i="1"/>
  <c r="D11251" i="1"/>
  <c r="A11252" i="1"/>
  <c r="B11252" i="1"/>
  <c r="C11252" i="1"/>
  <c r="D11252" i="1"/>
  <c r="A11253" i="1"/>
  <c r="B11253" i="1"/>
  <c r="C11253" i="1"/>
  <c r="D11253" i="1"/>
  <c r="A11254" i="1"/>
  <c r="B11254" i="1"/>
  <c r="C11254" i="1"/>
  <c r="D11254" i="1"/>
  <c r="A11255" i="1"/>
  <c r="B11255" i="1"/>
  <c r="C11255" i="1"/>
  <c r="D11255" i="1"/>
  <c r="A11256" i="1"/>
  <c r="B11256" i="1"/>
  <c r="C11256" i="1"/>
  <c r="D11256" i="1"/>
  <c r="A11257" i="1"/>
  <c r="B11257" i="1"/>
  <c r="C11257" i="1"/>
  <c r="D11257" i="1"/>
  <c r="A11258" i="1"/>
  <c r="B11258" i="1"/>
  <c r="C11258" i="1"/>
  <c r="D11258" i="1"/>
  <c r="A11259" i="1"/>
  <c r="B11259" i="1"/>
  <c r="C11259" i="1"/>
  <c r="D11259" i="1"/>
  <c r="A11260" i="1"/>
  <c r="B11260" i="1"/>
  <c r="C11260" i="1"/>
  <c r="D11260" i="1"/>
  <c r="A11261" i="1"/>
  <c r="B11261" i="1"/>
  <c r="C11261" i="1"/>
  <c r="D11261" i="1"/>
  <c r="A11262" i="1"/>
  <c r="B11262" i="1"/>
  <c r="C11262" i="1"/>
  <c r="D11262" i="1"/>
  <c r="A11263" i="1"/>
  <c r="B11263" i="1"/>
  <c r="C11263" i="1"/>
  <c r="D11263" i="1"/>
  <c r="A11264" i="1"/>
  <c r="B11264" i="1"/>
  <c r="C11264" i="1"/>
  <c r="D11264" i="1"/>
  <c r="A11265" i="1"/>
  <c r="B11265" i="1"/>
  <c r="C11265" i="1"/>
  <c r="D11265" i="1"/>
  <c r="A11266" i="1"/>
  <c r="B11266" i="1"/>
  <c r="C11266" i="1"/>
  <c r="D11266" i="1"/>
  <c r="A11267" i="1"/>
  <c r="B11267" i="1"/>
  <c r="C11267" i="1"/>
  <c r="D11267" i="1"/>
  <c r="A11268" i="1"/>
  <c r="B11268" i="1"/>
  <c r="C11268" i="1"/>
  <c r="D11268" i="1"/>
  <c r="A11269" i="1"/>
  <c r="B11269" i="1"/>
  <c r="C11269" i="1"/>
  <c r="D11269" i="1"/>
  <c r="A11270" i="1"/>
  <c r="B11270" i="1"/>
  <c r="C11270" i="1"/>
  <c r="D11270" i="1"/>
  <c r="A11271" i="1"/>
  <c r="B11271" i="1"/>
  <c r="C11271" i="1"/>
  <c r="D11271" i="1"/>
  <c r="A11272" i="1"/>
  <c r="B11272" i="1"/>
  <c r="C11272" i="1"/>
  <c r="D11272" i="1"/>
  <c r="A11273" i="1"/>
  <c r="B11273" i="1"/>
  <c r="C11273" i="1"/>
  <c r="D11273" i="1"/>
  <c r="A11274" i="1"/>
  <c r="B11274" i="1"/>
  <c r="C11274" i="1"/>
  <c r="D11274" i="1"/>
  <c r="A11275" i="1"/>
  <c r="B11275" i="1"/>
  <c r="C11275" i="1"/>
  <c r="D11275" i="1"/>
  <c r="A11276" i="1"/>
  <c r="B11276" i="1"/>
  <c r="C11276" i="1"/>
  <c r="D11276" i="1"/>
  <c r="A11277" i="1"/>
  <c r="B11277" i="1"/>
  <c r="C11277" i="1"/>
  <c r="D11277" i="1"/>
  <c r="A11278" i="1"/>
  <c r="B11278" i="1"/>
  <c r="C11278" i="1"/>
  <c r="D11278" i="1"/>
  <c r="A11279" i="1"/>
  <c r="B11279" i="1"/>
  <c r="C11279" i="1"/>
  <c r="D11279" i="1"/>
  <c r="A11280" i="1"/>
  <c r="B11280" i="1"/>
  <c r="C11280" i="1"/>
  <c r="D11280" i="1"/>
  <c r="A11281" i="1"/>
  <c r="B11281" i="1"/>
  <c r="C11281" i="1"/>
  <c r="D11281" i="1"/>
  <c r="A11282" i="1"/>
  <c r="B11282" i="1"/>
  <c r="C11282" i="1"/>
  <c r="D11282" i="1"/>
  <c r="A11283" i="1"/>
  <c r="B11283" i="1"/>
  <c r="C11283" i="1"/>
  <c r="D11283" i="1"/>
  <c r="A11284" i="1"/>
  <c r="B11284" i="1"/>
  <c r="C11284" i="1"/>
  <c r="D11284" i="1"/>
  <c r="A11285" i="1"/>
  <c r="B11285" i="1"/>
  <c r="C11285" i="1"/>
  <c r="D11285" i="1"/>
  <c r="A11286" i="1"/>
  <c r="B11286" i="1"/>
  <c r="C11286" i="1"/>
  <c r="D11286" i="1"/>
  <c r="A11287" i="1"/>
  <c r="B11287" i="1"/>
  <c r="C11287" i="1"/>
  <c r="D11287" i="1"/>
  <c r="A11288" i="1"/>
  <c r="B11288" i="1"/>
  <c r="C11288" i="1"/>
  <c r="D11288" i="1"/>
  <c r="A11289" i="1"/>
  <c r="B11289" i="1"/>
  <c r="C11289" i="1"/>
  <c r="D11289" i="1"/>
  <c r="A11290" i="1"/>
  <c r="B11290" i="1"/>
  <c r="C11290" i="1"/>
  <c r="A11291" i="1"/>
  <c r="B11291" i="1"/>
  <c r="C11291" i="1"/>
  <c r="D11291" i="1"/>
  <c r="A11292" i="1"/>
  <c r="B11292" i="1"/>
  <c r="C11292" i="1"/>
  <c r="D11292" i="1"/>
  <c r="A11293" i="1"/>
  <c r="B11293" i="1"/>
  <c r="C11293" i="1"/>
  <c r="D11293" i="1"/>
  <c r="A11294" i="1"/>
  <c r="B11294" i="1"/>
  <c r="C11294" i="1"/>
  <c r="D11294" i="1"/>
  <c r="A11295" i="1"/>
  <c r="B11295" i="1"/>
  <c r="C11295" i="1"/>
  <c r="D11295" i="1"/>
  <c r="A11296" i="1"/>
  <c r="B11296" i="1"/>
  <c r="C11296" i="1"/>
  <c r="D11296" i="1"/>
  <c r="A11297" i="1"/>
  <c r="B11297" i="1"/>
  <c r="C11297" i="1"/>
  <c r="D11297" i="1"/>
  <c r="A11298" i="1"/>
  <c r="B11298" i="1"/>
  <c r="C11298" i="1"/>
  <c r="D11298" i="1"/>
  <c r="A11299" i="1"/>
  <c r="B11299" i="1"/>
  <c r="C11299" i="1"/>
  <c r="D11299" i="1"/>
  <c r="A11300" i="1"/>
  <c r="B11300" i="1"/>
  <c r="C11300" i="1"/>
  <c r="D11300" i="1"/>
  <c r="A11301" i="1"/>
  <c r="B11301" i="1"/>
  <c r="C11301" i="1"/>
  <c r="D11301" i="1"/>
  <c r="A11302" i="1"/>
  <c r="B11302" i="1"/>
  <c r="C11302" i="1"/>
  <c r="D11302" i="1"/>
  <c r="A11303" i="1"/>
  <c r="B11303" i="1"/>
  <c r="C11303" i="1"/>
  <c r="D11303" i="1"/>
  <c r="A11304" i="1"/>
  <c r="B11304" i="1"/>
  <c r="C11304" i="1"/>
  <c r="D11304" i="1"/>
  <c r="A11305" i="1"/>
  <c r="B11305" i="1"/>
  <c r="C11305" i="1"/>
  <c r="D11305" i="1"/>
  <c r="A11306" i="1"/>
  <c r="B11306" i="1"/>
  <c r="C11306" i="1"/>
  <c r="D11306" i="1"/>
  <c r="A11307" i="1"/>
  <c r="B11307" i="1"/>
  <c r="C11307" i="1"/>
  <c r="D11307" i="1"/>
  <c r="A11308" i="1"/>
  <c r="B11308" i="1"/>
  <c r="C11308" i="1"/>
  <c r="D11308" i="1"/>
  <c r="A11309" i="1"/>
  <c r="B11309" i="1"/>
  <c r="C11309" i="1"/>
  <c r="D11309" i="1"/>
  <c r="A11310" i="1"/>
  <c r="B11310" i="1"/>
  <c r="C11310" i="1"/>
  <c r="D11310" i="1"/>
  <c r="A11311" i="1"/>
  <c r="B11311" i="1"/>
  <c r="C11311" i="1"/>
  <c r="D11311" i="1"/>
  <c r="A11312" i="1"/>
  <c r="B11312" i="1"/>
  <c r="C11312" i="1"/>
  <c r="D11312" i="1"/>
  <c r="A11313" i="1"/>
  <c r="B11313" i="1"/>
  <c r="C11313" i="1"/>
  <c r="D11313" i="1"/>
  <c r="A11314" i="1"/>
  <c r="B11314" i="1"/>
  <c r="C11314" i="1"/>
  <c r="D11314" i="1"/>
  <c r="A11315" i="1"/>
  <c r="B11315" i="1"/>
  <c r="C11315" i="1"/>
  <c r="D11315" i="1"/>
  <c r="A11316" i="1"/>
  <c r="B11316" i="1"/>
  <c r="C11316" i="1"/>
  <c r="D11316" i="1"/>
  <c r="A11317" i="1"/>
  <c r="B11317" i="1"/>
  <c r="C11317" i="1"/>
  <c r="D11317" i="1"/>
  <c r="A11318" i="1"/>
  <c r="B11318" i="1"/>
  <c r="C11318" i="1"/>
  <c r="D11318" i="1"/>
  <c r="A11319" i="1"/>
  <c r="B11319" i="1"/>
  <c r="C11319" i="1"/>
  <c r="D11319" i="1"/>
  <c r="A11320" i="1"/>
  <c r="B11320" i="1"/>
  <c r="C11320" i="1"/>
  <c r="D11320" i="1"/>
  <c r="A11321" i="1"/>
  <c r="B11321" i="1"/>
  <c r="C11321" i="1"/>
  <c r="D11321" i="1"/>
  <c r="A11322" i="1"/>
  <c r="B11322" i="1"/>
  <c r="C11322" i="1"/>
  <c r="D11322" i="1"/>
  <c r="A11323" i="1"/>
  <c r="B11323" i="1"/>
  <c r="C11323" i="1"/>
  <c r="D11323" i="1"/>
  <c r="A11324" i="1"/>
  <c r="B11324" i="1"/>
  <c r="C11324" i="1"/>
  <c r="D11324" i="1"/>
  <c r="A11325" i="1"/>
  <c r="B11325" i="1"/>
  <c r="C11325" i="1"/>
  <c r="D11325" i="1"/>
  <c r="A11326" i="1"/>
  <c r="B11326" i="1"/>
  <c r="C11326" i="1"/>
  <c r="D11326" i="1"/>
  <c r="A11327" i="1"/>
  <c r="B11327" i="1"/>
  <c r="C11327" i="1"/>
  <c r="D11327" i="1"/>
  <c r="A11328" i="1"/>
  <c r="B11328" i="1"/>
  <c r="C11328" i="1"/>
  <c r="D11328" i="1"/>
  <c r="A11329" i="1"/>
  <c r="B11329" i="1"/>
  <c r="C11329" i="1"/>
  <c r="D11329" i="1"/>
  <c r="A11330" i="1"/>
  <c r="B11330" i="1"/>
  <c r="C11330" i="1"/>
  <c r="D11330" i="1"/>
  <c r="A11331" i="1"/>
  <c r="B11331" i="1"/>
  <c r="C11331" i="1"/>
  <c r="D11331" i="1"/>
  <c r="A11332" i="1"/>
  <c r="B11332" i="1"/>
  <c r="C11332" i="1"/>
  <c r="D11332" i="1"/>
  <c r="A11333" i="1"/>
  <c r="B11333" i="1"/>
  <c r="C11333" i="1"/>
  <c r="D11333" i="1"/>
  <c r="A11334" i="1"/>
  <c r="B11334" i="1"/>
  <c r="C11334" i="1"/>
  <c r="D11334" i="1"/>
  <c r="A11335" i="1"/>
  <c r="B11335" i="1"/>
  <c r="C11335" i="1"/>
  <c r="D11335" i="1"/>
  <c r="A11336" i="1"/>
  <c r="B11336" i="1"/>
  <c r="C11336" i="1"/>
  <c r="D11336" i="1"/>
  <c r="A11337" i="1"/>
  <c r="B11337" i="1"/>
  <c r="C11337" i="1"/>
  <c r="D11337" i="1"/>
  <c r="A11338" i="1"/>
  <c r="B11338" i="1"/>
  <c r="C11338" i="1"/>
  <c r="D11338" i="1"/>
  <c r="A11339" i="1"/>
  <c r="B11339" i="1"/>
  <c r="C11339" i="1"/>
  <c r="D11339" i="1"/>
  <c r="A11340" i="1"/>
  <c r="B11340" i="1"/>
  <c r="C11340" i="1"/>
  <c r="D11340" i="1"/>
  <c r="A11341" i="1"/>
  <c r="B11341" i="1"/>
  <c r="C11341" i="1"/>
  <c r="D11341" i="1"/>
  <c r="A11342" i="1"/>
  <c r="B11342" i="1"/>
  <c r="C11342" i="1"/>
  <c r="D11342" i="1"/>
  <c r="A11343" i="1"/>
  <c r="B11343" i="1"/>
  <c r="C11343" i="1"/>
  <c r="D11343" i="1"/>
  <c r="A11344" i="1"/>
  <c r="B11344" i="1"/>
  <c r="C11344" i="1"/>
  <c r="D11344" i="1"/>
  <c r="A11345" i="1"/>
  <c r="B11345" i="1"/>
  <c r="C11345" i="1"/>
  <c r="D11345" i="1"/>
  <c r="A11346" i="1"/>
  <c r="B11346" i="1"/>
  <c r="C11346" i="1"/>
  <c r="D11346" i="1"/>
  <c r="A11347" i="1"/>
  <c r="B11347" i="1"/>
  <c r="C11347" i="1"/>
  <c r="D11347" i="1"/>
  <c r="A11348" i="1"/>
  <c r="B11348" i="1"/>
  <c r="C11348" i="1"/>
  <c r="D11348" i="1"/>
  <c r="A11349" i="1"/>
  <c r="B11349" i="1"/>
  <c r="C11349" i="1"/>
  <c r="D11349" i="1"/>
  <c r="A11350" i="1"/>
  <c r="B11350" i="1"/>
  <c r="C11350" i="1"/>
  <c r="D11350" i="1"/>
  <c r="A11351" i="1"/>
  <c r="B11351" i="1"/>
  <c r="C11351" i="1"/>
  <c r="D11351" i="1"/>
  <c r="A11352" i="1"/>
  <c r="B11352" i="1"/>
  <c r="C11352" i="1"/>
  <c r="D11352" i="1"/>
  <c r="A11353" i="1"/>
  <c r="B11353" i="1"/>
  <c r="C11353" i="1"/>
  <c r="D11353" i="1"/>
  <c r="A11354" i="1"/>
  <c r="B11354" i="1"/>
  <c r="C11354" i="1"/>
  <c r="D11354" i="1"/>
  <c r="A11355" i="1"/>
  <c r="B11355" i="1"/>
  <c r="C11355" i="1"/>
  <c r="D11355" i="1"/>
  <c r="A11356" i="1"/>
  <c r="B11356" i="1"/>
  <c r="C11356" i="1"/>
  <c r="D11356" i="1"/>
  <c r="A11357" i="1"/>
  <c r="B11357" i="1"/>
  <c r="C11357" i="1"/>
  <c r="D11357" i="1"/>
  <c r="A11358" i="1"/>
  <c r="B11358" i="1"/>
  <c r="C11358" i="1"/>
  <c r="D11358" i="1"/>
  <c r="A11359" i="1"/>
  <c r="B11359" i="1"/>
  <c r="C11359" i="1"/>
  <c r="D11359" i="1"/>
  <c r="A11360" i="1"/>
  <c r="B11360" i="1"/>
  <c r="C11360" i="1"/>
  <c r="D11360" i="1"/>
  <c r="A11361" i="1"/>
  <c r="B11361" i="1"/>
  <c r="C11361" i="1"/>
  <c r="D11361" i="1"/>
  <c r="A11362" i="1"/>
  <c r="B11362" i="1"/>
  <c r="C11362" i="1"/>
  <c r="D11362" i="1"/>
  <c r="A11363" i="1"/>
  <c r="B11363" i="1"/>
  <c r="C11363" i="1"/>
  <c r="D11363" i="1"/>
  <c r="A11364" i="1"/>
  <c r="B11364" i="1"/>
  <c r="C11364" i="1"/>
  <c r="D11364" i="1"/>
  <c r="A11365" i="1"/>
  <c r="B11365" i="1"/>
  <c r="C11365" i="1"/>
  <c r="D11365" i="1"/>
  <c r="A11366" i="1"/>
  <c r="B11366" i="1"/>
  <c r="C11366" i="1"/>
  <c r="D11366" i="1"/>
  <c r="A11367" i="1"/>
  <c r="B11367" i="1"/>
  <c r="C11367" i="1"/>
  <c r="D11367" i="1"/>
  <c r="A11368" i="1"/>
  <c r="B11368" i="1"/>
  <c r="C11368" i="1"/>
  <c r="D11368" i="1"/>
  <c r="A11369" i="1"/>
  <c r="B11369" i="1"/>
  <c r="C11369" i="1"/>
  <c r="D11369" i="1"/>
  <c r="A11370" i="1"/>
  <c r="B11370" i="1"/>
  <c r="C11370" i="1"/>
  <c r="D11370" i="1"/>
  <c r="A11371" i="1"/>
  <c r="B11371" i="1"/>
  <c r="C11371" i="1"/>
  <c r="D11371" i="1"/>
  <c r="A11372" i="1"/>
  <c r="B11372" i="1"/>
  <c r="C11372" i="1"/>
  <c r="D11372" i="1"/>
  <c r="A11373" i="1"/>
  <c r="B11373" i="1"/>
  <c r="C11373" i="1"/>
  <c r="D11373" i="1"/>
  <c r="A11374" i="1"/>
  <c r="B11374" i="1"/>
  <c r="C11374" i="1"/>
  <c r="D11374" i="1"/>
  <c r="A11375" i="1"/>
  <c r="B11375" i="1"/>
  <c r="C11375" i="1"/>
  <c r="D11375" i="1"/>
  <c r="A11376" i="1"/>
  <c r="B11376" i="1"/>
  <c r="C11376" i="1"/>
  <c r="D11376" i="1"/>
  <c r="A11377" i="1"/>
  <c r="B11377" i="1"/>
  <c r="C11377" i="1"/>
  <c r="D11377" i="1"/>
  <c r="A11378" i="1"/>
  <c r="B11378" i="1"/>
  <c r="C11378" i="1"/>
  <c r="D11378" i="1"/>
  <c r="A11379" i="1"/>
  <c r="B11379" i="1"/>
  <c r="C11379" i="1"/>
  <c r="D11379" i="1"/>
  <c r="A11380" i="1"/>
  <c r="B11380" i="1"/>
  <c r="C11380" i="1"/>
  <c r="D11380" i="1"/>
  <c r="A11381" i="1"/>
  <c r="B11381" i="1"/>
  <c r="C11381" i="1"/>
  <c r="D11381" i="1"/>
  <c r="A11382" i="1"/>
  <c r="B11382" i="1"/>
  <c r="C11382" i="1"/>
  <c r="D11382" i="1"/>
  <c r="A11383" i="1"/>
  <c r="B11383" i="1"/>
  <c r="C11383" i="1"/>
  <c r="D11383" i="1"/>
  <c r="A11384" i="1"/>
  <c r="B11384" i="1"/>
  <c r="C11384" i="1"/>
  <c r="D11384" i="1"/>
  <c r="A11385" i="1"/>
  <c r="B11385" i="1"/>
  <c r="C11385" i="1"/>
  <c r="D11385" i="1"/>
  <c r="A11386" i="1"/>
  <c r="B11386" i="1"/>
  <c r="C11386" i="1"/>
  <c r="D11386" i="1"/>
  <c r="A11387" i="1"/>
  <c r="B11387" i="1"/>
  <c r="C11387" i="1"/>
  <c r="D11387" i="1"/>
  <c r="A11388" i="1"/>
  <c r="B11388" i="1"/>
  <c r="C11388" i="1"/>
  <c r="D11388" i="1"/>
  <c r="A11389" i="1"/>
  <c r="B11389" i="1"/>
  <c r="C11389" i="1"/>
  <c r="D11389" i="1"/>
  <c r="A11390" i="1"/>
  <c r="B11390" i="1"/>
  <c r="C11390" i="1"/>
  <c r="D11390" i="1"/>
  <c r="A11391" i="1"/>
  <c r="B11391" i="1"/>
  <c r="C11391" i="1"/>
  <c r="D11391" i="1"/>
  <c r="A11392" i="1"/>
  <c r="B11392" i="1"/>
  <c r="C11392" i="1"/>
  <c r="D11392" i="1"/>
  <c r="A11393" i="1"/>
  <c r="B11393" i="1"/>
  <c r="C11393" i="1"/>
  <c r="D11393" i="1"/>
  <c r="A11394" i="1"/>
  <c r="B11394" i="1"/>
  <c r="C11394" i="1"/>
  <c r="D11394" i="1"/>
  <c r="A11395" i="1"/>
  <c r="B11395" i="1"/>
  <c r="C11395" i="1"/>
  <c r="D11395" i="1"/>
  <c r="A11396" i="1"/>
  <c r="B11396" i="1"/>
  <c r="C11396" i="1"/>
  <c r="D11396" i="1"/>
  <c r="A11397" i="1"/>
  <c r="B11397" i="1"/>
  <c r="C11397" i="1"/>
  <c r="D11397" i="1"/>
  <c r="A11398" i="1"/>
  <c r="B11398" i="1"/>
  <c r="C11398" i="1"/>
  <c r="D11398" i="1"/>
  <c r="A11399" i="1"/>
  <c r="B11399" i="1"/>
  <c r="C11399" i="1"/>
  <c r="D11399" i="1"/>
  <c r="A11400" i="1"/>
  <c r="B11400" i="1"/>
  <c r="C11400" i="1"/>
  <c r="D11400" i="1"/>
  <c r="A11401" i="1"/>
  <c r="B11401" i="1"/>
  <c r="C11401" i="1"/>
  <c r="D11401" i="1"/>
  <c r="A11402" i="1"/>
  <c r="B11402" i="1"/>
  <c r="C11402" i="1"/>
  <c r="D11402" i="1"/>
  <c r="A11403" i="1"/>
  <c r="B11403" i="1"/>
  <c r="C11403" i="1"/>
  <c r="D11403" i="1"/>
  <c r="A11404" i="1"/>
  <c r="B11404" i="1"/>
  <c r="C11404" i="1"/>
  <c r="D11404" i="1"/>
  <c r="A11405" i="1"/>
  <c r="B11405" i="1"/>
  <c r="C11405" i="1"/>
  <c r="D11405" i="1"/>
  <c r="A11406" i="1"/>
  <c r="B11406" i="1"/>
  <c r="C11406" i="1"/>
  <c r="D11406" i="1"/>
  <c r="A11407" i="1"/>
  <c r="B11407" i="1"/>
  <c r="C11407" i="1"/>
  <c r="D11407" i="1"/>
  <c r="A11408" i="1"/>
  <c r="B11408" i="1"/>
  <c r="C11408" i="1"/>
  <c r="D11408" i="1"/>
  <c r="A11409" i="1"/>
  <c r="B11409" i="1"/>
  <c r="C11409" i="1"/>
  <c r="D11409" i="1"/>
  <c r="A11410" i="1"/>
  <c r="B11410" i="1"/>
  <c r="C11410" i="1"/>
  <c r="D11410" i="1"/>
  <c r="A11411" i="1"/>
  <c r="B11411" i="1"/>
  <c r="C11411" i="1"/>
  <c r="D11411" i="1"/>
  <c r="A11412" i="1"/>
  <c r="B11412" i="1"/>
  <c r="C11412" i="1"/>
  <c r="D11412" i="1"/>
  <c r="A11413" i="1"/>
  <c r="B11413" i="1"/>
  <c r="C11413" i="1"/>
  <c r="A11414" i="1"/>
  <c r="B11414" i="1"/>
  <c r="C11414" i="1"/>
  <c r="D11414" i="1"/>
  <c r="A11415" i="1"/>
  <c r="B11415" i="1"/>
  <c r="C11415" i="1"/>
  <c r="D11415" i="1"/>
  <c r="A11416" i="1"/>
  <c r="B11416" i="1"/>
  <c r="C11416" i="1"/>
  <c r="D11416" i="1"/>
  <c r="A11417" i="1"/>
  <c r="B11417" i="1"/>
  <c r="C11417" i="1"/>
  <c r="D11417" i="1"/>
  <c r="A11418" i="1"/>
  <c r="B11418" i="1"/>
  <c r="C11418" i="1"/>
  <c r="D11418" i="1"/>
  <c r="A11419" i="1"/>
  <c r="B11419" i="1"/>
  <c r="C11419" i="1"/>
  <c r="D11419" i="1"/>
  <c r="A11420" i="1"/>
  <c r="B11420" i="1"/>
  <c r="C11420" i="1"/>
  <c r="D11420" i="1"/>
  <c r="A11421" i="1"/>
  <c r="B11421" i="1"/>
  <c r="C11421" i="1"/>
  <c r="D11421" i="1"/>
  <c r="A11422" i="1"/>
  <c r="B11422" i="1"/>
  <c r="C11422" i="1"/>
  <c r="D11422" i="1"/>
  <c r="A11423" i="1"/>
  <c r="B11423" i="1"/>
  <c r="C11423" i="1"/>
  <c r="D11423" i="1"/>
  <c r="A11424" i="1"/>
  <c r="B11424" i="1"/>
  <c r="C11424" i="1"/>
  <c r="D11424" i="1"/>
  <c r="A11425" i="1"/>
  <c r="B11425" i="1"/>
  <c r="C11425" i="1"/>
  <c r="D11425" i="1"/>
  <c r="A11426" i="1"/>
  <c r="B11426" i="1"/>
  <c r="C11426" i="1"/>
  <c r="D11426" i="1"/>
  <c r="A11427" i="1"/>
  <c r="B11427" i="1"/>
  <c r="C11427" i="1"/>
  <c r="D11427" i="1"/>
  <c r="A11428" i="1"/>
  <c r="B11428" i="1"/>
  <c r="C11428" i="1"/>
  <c r="A11429" i="1"/>
  <c r="B11429" i="1"/>
  <c r="C11429" i="1"/>
  <c r="D11429" i="1"/>
  <c r="A11430" i="1"/>
  <c r="B11430" i="1"/>
  <c r="C11430" i="1"/>
  <c r="D11430" i="1"/>
  <c r="A11431" i="1"/>
  <c r="B11431" i="1"/>
  <c r="C11431" i="1"/>
  <c r="D11431" i="1"/>
  <c r="A11432" i="1"/>
  <c r="B11432" i="1"/>
  <c r="C11432" i="1"/>
  <c r="D11432" i="1"/>
  <c r="A11433" i="1"/>
  <c r="B11433" i="1"/>
  <c r="C11433" i="1"/>
  <c r="D11433" i="1"/>
  <c r="A11434" i="1"/>
  <c r="B11434" i="1"/>
  <c r="C11434" i="1"/>
  <c r="D11434" i="1"/>
  <c r="A11435" i="1"/>
  <c r="B11435" i="1"/>
  <c r="C11435" i="1"/>
  <c r="D11435" i="1"/>
  <c r="A11436" i="1"/>
  <c r="B11436" i="1"/>
  <c r="C11436" i="1"/>
  <c r="D11436" i="1"/>
  <c r="A11437" i="1"/>
  <c r="B11437" i="1"/>
  <c r="C11437" i="1"/>
  <c r="D11437" i="1"/>
  <c r="A11438" i="1"/>
  <c r="B11438" i="1"/>
  <c r="C11438" i="1"/>
  <c r="D11438" i="1"/>
  <c r="A11439" i="1"/>
  <c r="B11439" i="1"/>
  <c r="C11439" i="1"/>
  <c r="D11439" i="1"/>
  <c r="A11440" i="1"/>
  <c r="B11440" i="1"/>
  <c r="C11440" i="1"/>
  <c r="D11440" i="1"/>
  <c r="A11441" i="1"/>
  <c r="B11441" i="1"/>
  <c r="C11441" i="1"/>
  <c r="D11441" i="1"/>
  <c r="A11442" i="1"/>
  <c r="B11442" i="1"/>
  <c r="C11442" i="1"/>
  <c r="D11442" i="1"/>
  <c r="A11443" i="1"/>
  <c r="B11443" i="1"/>
  <c r="C11443" i="1"/>
  <c r="D11443" i="1"/>
  <c r="A11444" i="1"/>
  <c r="B11444" i="1"/>
  <c r="C11444" i="1"/>
  <c r="D11444" i="1"/>
  <c r="A11445" i="1"/>
  <c r="B11445" i="1"/>
  <c r="C11445" i="1"/>
  <c r="D11445" i="1"/>
  <c r="A11446" i="1"/>
  <c r="B11446" i="1"/>
  <c r="C11446" i="1"/>
  <c r="D11446" i="1"/>
  <c r="A11447" i="1"/>
  <c r="B11447" i="1"/>
  <c r="C11447" i="1"/>
  <c r="D11447" i="1"/>
  <c r="A11448" i="1"/>
  <c r="B11448" i="1"/>
  <c r="C11448" i="1"/>
  <c r="D11448" i="1"/>
  <c r="A11449" i="1"/>
  <c r="B11449" i="1"/>
  <c r="C11449" i="1"/>
  <c r="D11449" i="1"/>
  <c r="A11450" i="1"/>
  <c r="B11450" i="1"/>
  <c r="C11450" i="1"/>
  <c r="A11451" i="1"/>
  <c r="B11451" i="1"/>
  <c r="C11451" i="1"/>
  <c r="D11451" i="1"/>
  <c r="A11452" i="1"/>
  <c r="B11452" i="1"/>
  <c r="C11452" i="1"/>
  <c r="D11452" i="1"/>
  <c r="A11453" i="1"/>
  <c r="B11453" i="1"/>
  <c r="C11453" i="1"/>
  <c r="D11453" i="1"/>
  <c r="A11454" i="1"/>
  <c r="B11454" i="1"/>
  <c r="C11454" i="1"/>
  <c r="D11454" i="1"/>
  <c r="A11455" i="1"/>
  <c r="B11455" i="1"/>
  <c r="C11455" i="1"/>
  <c r="D11455" i="1"/>
  <c r="A11456" i="1"/>
  <c r="B11456" i="1"/>
  <c r="C11456" i="1"/>
  <c r="A11457" i="1"/>
  <c r="B11457" i="1"/>
  <c r="C11457" i="1"/>
  <c r="D11457" i="1"/>
  <c r="A11458" i="1"/>
  <c r="B11458" i="1"/>
  <c r="C11458" i="1"/>
  <c r="D11458" i="1"/>
  <c r="A11459" i="1"/>
  <c r="B11459" i="1"/>
  <c r="C11459" i="1"/>
  <c r="D11459" i="1"/>
  <c r="A11460" i="1"/>
  <c r="B11460" i="1"/>
  <c r="C11460" i="1"/>
  <c r="D11460" i="1"/>
  <c r="A11461" i="1"/>
  <c r="B11461" i="1"/>
  <c r="C11461" i="1"/>
  <c r="D11461" i="1"/>
  <c r="A11462" i="1"/>
  <c r="B11462" i="1"/>
  <c r="C11462" i="1"/>
  <c r="D11462" i="1"/>
  <c r="A11463" i="1"/>
  <c r="B11463" i="1"/>
  <c r="C11463" i="1"/>
  <c r="D11463" i="1"/>
  <c r="A11464" i="1"/>
  <c r="B11464" i="1"/>
  <c r="C11464" i="1"/>
  <c r="D11464" i="1"/>
  <c r="A11465" i="1"/>
  <c r="B11465" i="1"/>
  <c r="C11465" i="1"/>
  <c r="A11466" i="1"/>
  <c r="B11466" i="1"/>
  <c r="C11466" i="1"/>
  <c r="D11466" i="1"/>
  <c r="A11467" i="1"/>
  <c r="B11467" i="1"/>
  <c r="C11467" i="1"/>
  <c r="D11467" i="1"/>
  <c r="A11468" i="1"/>
  <c r="B11468" i="1"/>
  <c r="C11468" i="1"/>
  <c r="D11468" i="1"/>
  <c r="A11469" i="1"/>
  <c r="B11469" i="1"/>
  <c r="C11469" i="1"/>
  <c r="D11469" i="1"/>
  <c r="A11470" i="1"/>
  <c r="B11470" i="1"/>
  <c r="C11470" i="1"/>
  <c r="D11470" i="1"/>
  <c r="A11471" i="1"/>
  <c r="B11471" i="1"/>
  <c r="C11471" i="1"/>
  <c r="D11471" i="1"/>
  <c r="A11472" i="1"/>
  <c r="B11472" i="1"/>
  <c r="C11472" i="1"/>
  <c r="A11473" i="1"/>
  <c r="B11473" i="1"/>
  <c r="C11473" i="1"/>
  <c r="D11473" i="1"/>
  <c r="A11474" i="1"/>
  <c r="B11474" i="1"/>
  <c r="C11474" i="1"/>
  <c r="D11474" i="1"/>
  <c r="A11475" i="1"/>
  <c r="B11475" i="1"/>
  <c r="C11475" i="1"/>
  <c r="D11475" i="1"/>
  <c r="A11476" i="1"/>
  <c r="B11476" i="1"/>
  <c r="C11476" i="1"/>
  <c r="D11476" i="1"/>
  <c r="A11477" i="1"/>
  <c r="B11477" i="1"/>
  <c r="C11477" i="1"/>
  <c r="D11477" i="1"/>
  <c r="A11478" i="1"/>
  <c r="B11478" i="1"/>
  <c r="C11478" i="1"/>
  <c r="D11478" i="1"/>
  <c r="A11479" i="1"/>
  <c r="B11479" i="1"/>
  <c r="C11479" i="1"/>
  <c r="D11479" i="1"/>
  <c r="A11480" i="1"/>
  <c r="B11480" i="1"/>
  <c r="C11480" i="1"/>
  <c r="D11480" i="1"/>
  <c r="A11481" i="1"/>
  <c r="B11481" i="1"/>
  <c r="C11481" i="1"/>
  <c r="D11481" i="1"/>
  <c r="A11482" i="1"/>
  <c r="B11482" i="1"/>
  <c r="C11482" i="1"/>
  <c r="D11482" i="1"/>
  <c r="A11483" i="1"/>
  <c r="B11483" i="1"/>
  <c r="C11483" i="1"/>
  <c r="D11483" i="1"/>
  <c r="A11484" i="1"/>
  <c r="B11484" i="1"/>
  <c r="C11484" i="1"/>
  <c r="D11484" i="1"/>
  <c r="A11485" i="1"/>
  <c r="B11485" i="1"/>
  <c r="C11485" i="1"/>
  <c r="D11485" i="1"/>
  <c r="A11486" i="1"/>
  <c r="B11486" i="1"/>
  <c r="C11486" i="1"/>
  <c r="D11486" i="1"/>
  <c r="A11487" i="1"/>
  <c r="B11487" i="1"/>
  <c r="C11487" i="1"/>
  <c r="D11487" i="1"/>
  <c r="A11488" i="1"/>
  <c r="B11488" i="1"/>
  <c r="C11488" i="1"/>
  <c r="D11488" i="1"/>
  <c r="A11489" i="1"/>
  <c r="B11489" i="1"/>
  <c r="C11489" i="1"/>
  <c r="D11489" i="1"/>
  <c r="A11490" i="1"/>
  <c r="B11490" i="1"/>
  <c r="C11490" i="1"/>
  <c r="D11490" i="1"/>
  <c r="A11491" i="1"/>
  <c r="B11491" i="1"/>
  <c r="C11491" i="1"/>
  <c r="D11491" i="1"/>
  <c r="A11492" i="1"/>
  <c r="B11492" i="1"/>
  <c r="C11492" i="1"/>
  <c r="D11492" i="1"/>
  <c r="A11493" i="1"/>
  <c r="B11493" i="1"/>
  <c r="C11493" i="1"/>
  <c r="D11493" i="1"/>
  <c r="A11494" i="1"/>
  <c r="B11494" i="1"/>
  <c r="C11494" i="1"/>
  <c r="D11494" i="1"/>
  <c r="A11495" i="1"/>
  <c r="B11495" i="1"/>
  <c r="C11495" i="1"/>
  <c r="D11495" i="1"/>
  <c r="A11496" i="1"/>
  <c r="B11496" i="1"/>
  <c r="C11496" i="1"/>
  <c r="D11496" i="1"/>
  <c r="A11497" i="1"/>
  <c r="B11497" i="1"/>
  <c r="C11497" i="1"/>
  <c r="D11497" i="1"/>
  <c r="A11498" i="1"/>
  <c r="B11498" i="1"/>
  <c r="C11498" i="1"/>
  <c r="D11498" i="1"/>
  <c r="A11499" i="1"/>
  <c r="B11499" i="1"/>
  <c r="C11499" i="1"/>
  <c r="D11499" i="1"/>
  <c r="A11500" i="1"/>
  <c r="B11500" i="1"/>
  <c r="C11500" i="1"/>
  <c r="D11500" i="1"/>
  <c r="A11501" i="1"/>
  <c r="B11501" i="1"/>
  <c r="C11501" i="1"/>
  <c r="D11501" i="1"/>
  <c r="A11502" i="1"/>
  <c r="B11502" i="1"/>
  <c r="C11502" i="1"/>
  <c r="D11502" i="1"/>
  <c r="A11503" i="1"/>
  <c r="B11503" i="1"/>
  <c r="C11503" i="1"/>
  <c r="D11503" i="1"/>
  <c r="A11504" i="1"/>
  <c r="B11504" i="1"/>
  <c r="C11504" i="1"/>
  <c r="D11504" i="1"/>
  <c r="A11505" i="1"/>
  <c r="B11505" i="1"/>
  <c r="C11505" i="1"/>
  <c r="D11505" i="1"/>
  <c r="A11506" i="1"/>
  <c r="B11506" i="1"/>
  <c r="C11506" i="1"/>
  <c r="D11506" i="1"/>
  <c r="A11507" i="1"/>
  <c r="B11507" i="1"/>
  <c r="C11507" i="1"/>
  <c r="D11507" i="1"/>
  <c r="A11508" i="1"/>
  <c r="B11508" i="1"/>
  <c r="C11508" i="1"/>
  <c r="D11508" i="1"/>
  <c r="A11509" i="1"/>
  <c r="B11509" i="1"/>
  <c r="C11509" i="1"/>
  <c r="D11509" i="1"/>
  <c r="A11510" i="1"/>
  <c r="B11510" i="1"/>
  <c r="C11510" i="1"/>
  <c r="D11510" i="1"/>
  <c r="A11511" i="1"/>
  <c r="B11511" i="1"/>
  <c r="C11511" i="1"/>
  <c r="D11511" i="1"/>
  <c r="A11512" i="1"/>
  <c r="B11512" i="1"/>
  <c r="C11512" i="1"/>
  <c r="D11512" i="1"/>
  <c r="A11513" i="1"/>
  <c r="B11513" i="1"/>
  <c r="C11513" i="1"/>
  <c r="D11513" i="1"/>
  <c r="A11514" i="1"/>
  <c r="B11514" i="1"/>
  <c r="C11514" i="1"/>
  <c r="D11514" i="1"/>
  <c r="A11515" i="1"/>
  <c r="B11515" i="1"/>
  <c r="C11515" i="1"/>
  <c r="D11515" i="1"/>
  <c r="A11516" i="1"/>
  <c r="B11516" i="1"/>
  <c r="C11516" i="1"/>
  <c r="D11516" i="1"/>
  <c r="A11517" i="1"/>
  <c r="B11517" i="1"/>
  <c r="C11517" i="1"/>
  <c r="D11517" i="1"/>
  <c r="A11518" i="1"/>
  <c r="B11518" i="1"/>
  <c r="C11518" i="1"/>
  <c r="D11518" i="1"/>
  <c r="A11519" i="1"/>
  <c r="B11519" i="1"/>
  <c r="C11519" i="1"/>
  <c r="D11519" i="1"/>
  <c r="A11520" i="1"/>
  <c r="B11520" i="1"/>
  <c r="C11520" i="1"/>
  <c r="D11520" i="1"/>
  <c r="A11521" i="1"/>
  <c r="B11521" i="1"/>
  <c r="C11521" i="1"/>
  <c r="D11521" i="1"/>
  <c r="A11522" i="1"/>
  <c r="B11522" i="1"/>
  <c r="C11522" i="1"/>
  <c r="D11522" i="1"/>
  <c r="A11523" i="1"/>
  <c r="B11523" i="1"/>
  <c r="C11523" i="1"/>
  <c r="D11523" i="1"/>
  <c r="A11524" i="1"/>
  <c r="B11524" i="1"/>
  <c r="C11524" i="1"/>
  <c r="D11524" i="1"/>
  <c r="A11525" i="1"/>
  <c r="B11525" i="1"/>
  <c r="C11525" i="1"/>
  <c r="D11525" i="1"/>
  <c r="A11526" i="1"/>
  <c r="B11526" i="1"/>
  <c r="C11526" i="1"/>
  <c r="D11526" i="1"/>
  <c r="A11527" i="1"/>
  <c r="B11527" i="1"/>
  <c r="C11527" i="1"/>
  <c r="D11527" i="1"/>
  <c r="A11528" i="1"/>
  <c r="B11528" i="1"/>
  <c r="C11528" i="1"/>
  <c r="D11528" i="1"/>
  <c r="A11529" i="1"/>
  <c r="B11529" i="1"/>
  <c r="C11529" i="1"/>
  <c r="D11529" i="1"/>
  <c r="A11530" i="1"/>
  <c r="B11530" i="1"/>
  <c r="C11530" i="1"/>
  <c r="D11530" i="1"/>
  <c r="A11531" i="1"/>
  <c r="B11531" i="1"/>
  <c r="C11531" i="1"/>
  <c r="A11532" i="1"/>
  <c r="B11532" i="1"/>
  <c r="C11532" i="1"/>
  <c r="D11532" i="1"/>
  <c r="A11533" i="1"/>
  <c r="B11533" i="1"/>
  <c r="C11533" i="1"/>
  <c r="D11533" i="1"/>
  <c r="A11534" i="1"/>
  <c r="B11534" i="1"/>
  <c r="C11534" i="1"/>
  <c r="D11534" i="1"/>
  <c r="A11535" i="1"/>
  <c r="B11535" i="1"/>
  <c r="C11535" i="1"/>
  <c r="D11535" i="1"/>
  <c r="A11536" i="1"/>
  <c r="B11536" i="1"/>
  <c r="C11536" i="1"/>
  <c r="D11536" i="1"/>
  <c r="A11537" i="1"/>
  <c r="B11537" i="1"/>
  <c r="C11537" i="1"/>
  <c r="D11537" i="1"/>
  <c r="A11538" i="1"/>
  <c r="B11538" i="1"/>
  <c r="C11538" i="1"/>
  <c r="D11538" i="1"/>
  <c r="A11539" i="1"/>
  <c r="B11539" i="1"/>
  <c r="C11539" i="1"/>
  <c r="D11539" i="1"/>
  <c r="A11540" i="1"/>
  <c r="B11540" i="1"/>
  <c r="C11540" i="1"/>
  <c r="D11540" i="1"/>
  <c r="A11541" i="1"/>
  <c r="B11541" i="1"/>
  <c r="C11541" i="1"/>
  <c r="D11541" i="1"/>
  <c r="A11542" i="1"/>
  <c r="B11542" i="1"/>
  <c r="C11542" i="1"/>
  <c r="D11542" i="1"/>
  <c r="A11543" i="1"/>
  <c r="B11543" i="1"/>
  <c r="C11543" i="1"/>
  <c r="D11543" i="1"/>
  <c r="A11544" i="1"/>
  <c r="B11544" i="1"/>
  <c r="C11544" i="1"/>
  <c r="D11544" i="1"/>
  <c r="A11545" i="1"/>
  <c r="B11545" i="1"/>
  <c r="C11545" i="1"/>
  <c r="D11545" i="1"/>
  <c r="A11546" i="1"/>
  <c r="B11546" i="1"/>
  <c r="C11546" i="1"/>
  <c r="D11546" i="1"/>
  <c r="A11547" i="1"/>
  <c r="B11547" i="1"/>
  <c r="C11547" i="1"/>
  <c r="D11547" i="1"/>
  <c r="A11548" i="1"/>
  <c r="B11548" i="1"/>
  <c r="C11548" i="1"/>
  <c r="D11548" i="1"/>
  <c r="A11549" i="1"/>
  <c r="B11549" i="1"/>
  <c r="C11549" i="1"/>
  <c r="D11549" i="1"/>
  <c r="A11550" i="1"/>
  <c r="B11550" i="1"/>
  <c r="C11550" i="1"/>
  <c r="D11550" i="1"/>
  <c r="A11551" i="1"/>
  <c r="B11551" i="1"/>
  <c r="C11551" i="1"/>
  <c r="D11551" i="1"/>
  <c r="A11552" i="1"/>
  <c r="B11552" i="1"/>
  <c r="C11552" i="1"/>
  <c r="D11552" i="1"/>
  <c r="A11553" i="1"/>
  <c r="B11553" i="1"/>
  <c r="C11553" i="1"/>
  <c r="D11553" i="1"/>
  <c r="A11554" i="1"/>
  <c r="B11554" i="1"/>
  <c r="C11554" i="1"/>
  <c r="D11554" i="1"/>
  <c r="A11555" i="1"/>
  <c r="B11555" i="1"/>
  <c r="C11555" i="1"/>
  <c r="D11555" i="1"/>
  <c r="A11556" i="1"/>
  <c r="B11556" i="1"/>
  <c r="C11556" i="1"/>
  <c r="D11556" i="1"/>
  <c r="A11557" i="1"/>
  <c r="B11557" i="1"/>
  <c r="C11557" i="1"/>
  <c r="D11557" i="1"/>
  <c r="A11558" i="1"/>
  <c r="B11558" i="1"/>
  <c r="C11558" i="1"/>
  <c r="D11558" i="1"/>
  <c r="A11559" i="1"/>
  <c r="B11559" i="1"/>
  <c r="C11559" i="1"/>
  <c r="D11559" i="1"/>
  <c r="A11560" i="1"/>
  <c r="B11560" i="1"/>
  <c r="C11560" i="1"/>
  <c r="D11560" i="1"/>
  <c r="A11561" i="1"/>
  <c r="B11561" i="1"/>
  <c r="C11561" i="1"/>
  <c r="A11562" i="1"/>
  <c r="B11562" i="1"/>
  <c r="C11562" i="1"/>
  <c r="D11562" i="1"/>
  <c r="A11563" i="1"/>
  <c r="B11563" i="1"/>
  <c r="C11563" i="1"/>
  <c r="D11563" i="1"/>
  <c r="A11564" i="1"/>
  <c r="B11564" i="1"/>
  <c r="C11564" i="1"/>
  <c r="D11564" i="1"/>
  <c r="A11565" i="1"/>
  <c r="B11565" i="1"/>
  <c r="C11565" i="1"/>
  <c r="D11565" i="1"/>
  <c r="A11566" i="1"/>
  <c r="B11566" i="1"/>
  <c r="C11566" i="1"/>
  <c r="D11566" i="1"/>
  <c r="A11567" i="1"/>
  <c r="B11567" i="1"/>
  <c r="C11567" i="1"/>
  <c r="D11567" i="1"/>
  <c r="A11568" i="1"/>
  <c r="B11568" i="1"/>
  <c r="C11568" i="1"/>
  <c r="D11568" i="1"/>
  <c r="A11569" i="1"/>
  <c r="B11569" i="1"/>
  <c r="C11569" i="1"/>
  <c r="D11569" i="1"/>
  <c r="A11570" i="1"/>
  <c r="B11570" i="1"/>
  <c r="C11570" i="1"/>
  <c r="D11570" i="1"/>
  <c r="A11571" i="1"/>
  <c r="B11571" i="1"/>
  <c r="C11571" i="1"/>
  <c r="D11571" i="1"/>
  <c r="A11572" i="1"/>
  <c r="B11572" i="1"/>
  <c r="C11572" i="1"/>
  <c r="D11572" i="1"/>
  <c r="A11573" i="1"/>
  <c r="B11573" i="1"/>
  <c r="C11573" i="1"/>
  <c r="D11573" i="1"/>
  <c r="A11574" i="1"/>
  <c r="B11574" i="1"/>
  <c r="C11574" i="1"/>
  <c r="D11574" i="1"/>
  <c r="A11575" i="1"/>
  <c r="B11575" i="1"/>
  <c r="C11575" i="1"/>
  <c r="D11575" i="1"/>
  <c r="A11576" i="1"/>
  <c r="B11576" i="1"/>
  <c r="C11576" i="1"/>
  <c r="D11576" i="1"/>
  <c r="A11577" i="1"/>
  <c r="B11577" i="1"/>
  <c r="C11577" i="1"/>
  <c r="D11577" i="1"/>
  <c r="A11578" i="1"/>
  <c r="B11578" i="1"/>
  <c r="C11578" i="1"/>
  <c r="D11578" i="1"/>
  <c r="A11579" i="1"/>
  <c r="B11579" i="1"/>
  <c r="C11579" i="1"/>
  <c r="D11579" i="1"/>
  <c r="A11580" i="1"/>
  <c r="B11580" i="1"/>
  <c r="C11580" i="1"/>
  <c r="D11580" i="1"/>
  <c r="A11581" i="1"/>
  <c r="B11581" i="1"/>
  <c r="C11581" i="1"/>
  <c r="D11581" i="1"/>
  <c r="A11582" i="1"/>
  <c r="B11582" i="1"/>
  <c r="C11582" i="1"/>
  <c r="D11582" i="1"/>
  <c r="A11583" i="1"/>
  <c r="B11583" i="1"/>
  <c r="C11583" i="1"/>
  <c r="D11583" i="1"/>
  <c r="A11584" i="1"/>
  <c r="B11584" i="1"/>
  <c r="C11584" i="1"/>
  <c r="D11584" i="1"/>
  <c r="A11585" i="1"/>
  <c r="B11585" i="1"/>
  <c r="C11585" i="1"/>
  <c r="D11585" i="1"/>
  <c r="A11586" i="1"/>
  <c r="B11586" i="1"/>
  <c r="C11586" i="1"/>
  <c r="D11586" i="1"/>
  <c r="A11587" i="1"/>
  <c r="B11587" i="1"/>
  <c r="C11587" i="1"/>
  <c r="D11587" i="1"/>
  <c r="A11588" i="1"/>
  <c r="B11588" i="1"/>
  <c r="C11588" i="1"/>
  <c r="D11588" i="1"/>
  <c r="A11589" i="1"/>
  <c r="B11589" i="1"/>
  <c r="C11589" i="1"/>
  <c r="D11589" i="1"/>
  <c r="A11590" i="1"/>
  <c r="B11590" i="1"/>
  <c r="C11590" i="1"/>
  <c r="D11590" i="1"/>
  <c r="A11591" i="1"/>
  <c r="B11591" i="1"/>
  <c r="C11591" i="1"/>
  <c r="D11591" i="1"/>
  <c r="A11592" i="1"/>
  <c r="B11592" i="1"/>
  <c r="C11592" i="1"/>
  <c r="D11592" i="1"/>
  <c r="A11593" i="1"/>
  <c r="B11593" i="1"/>
  <c r="C11593" i="1"/>
  <c r="D11593" i="1"/>
  <c r="A11594" i="1"/>
  <c r="B11594" i="1"/>
  <c r="C11594" i="1"/>
  <c r="D11594" i="1"/>
  <c r="A11595" i="1"/>
  <c r="B11595" i="1"/>
  <c r="C11595" i="1"/>
  <c r="D11595" i="1"/>
  <c r="A11596" i="1"/>
  <c r="B11596" i="1"/>
  <c r="C11596" i="1"/>
  <c r="A11597" i="1"/>
  <c r="B11597" i="1"/>
  <c r="C11597" i="1"/>
  <c r="A11598" i="1"/>
  <c r="B11598" i="1"/>
  <c r="C11598" i="1"/>
  <c r="D11598" i="1"/>
  <c r="A11599" i="1"/>
  <c r="B11599" i="1"/>
  <c r="C11599" i="1"/>
  <c r="D11599" i="1"/>
  <c r="A11600" i="1"/>
  <c r="B11600" i="1"/>
  <c r="C11600" i="1"/>
  <c r="D11600" i="1"/>
  <c r="A11601" i="1"/>
  <c r="B11601" i="1"/>
  <c r="C11601" i="1"/>
  <c r="D11601" i="1"/>
  <c r="A11602" i="1"/>
  <c r="B11602" i="1"/>
  <c r="C11602" i="1"/>
  <c r="D11602" i="1"/>
  <c r="A11603" i="1"/>
  <c r="B11603" i="1"/>
  <c r="C11603" i="1"/>
  <c r="D11603" i="1"/>
  <c r="A11604" i="1"/>
  <c r="B11604" i="1"/>
  <c r="C11604" i="1"/>
  <c r="D11604" i="1"/>
  <c r="A11605" i="1"/>
  <c r="B11605" i="1"/>
  <c r="C11605" i="1"/>
  <c r="D11605" i="1"/>
  <c r="A11606" i="1"/>
  <c r="B11606" i="1"/>
  <c r="C11606" i="1"/>
  <c r="D11606" i="1"/>
  <c r="A11607" i="1"/>
  <c r="B11607" i="1"/>
  <c r="C11607" i="1"/>
  <c r="D11607" i="1"/>
  <c r="A11608" i="1"/>
  <c r="B11608" i="1"/>
  <c r="C11608" i="1"/>
  <c r="D11608" i="1"/>
  <c r="A11609" i="1"/>
  <c r="B11609" i="1"/>
  <c r="C11609" i="1"/>
  <c r="D11609" i="1"/>
  <c r="A11610" i="1"/>
  <c r="B11610" i="1"/>
  <c r="C11610" i="1"/>
  <c r="D11610" i="1"/>
  <c r="A11611" i="1"/>
  <c r="B11611" i="1"/>
  <c r="C11611" i="1"/>
  <c r="D11611" i="1"/>
  <c r="A11612" i="1"/>
  <c r="B11612" i="1"/>
  <c r="C11612" i="1"/>
  <c r="D11612" i="1"/>
  <c r="A11613" i="1"/>
  <c r="B11613" i="1"/>
  <c r="C11613" i="1"/>
  <c r="D11613" i="1"/>
  <c r="A11614" i="1"/>
  <c r="B11614" i="1"/>
  <c r="C11614" i="1"/>
  <c r="D11614" i="1"/>
  <c r="A11615" i="1"/>
  <c r="B11615" i="1"/>
  <c r="C11615" i="1"/>
  <c r="D11615" i="1"/>
  <c r="A11616" i="1"/>
  <c r="B11616" i="1"/>
  <c r="C11616" i="1"/>
  <c r="D11616" i="1"/>
  <c r="A11617" i="1"/>
  <c r="B11617" i="1"/>
  <c r="C11617" i="1"/>
  <c r="D11617" i="1"/>
  <c r="A11618" i="1"/>
  <c r="B11618" i="1"/>
  <c r="C11618" i="1"/>
  <c r="D11618" i="1"/>
  <c r="A11619" i="1"/>
  <c r="B11619" i="1"/>
  <c r="C11619" i="1"/>
  <c r="D11619" i="1"/>
  <c r="A11620" i="1"/>
  <c r="B11620" i="1"/>
  <c r="C11620" i="1"/>
  <c r="D11620" i="1"/>
  <c r="A11621" i="1"/>
  <c r="B11621" i="1"/>
  <c r="C11621" i="1"/>
  <c r="D11621" i="1"/>
  <c r="A11622" i="1"/>
  <c r="B11622" i="1"/>
  <c r="C11622" i="1"/>
  <c r="D11622" i="1"/>
  <c r="A11623" i="1"/>
  <c r="B11623" i="1"/>
  <c r="C11623" i="1"/>
  <c r="D11623" i="1"/>
  <c r="A11624" i="1"/>
  <c r="B11624" i="1"/>
  <c r="C11624" i="1"/>
  <c r="D11624" i="1"/>
  <c r="A11625" i="1"/>
  <c r="B11625" i="1"/>
  <c r="C11625" i="1"/>
  <c r="D11625" i="1"/>
  <c r="A11626" i="1"/>
  <c r="B11626" i="1"/>
  <c r="C11626" i="1"/>
  <c r="D11626" i="1"/>
  <c r="A11627" i="1"/>
  <c r="B11627" i="1"/>
  <c r="C11627" i="1"/>
  <c r="D11627" i="1"/>
  <c r="A11628" i="1"/>
  <c r="B11628" i="1"/>
  <c r="C11628" i="1"/>
  <c r="D11628" i="1"/>
  <c r="A11629" i="1"/>
  <c r="B11629" i="1"/>
  <c r="C11629" i="1"/>
  <c r="D11629" i="1"/>
  <c r="A11630" i="1"/>
  <c r="B11630" i="1"/>
  <c r="C11630" i="1"/>
  <c r="D11630" i="1"/>
  <c r="A11631" i="1"/>
  <c r="B11631" i="1"/>
  <c r="C11631" i="1"/>
  <c r="D11631" i="1"/>
  <c r="A11632" i="1"/>
  <c r="B11632" i="1"/>
  <c r="C11632" i="1"/>
  <c r="D11632" i="1"/>
  <c r="A11633" i="1"/>
  <c r="B11633" i="1"/>
  <c r="C11633" i="1"/>
  <c r="D11633" i="1"/>
  <c r="A11634" i="1"/>
  <c r="B11634" i="1"/>
  <c r="C11634" i="1"/>
  <c r="D11634" i="1"/>
  <c r="A11635" i="1"/>
  <c r="B11635" i="1"/>
  <c r="C11635" i="1"/>
  <c r="D11635" i="1"/>
  <c r="A11636" i="1"/>
  <c r="B11636" i="1"/>
  <c r="C11636" i="1"/>
  <c r="D11636" i="1"/>
  <c r="A11637" i="1"/>
  <c r="B11637" i="1"/>
  <c r="C11637" i="1"/>
  <c r="D11637" i="1"/>
  <c r="A11638" i="1"/>
  <c r="B11638" i="1"/>
  <c r="C11638" i="1"/>
  <c r="D11638" i="1"/>
  <c r="A11639" i="1"/>
  <c r="B11639" i="1"/>
  <c r="C11639" i="1"/>
  <c r="D11639" i="1"/>
  <c r="A11640" i="1"/>
  <c r="B11640" i="1"/>
  <c r="C11640" i="1"/>
  <c r="D11640" i="1"/>
  <c r="A11641" i="1"/>
  <c r="B11641" i="1"/>
  <c r="C11641" i="1"/>
  <c r="D11641" i="1"/>
  <c r="A11642" i="1"/>
  <c r="B11642" i="1"/>
  <c r="C11642" i="1"/>
  <c r="D11642" i="1"/>
  <c r="A11643" i="1"/>
  <c r="B11643" i="1"/>
  <c r="C11643" i="1"/>
  <c r="D11643" i="1"/>
  <c r="A11644" i="1"/>
  <c r="B11644" i="1"/>
  <c r="C11644" i="1"/>
  <c r="D11644" i="1"/>
  <c r="A11645" i="1"/>
  <c r="B11645" i="1"/>
  <c r="C11645" i="1"/>
  <c r="D11645" i="1"/>
  <c r="A11646" i="1"/>
  <c r="B11646" i="1"/>
  <c r="C11646" i="1"/>
  <c r="D11646" i="1"/>
  <c r="A11647" i="1"/>
  <c r="B11647" i="1"/>
  <c r="C11647" i="1"/>
  <c r="A11648" i="1"/>
  <c r="B11648" i="1"/>
  <c r="C11648" i="1"/>
  <c r="D11648" i="1"/>
  <c r="A11649" i="1"/>
  <c r="B11649" i="1"/>
  <c r="C11649" i="1"/>
  <c r="D11649" i="1"/>
  <c r="A11650" i="1"/>
  <c r="B11650" i="1"/>
  <c r="C11650" i="1"/>
  <c r="D11650" i="1"/>
  <c r="A11651" i="1"/>
  <c r="B11651" i="1"/>
  <c r="C11651" i="1"/>
  <c r="D11651" i="1"/>
  <c r="A11652" i="1"/>
  <c r="B11652" i="1"/>
  <c r="C11652" i="1"/>
  <c r="D11652" i="1"/>
  <c r="A11653" i="1"/>
  <c r="B11653" i="1"/>
  <c r="C11653" i="1"/>
  <c r="D11653" i="1"/>
  <c r="A11654" i="1"/>
  <c r="B11654" i="1"/>
  <c r="C11654" i="1"/>
  <c r="D11654" i="1"/>
  <c r="A11655" i="1"/>
  <c r="B11655" i="1"/>
  <c r="C11655" i="1"/>
  <c r="D11655" i="1"/>
  <c r="A11656" i="1"/>
  <c r="B11656" i="1"/>
  <c r="C11656" i="1"/>
  <c r="D11656" i="1"/>
  <c r="A11657" i="1"/>
  <c r="B11657" i="1"/>
  <c r="C11657" i="1"/>
  <c r="D11657" i="1"/>
  <c r="A11658" i="1"/>
  <c r="B11658" i="1"/>
  <c r="C11658" i="1"/>
  <c r="D11658" i="1"/>
  <c r="A11659" i="1"/>
  <c r="B11659" i="1"/>
  <c r="C11659" i="1"/>
  <c r="D11659" i="1"/>
  <c r="A11660" i="1"/>
  <c r="B11660" i="1"/>
  <c r="C11660" i="1"/>
  <c r="D11660" i="1"/>
  <c r="A11661" i="1"/>
  <c r="B11661" i="1"/>
  <c r="C11661" i="1"/>
  <c r="D11661" i="1"/>
  <c r="A11662" i="1"/>
  <c r="B11662" i="1"/>
  <c r="C11662" i="1"/>
  <c r="D11662" i="1"/>
  <c r="A11663" i="1"/>
  <c r="B11663" i="1"/>
  <c r="C11663" i="1"/>
  <c r="D11663" i="1"/>
  <c r="A11664" i="1"/>
  <c r="B11664" i="1"/>
  <c r="C11664" i="1"/>
  <c r="D11664" i="1"/>
  <c r="A11665" i="1"/>
  <c r="B11665" i="1"/>
  <c r="C11665" i="1"/>
  <c r="D11665" i="1"/>
  <c r="A11666" i="1"/>
  <c r="B11666" i="1"/>
  <c r="C11666" i="1"/>
  <c r="D11666" i="1"/>
  <c r="A11667" i="1"/>
  <c r="B11667" i="1"/>
  <c r="C11667" i="1"/>
  <c r="D11667" i="1"/>
  <c r="A11668" i="1"/>
  <c r="B11668" i="1"/>
  <c r="C11668" i="1"/>
  <c r="A11669" i="1"/>
  <c r="B11669" i="1"/>
  <c r="C11669" i="1"/>
  <c r="D11669" i="1"/>
  <c r="A11670" i="1"/>
  <c r="B11670" i="1"/>
  <c r="C11670" i="1"/>
  <c r="D11670" i="1"/>
  <c r="A11671" i="1"/>
  <c r="B11671" i="1"/>
  <c r="C11671" i="1"/>
  <c r="D11671" i="1"/>
  <c r="A11672" i="1"/>
  <c r="B11672" i="1"/>
  <c r="C11672" i="1"/>
  <c r="D11672" i="1"/>
  <c r="A11673" i="1"/>
  <c r="B11673" i="1"/>
  <c r="C11673" i="1"/>
  <c r="D11673" i="1"/>
  <c r="A11674" i="1"/>
  <c r="B11674" i="1"/>
  <c r="C11674" i="1"/>
  <c r="D11674" i="1"/>
  <c r="A11675" i="1"/>
  <c r="B11675" i="1"/>
  <c r="C11675" i="1"/>
  <c r="D11675" i="1"/>
  <c r="A11676" i="1"/>
  <c r="B11676" i="1"/>
  <c r="C11676" i="1"/>
  <c r="D11676" i="1"/>
  <c r="A11677" i="1"/>
  <c r="B11677" i="1"/>
  <c r="C11677" i="1"/>
  <c r="D11677" i="1"/>
  <c r="A11678" i="1"/>
  <c r="B11678" i="1"/>
  <c r="C11678" i="1"/>
  <c r="D11678" i="1"/>
  <c r="A11679" i="1"/>
  <c r="B11679" i="1"/>
  <c r="C11679" i="1"/>
  <c r="D11679" i="1"/>
  <c r="A11680" i="1"/>
  <c r="B11680" i="1"/>
  <c r="C11680" i="1"/>
  <c r="D11680" i="1"/>
  <c r="A11681" i="1"/>
  <c r="B11681" i="1"/>
  <c r="C11681" i="1"/>
  <c r="D11681" i="1"/>
  <c r="A11682" i="1"/>
  <c r="B11682" i="1"/>
  <c r="C11682" i="1"/>
  <c r="D11682" i="1"/>
  <c r="A11683" i="1"/>
  <c r="B11683" i="1"/>
  <c r="C11683" i="1"/>
  <c r="D11683" i="1"/>
  <c r="A11684" i="1"/>
  <c r="B11684" i="1"/>
  <c r="C11684" i="1"/>
  <c r="D11684" i="1"/>
  <c r="A11685" i="1"/>
  <c r="B11685" i="1"/>
  <c r="C11685" i="1"/>
  <c r="D11685" i="1"/>
  <c r="A11686" i="1"/>
  <c r="B11686" i="1"/>
  <c r="C11686" i="1"/>
  <c r="A11687" i="1"/>
  <c r="B11687" i="1"/>
  <c r="C11687" i="1"/>
  <c r="D11687" i="1"/>
  <c r="A11688" i="1"/>
  <c r="B11688" i="1"/>
  <c r="C11688" i="1"/>
  <c r="D11688" i="1"/>
  <c r="A11689" i="1"/>
  <c r="B11689" i="1"/>
  <c r="C11689" i="1"/>
  <c r="D11689" i="1"/>
  <c r="A11690" i="1"/>
  <c r="B11690" i="1"/>
  <c r="C11690" i="1"/>
  <c r="D11690" i="1"/>
  <c r="A11691" i="1"/>
  <c r="B11691" i="1"/>
  <c r="C11691" i="1"/>
  <c r="D11691" i="1"/>
  <c r="A11692" i="1"/>
  <c r="B11692" i="1"/>
  <c r="C11692" i="1"/>
  <c r="D11692" i="1"/>
  <c r="A11693" i="1"/>
  <c r="B11693" i="1"/>
  <c r="C11693" i="1"/>
  <c r="D11693" i="1"/>
  <c r="A11694" i="1"/>
  <c r="B11694" i="1"/>
  <c r="C11694" i="1"/>
  <c r="D11694" i="1"/>
  <c r="A11695" i="1"/>
  <c r="B11695" i="1"/>
  <c r="C11695" i="1"/>
  <c r="D11695" i="1"/>
  <c r="A11696" i="1"/>
  <c r="B11696" i="1"/>
  <c r="C11696" i="1"/>
  <c r="D11696" i="1"/>
  <c r="A11697" i="1"/>
  <c r="B11697" i="1"/>
  <c r="C11697" i="1"/>
  <c r="D11697" i="1"/>
  <c r="A11698" i="1"/>
  <c r="B11698" i="1"/>
  <c r="C11698" i="1"/>
  <c r="D11698" i="1"/>
  <c r="A11699" i="1"/>
  <c r="B11699" i="1"/>
  <c r="C11699" i="1"/>
  <c r="D11699" i="1"/>
  <c r="A11700" i="1"/>
  <c r="B11700" i="1"/>
  <c r="C11700" i="1"/>
  <c r="D11700" i="1"/>
  <c r="A11701" i="1"/>
  <c r="B11701" i="1"/>
  <c r="C11701" i="1"/>
  <c r="D11701" i="1"/>
  <c r="A11702" i="1"/>
  <c r="B11702" i="1"/>
  <c r="C11702" i="1"/>
  <c r="D11702" i="1"/>
  <c r="A11703" i="1"/>
  <c r="B11703" i="1"/>
  <c r="C11703" i="1"/>
  <c r="D11703" i="1"/>
  <c r="A11704" i="1"/>
  <c r="B11704" i="1"/>
  <c r="C11704" i="1"/>
  <c r="D11704" i="1"/>
  <c r="A11705" i="1"/>
  <c r="B11705" i="1"/>
  <c r="C11705" i="1"/>
  <c r="D11705" i="1"/>
  <c r="A11706" i="1"/>
  <c r="B11706" i="1"/>
  <c r="C11706" i="1"/>
  <c r="D11706" i="1"/>
  <c r="A11707" i="1"/>
  <c r="B11707" i="1"/>
  <c r="C11707" i="1"/>
  <c r="D11707" i="1"/>
  <c r="A11708" i="1"/>
  <c r="B11708" i="1"/>
  <c r="C11708" i="1"/>
  <c r="D11708" i="1"/>
  <c r="A11709" i="1"/>
  <c r="B11709" i="1"/>
  <c r="C11709" i="1"/>
  <c r="D11709" i="1"/>
  <c r="A11710" i="1"/>
  <c r="B11710" i="1"/>
  <c r="C11710" i="1"/>
  <c r="A11711" i="1"/>
  <c r="B11711" i="1"/>
  <c r="C11711" i="1"/>
  <c r="D11711" i="1"/>
  <c r="A11712" i="1"/>
  <c r="B11712" i="1"/>
  <c r="C11712" i="1"/>
  <c r="D11712" i="1"/>
  <c r="A11713" i="1"/>
  <c r="B11713" i="1"/>
  <c r="C11713" i="1"/>
  <c r="D11713" i="1"/>
  <c r="A11714" i="1"/>
  <c r="B11714" i="1"/>
  <c r="C11714" i="1"/>
  <c r="D11714" i="1"/>
  <c r="A11715" i="1"/>
  <c r="B11715" i="1"/>
  <c r="C11715" i="1"/>
  <c r="D11715" i="1"/>
  <c r="A11716" i="1"/>
  <c r="B11716" i="1"/>
  <c r="C11716" i="1"/>
  <c r="D11716" i="1"/>
  <c r="A11717" i="1"/>
  <c r="B11717" i="1"/>
  <c r="C11717" i="1"/>
  <c r="D11717" i="1"/>
  <c r="A11718" i="1"/>
  <c r="B11718" i="1"/>
  <c r="C11718" i="1"/>
  <c r="D11718" i="1"/>
  <c r="A11719" i="1"/>
  <c r="B11719" i="1"/>
  <c r="C11719" i="1"/>
  <c r="D11719" i="1"/>
  <c r="A11720" i="1"/>
  <c r="B11720" i="1"/>
  <c r="C11720" i="1"/>
  <c r="D11720" i="1"/>
  <c r="A11721" i="1"/>
  <c r="B11721" i="1"/>
  <c r="C11721" i="1"/>
  <c r="D11721" i="1"/>
  <c r="A11722" i="1"/>
  <c r="B11722" i="1"/>
  <c r="C11722" i="1"/>
  <c r="D11722" i="1"/>
  <c r="A11723" i="1"/>
  <c r="B11723" i="1"/>
  <c r="C11723" i="1"/>
  <c r="D11723" i="1"/>
  <c r="A11724" i="1"/>
  <c r="B11724" i="1"/>
  <c r="C11724" i="1"/>
  <c r="D11724" i="1"/>
  <c r="A11725" i="1"/>
  <c r="B11725" i="1"/>
  <c r="C11725" i="1"/>
  <c r="D11725" i="1"/>
  <c r="A11726" i="1"/>
  <c r="B11726" i="1"/>
  <c r="C11726" i="1"/>
  <c r="D11726" i="1"/>
  <c r="A11727" i="1"/>
  <c r="B11727" i="1"/>
  <c r="C11727" i="1"/>
  <c r="D11727" i="1"/>
  <c r="A11728" i="1"/>
  <c r="B11728" i="1"/>
  <c r="C11728" i="1"/>
  <c r="D11728" i="1"/>
  <c r="A11729" i="1"/>
  <c r="B11729" i="1"/>
  <c r="C11729" i="1"/>
  <c r="D11729" i="1"/>
  <c r="A11730" i="1"/>
  <c r="B11730" i="1"/>
  <c r="C11730" i="1"/>
  <c r="D11730" i="1"/>
  <c r="A11731" i="1"/>
  <c r="B11731" i="1"/>
  <c r="C11731" i="1"/>
  <c r="D11731" i="1"/>
  <c r="A11732" i="1"/>
  <c r="B11732" i="1"/>
  <c r="C11732" i="1"/>
  <c r="D11732" i="1"/>
  <c r="A11733" i="1"/>
  <c r="B11733" i="1"/>
  <c r="C11733" i="1"/>
  <c r="D11733" i="1"/>
  <c r="A11734" i="1"/>
  <c r="B11734" i="1"/>
  <c r="C11734" i="1"/>
  <c r="D11734" i="1"/>
  <c r="A11735" i="1"/>
  <c r="B11735" i="1"/>
  <c r="C11735" i="1"/>
  <c r="D11735" i="1"/>
  <c r="A11736" i="1"/>
  <c r="B11736" i="1"/>
  <c r="C11736" i="1"/>
  <c r="D11736" i="1"/>
  <c r="A11737" i="1"/>
  <c r="B11737" i="1"/>
  <c r="C11737" i="1"/>
  <c r="D11737" i="1"/>
  <c r="A11738" i="1"/>
  <c r="B11738" i="1"/>
  <c r="C11738" i="1"/>
  <c r="D11738" i="1"/>
  <c r="A11739" i="1"/>
  <c r="B11739" i="1"/>
  <c r="C11739" i="1"/>
  <c r="D11739" i="1"/>
  <c r="A11740" i="1"/>
  <c r="B11740" i="1"/>
  <c r="C11740" i="1"/>
  <c r="D11740" i="1"/>
  <c r="A11741" i="1"/>
  <c r="B11741" i="1"/>
  <c r="C11741" i="1"/>
  <c r="D11741" i="1"/>
  <c r="A11742" i="1"/>
  <c r="B11742" i="1"/>
  <c r="C11742" i="1"/>
  <c r="D11742" i="1"/>
  <c r="A11743" i="1"/>
  <c r="B11743" i="1"/>
  <c r="C11743" i="1"/>
  <c r="D11743" i="1"/>
  <c r="A11744" i="1"/>
  <c r="B11744" i="1"/>
  <c r="C11744" i="1"/>
  <c r="D11744" i="1"/>
  <c r="A11745" i="1"/>
  <c r="B11745" i="1"/>
  <c r="C11745" i="1"/>
  <c r="D11745" i="1"/>
  <c r="A11746" i="1"/>
  <c r="B11746" i="1"/>
  <c r="C11746" i="1"/>
  <c r="D11746" i="1"/>
  <c r="A11747" i="1"/>
  <c r="B11747" i="1"/>
  <c r="C11747" i="1"/>
  <c r="D11747" i="1"/>
  <c r="A11748" i="1"/>
  <c r="B11748" i="1"/>
  <c r="C11748" i="1"/>
  <c r="A11749" i="1"/>
  <c r="B11749" i="1"/>
  <c r="C11749" i="1"/>
  <c r="D11749" i="1"/>
  <c r="A11750" i="1"/>
  <c r="B11750" i="1"/>
  <c r="C11750" i="1"/>
  <c r="D11750" i="1"/>
  <c r="A11751" i="1"/>
  <c r="B11751" i="1"/>
  <c r="C11751" i="1"/>
  <c r="D11751" i="1"/>
  <c r="A11752" i="1"/>
  <c r="B11752" i="1"/>
  <c r="C11752" i="1"/>
  <c r="D11752" i="1"/>
  <c r="A11753" i="1"/>
  <c r="B11753" i="1"/>
  <c r="C11753" i="1"/>
  <c r="D11753" i="1"/>
  <c r="A11754" i="1"/>
  <c r="B11754" i="1"/>
  <c r="C11754" i="1"/>
  <c r="D11754" i="1"/>
  <c r="A11755" i="1"/>
  <c r="B11755" i="1"/>
  <c r="C11755" i="1"/>
  <c r="D11755" i="1"/>
  <c r="A11756" i="1"/>
  <c r="B11756" i="1"/>
  <c r="C11756" i="1"/>
  <c r="D11756" i="1"/>
  <c r="A11757" i="1"/>
  <c r="B11757" i="1"/>
  <c r="C11757" i="1"/>
  <c r="D11757" i="1"/>
  <c r="A11758" i="1"/>
  <c r="B11758" i="1"/>
  <c r="C11758" i="1"/>
  <c r="D11758" i="1"/>
  <c r="A11759" i="1"/>
  <c r="B11759" i="1"/>
  <c r="C11759" i="1"/>
  <c r="D11759" i="1"/>
  <c r="A11760" i="1"/>
  <c r="B11760" i="1"/>
  <c r="C11760" i="1"/>
  <c r="D11760" i="1"/>
  <c r="A11761" i="1"/>
  <c r="B11761" i="1"/>
  <c r="C11761" i="1"/>
  <c r="A11762" i="1"/>
  <c r="B11762" i="1"/>
  <c r="C11762" i="1"/>
  <c r="D11762" i="1"/>
  <c r="A11763" i="1"/>
  <c r="B11763" i="1"/>
  <c r="C11763" i="1"/>
  <c r="D11763" i="1"/>
  <c r="A11764" i="1"/>
  <c r="B11764" i="1"/>
  <c r="C11764" i="1"/>
  <c r="D11764" i="1"/>
  <c r="A11765" i="1"/>
  <c r="B11765" i="1"/>
  <c r="C11765" i="1"/>
  <c r="D11765" i="1"/>
  <c r="A11766" i="1"/>
  <c r="B11766" i="1"/>
  <c r="C11766" i="1"/>
  <c r="D11766" i="1"/>
  <c r="A11767" i="1"/>
  <c r="B11767" i="1"/>
  <c r="C11767" i="1"/>
  <c r="D11767" i="1"/>
  <c r="A11768" i="1"/>
  <c r="B11768" i="1"/>
  <c r="C11768" i="1"/>
  <c r="D11768" i="1"/>
  <c r="A11769" i="1"/>
  <c r="B11769" i="1"/>
  <c r="C11769" i="1"/>
  <c r="D11769" i="1"/>
  <c r="A11770" i="1"/>
  <c r="B11770" i="1"/>
  <c r="C11770" i="1"/>
  <c r="D11770" i="1"/>
  <c r="A11771" i="1"/>
  <c r="B11771" i="1"/>
  <c r="C11771" i="1"/>
  <c r="D11771" i="1"/>
  <c r="A11772" i="1"/>
  <c r="B11772" i="1"/>
  <c r="C11772" i="1"/>
  <c r="D11772" i="1"/>
  <c r="A11773" i="1"/>
  <c r="B11773" i="1"/>
  <c r="C11773" i="1"/>
  <c r="D11773" i="1"/>
  <c r="A11774" i="1"/>
  <c r="B11774" i="1"/>
  <c r="C11774" i="1"/>
  <c r="D11774" i="1"/>
  <c r="A11775" i="1"/>
  <c r="B11775" i="1"/>
  <c r="C11775" i="1"/>
  <c r="D11775" i="1"/>
  <c r="A11776" i="1"/>
  <c r="B11776" i="1"/>
  <c r="C11776" i="1"/>
  <c r="D11776" i="1"/>
  <c r="A11777" i="1"/>
  <c r="B11777" i="1"/>
  <c r="C11777" i="1"/>
  <c r="D11777" i="1"/>
  <c r="A11778" i="1"/>
  <c r="B11778" i="1"/>
  <c r="C11778" i="1"/>
  <c r="D11778" i="1"/>
  <c r="A11779" i="1"/>
  <c r="B11779" i="1"/>
  <c r="C11779" i="1"/>
  <c r="D11779" i="1"/>
  <c r="A11780" i="1"/>
  <c r="B11780" i="1"/>
  <c r="C11780" i="1"/>
  <c r="D11780" i="1"/>
  <c r="A11781" i="1"/>
  <c r="B11781" i="1"/>
  <c r="C11781" i="1"/>
  <c r="D11781" i="1"/>
  <c r="A11782" i="1"/>
  <c r="B11782" i="1"/>
  <c r="C11782" i="1"/>
  <c r="D11782" i="1"/>
  <c r="A11783" i="1"/>
  <c r="B11783" i="1"/>
  <c r="C11783" i="1"/>
  <c r="D11783" i="1"/>
  <c r="A11784" i="1"/>
  <c r="B11784" i="1"/>
  <c r="C11784" i="1"/>
  <c r="D11784" i="1"/>
  <c r="A11785" i="1"/>
  <c r="B11785" i="1"/>
  <c r="C11785" i="1"/>
  <c r="D11785" i="1"/>
  <c r="A11786" i="1"/>
  <c r="B11786" i="1"/>
  <c r="C11786" i="1"/>
  <c r="D11786" i="1"/>
  <c r="A11787" i="1"/>
  <c r="B11787" i="1"/>
  <c r="C11787" i="1"/>
  <c r="D11787" i="1"/>
  <c r="A11788" i="1"/>
  <c r="B11788" i="1"/>
  <c r="C11788" i="1"/>
  <c r="D11788" i="1"/>
  <c r="A11789" i="1"/>
  <c r="B11789" i="1"/>
  <c r="C11789" i="1"/>
  <c r="D11789" i="1"/>
  <c r="A11790" i="1"/>
  <c r="B11790" i="1"/>
  <c r="C11790" i="1"/>
  <c r="D11790" i="1"/>
  <c r="A11791" i="1"/>
  <c r="B11791" i="1"/>
  <c r="C11791" i="1"/>
  <c r="D11791" i="1"/>
  <c r="A11792" i="1"/>
  <c r="B11792" i="1"/>
  <c r="C11792" i="1"/>
  <c r="D11792" i="1"/>
  <c r="A11793" i="1"/>
  <c r="B11793" i="1"/>
  <c r="C11793" i="1"/>
  <c r="D11793" i="1"/>
  <c r="A11794" i="1"/>
  <c r="B11794" i="1"/>
  <c r="C11794" i="1"/>
  <c r="D11794" i="1"/>
  <c r="A11795" i="1"/>
  <c r="B11795" i="1"/>
  <c r="C11795" i="1"/>
  <c r="D11795" i="1"/>
  <c r="A11796" i="1"/>
  <c r="B11796" i="1"/>
  <c r="C11796" i="1"/>
  <c r="D11796" i="1"/>
  <c r="A11797" i="1"/>
  <c r="B11797" i="1"/>
  <c r="C11797" i="1"/>
  <c r="D11797" i="1"/>
  <c r="A11798" i="1"/>
  <c r="B11798" i="1"/>
  <c r="C11798" i="1"/>
  <c r="D11798" i="1"/>
  <c r="A11799" i="1"/>
  <c r="B11799" i="1"/>
  <c r="C11799" i="1"/>
  <c r="D11799" i="1"/>
  <c r="A11800" i="1"/>
  <c r="B11800" i="1"/>
  <c r="C11800" i="1"/>
  <c r="D11800" i="1"/>
  <c r="A11801" i="1"/>
  <c r="B11801" i="1"/>
  <c r="C11801" i="1"/>
  <c r="D11801" i="1"/>
  <c r="A11802" i="1"/>
  <c r="B11802" i="1"/>
  <c r="C11802" i="1"/>
  <c r="D11802" i="1"/>
  <c r="A11803" i="1"/>
  <c r="B11803" i="1"/>
  <c r="C11803" i="1"/>
  <c r="D11803" i="1"/>
  <c r="A11804" i="1"/>
  <c r="B11804" i="1"/>
  <c r="C11804" i="1"/>
  <c r="D11804" i="1"/>
  <c r="A11805" i="1"/>
  <c r="B11805" i="1"/>
  <c r="C11805" i="1"/>
  <c r="D11805" i="1"/>
  <c r="A11806" i="1"/>
  <c r="B11806" i="1"/>
  <c r="C11806" i="1"/>
  <c r="D11806" i="1"/>
  <c r="A11807" i="1"/>
  <c r="B11807" i="1"/>
  <c r="C11807" i="1"/>
  <c r="D11807" i="1"/>
  <c r="A11808" i="1"/>
  <c r="B11808" i="1"/>
  <c r="C11808" i="1"/>
  <c r="D11808" i="1"/>
  <c r="A11809" i="1"/>
  <c r="B11809" i="1"/>
  <c r="C11809" i="1"/>
  <c r="D11809" i="1"/>
  <c r="A11810" i="1"/>
  <c r="B11810" i="1"/>
  <c r="C11810" i="1"/>
  <c r="D11810" i="1"/>
  <c r="A11811" i="1"/>
  <c r="B11811" i="1"/>
  <c r="C11811" i="1"/>
  <c r="D11811" i="1"/>
  <c r="A11812" i="1"/>
  <c r="B11812" i="1"/>
  <c r="C11812" i="1"/>
  <c r="D11812" i="1"/>
  <c r="A11813" i="1"/>
  <c r="B11813" i="1"/>
  <c r="C11813" i="1"/>
  <c r="D11813" i="1"/>
  <c r="A11814" i="1"/>
  <c r="B11814" i="1"/>
  <c r="C11814" i="1"/>
  <c r="D11814" i="1"/>
  <c r="A11815" i="1"/>
  <c r="B11815" i="1"/>
  <c r="C11815" i="1"/>
  <c r="D11815" i="1"/>
  <c r="A11816" i="1"/>
  <c r="B11816" i="1"/>
  <c r="C11816" i="1"/>
  <c r="D11816" i="1"/>
  <c r="A11817" i="1"/>
  <c r="B11817" i="1"/>
  <c r="C11817" i="1"/>
  <c r="D11817" i="1"/>
  <c r="A11818" i="1"/>
  <c r="B11818" i="1"/>
  <c r="C11818" i="1"/>
  <c r="D11818" i="1"/>
  <c r="A11819" i="1"/>
  <c r="B11819" i="1"/>
  <c r="C11819" i="1"/>
  <c r="D11819" i="1"/>
  <c r="A11820" i="1"/>
  <c r="B11820" i="1"/>
  <c r="C11820" i="1"/>
  <c r="D11820" i="1"/>
  <c r="A11821" i="1"/>
  <c r="B11821" i="1"/>
  <c r="C11821" i="1"/>
  <c r="D11821" i="1"/>
  <c r="A11822" i="1"/>
  <c r="B11822" i="1"/>
  <c r="C11822" i="1"/>
  <c r="D11822" i="1"/>
  <c r="A11823" i="1"/>
  <c r="B11823" i="1"/>
  <c r="C11823" i="1"/>
  <c r="D11823" i="1"/>
  <c r="A11824" i="1"/>
  <c r="B11824" i="1"/>
  <c r="C11824" i="1"/>
  <c r="D11824" i="1"/>
  <c r="A11825" i="1"/>
  <c r="B11825" i="1"/>
  <c r="C11825" i="1"/>
  <c r="D11825" i="1"/>
  <c r="A11826" i="1"/>
  <c r="B11826" i="1"/>
  <c r="C11826" i="1"/>
  <c r="D11826" i="1"/>
  <c r="A11827" i="1"/>
  <c r="B11827" i="1"/>
  <c r="C11827" i="1"/>
  <c r="D11827" i="1"/>
  <c r="A11828" i="1"/>
  <c r="B11828" i="1"/>
  <c r="C11828" i="1"/>
  <c r="D11828" i="1"/>
  <c r="A11829" i="1"/>
  <c r="B11829" i="1"/>
  <c r="C11829" i="1"/>
  <c r="D11829" i="1"/>
  <c r="A11830" i="1"/>
  <c r="B11830" i="1"/>
  <c r="C11830" i="1"/>
  <c r="D11830" i="1"/>
  <c r="A11831" i="1"/>
  <c r="B11831" i="1"/>
  <c r="C11831" i="1"/>
  <c r="D11831" i="1"/>
  <c r="A11832" i="1"/>
  <c r="B11832" i="1"/>
  <c r="C11832" i="1"/>
  <c r="D11832" i="1"/>
  <c r="A11833" i="1"/>
  <c r="B11833" i="1"/>
  <c r="C11833" i="1"/>
  <c r="D11833" i="1"/>
  <c r="A11834" i="1"/>
  <c r="B11834" i="1"/>
  <c r="C11834" i="1"/>
  <c r="D11834" i="1"/>
  <c r="A11835" i="1"/>
  <c r="B11835" i="1"/>
  <c r="C11835" i="1"/>
  <c r="D11835" i="1"/>
  <c r="A11836" i="1"/>
  <c r="B11836" i="1"/>
  <c r="C11836" i="1"/>
  <c r="D11836" i="1"/>
  <c r="A11837" i="1"/>
  <c r="B11837" i="1"/>
  <c r="C11837" i="1"/>
  <c r="D11837" i="1"/>
  <c r="A11838" i="1"/>
  <c r="B11838" i="1"/>
  <c r="C11838" i="1"/>
  <c r="A11839" i="1"/>
  <c r="B11839" i="1"/>
  <c r="C11839" i="1"/>
  <c r="D11839" i="1"/>
  <c r="A11840" i="1"/>
  <c r="B11840" i="1"/>
  <c r="C11840" i="1"/>
  <c r="D11840" i="1"/>
  <c r="A11841" i="1"/>
  <c r="B11841" i="1"/>
  <c r="C11841" i="1"/>
  <c r="D11841" i="1"/>
  <c r="A11842" i="1"/>
  <c r="B11842" i="1"/>
  <c r="C11842" i="1"/>
  <c r="D11842" i="1"/>
  <c r="A11843" i="1"/>
  <c r="B11843" i="1"/>
  <c r="C11843" i="1"/>
  <c r="D11843" i="1"/>
  <c r="A11844" i="1"/>
  <c r="B11844" i="1"/>
  <c r="C11844" i="1"/>
  <c r="D11844" i="1"/>
  <c r="A11845" i="1"/>
  <c r="B11845" i="1"/>
  <c r="C11845" i="1"/>
  <c r="D11845" i="1"/>
  <c r="A11846" i="1"/>
  <c r="B11846" i="1"/>
  <c r="C11846" i="1"/>
  <c r="D11846" i="1"/>
  <c r="A11847" i="1"/>
  <c r="B11847" i="1"/>
  <c r="C11847" i="1"/>
  <c r="D11847" i="1"/>
  <c r="A11848" i="1"/>
  <c r="B11848" i="1"/>
  <c r="C11848" i="1"/>
  <c r="D11848" i="1"/>
  <c r="A11849" i="1"/>
  <c r="B11849" i="1"/>
  <c r="C11849" i="1"/>
  <c r="D11849" i="1"/>
  <c r="A11850" i="1"/>
  <c r="B11850" i="1"/>
  <c r="C11850" i="1"/>
  <c r="D11850" i="1"/>
  <c r="A11851" i="1"/>
  <c r="B11851" i="1"/>
  <c r="C11851" i="1"/>
  <c r="D11851" i="1"/>
  <c r="A11852" i="1"/>
  <c r="B11852" i="1"/>
  <c r="C11852" i="1"/>
  <c r="D11852" i="1"/>
  <c r="A11853" i="1"/>
  <c r="B11853" i="1"/>
  <c r="C11853" i="1"/>
  <c r="D11853" i="1"/>
  <c r="A11854" i="1"/>
  <c r="B11854" i="1"/>
  <c r="C11854" i="1"/>
  <c r="D11854" i="1"/>
  <c r="A11855" i="1"/>
  <c r="B11855" i="1"/>
  <c r="C11855" i="1"/>
  <c r="D11855" i="1"/>
  <c r="A11856" i="1"/>
  <c r="B11856" i="1"/>
  <c r="C11856" i="1"/>
  <c r="D11856" i="1"/>
  <c r="A11857" i="1"/>
  <c r="B11857" i="1"/>
  <c r="C11857" i="1"/>
  <c r="D11857" i="1"/>
  <c r="A11858" i="1"/>
  <c r="B11858" i="1"/>
  <c r="C11858" i="1"/>
  <c r="D11858" i="1"/>
  <c r="A11859" i="1"/>
  <c r="B11859" i="1"/>
  <c r="C11859" i="1"/>
  <c r="D11859" i="1"/>
  <c r="A11860" i="1"/>
  <c r="B11860" i="1"/>
  <c r="C11860" i="1"/>
  <c r="D11860" i="1"/>
  <c r="A11861" i="1"/>
  <c r="B11861" i="1"/>
  <c r="C11861" i="1"/>
  <c r="D11861" i="1"/>
  <c r="A11862" i="1"/>
  <c r="B11862" i="1"/>
  <c r="C11862" i="1"/>
  <c r="D11862" i="1"/>
  <c r="A11863" i="1"/>
  <c r="B11863" i="1"/>
  <c r="C11863" i="1"/>
  <c r="D11863" i="1"/>
  <c r="A11864" i="1"/>
  <c r="B11864" i="1"/>
  <c r="C11864" i="1"/>
  <c r="D11864" i="1"/>
  <c r="A11865" i="1"/>
  <c r="B11865" i="1"/>
  <c r="C11865" i="1"/>
  <c r="D11865" i="1"/>
  <c r="A11866" i="1"/>
  <c r="B11866" i="1"/>
  <c r="C11866" i="1"/>
  <c r="D11866" i="1"/>
  <c r="A11867" i="1"/>
  <c r="B11867" i="1"/>
  <c r="C11867" i="1"/>
  <c r="D11867" i="1"/>
  <c r="A11868" i="1"/>
  <c r="B11868" i="1"/>
  <c r="C11868" i="1"/>
  <c r="D11868" i="1"/>
  <c r="A11869" i="1"/>
  <c r="B11869" i="1"/>
  <c r="C11869" i="1"/>
  <c r="D11869" i="1"/>
  <c r="A11870" i="1"/>
  <c r="B11870" i="1"/>
  <c r="C11870" i="1"/>
  <c r="D11870" i="1"/>
  <c r="A11871" i="1"/>
  <c r="B11871" i="1"/>
  <c r="C11871" i="1"/>
  <c r="D11871" i="1"/>
  <c r="A11872" i="1"/>
  <c r="B11872" i="1"/>
  <c r="C11872" i="1"/>
  <c r="D11872" i="1"/>
  <c r="A11873" i="1"/>
  <c r="B11873" i="1"/>
  <c r="C11873" i="1"/>
  <c r="D11873" i="1"/>
  <c r="A11874" i="1"/>
  <c r="B11874" i="1"/>
  <c r="C11874" i="1"/>
  <c r="D11874" i="1"/>
  <c r="A11875" i="1"/>
  <c r="B11875" i="1"/>
  <c r="C11875" i="1"/>
  <c r="D11875" i="1"/>
  <c r="A11876" i="1"/>
  <c r="B11876" i="1"/>
  <c r="C11876" i="1"/>
  <c r="D11876" i="1"/>
  <c r="A11877" i="1"/>
  <c r="B11877" i="1"/>
  <c r="C11877" i="1"/>
  <c r="D11877" i="1"/>
  <c r="A11878" i="1"/>
  <c r="B11878" i="1"/>
  <c r="C11878" i="1"/>
  <c r="D11878" i="1"/>
  <c r="A11879" i="1"/>
  <c r="B11879" i="1"/>
  <c r="C11879" i="1"/>
  <c r="D11879" i="1"/>
  <c r="A11880" i="1"/>
  <c r="B11880" i="1"/>
  <c r="C11880" i="1"/>
  <c r="D11880" i="1"/>
  <c r="A11881" i="1"/>
  <c r="B11881" i="1"/>
  <c r="C11881" i="1"/>
  <c r="D11881" i="1"/>
  <c r="A11882" i="1"/>
  <c r="B11882" i="1"/>
  <c r="C11882" i="1"/>
  <c r="D11882" i="1"/>
  <c r="A11883" i="1"/>
  <c r="B11883" i="1"/>
  <c r="C11883" i="1"/>
  <c r="D11883" i="1"/>
  <c r="A11884" i="1"/>
  <c r="B11884" i="1"/>
  <c r="C11884" i="1"/>
  <c r="D11884" i="1"/>
  <c r="A11885" i="1"/>
  <c r="B11885" i="1"/>
  <c r="C11885" i="1"/>
  <c r="D11885" i="1"/>
  <c r="A11886" i="1"/>
  <c r="B11886" i="1"/>
  <c r="C11886" i="1"/>
  <c r="D11886" i="1"/>
  <c r="A11887" i="1"/>
  <c r="B11887" i="1"/>
  <c r="C11887" i="1"/>
  <c r="D11887" i="1"/>
  <c r="A11888" i="1"/>
  <c r="B11888" i="1"/>
  <c r="C11888" i="1"/>
  <c r="D11888" i="1"/>
  <c r="A11889" i="1"/>
  <c r="B11889" i="1"/>
  <c r="C11889" i="1"/>
  <c r="D11889" i="1"/>
  <c r="A11890" i="1"/>
  <c r="B11890" i="1"/>
  <c r="C11890" i="1"/>
  <c r="D11890" i="1"/>
  <c r="A11891" i="1"/>
  <c r="B11891" i="1"/>
  <c r="C11891" i="1"/>
  <c r="D11891" i="1"/>
  <c r="A11892" i="1"/>
  <c r="B11892" i="1"/>
  <c r="C11892" i="1"/>
  <c r="D11892" i="1"/>
  <c r="A11893" i="1"/>
  <c r="B11893" i="1"/>
  <c r="C11893" i="1"/>
  <c r="D11893" i="1"/>
  <c r="A11894" i="1"/>
  <c r="B11894" i="1"/>
  <c r="C11894" i="1"/>
  <c r="D11894" i="1"/>
  <c r="A11895" i="1"/>
  <c r="B11895" i="1"/>
  <c r="C11895" i="1"/>
  <c r="D11895" i="1"/>
  <c r="A11896" i="1"/>
  <c r="B11896" i="1"/>
  <c r="C11896" i="1"/>
  <c r="A11897" i="1"/>
  <c r="B11897" i="1"/>
  <c r="C11897" i="1"/>
  <c r="D11897" i="1"/>
  <c r="A11898" i="1"/>
  <c r="B11898" i="1"/>
  <c r="C11898" i="1"/>
  <c r="D11898" i="1"/>
  <c r="A11899" i="1"/>
  <c r="B11899" i="1"/>
  <c r="C11899" i="1"/>
  <c r="D11899" i="1"/>
  <c r="A11900" i="1"/>
  <c r="B11900" i="1"/>
  <c r="C11900" i="1"/>
  <c r="D11900" i="1"/>
  <c r="A11901" i="1"/>
  <c r="B11901" i="1"/>
  <c r="C11901" i="1"/>
  <c r="D11901" i="1"/>
  <c r="A11902" i="1"/>
  <c r="B11902" i="1"/>
  <c r="C11902" i="1"/>
  <c r="D11902" i="1"/>
  <c r="A11903" i="1"/>
  <c r="B11903" i="1"/>
  <c r="C11903" i="1"/>
  <c r="D11903" i="1"/>
  <c r="A11904" i="1"/>
  <c r="B11904" i="1"/>
  <c r="C11904" i="1"/>
  <c r="D11904" i="1"/>
  <c r="A11905" i="1"/>
  <c r="B11905" i="1"/>
  <c r="C11905" i="1"/>
  <c r="D11905" i="1"/>
  <c r="A11906" i="1"/>
  <c r="B11906" i="1"/>
  <c r="C11906" i="1"/>
  <c r="D11906" i="1"/>
  <c r="A11907" i="1"/>
  <c r="B11907" i="1"/>
  <c r="C11907" i="1"/>
  <c r="D11907" i="1"/>
  <c r="A11908" i="1"/>
  <c r="B11908" i="1"/>
  <c r="C11908" i="1"/>
  <c r="D11908" i="1"/>
  <c r="A11909" i="1"/>
  <c r="B11909" i="1"/>
  <c r="C11909" i="1"/>
  <c r="D11909" i="1"/>
  <c r="A11910" i="1"/>
  <c r="B11910" i="1"/>
  <c r="C11910" i="1"/>
  <c r="A11911" i="1"/>
  <c r="B11911" i="1"/>
  <c r="C11911" i="1"/>
  <c r="D11911" i="1"/>
  <c r="A11912" i="1"/>
  <c r="B11912" i="1"/>
  <c r="C11912" i="1"/>
  <c r="D11912" i="1"/>
  <c r="A11913" i="1"/>
  <c r="B11913" i="1"/>
  <c r="C11913" i="1"/>
  <c r="D11913" i="1"/>
  <c r="A11914" i="1"/>
  <c r="B11914" i="1"/>
  <c r="C11914" i="1"/>
  <c r="D11914" i="1"/>
  <c r="A11915" i="1"/>
  <c r="B11915" i="1"/>
  <c r="C11915" i="1"/>
  <c r="D11915" i="1"/>
  <c r="A11916" i="1"/>
  <c r="B11916" i="1"/>
  <c r="C11916" i="1"/>
  <c r="D11916" i="1"/>
  <c r="A11917" i="1"/>
  <c r="B11917" i="1"/>
  <c r="C11917" i="1"/>
  <c r="D11917" i="1"/>
  <c r="A11918" i="1"/>
  <c r="B11918" i="1"/>
  <c r="C11918" i="1"/>
  <c r="D11918" i="1"/>
  <c r="A11919" i="1"/>
  <c r="B11919" i="1"/>
  <c r="C11919" i="1"/>
  <c r="D11919" i="1"/>
  <c r="A11920" i="1"/>
  <c r="B11920" i="1"/>
  <c r="C11920" i="1"/>
  <c r="D11920" i="1"/>
  <c r="A11921" i="1"/>
  <c r="B11921" i="1"/>
  <c r="C11921" i="1"/>
  <c r="D11921" i="1"/>
  <c r="A11922" i="1"/>
  <c r="B11922" i="1"/>
  <c r="C11922" i="1"/>
  <c r="D11922" i="1"/>
  <c r="A11923" i="1"/>
  <c r="B11923" i="1"/>
  <c r="C11923" i="1"/>
  <c r="D11923" i="1"/>
  <c r="A11924" i="1"/>
  <c r="B11924" i="1"/>
  <c r="C11924" i="1"/>
  <c r="D11924" i="1"/>
  <c r="A11925" i="1"/>
  <c r="B11925" i="1"/>
  <c r="C11925" i="1"/>
  <c r="A11926" i="1"/>
  <c r="B11926" i="1"/>
  <c r="C11926" i="1"/>
  <c r="D11926" i="1"/>
  <c r="A11927" i="1"/>
  <c r="B11927" i="1"/>
  <c r="C11927" i="1"/>
  <c r="D11927" i="1"/>
  <c r="A11928" i="1"/>
  <c r="B11928" i="1"/>
  <c r="C11928" i="1"/>
  <c r="D11928" i="1"/>
  <c r="A11929" i="1"/>
  <c r="B11929" i="1"/>
  <c r="C11929" i="1"/>
  <c r="D11929" i="1"/>
  <c r="A11930" i="1"/>
  <c r="B11930" i="1"/>
  <c r="C11930" i="1"/>
  <c r="D11930" i="1"/>
  <c r="A11931" i="1"/>
  <c r="B11931" i="1"/>
  <c r="C11931" i="1"/>
  <c r="D11931" i="1"/>
  <c r="A11932" i="1"/>
  <c r="B11932" i="1"/>
  <c r="C11932" i="1"/>
  <c r="D11932" i="1"/>
  <c r="A11933" i="1"/>
  <c r="B11933" i="1"/>
  <c r="C11933" i="1"/>
  <c r="D11933" i="1"/>
  <c r="A11934" i="1"/>
  <c r="B11934" i="1"/>
  <c r="C11934" i="1"/>
  <c r="D11934" i="1"/>
  <c r="A11935" i="1"/>
  <c r="B11935" i="1"/>
  <c r="C11935" i="1"/>
  <c r="D11935" i="1"/>
  <c r="A11936" i="1"/>
  <c r="B11936" i="1"/>
  <c r="C11936" i="1"/>
  <c r="D11936" i="1"/>
  <c r="A11937" i="1"/>
  <c r="B11937" i="1"/>
  <c r="C11937" i="1"/>
  <c r="D11937" i="1"/>
  <c r="A11938" i="1"/>
  <c r="B11938" i="1"/>
  <c r="C11938" i="1"/>
  <c r="D11938" i="1"/>
  <c r="A11939" i="1"/>
  <c r="B11939" i="1"/>
  <c r="C11939" i="1"/>
  <c r="D11939" i="1"/>
  <c r="A11940" i="1"/>
  <c r="B11940" i="1"/>
  <c r="C11940" i="1"/>
  <c r="D11940" i="1"/>
  <c r="A11941" i="1"/>
  <c r="B11941" i="1"/>
  <c r="C11941" i="1"/>
  <c r="D11941" i="1"/>
  <c r="A11942" i="1"/>
  <c r="B11942" i="1"/>
  <c r="C11942" i="1"/>
  <c r="D11942" i="1"/>
  <c r="A11943" i="1"/>
  <c r="B11943" i="1"/>
  <c r="C11943" i="1"/>
  <c r="D11943" i="1"/>
  <c r="A11944" i="1"/>
  <c r="B11944" i="1"/>
  <c r="C11944" i="1"/>
  <c r="D11944" i="1"/>
  <c r="A11945" i="1"/>
  <c r="B11945" i="1"/>
  <c r="C11945" i="1"/>
  <c r="D11945" i="1"/>
  <c r="A11946" i="1"/>
  <c r="B11946" i="1"/>
  <c r="C11946" i="1"/>
  <c r="D11946" i="1"/>
  <c r="A11947" i="1"/>
  <c r="B11947" i="1"/>
  <c r="C11947" i="1"/>
  <c r="D11947" i="1"/>
  <c r="A11948" i="1"/>
  <c r="B11948" i="1"/>
  <c r="C11948" i="1"/>
  <c r="D11948" i="1"/>
  <c r="A11949" i="1"/>
  <c r="B11949" i="1"/>
  <c r="C11949" i="1"/>
  <c r="D11949" i="1"/>
  <c r="A11950" i="1"/>
  <c r="B11950" i="1"/>
  <c r="C11950" i="1"/>
  <c r="D11950" i="1"/>
  <c r="A11951" i="1"/>
  <c r="B11951" i="1"/>
  <c r="C11951" i="1"/>
  <c r="D11951" i="1"/>
  <c r="A11952" i="1"/>
  <c r="B11952" i="1"/>
  <c r="C11952" i="1"/>
  <c r="D11952" i="1"/>
  <c r="A11953" i="1"/>
  <c r="B11953" i="1"/>
  <c r="C11953" i="1"/>
  <c r="D11953" i="1"/>
  <c r="A11954" i="1"/>
  <c r="B11954" i="1"/>
  <c r="C11954" i="1"/>
  <c r="D11954" i="1"/>
  <c r="A11955" i="1"/>
  <c r="B11955" i="1"/>
  <c r="C11955" i="1"/>
  <c r="D11955" i="1"/>
  <c r="A11956" i="1"/>
  <c r="B11956" i="1"/>
  <c r="C11956" i="1"/>
  <c r="D11956" i="1"/>
  <c r="A11957" i="1"/>
  <c r="B11957" i="1"/>
  <c r="C11957" i="1"/>
  <c r="D11957" i="1"/>
  <c r="A11958" i="1"/>
  <c r="B11958" i="1"/>
  <c r="C11958" i="1"/>
  <c r="D11958" i="1"/>
  <c r="A11959" i="1"/>
  <c r="B11959" i="1"/>
  <c r="C11959" i="1"/>
  <c r="D11959" i="1"/>
  <c r="A11960" i="1"/>
  <c r="B11960" i="1"/>
  <c r="C11960" i="1"/>
  <c r="D11960" i="1"/>
  <c r="A11961" i="1"/>
  <c r="B11961" i="1"/>
  <c r="C11961" i="1"/>
  <c r="D11961" i="1"/>
  <c r="A11962" i="1"/>
  <c r="B11962" i="1"/>
  <c r="C11962" i="1"/>
  <c r="D11962" i="1"/>
  <c r="A11963" i="1"/>
  <c r="B11963" i="1"/>
  <c r="C11963" i="1"/>
  <c r="D11963" i="1"/>
  <c r="A11964" i="1"/>
  <c r="B11964" i="1"/>
  <c r="C11964" i="1"/>
  <c r="D11964" i="1"/>
  <c r="A11965" i="1"/>
  <c r="B11965" i="1"/>
  <c r="C11965" i="1"/>
  <c r="D11965" i="1"/>
  <c r="A11966" i="1"/>
  <c r="B11966" i="1"/>
  <c r="C11966" i="1"/>
  <c r="D11966" i="1"/>
  <c r="A11967" i="1"/>
  <c r="B11967" i="1"/>
  <c r="C11967" i="1"/>
  <c r="D11967" i="1"/>
  <c r="A11968" i="1"/>
  <c r="B11968" i="1"/>
  <c r="C11968" i="1"/>
  <c r="D11968" i="1"/>
  <c r="A11969" i="1"/>
  <c r="B11969" i="1"/>
  <c r="C11969" i="1"/>
  <c r="D11969" i="1"/>
  <c r="A11970" i="1"/>
  <c r="B11970" i="1"/>
  <c r="C11970" i="1"/>
  <c r="D11970" i="1"/>
  <c r="A11971" i="1"/>
  <c r="B11971" i="1"/>
  <c r="C11971" i="1"/>
  <c r="D11971" i="1"/>
  <c r="A11972" i="1"/>
  <c r="B11972" i="1"/>
  <c r="C11972" i="1"/>
  <c r="D11972" i="1"/>
  <c r="A11973" i="1"/>
  <c r="B11973" i="1"/>
  <c r="C11973" i="1"/>
  <c r="D11973" i="1"/>
  <c r="A11974" i="1"/>
  <c r="B11974" i="1"/>
  <c r="C11974" i="1"/>
  <c r="D11974" i="1"/>
  <c r="A11975" i="1"/>
  <c r="B11975" i="1"/>
  <c r="C11975" i="1"/>
  <c r="D11975" i="1"/>
  <c r="A11976" i="1"/>
  <c r="B11976" i="1"/>
  <c r="C11976" i="1"/>
  <c r="D11976" i="1"/>
  <c r="A11977" i="1"/>
  <c r="B11977" i="1"/>
  <c r="C11977" i="1"/>
  <c r="D11977" i="1"/>
  <c r="A11978" i="1"/>
  <c r="B11978" i="1"/>
  <c r="C11978" i="1"/>
  <c r="D11978" i="1"/>
  <c r="A11979" i="1"/>
  <c r="B11979" i="1"/>
  <c r="C11979" i="1"/>
  <c r="D11979" i="1"/>
  <c r="A11980" i="1"/>
  <c r="B11980" i="1"/>
  <c r="C11980" i="1"/>
  <c r="D11980" i="1"/>
  <c r="A11981" i="1"/>
  <c r="B11981" i="1"/>
  <c r="C11981" i="1"/>
  <c r="D11981" i="1"/>
  <c r="A11982" i="1"/>
  <c r="B11982" i="1"/>
  <c r="C11982" i="1"/>
  <c r="D11982" i="1"/>
  <c r="A11983" i="1"/>
  <c r="B11983" i="1"/>
  <c r="C11983" i="1"/>
  <c r="D11983" i="1"/>
  <c r="A11984" i="1"/>
  <c r="B11984" i="1"/>
  <c r="C11984" i="1"/>
  <c r="D11984" i="1"/>
  <c r="A11985" i="1"/>
  <c r="B11985" i="1"/>
  <c r="C11985" i="1"/>
  <c r="D11985" i="1"/>
  <c r="A11986" i="1"/>
  <c r="B11986" i="1"/>
  <c r="C11986" i="1"/>
  <c r="D11986" i="1"/>
  <c r="A11987" i="1"/>
  <c r="B11987" i="1"/>
  <c r="C11987" i="1"/>
  <c r="D11987" i="1"/>
  <c r="A11988" i="1"/>
  <c r="B11988" i="1"/>
  <c r="C11988" i="1"/>
  <c r="D11988" i="1"/>
  <c r="A11989" i="1"/>
  <c r="B11989" i="1"/>
  <c r="C11989" i="1"/>
  <c r="D11989" i="1"/>
  <c r="A11990" i="1"/>
  <c r="B11990" i="1"/>
  <c r="C11990" i="1"/>
  <c r="D11990" i="1"/>
  <c r="A11991" i="1"/>
  <c r="B11991" i="1"/>
  <c r="C11991" i="1"/>
  <c r="D11991" i="1"/>
  <c r="A11992" i="1"/>
  <c r="B11992" i="1"/>
  <c r="C11992" i="1"/>
  <c r="D11992" i="1"/>
  <c r="A11993" i="1"/>
  <c r="B11993" i="1"/>
  <c r="C11993" i="1"/>
  <c r="D11993" i="1"/>
  <c r="A11994" i="1"/>
  <c r="B11994" i="1"/>
  <c r="C11994" i="1"/>
  <c r="D11994" i="1"/>
  <c r="A11995" i="1"/>
  <c r="B11995" i="1"/>
  <c r="C11995" i="1"/>
  <c r="D11995" i="1"/>
  <c r="A11996" i="1"/>
  <c r="B11996" i="1"/>
  <c r="C11996" i="1"/>
  <c r="D11996" i="1"/>
  <c r="A11997" i="1"/>
  <c r="B11997" i="1"/>
  <c r="C11997" i="1"/>
  <c r="D11997" i="1"/>
  <c r="A11998" i="1"/>
  <c r="B11998" i="1"/>
  <c r="C11998" i="1"/>
  <c r="D11998" i="1"/>
  <c r="A11999" i="1"/>
  <c r="B11999" i="1"/>
  <c r="C11999" i="1"/>
  <c r="D11999" i="1"/>
  <c r="A12000" i="1"/>
  <c r="B12000" i="1"/>
  <c r="C12000" i="1"/>
  <c r="D12000" i="1"/>
  <c r="A12001" i="1"/>
  <c r="B12001" i="1"/>
  <c r="C12001" i="1"/>
  <c r="D12001" i="1"/>
  <c r="A12002" i="1"/>
  <c r="B12002" i="1"/>
  <c r="C12002" i="1"/>
  <c r="D12002" i="1"/>
  <c r="A12003" i="1"/>
  <c r="B12003" i="1"/>
  <c r="C12003" i="1"/>
  <c r="D12003" i="1"/>
  <c r="A12004" i="1"/>
  <c r="B12004" i="1"/>
  <c r="C12004" i="1"/>
  <c r="D12004" i="1"/>
  <c r="A12005" i="1"/>
  <c r="B12005" i="1"/>
  <c r="C12005" i="1"/>
  <c r="D12005" i="1"/>
  <c r="A12006" i="1"/>
  <c r="B12006" i="1"/>
  <c r="C12006" i="1"/>
  <c r="D12006" i="1"/>
  <c r="A12007" i="1"/>
  <c r="B12007" i="1"/>
  <c r="C12007" i="1"/>
  <c r="D12007" i="1"/>
  <c r="A12008" i="1"/>
  <c r="B12008" i="1"/>
  <c r="C12008" i="1"/>
  <c r="D12008" i="1"/>
  <c r="A12009" i="1"/>
  <c r="B12009" i="1"/>
  <c r="C12009" i="1"/>
  <c r="D12009" i="1"/>
  <c r="A12010" i="1"/>
  <c r="B12010" i="1"/>
  <c r="C12010" i="1"/>
  <c r="D12010" i="1"/>
  <c r="A12011" i="1"/>
  <c r="B12011" i="1"/>
  <c r="C12011" i="1"/>
  <c r="D12011" i="1"/>
  <c r="A12012" i="1"/>
  <c r="B12012" i="1"/>
  <c r="C12012" i="1"/>
  <c r="D12012" i="1"/>
  <c r="A12013" i="1"/>
  <c r="B12013" i="1"/>
  <c r="C12013" i="1"/>
  <c r="D12013" i="1"/>
  <c r="A12014" i="1"/>
  <c r="B12014" i="1"/>
  <c r="C12014" i="1"/>
  <c r="D12014" i="1"/>
  <c r="A12015" i="1"/>
  <c r="B12015" i="1"/>
  <c r="C12015" i="1"/>
  <c r="D12015" i="1"/>
  <c r="A12016" i="1"/>
  <c r="B12016" i="1"/>
  <c r="C12016" i="1"/>
  <c r="D12016" i="1"/>
  <c r="A12017" i="1"/>
  <c r="B12017" i="1"/>
  <c r="C12017" i="1"/>
  <c r="D12017" i="1"/>
  <c r="A12018" i="1"/>
  <c r="B12018" i="1"/>
  <c r="C12018" i="1"/>
  <c r="D12018" i="1"/>
  <c r="A12019" i="1"/>
  <c r="B12019" i="1"/>
  <c r="C12019" i="1"/>
  <c r="D12019" i="1"/>
  <c r="A12020" i="1"/>
  <c r="B12020" i="1"/>
  <c r="C12020" i="1"/>
  <c r="D12020" i="1"/>
  <c r="A12021" i="1"/>
  <c r="B12021" i="1"/>
  <c r="C12021" i="1"/>
  <c r="D12021" i="1"/>
  <c r="A12022" i="1"/>
  <c r="B12022" i="1"/>
  <c r="C12022" i="1"/>
  <c r="A12023" i="1"/>
  <c r="B12023" i="1"/>
  <c r="C12023" i="1"/>
  <c r="D12023" i="1"/>
  <c r="A12024" i="1"/>
  <c r="B12024" i="1"/>
  <c r="C12024" i="1"/>
  <c r="D12024" i="1"/>
  <c r="A12025" i="1"/>
  <c r="B12025" i="1"/>
  <c r="C12025" i="1"/>
  <c r="D12025" i="1"/>
  <c r="A12026" i="1"/>
  <c r="B12026" i="1"/>
  <c r="C12026" i="1"/>
  <c r="D12026" i="1"/>
  <c r="A12027" i="1"/>
  <c r="B12027" i="1"/>
  <c r="C12027" i="1"/>
  <c r="D12027" i="1"/>
  <c r="A12028" i="1"/>
  <c r="B12028" i="1"/>
  <c r="C12028" i="1"/>
  <c r="D12028" i="1"/>
  <c r="A12029" i="1"/>
  <c r="B12029" i="1"/>
  <c r="C12029" i="1"/>
  <c r="D12029" i="1"/>
  <c r="A12030" i="1"/>
  <c r="B12030" i="1"/>
  <c r="C12030" i="1"/>
  <c r="D12030" i="1"/>
  <c r="A12031" i="1"/>
  <c r="B12031" i="1"/>
  <c r="C12031" i="1"/>
  <c r="D12031" i="1"/>
  <c r="A12032" i="1"/>
  <c r="B12032" i="1"/>
  <c r="C12032" i="1"/>
  <c r="D12032" i="1"/>
  <c r="A12033" i="1"/>
  <c r="B12033" i="1"/>
  <c r="C12033" i="1"/>
  <c r="D12033" i="1"/>
  <c r="A12034" i="1"/>
  <c r="B12034" i="1"/>
  <c r="C12034" i="1"/>
  <c r="D12034" i="1"/>
  <c r="A12035" i="1"/>
  <c r="B12035" i="1"/>
  <c r="C12035" i="1"/>
  <c r="A12036" i="1"/>
  <c r="B12036" i="1"/>
  <c r="C12036" i="1"/>
  <c r="D12036" i="1"/>
  <c r="A12037" i="1"/>
  <c r="B12037" i="1"/>
  <c r="C12037" i="1"/>
  <c r="D12037" i="1"/>
  <c r="A12038" i="1"/>
  <c r="B12038" i="1"/>
  <c r="C12038" i="1"/>
  <c r="D12038" i="1"/>
  <c r="A12039" i="1"/>
  <c r="B12039" i="1"/>
  <c r="C12039" i="1"/>
  <c r="D12039" i="1"/>
  <c r="A12040" i="1"/>
  <c r="B12040" i="1"/>
  <c r="C12040" i="1"/>
  <c r="D12040" i="1"/>
  <c r="A12041" i="1"/>
  <c r="B12041" i="1"/>
  <c r="C12041" i="1"/>
  <c r="D12041" i="1"/>
  <c r="A12042" i="1"/>
  <c r="B12042" i="1"/>
  <c r="C12042" i="1"/>
  <c r="D12042" i="1"/>
  <c r="A12043" i="1"/>
  <c r="B12043" i="1"/>
  <c r="C12043" i="1"/>
  <c r="D12043" i="1"/>
  <c r="A12044" i="1"/>
  <c r="B12044" i="1"/>
  <c r="C12044" i="1"/>
  <c r="D12044" i="1"/>
  <c r="A12045" i="1"/>
  <c r="B12045" i="1"/>
  <c r="C12045" i="1"/>
  <c r="D12045" i="1"/>
  <c r="A12046" i="1"/>
  <c r="B12046" i="1"/>
  <c r="C12046" i="1"/>
  <c r="D12046" i="1"/>
  <c r="A12047" i="1"/>
  <c r="B12047" i="1"/>
  <c r="C12047" i="1"/>
  <c r="D12047" i="1"/>
  <c r="A12048" i="1"/>
  <c r="B12048" i="1"/>
  <c r="C12048" i="1"/>
  <c r="D12048" i="1"/>
  <c r="A12049" i="1"/>
  <c r="B12049" i="1"/>
  <c r="C12049" i="1"/>
  <c r="D12049" i="1"/>
  <c r="A12050" i="1"/>
  <c r="B12050" i="1"/>
  <c r="C12050" i="1"/>
  <c r="D12050" i="1"/>
  <c r="A12051" i="1"/>
  <c r="B12051" i="1"/>
  <c r="C12051" i="1"/>
  <c r="D12051" i="1"/>
  <c r="A12052" i="1"/>
  <c r="B12052" i="1"/>
  <c r="C12052" i="1"/>
  <c r="D12052" i="1"/>
  <c r="A12053" i="1"/>
  <c r="B12053" i="1"/>
  <c r="C12053" i="1"/>
  <c r="D12053" i="1"/>
  <c r="A12054" i="1"/>
  <c r="B12054" i="1"/>
  <c r="C12054" i="1"/>
  <c r="D12054" i="1"/>
  <c r="A12055" i="1"/>
  <c r="B12055" i="1"/>
  <c r="C12055" i="1"/>
  <c r="D12055" i="1"/>
  <c r="A12056" i="1"/>
  <c r="B12056" i="1"/>
  <c r="C12056" i="1"/>
  <c r="D12056" i="1"/>
  <c r="A12057" i="1"/>
  <c r="B12057" i="1"/>
  <c r="C12057" i="1"/>
  <c r="D12057" i="1"/>
  <c r="A12058" i="1"/>
  <c r="B12058" i="1"/>
  <c r="C12058" i="1"/>
  <c r="D12058" i="1"/>
  <c r="A12059" i="1"/>
  <c r="B12059" i="1"/>
  <c r="C12059" i="1"/>
  <c r="D12059" i="1"/>
  <c r="A12060" i="1"/>
  <c r="B12060" i="1"/>
  <c r="C12060" i="1"/>
  <c r="D12060" i="1"/>
  <c r="A12061" i="1"/>
  <c r="B12061" i="1"/>
  <c r="C12061" i="1"/>
  <c r="D12061" i="1"/>
  <c r="A12062" i="1"/>
  <c r="B12062" i="1"/>
  <c r="C12062" i="1"/>
  <c r="D12062" i="1"/>
  <c r="A12063" i="1"/>
  <c r="B12063" i="1"/>
  <c r="C12063" i="1"/>
  <c r="D12063" i="1"/>
  <c r="A12064" i="1"/>
  <c r="B12064" i="1"/>
  <c r="C12064" i="1"/>
  <c r="D12064" i="1"/>
  <c r="A12065" i="1"/>
  <c r="B12065" i="1"/>
  <c r="C12065" i="1"/>
  <c r="D12065" i="1"/>
  <c r="A12066" i="1"/>
  <c r="B12066" i="1"/>
  <c r="C12066" i="1"/>
  <c r="D12066" i="1"/>
  <c r="A12067" i="1"/>
  <c r="B12067" i="1"/>
  <c r="C12067" i="1"/>
  <c r="D12067" i="1"/>
  <c r="A12068" i="1"/>
  <c r="B12068" i="1"/>
  <c r="C12068" i="1"/>
  <c r="A12069" i="1"/>
  <c r="B12069" i="1"/>
  <c r="C12069" i="1"/>
  <c r="D12069" i="1"/>
  <c r="A12070" i="1"/>
  <c r="B12070" i="1"/>
  <c r="C12070" i="1"/>
  <c r="D12070" i="1"/>
  <c r="A12071" i="1"/>
  <c r="B12071" i="1"/>
  <c r="C12071" i="1"/>
  <c r="D12071" i="1"/>
  <c r="A12072" i="1"/>
  <c r="B12072" i="1"/>
  <c r="C12072" i="1"/>
  <c r="D12072" i="1"/>
  <c r="A12073" i="1"/>
  <c r="B12073" i="1"/>
  <c r="C12073" i="1"/>
  <c r="D12073" i="1"/>
  <c r="A12074" i="1"/>
  <c r="B12074" i="1"/>
  <c r="C12074" i="1"/>
  <c r="D12074" i="1"/>
  <c r="A12075" i="1"/>
  <c r="B12075" i="1"/>
  <c r="C12075" i="1"/>
  <c r="D12075" i="1"/>
  <c r="A12076" i="1"/>
  <c r="B12076" i="1"/>
  <c r="C12076" i="1"/>
  <c r="D12076" i="1"/>
  <c r="A12077" i="1"/>
  <c r="B12077" i="1"/>
  <c r="C12077" i="1"/>
  <c r="D12077" i="1"/>
  <c r="A12078" i="1"/>
  <c r="B12078" i="1"/>
  <c r="C12078" i="1"/>
  <c r="D12078" i="1"/>
  <c r="A12079" i="1"/>
  <c r="B12079" i="1"/>
  <c r="C12079" i="1"/>
  <c r="D12079" i="1"/>
  <c r="A12080" i="1"/>
  <c r="B12080" i="1"/>
  <c r="C12080" i="1"/>
  <c r="D12080" i="1"/>
  <c r="A12081" i="1"/>
  <c r="B12081" i="1"/>
  <c r="C12081" i="1"/>
  <c r="D12081" i="1"/>
  <c r="A12082" i="1"/>
  <c r="B12082" i="1"/>
  <c r="C12082" i="1"/>
  <c r="D12082" i="1"/>
  <c r="A12083" i="1"/>
  <c r="B12083" i="1"/>
  <c r="C12083" i="1"/>
  <c r="D12083" i="1"/>
  <c r="A12084" i="1"/>
  <c r="B12084" i="1"/>
  <c r="C12084" i="1"/>
  <c r="D12084" i="1"/>
  <c r="A12085" i="1"/>
  <c r="B12085" i="1"/>
  <c r="C12085" i="1"/>
  <c r="A12086" i="1"/>
  <c r="B12086" i="1"/>
  <c r="C12086" i="1"/>
  <c r="D12086" i="1"/>
  <c r="A12087" i="1"/>
  <c r="B12087" i="1"/>
  <c r="C12087" i="1"/>
  <c r="D12087" i="1"/>
  <c r="A12088" i="1"/>
  <c r="B12088" i="1"/>
  <c r="C12088" i="1"/>
  <c r="D12088" i="1"/>
  <c r="A12089" i="1"/>
  <c r="B12089" i="1"/>
  <c r="C12089" i="1"/>
  <c r="D12089" i="1"/>
  <c r="A12090" i="1"/>
  <c r="B12090" i="1"/>
  <c r="C12090" i="1"/>
  <c r="D12090" i="1"/>
  <c r="A12091" i="1"/>
  <c r="B12091" i="1"/>
  <c r="C12091" i="1"/>
  <c r="D12091" i="1"/>
  <c r="A12092" i="1"/>
  <c r="B12092" i="1"/>
  <c r="C12092" i="1"/>
  <c r="D12092" i="1"/>
  <c r="A12093" i="1"/>
  <c r="B12093" i="1"/>
  <c r="C12093" i="1"/>
  <c r="D12093" i="1"/>
  <c r="A12094" i="1"/>
  <c r="B12094" i="1"/>
  <c r="C12094" i="1"/>
  <c r="D12094" i="1"/>
  <c r="A12095" i="1"/>
  <c r="B12095" i="1"/>
  <c r="C12095" i="1"/>
  <c r="D12095" i="1"/>
  <c r="A12096" i="1"/>
  <c r="B12096" i="1"/>
  <c r="C12096" i="1"/>
  <c r="D12096" i="1"/>
  <c r="A12097" i="1"/>
  <c r="B12097" i="1"/>
  <c r="C12097" i="1"/>
  <c r="D12097" i="1"/>
  <c r="A12098" i="1"/>
  <c r="B12098" i="1"/>
  <c r="C12098" i="1"/>
  <c r="D12098" i="1"/>
  <c r="A12099" i="1"/>
  <c r="B12099" i="1"/>
  <c r="C12099" i="1"/>
  <c r="D12099" i="1"/>
  <c r="A12100" i="1"/>
  <c r="B12100" i="1"/>
  <c r="C12100" i="1"/>
  <c r="D12100" i="1"/>
  <c r="A12101" i="1"/>
  <c r="B12101" i="1"/>
  <c r="C12101" i="1"/>
  <c r="D12101" i="1"/>
  <c r="A12102" i="1"/>
  <c r="B12102" i="1"/>
  <c r="C12102" i="1"/>
  <c r="D12102" i="1"/>
  <c r="A12103" i="1"/>
  <c r="B12103" i="1"/>
  <c r="C12103" i="1"/>
  <c r="D12103" i="1"/>
  <c r="A12104" i="1"/>
  <c r="B12104" i="1"/>
  <c r="C12104" i="1"/>
  <c r="D12104" i="1"/>
  <c r="A12105" i="1"/>
  <c r="B12105" i="1"/>
  <c r="C12105" i="1"/>
  <c r="D12105" i="1"/>
  <c r="A12106" i="1"/>
  <c r="B12106" i="1"/>
  <c r="C12106" i="1"/>
  <c r="D12106" i="1"/>
  <c r="A12107" i="1"/>
  <c r="B12107" i="1"/>
  <c r="C12107" i="1"/>
  <c r="D12107" i="1"/>
  <c r="A12108" i="1"/>
  <c r="B12108" i="1"/>
  <c r="C12108" i="1"/>
  <c r="D12108" i="1"/>
  <c r="A12109" i="1"/>
  <c r="B12109" i="1"/>
  <c r="C12109" i="1"/>
  <c r="D12109" i="1"/>
  <c r="A12110" i="1"/>
  <c r="B12110" i="1"/>
  <c r="C12110" i="1"/>
  <c r="D12110" i="1"/>
  <c r="A12111" i="1"/>
  <c r="B12111" i="1"/>
  <c r="C12111" i="1"/>
  <c r="D12111" i="1"/>
  <c r="A12112" i="1"/>
  <c r="B12112" i="1"/>
  <c r="C12112" i="1"/>
  <c r="D12112" i="1"/>
  <c r="A12113" i="1"/>
  <c r="B12113" i="1"/>
  <c r="C12113" i="1"/>
  <c r="D12113" i="1"/>
  <c r="A12114" i="1"/>
  <c r="B12114" i="1"/>
  <c r="C12114" i="1"/>
  <c r="D12114" i="1"/>
  <c r="A12115" i="1"/>
  <c r="B12115" i="1"/>
  <c r="C12115" i="1"/>
  <c r="D12115" i="1"/>
  <c r="A12116" i="1"/>
  <c r="B12116" i="1"/>
  <c r="C12116" i="1"/>
  <c r="D12116" i="1"/>
  <c r="A12117" i="1"/>
  <c r="B12117" i="1"/>
  <c r="C12117" i="1"/>
  <c r="D12117" i="1"/>
  <c r="A12118" i="1"/>
  <c r="B12118" i="1"/>
  <c r="C12118" i="1"/>
  <c r="D12118" i="1"/>
  <c r="A12119" i="1"/>
  <c r="B12119" i="1"/>
  <c r="C12119" i="1"/>
  <c r="D12119" i="1"/>
  <c r="A12120" i="1"/>
  <c r="B12120" i="1"/>
  <c r="C12120" i="1"/>
  <c r="D12120" i="1"/>
  <c r="A12121" i="1"/>
  <c r="B12121" i="1"/>
  <c r="C12121" i="1"/>
  <c r="D12121" i="1"/>
  <c r="A12122" i="1"/>
  <c r="B12122" i="1"/>
  <c r="C12122" i="1"/>
  <c r="D12122" i="1"/>
  <c r="A12123" i="1"/>
  <c r="B12123" i="1"/>
  <c r="C12123" i="1"/>
  <c r="D12123" i="1"/>
  <c r="A12124" i="1"/>
  <c r="B12124" i="1"/>
  <c r="C12124" i="1"/>
  <c r="D12124" i="1"/>
  <c r="A12125" i="1"/>
  <c r="B12125" i="1"/>
  <c r="C12125" i="1"/>
  <c r="D12125" i="1"/>
  <c r="A12126" i="1"/>
  <c r="B12126" i="1"/>
  <c r="C12126" i="1"/>
  <c r="D12126" i="1"/>
  <c r="A12127" i="1"/>
  <c r="B12127" i="1"/>
  <c r="C12127" i="1"/>
  <c r="D12127" i="1"/>
  <c r="A12128" i="1"/>
  <c r="B12128" i="1"/>
  <c r="C12128" i="1"/>
  <c r="D12128" i="1"/>
  <c r="A12129" i="1"/>
  <c r="B12129" i="1"/>
  <c r="C12129" i="1"/>
  <c r="D12129" i="1"/>
  <c r="A12130" i="1"/>
  <c r="B12130" i="1"/>
  <c r="C12130" i="1"/>
  <c r="D12130" i="1"/>
  <c r="A12131" i="1"/>
  <c r="B12131" i="1"/>
  <c r="C12131" i="1"/>
  <c r="D12131" i="1"/>
  <c r="A12132" i="1"/>
  <c r="B12132" i="1"/>
  <c r="C12132" i="1"/>
  <c r="D12132" i="1"/>
  <c r="A12133" i="1"/>
  <c r="B12133" i="1"/>
  <c r="C12133" i="1"/>
  <c r="D12133" i="1"/>
  <c r="A12134" i="1"/>
  <c r="B12134" i="1"/>
  <c r="C12134" i="1"/>
  <c r="D12134" i="1"/>
  <c r="A12135" i="1"/>
  <c r="B12135" i="1"/>
  <c r="C12135" i="1"/>
  <c r="D12135" i="1"/>
  <c r="A12136" i="1"/>
  <c r="B12136" i="1"/>
  <c r="C12136" i="1"/>
  <c r="D12136" i="1"/>
  <c r="A12137" i="1"/>
  <c r="B12137" i="1"/>
  <c r="C12137" i="1"/>
  <c r="D12137" i="1"/>
  <c r="A12138" i="1"/>
  <c r="B12138" i="1"/>
  <c r="C12138" i="1"/>
  <c r="D12138" i="1"/>
  <c r="A12139" i="1"/>
  <c r="B12139" i="1"/>
  <c r="C12139" i="1"/>
  <c r="A12140" i="1"/>
  <c r="B12140" i="1"/>
  <c r="C12140" i="1"/>
  <c r="D12140" i="1"/>
  <c r="A12141" i="1"/>
  <c r="B12141" i="1"/>
  <c r="C12141" i="1"/>
  <c r="D12141" i="1"/>
  <c r="A12142" i="1"/>
  <c r="B12142" i="1"/>
  <c r="C12142" i="1"/>
  <c r="D12142" i="1"/>
  <c r="A12143" i="1"/>
  <c r="B12143" i="1"/>
  <c r="C12143" i="1"/>
  <c r="D12143" i="1"/>
  <c r="A12144" i="1"/>
  <c r="B12144" i="1"/>
  <c r="C12144" i="1"/>
  <c r="D12144" i="1"/>
  <c r="A12145" i="1"/>
  <c r="B12145" i="1"/>
  <c r="C12145" i="1"/>
  <c r="D12145" i="1"/>
  <c r="A12146" i="1"/>
  <c r="B12146" i="1"/>
  <c r="C12146" i="1"/>
  <c r="D12146" i="1"/>
  <c r="A12147" i="1"/>
  <c r="B12147" i="1"/>
  <c r="C12147" i="1"/>
  <c r="D12147" i="1"/>
  <c r="A12148" i="1"/>
  <c r="B12148" i="1"/>
  <c r="C12148" i="1"/>
  <c r="D12148" i="1"/>
  <c r="A12149" i="1"/>
  <c r="B12149" i="1"/>
  <c r="C12149" i="1"/>
  <c r="D12149" i="1"/>
  <c r="A12150" i="1"/>
  <c r="B12150" i="1"/>
  <c r="C12150" i="1"/>
  <c r="D12150" i="1"/>
  <c r="A12151" i="1"/>
  <c r="B12151" i="1"/>
  <c r="C12151" i="1"/>
  <c r="D12151" i="1"/>
  <c r="A12152" i="1"/>
  <c r="B12152" i="1"/>
  <c r="C12152" i="1"/>
  <c r="D12152" i="1"/>
  <c r="A12153" i="1"/>
  <c r="B12153" i="1"/>
  <c r="C12153" i="1"/>
  <c r="D12153" i="1"/>
  <c r="A12154" i="1"/>
  <c r="B12154" i="1"/>
  <c r="C12154" i="1"/>
  <c r="D12154" i="1"/>
  <c r="A12155" i="1"/>
  <c r="B12155" i="1"/>
  <c r="C12155" i="1"/>
  <c r="D12155" i="1"/>
  <c r="A12156" i="1"/>
  <c r="B12156" i="1"/>
  <c r="C12156" i="1"/>
  <c r="D12156" i="1"/>
  <c r="A12157" i="1"/>
  <c r="B12157" i="1"/>
  <c r="C12157" i="1"/>
  <c r="D12157" i="1"/>
  <c r="A12158" i="1"/>
  <c r="B12158" i="1"/>
  <c r="C12158" i="1"/>
  <c r="D12158" i="1"/>
  <c r="A12159" i="1"/>
  <c r="B12159" i="1"/>
  <c r="C12159" i="1"/>
  <c r="D12159" i="1"/>
  <c r="A12160" i="1"/>
  <c r="B12160" i="1"/>
  <c r="C12160" i="1"/>
  <c r="D12160" i="1"/>
  <c r="A12161" i="1"/>
  <c r="B12161" i="1"/>
  <c r="C12161" i="1"/>
  <c r="D12161" i="1"/>
  <c r="A12162" i="1"/>
  <c r="B12162" i="1"/>
  <c r="C12162" i="1"/>
  <c r="D12162" i="1"/>
  <c r="A12163" i="1"/>
  <c r="B12163" i="1"/>
  <c r="C12163" i="1"/>
  <c r="D12163" i="1"/>
  <c r="A12164" i="1"/>
  <c r="B12164" i="1"/>
  <c r="C12164" i="1"/>
  <c r="D12164" i="1"/>
  <c r="A12165" i="1"/>
  <c r="B12165" i="1"/>
  <c r="C12165" i="1"/>
  <c r="D12165" i="1"/>
  <c r="A12166" i="1"/>
  <c r="B12166" i="1"/>
  <c r="C12166" i="1"/>
  <c r="D12166" i="1"/>
  <c r="A12167" i="1"/>
  <c r="B12167" i="1"/>
  <c r="C12167" i="1"/>
  <c r="D12167" i="1"/>
  <c r="A12168" i="1"/>
  <c r="B12168" i="1"/>
  <c r="C12168" i="1"/>
  <c r="D12168" i="1"/>
  <c r="A12169" i="1"/>
  <c r="B12169" i="1"/>
  <c r="C12169" i="1"/>
  <c r="D12169" i="1"/>
  <c r="A12170" i="1"/>
  <c r="B12170" i="1"/>
  <c r="C12170" i="1"/>
  <c r="D12170" i="1"/>
  <c r="A12171" i="1"/>
  <c r="B12171" i="1"/>
  <c r="C12171" i="1"/>
  <c r="D12171" i="1"/>
  <c r="A12172" i="1"/>
  <c r="B12172" i="1"/>
  <c r="C12172" i="1"/>
  <c r="D12172" i="1"/>
  <c r="A12173" i="1"/>
  <c r="B12173" i="1"/>
  <c r="C12173" i="1"/>
  <c r="D12173" i="1"/>
  <c r="A12174" i="1"/>
  <c r="B12174" i="1"/>
  <c r="C12174" i="1"/>
  <c r="D12174" i="1"/>
  <c r="A12175" i="1"/>
  <c r="B12175" i="1"/>
  <c r="C12175" i="1"/>
  <c r="D12175" i="1"/>
  <c r="A12176" i="1"/>
  <c r="B12176" i="1"/>
  <c r="C12176" i="1"/>
  <c r="D12176" i="1"/>
  <c r="A12177" i="1"/>
  <c r="B12177" i="1"/>
  <c r="C12177" i="1"/>
  <c r="D12177" i="1"/>
  <c r="A12178" i="1"/>
  <c r="B12178" i="1"/>
  <c r="C12178" i="1"/>
  <c r="D12178" i="1"/>
  <c r="A12179" i="1"/>
  <c r="B12179" i="1"/>
  <c r="C12179" i="1"/>
  <c r="D12179" i="1"/>
  <c r="A12180" i="1"/>
  <c r="B12180" i="1"/>
  <c r="C12180" i="1"/>
  <c r="D12180" i="1"/>
  <c r="A12181" i="1"/>
  <c r="B12181" i="1"/>
  <c r="C12181" i="1"/>
  <c r="D12181" i="1"/>
  <c r="A12182" i="1"/>
  <c r="B12182" i="1"/>
  <c r="C12182" i="1"/>
  <c r="D12182" i="1"/>
  <c r="A12183" i="1"/>
  <c r="B12183" i="1"/>
  <c r="C12183" i="1"/>
  <c r="D12183" i="1"/>
  <c r="A12184" i="1"/>
  <c r="B12184" i="1"/>
  <c r="C12184" i="1"/>
  <c r="D12184" i="1"/>
  <c r="A12185" i="1"/>
  <c r="B12185" i="1"/>
  <c r="C12185" i="1"/>
  <c r="D12185" i="1"/>
  <c r="A12186" i="1"/>
  <c r="B12186" i="1"/>
  <c r="C12186" i="1"/>
  <c r="D12186" i="1"/>
  <c r="A12187" i="1"/>
  <c r="B12187" i="1"/>
  <c r="C12187" i="1"/>
  <c r="D12187" i="1"/>
  <c r="A12188" i="1"/>
  <c r="B12188" i="1"/>
  <c r="C12188" i="1"/>
  <c r="D12188" i="1"/>
  <c r="A12189" i="1"/>
  <c r="B12189" i="1"/>
  <c r="C12189" i="1"/>
  <c r="D12189" i="1"/>
  <c r="A12190" i="1"/>
  <c r="B12190" i="1"/>
  <c r="C12190" i="1"/>
  <c r="D12190" i="1"/>
  <c r="A12191" i="1"/>
  <c r="B12191" i="1"/>
  <c r="C12191" i="1"/>
  <c r="D12191" i="1"/>
  <c r="A12192" i="1"/>
  <c r="B12192" i="1"/>
  <c r="C12192" i="1"/>
  <c r="D12192" i="1"/>
  <c r="A12193" i="1"/>
  <c r="B12193" i="1"/>
  <c r="C12193" i="1"/>
  <c r="D12193" i="1"/>
  <c r="A12194" i="1"/>
  <c r="B12194" i="1"/>
  <c r="C12194" i="1"/>
  <c r="D12194" i="1"/>
  <c r="A12195" i="1"/>
  <c r="B12195" i="1"/>
  <c r="C12195" i="1"/>
  <c r="D12195" i="1"/>
  <c r="A12196" i="1"/>
  <c r="B12196" i="1"/>
  <c r="C12196" i="1"/>
  <c r="D12196" i="1"/>
  <c r="A12197" i="1"/>
  <c r="B12197" i="1"/>
  <c r="C12197" i="1"/>
  <c r="D12197" i="1"/>
  <c r="A12198" i="1"/>
  <c r="B12198" i="1"/>
  <c r="C12198" i="1"/>
  <c r="D12198" i="1"/>
  <c r="A12199" i="1"/>
  <c r="B12199" i="1"/>
  <c r="C12199" i="1"/>
  <c r="D12199" i="1"/>
  <c r="A12200" i="1"/>
  <c r="B12200" i="1"/>
  <c r="C12200" i="1"/>
  <c r="D12200" i="1"/>
  <c r="A12201" i="1"/>
  <c r="B12201" i="1"/>
  <c r="C12201" i="1"/>
  <c r="D12201" i="1"/>
  <c r="A12202" i="1"/>
  <c r="B12202" i="1"/>
  <c r="C12202" i="1"/>
  <c r="D12202" i="1"/>
  <c r="A12203" i="1"/>
  <c r="B12203" i="1"/>
  <c r="C12203" i="1"/>
  <c r="D12203" i="1"/>
  <c r="A12204" i="1"/>
  <c r="B12204" i="1"/>
  <c r="C12204" i="1"/>
  <c r="D12204" i="1"/>
  <c r="A12205" i="1"/>
  <c r="B12205" i="1"/>
  <c r="C12205" i="1"/>
  <c r="D12205" i="1"/>
  <c r="A12206" i="1"/>
  <c r="B12206" i="1"/>
  <c r="C12206" i="1"/>
  <c r="D12206" i="1"/>
  <c r="A12207" i="1"/>
  <c r="B12207" i="1"/>
  <c r="C12207" i="1"/>
  <c r="D12207" i="1"/>
  <c r="A12208" i="1"/>
  <c r="B12208" i="1"/>
  <c r="C12208" i="1"/>
  <c r="D12208" i="1"/>
  <c r="A12209" i="1"/>
  <c r="B12209" i="1"/>
  <c r="C12209" i="1"/>
  <c r="D12209" i="1"/>
  <c r="A12210" i="1"/>
  <c r="B12210" i="1"/>
  <c r="C12210" i="1"/>
  <c r="D12210" i="1"/>
  <c r="A12211" i="1"/>
  <c r="B12211" i="1"/>
  <c r="C12211" i="1"/>
  <c r="D12211" i="1"/>
  <c r="A12212" i="1"/>
  <c r="B12212" i="1"/>
  <c r="C12212" i="1"/>
  <c r="D12212" i="1"/>
  <c r="A12213" i="1"/>
  <c r="B12213" i="1"/>
  <c r="C12213" i="1"/>
  <c r="D12213" i="1"/>
  <c r="A12214" i="1"/>
  <c r="B12214" i="1"/>
  <c r="C12214" i="1"/>
  <c r="D12214" i="1"/>
  <c r="A12215" i="1"/>
  <c r="B12215" i="1"/>
  <c r="C12215" i="1"/>
  <c r="D12215" i="1"/>
  <c r="A12216" i="1"/>
  <c r="B12216" i="1"/>
  <c r="C12216" i="1"/>
  <c r="D12216" i="1"/>
  <c r="A12217" i="1"/>
  <c r="B12217" i="1"/>
  <c r="C12217" i="1"/>
  <c r="D12217" i="1"/>
  <c r="A12218" i="1"/>
  <c r="B12218" i="1"/>
  <c r="C12218" i="1"/>
  <c r="D12218" i="1"/>
  <c r="A12219" i="1"/>
  <c r="B12219" i="1"/>
  <c r="C12219" i="1"/>
  <c r="D12219" i="1"/>
  <c r="A12220" i="1"/>
  <c r="B12220" i="1"/>
  <c r="C12220" i="1"/>
  <c r="D12220" i="1"/>
  <c r="A12221" i="1"/>
  <c r="B12221" i="1"/>
  <c r="C12221" i="1"/>
  <c r="D12221" i="1"/>
  <c r="A12222" i="1"/>
  <c r="B12222" i="1"/>
  <c r="C12222" i="1"/>
  <c r="D12222" i="1"/>
  <c r="A12223" i="1"/>
  <c r="B12223" i="1"/>
  <c r="C12223" i="1"/>
  <c r="D12223" i="1"/>
  <c r="A12224" i="1"/>
  <c r="B12224" i="1"/>
  <c r="C12224" i="1"/>
  <c r="D12224" i="1"/>
  <c r="A12225" i="1"/>
  <c r="B12225" i="1"/>
  <c r="C12225" i="1"/>
  <c r="D12225" i="1"/>
  <c r="A12226" i="1"/>
  <c r="B12226" i="1"/>
  <c r="C12226" i="1"/>
  <c r="D12226" i="1"/>
  <c r="A12227" i="1"/>
  <c r="B12227" i="1"/>
  <c r="C12227" i="1"/>
  <c r="D12227" i="1"/>
  <c r="A12228" i="1"/>
  <c r="B12228" i="1"/>
  <c r="C12228" i="1"/>
  <c r="A12229" i="1"/>
  <c r="B12229" i="1"/>
  <c r="C12229" i="1"/>
  <c r="D12229" i="1"/>
  <c r="A12230" i="1"/>
  <c r="B12230" i="1"/>
  <c r="C12230" i="1"/>
  <c r="D12230" i="1"/>
  <c r="A12231" i="1"/>
  <c r="B12231" i="1"/>
  <c r="C12231" i="1"/>
  <c r="D12231" i="1"/>
  <c r="A12232" i="1"/>
  <c r="B12232" i="1"/>
  <c r="C12232" i="1"/>
  <c r="D12232" i="1"/>
  <c r="A12233" i="1"/>
  <c r="B12233" i="1"/>
  <c r="C12233" i="1"/>
  <c r="D12233" i="1"/>
  <c r="A12234" i="1"/>
  <c r="B12234" i="1"/>
  <c r="C12234" i="1"/>
  <c r="D12234" i="1"/>
  <c r="A12235" i="1"/>
  <c r="B12235" i="1"/>
  <c r="C12235" i="1"/>
  <c r="D12235" i="1"/>
  <c r="A12236" i="1"/>
  <c r="B12236" i="1"/>
  <c r="C12236" i="1"/>
  <c r="D12236" i="1"/>
  <c r="A12237" i="1"/>
  <c r="B12237" i="1"/>
  <c r="C12237" i="1"/>
  <c r="D12237" i="1"/>
  <c r="A12238" i="1"/>
  <c r="B12238" i="1"/>
  <c r="C12238" i="1"/>
  <c r="D12238" i="1"/>
  <c r="A12239" i="1"/>
  <c r="B12239" i="1"/>
  <c r="C12239" i="1"/>
  <c r="D12239" i="1"/>
  <c r="A12240" i="1"/>
  <c r="B12240" i="1"/>
  <c r="C12240" i="1"/>
  <c r="D12240" i="1"/>
  <c r="A12241" i="1"/>
  <c r="B12241" i="1"/>
  <c r="C12241" i="1"/>
  <c r="D12241" i="1"/>
  <c r="A12242" i="1"/>
  <c r="B12242" i="1"/>
  <c r="C12242" i="1"/>
  <c r="D12242" i="1"/>
  <c r="A12243" i="1"/>
  <c r="B12243" i="1"/>
  <c r="C12243" i="1"/>
  <c r="D12243" i="1"/>
  <c r="A12244" i="1"/>
  <c r="B12244" i="1"/>
  <c r="C12244" i="1"/>
  <c r="D12244" i="1"/>
  <c r="A12245" i="1"/>
  <c r="B12245" i="1"/>
  <c r="C12245" i="1"/>
  <c r="D12245" i="1"/>
  <c r="A12246" i="1"/>
  <c r="B12246" i="1"/>
  <c r="C12246" i="1"/>
  <c r="D12246" i="1"/>
  <c r="A12247" i="1"/>
  <c r="B12247" i="1"/>
  <c r="C12247" i="1"/>
  <c r="D12247" i="1"/>
  <c r="A12248" i="1"/>
  <c r="B12248" i="1"/>
  <c r="C12248" i="1"/>
  <c r="D12248" i="1"/>
  <c r="A12249" i="1"/>
  <c r="B12249" i="1"/>
  <c r="C12249" i="1"/>
  <c r="D12249" i="1"/>
  <c r="A12250" i="1"/>
  <c r="B12250" i="1"/>
  <c r="C12250" i="1"/>
  <c r="D12250" i="1"/>
  <c r="A12251" i="1"/>
  <c r="B12251" i="1"/>
  <c r="C12251" i="1"/>
  <c r="D12251" i="1"/>
  <c r="A12252" i="1"/>
  <c r="B12252" i="1"/>
  <c r="C12252" i="1"/>
  <c r="D12252" i="1"/>
  <c r="A12253" i="1"/>
  <c r="B12253" i="1"/>
  <c r="C12253" i="1"/>
  <c r="D12253" i="1"/>
  <c r="A12254" i="1"/>
  <c r="B12254" i="1"/>
  <c r="C12254" i="1"/>
  <c r="D12254" i="1"/>
  <c r="A12255" i="1"/>
  <c r="B12255" i="1"/>
  <c r="C12255" i="1"/>
  <c r="D12255" i="1"/>
  <c r="A12256" i="1"/>
  <c r="B12256" i="1"/>
  <c r="C12256" i="1"/>
  <c r="D12256" i="1"/>
  <c r="A12257" i="1"/>
  <c r="B12257" i="1"/>
  <c r="C12257" i="1"/>
  <c r="D12257" i="1"/>
  <c r="A12258" i="1"/>
  <c r="B12258" i="1"/>
  <c r="C12258" i="1"/>
  <c r="D12258" i="1"/>
  <c r="A12259" i="1"/>
  <c r="B12259" i="1"/>
  <c r="C12259" i="1"/>
  <c r="D12259" i="1"/>
  <c r="A12260" i="1"/>
  <c r="B12260" i="1"/>
  <c r="C12260" i="1"/>
  <c r="D12260" i="1"/>
  <c r="A12261" i="1"/>
  <c r="B12261" i="1"/>
  <c r="C12261" i="1"/>
  <c r="D12261" i="1"/>
  <c r="A12262" i="1"/>
  <c r="B12262" i="1"/>
  <c r="C12262" i="1"/>
  <c r="D12262" i="1"/>
  <c r="A12263" i="1"/>
  <c r="B12263" i="1"/>
  <c r="C12263" i="1"/>
  <c r="D12263" i="1"/>
  <c r="A12264" i="1"/>
  <c r="B12264" i="1"/>
  <c r="C12264" i="1"/>
  <c r="D12264" i="1"/>
  <c r="A12265" i="1"/>
  <c r="B12265" i="1"/>
  <c r="C12265" i="1"/>
  <c r="D12265" i="1"/>
  <c r="A12266" i="1"/>
  <c r="B12266" i="1"/>
  <c r="C12266" i="1"/>
  <c r="D12266" i="1"/>
  <c r="A12267" i="1"/>
  <c r="B12267" i="1"/>
  <c r="C12267" i="1"/>
  <c r="D12267" i="1"/>
  <c r="A12268" i="1"/>
  <c r="B12268" i="1"/>
  <c r="C12268" i="1"/>
  <c r="D12268" i="1"/>
  <c r="A12269" i="1"/>
  <c r="B12269" i="1"/>
  <c r="C12269" i="1"/>
  <c r="D12269" i="1"/>
  <c r="A12270" i="1"/>
  <c r="B12270" i="1"/>
  <c r="C12270" i="1"/>
  <c r="D12270" i="1"/>
  <c r="A12271" i="1"/>
  <c r="B12271" i="1"/>
  <c r="C12271" i="1"/>
  <c r="D12271" i="1"/>
  <c r="A12272" i="1"/>
  <c r="B12272" i="1"/>
  <c r="C12272" i="1"/>
  <c r="D12272" i="1"/>
  <c r="A12273" i="1"/>
  <c r="B12273" i="1"/>
  <c r="C12273" i="1"/>
  <c r="D12273" i="1"/>
  <c r="A12274" i="1"/>
  <c r="B12274" i="1"/>
  <c r="C12274" i="1"/>
  <c r="D12274" i="1"/>
  <c r="A12275" i="1"/>
  <c r="B12275" i="1"/>
  <c r="C12275" i="1"/>
  <c r="D12275" i="1"/>
  <c r="A12276" i="1"/>
  <c r="B12276" i="1"/>
  <c r="C12276" i="1"/>
  <c r="D12276" i="1"/>
  <c r="A12277" i="1"/>
  <c r="B12277" i="1"/>
  <c r="C12277" i="1"/>
  <c r="D12277" i="1"/>
  <c r="A12278" i="1"/>
  <c r="B12278" i="1"/>
  <c r="C12278" i="1"/>
  <c r="D12278" i="1"/>
  <c r="A12279" i="1"/>
  <c r="B12279" i="1"/>
  <c r="C12279" i="1"/>
  <c r="D12279" i="1"/>
  <c r="A12280" i="1"/>
  <c r="B12280" i="1"/>
  <c r="C12280" i="1"/>
  <c r="D12280" i="1"/>
  <c r="A12281" i="1"/>
  <c r="B12281" i="1"/>
  <c r="C12281" i="1"/>
  <c r="D12281" i="1"/>
  <c r="A12282" i="1"/>
  <c r="B12282" i="1"/>
  <c r="C12282" i="1"/>
  <c r="D12282" i="1"/>
  <c r="A12283" i="1"/>
  <c r="B12283" i="1"/>
  <c r="C12283" i="1"/>
  <c r="D12283" i="1"/>
  <c r="A12284" i="1"/>
  <c r="B12284" i="1"/>
  <c r="C12284" i="1"/>
  <c r="D12284" i="1"/>
  <c r="A12285" i="1"/>
  <c r="B12285" i="1"/>
  <c r="C12285" i="1"/>
  <c r="D12285" i="1"/>
  <c r="A12286" i="1"/>
  <c r="B12286" i="1"/>
  <c r="C12286" i="1"/>
  <c r="D12286" i="1"/>
  <c r="A12287" i="1"/>
  <c r="B12287" i="1"/>
  <c r="C12287" i="1"/>
  <c r="A12288" i="1"/>
  <c r="B12288" i="1"/>
  <c r="C12288" i="1"/>
  <c r="D12288" i="1"/>
  <c r="A12289" i="1"/>
  <c r="B12289" i="1"/>
  <c r="C12289" i="1"/>
  <c r="D12289" i="1"/>
  <c r="A12290" i="1"/>
  <c r="B12290" i="1"/>
  <c r="C12290" i="1"/>
  <c r="D12290" i="1"/>
  <c r="A12291" i="1"/>
  <c r="B12291" i="1"/>
  <c r="C12291" i="1"/>
  <c r="D12291" i="1"/>
  <c r="A12292" i="1"/>
  <c r="B12292" i="1"/>
  <c r="C12292" i="1"/>
  <c r="D12292" i="1"/>
  <c r="A12293" i="1"/>
  <c r="B12293" i="1"/>
  <c r="C12293" i="1"/>
  <c r="D12293" i="1"/>
  <c r="A12294" i="1"/>
  <c r="B12294" i="1"/>
  <c r="C12294" i="1"/>
  <c r="D12294" i="1"/>
  <c r="A12295" i="1"/>
  <c r="B12295" i="1"/>
  <c r="C12295" i="1"/>
  <c r="D12295" i="1"/>
  <c r="A12296" i="1"/>
  <c r="B12296" i="1"/>
  <c r="C12296" i="1"/>
  <c r="D12296" i="1"/>
  <c r="A12297" i="1"/>
  <c r="B12297" i="1"/>
  <c r="C12297" i="1"/>
  <c r="D12297" i="1"/>
  <c r="A12298" i="1"/>
  <c r="B12298" i="1"/>
  <c r="C12298" i="1"/>
  <c r="D12298" i="1"/>
  <c r="A12299" i="1"/>
  <c r="B12299" i="1"/>
  <c r="C12299" i="1"/>
  <c r="D12299" i="1"/>
  <c r="A12300" i="1"/>
  <c r="B12300" i="1"/>
  <c r="C12300" i="1"/>
  <c r="D12300" i="1"/>
  <c r="A12301" i="1"/>
  <c r="B12301" i="1"/>
  <c r="C12301" i="1"/>
  <c r="D12301" i="1"/>
  <c r="A12302" i="1"/>
  <c r="B12302" i="1"/>
  <c r="C12302" i="1"/>
  <c r="D12302" i="1"/>
  <c r="A12303" i="1"/>
  <c r="B12303" i="1"/>
  <c r="C12303" i="1"/>
  <c r="D12303" i="1"/>
  <c r="A12304" i="1"/>
  <c r="B12304" i="1"/>
  <c r="C12304" i="1"/>
  <c r="D12304" i="1"/>
  <c r="A12305" i="1"/>
  <c r="B12305" i="1"/>
  <c r="C12305" i="1"/>
  <c r="D12305" i="1"/>
  <c r="A12306" i="1"/>
  <c r="B12306" i="1"/>
  <c r="C12306" i="1"/>
  <c r="D12306" i="1"/>
  <c r="A12307" i="1"/>
  <c r="B12307" i="1"/>
  <c r="C12307" i="1"/>
  <c r="D12307" i="1"/>
  <c r="A12308" i="1"/>
  <c r="B12308" i="1"/>
  <c r="C12308" i="1"/>
  <c r="D12308" i="1"/>
  <c r="A12309" i="1"/>
  <c r="B12309" i="1"/>
  <c r="C12309" i="1"/>
  <c r="D12309" i="1"/>
  <c r="A12310" i="1"/>
  <c r="B12310" i="1"/>
  <c r="C12310" i="1"/>
  <c r="D12310" i="1"/>
  <c r="A12311" i="1"/>
  <c r="B12311" i="1"/>
  <c r="C12311" i="1"/>
  <c r="D12311" i="1"/>
  <c r="A12312" i="1"/>
  <c r="B12312" i="1"/>
  <c r="C12312" i="1"/>
  <c r="D12312" i="1"/>
  <c r="A12313" i="1"/>
  <c r="B12313" i="1"/>
  <c r="C12313" i="1"/>
  <c r="A12314" i="1"/>
  <c r="B12314" i="1"/>
  <c r="C12314" i="1"/>
  <c r="D12314" i="1"/>
  <c r="A12315" i="1"/>
  <c r="B12315" i="1"/>
  <c r="C12315" i="1"/>
  <c r="D12315" i="1"/>
  <c r="A12316" i="1"/>
  <c r="B12316" i="1"/>
  <c r="C12316" i="1"/>
  <c r="D12316" i="1"/>
  <c r="A12317" i="1"/>
  <c r="B12317" i="1"/>
  <c r="C12317" i="1"/>
  <c r="A12318" i="1"/>
  <c r="B12318" i="1"/>
  <c r="C12318" i="1"/>
  <c r="D12318" i="1"/>
  <c r="A12319" i="1"/>
  <c r="B12319" i="1"/>
  <c r="C12319" i="1"/>
  <c r="D12319" i="1"/>
  <c r="A12320" i="1"/>
  <c r="B12320" i="1"/>
  <c r="C12320" i="1"/>
  <c r="A12321" i="1"/>
  <c r="B12321" i="1"/>
  <c r="C12321" i="1"/>
  <c r="D12321" i="1"/>
  <c r="A12322" i="1"/>
  <c r="B12322" i="1"/>
  <c r="C12322" i="1"/>
  <c r="D12322" i="1"/>
  <c r="A12323" i="1"/>
  <c r="B12323" i="1"/>
  <c r="C12323" i="1"/>
  <c r="D12323" i="1"/>
  <c r="A12324" i="1"/>
  <c r="B12324" i="1"/>
  <c r="C12324" i="1"/>
  <c r="D12324" i="1"/>
  <c r="A12325" i="1"/>
  <c r="B12325" i="1"/>
  <c r="C12325" i="1"/>
  <c r="D12325" i="1"/>
  <c r="A12326" i="1"/>
  <c r="B12326" i="1"/>
  <c r="C12326" i="1"/>
  <c r="D12326" i="1"/>
  <c r="A12327" i="1"/>
  <c r="B12327" i="1"/>
  <c r="C12327" i="1"/>
  <c r="D12327" i="1"/>
  <c r="A12328" i="1"/>
  <c r="B12328" i="1"/>
  <c r="C12328" i="1"/>
  <c r="D12328" i="1"/>
  <c r="A12329" i="1"/>
  <c r="B12329" i="1"/>
  <c r="C12329" i="1"/>
  <c r="D12329" i="1"/>
  <c r="A12330" i="1"/>
  <c r="B12330" i="1"/>
  <c r="C12330" i="1"/>
  <c r="D12330" i="1"/>
  <c r="A12331" i="1"/>
  <c r="B12331" i="1"/>
  <c r="C12331" i="1"/>
  <c r="D12331" i="1"/>
  <c r="A12332" i="1"/>
  <c r="B12332" i="1"/>
  <c r="C12332" i="1"/>
  <c r="D12332" i="1"/>
  <c r="A12333" i="1"/>
  <c r="B12333" i="1"/>
  <c r="C12333" i="1"/>
  <c r="D12333" i="1"/>
  <c r="A12334" i="1"/>
  <c r="B12334" i="1"/>
  <c r="C12334" i="1"/>
  <c r="D12334" i="1"/>
  <c r="A12335" i="1"/>
  <c r="B12335" i="1"/>
  <c r="C12335" i="1"/>
  <c r="D12335" i="1"/>
  <c r="A12336" i="1"/>
  <c r="B12336" i="1"/>
  <c r="C12336" i="1"/>
  <c r="D12336" i="1"/>
  <c r="A12337" i="1"/>
  <c r="B12337" i="1"/>
  <c r="C12337" i="1"/>
  <c r="D12337" i="1"/>
  <c r="A12338" i="1"/>
  <c r="B12338" i="1"/>
  <c r="C12338" i="1"/>
  <c r="D12338" i="1"/>
  <c r="A12339" i="1"/>
  <c r="B12339" i="1"/>
  <c r="C12339" i="1"/>
  <c r="D12339" i="1"/>
  <c r="A12340" i="1"/>
  <c r="B12340" i="1"/>
  <c r="C12340" i="1"/>
  <c r="D12340" i="1"/>
  <c r="A12341" i="1"/>
  <c r="B12341" i="1"/>
  <c r="C12341" i="1"/>
  <c r="D12341" i="1"/>
  <c r="A12342" i="1"/>
  <c r="B12342" i="1"/>
  <c r="C12342" i="1"/>
  <c r="D12342" i="1"/>
  <c r="A12343" i="1"/>
  <c r="B12343" i="1"/>
  <c r="C12343" i="1"/>
  <c r="D12343" i="1"/>
  <c r="A12344" i="1"/>
  <c r="B12344" i="1"/>
  <c r="C12344" i="1"/>
  <c r="D12344" i="1"/>
  <c r="A12345" i="1"/>
  <c r="B12345" i="1"/>
  <c r="C12345" i="1"/>
  <c r="D12345" i="1"/>
  <c r="A12346" i="1"/>
  <c r="B12346" i="1"/>
  <c r="C12346" i="1"/>
  <c r="D12346" i="1"/>
  <c r="A12347" i="1"/>
  <c r="B12347" i="1"/>
  <c r="C12347" i="1"/>
  <c r="D12347" i="1"/>
  <c r="A12348" i="1"/>
  <c r="B12348" i="1"/>
  <c r="C12348" i="1"/>
  <c r="D12348" i="1"/>
  <c r="A12349" i="1"/>
  <c r="B12349" i="1"/>
  <c r="C12349" i="1"/>
  <c r="D12349" i="1"/>
  <c r="A12350" i="1"/>
  <c r="B12350" i="1"/>
  <c r="C12350" i="1"/>
  <c r="A12351" i="1"/>
  <c r="B12351" i="1"/>
  <c r="C12351" i="1"/>
  <c r="D12351" i="1"/>
  <c r="A12352" i="1"/>
  <c r="B12352" i="1"/>
  <c r="C12352" i="1"/>
  <c r="D12352" i="1"/>
  <c r="A12353" i="1"/>
  <c r="B12353" i="1"/>
  <c r="C12353" i="1"/>
  <c r="A12354" i="1"/>
  <c r="B12354" i="1"/>
  <c r="C12354" i="1"/>
  <c r="D12354" i="1"/>
  <c r="A12355" i="1"/>
  <c r="B12355" i="1"/>
  <c r="C12355" i="1"/>
  <c r="D12355" i="1"/>
  <c r="A12356" i="1"/>
  <c r="B12356" i="1"/>
  <c r="C12356" i="1"/>
  <c r="D12356" i="1"/>
  <c r="A12357" i="1"/>
  <c r="B12357" i="1"/>
  <c r="C12357" i="1"/>
  <c r="D12357" i="1"/>
  <c r="A12358" i="1"/>
  <c r="B12358" i="1"/>
  <c r="C12358" i="1"/>
  <c r="D12358" i="1"/>
  <c r="A12359" i="1"/>
  <c r="B12359" i="1"/>
  <c r="C12359" i="1"/>
  <c r="D12359" i="1"/>
  <c r="A12360" i="1"/>
  <c r="B12360" i="1"/>
  <c r="C12360" i="1"/>
  <c r="D12360" i="1"/>
  <c r="A12361" i="1"/>
  <c r="B12361" i="1"/>
  <c r="C12361" i="1"/>
  <c r="D12361" i="1"/>
  <c r="A12362" i="1"/>
  <c r="B12362" i="1"/>
  <c r="C12362" i="1"/>
  <c r="D12362" i="1"/>
  <c r="A12363" i="1"/>
  <c r="B12363" i="1"/>
  <c r="C12363" i="1"/>
  <c r="D12363" i="1"/>
  <c r="A12364" i="1"/>
  <c r="B12364" i="1"/>
  <c r="C12364" i="1"/>
  <c r="D12364" i="1"/>
  <c r="A12365" i="1"/>
  <c r="B12365" i="1"/>
  <c r="C12365" i="1"/>
  <c r="D12365" i="1"/>
  <c r="A12366" i="1"/>
  <c r="B12366" i="1"/>
  <c r="C12366" i="1"/>
  <c r="A12367" i="1"/>
  <c r="B12367" i="1"/>
  <c r="C12367" i="1"/>
  <c r="D12367" i="1"/>
  <c r="A12368" i="1"/>
  <c r="B12368" i="1"/>
  <c r="C12368" i="1"/>
  <c r="D12368" i="1"/>
  <c r="A12369" i="1"/>
  <c r="B12369" i="1"/>
  <c r="C12369" i="1"/>
  <c r="D12369" i="1"/>
  <c r="A12370" i="1"/>
  <c r="B12370" i="1"/>
  <c r="C12370" i="1"/>
  <c r="D12370" i="1"/>
  <c r="A12371" i="1"/>
  <c r="B12371" i="1"/>
  <c r="C12371" i="1"/>
  <c r="D12371" i="1"/>
  <c r="A12372" i="1"/>
  <c r="B12372" i="1"/>
  <c r="C12372" i="1"/>
  <c r="D12372" i="1"/>
  <c r="A12373" i="1"/>
  <c r="B12373" i="1"/>
  <c r="C12373" i="1"/>
  <c r="D12373" i="1"/>
  <c r="A12374" i="1"/>
  <c r="B12374" i="1"/>
  <c r="C12374" i="1"/>
  <c r="D12374" i="1"/>
  <c r="A12375" i="1"/>
  <c r="B12375" i="1"/>
  <c r="C12375" i="1"/>
  <c r="D12375" i="1"/>
  <c r="A12376" i="1"/>
  <c r="B12376" i="1"/>
  <c r="C12376" i="1"/>
  <c r="D12376" i="1"/>
  <c r="A12377" i="1"/>
  <c r="B12377" i="1"/>
  <c r="C12377" i="1"/>
  <c r="D12377" i="1"/>
  <c r="A12378" i="1"/>
  <c r="B12378" i="1"/>
  <c r="C12378" i="1"/>
  <c r="D12378" i="1"/>
  <c r="A12379" i="1"/>
  <c r="B12379" i="1"/>
  <c r="C12379" i="1"/>
  <c r="D12379" i="1"/>
  <c r="A12380" i="1"/>
  <c r="B12380" i="1"/>
  <c r="C12380" i="1"/>
  <c r="D12380" i="1"/>
  <c r="A12381" i="1"/>
  <c r="B12381" i="1"/>
  <c r="C12381" i="1"/>
  <c r="D12381" i="1"/>
  <c r="A12382" i="1"/>
  <c r="B12382" i="1"/>
  <c r="C12382" i="1"/>
  <c r="D12382" i="1"/>
  <c r="A12383" i="1"/>
  <c r="B12383" i="1"/>
  <c r="C12383" i="1"/>
  <c r="D12383" i="1"/>
  <c r="A12384" i="1"/>
  <c r="B12384" i="1"/>
  <c r="C12384" i="1"/>
  <c r="A12385" i="1"/>
  <c r="B12385" i="1"/>
  <c r="C12385" i="1"/>
  <c r="D12385" i="1"/>
  <c r="A12386" i="1"/>
  <c r="B12386" i="1"/>
  <c r="C12386" i="1"/>
  <c r="D12386" i="1"/>
  <c r="A12387" i="1"/>
  <c r="B12387" i="1"/>
  <c r="C12387" i="1"/>
  <c r="D12387" i="1"/>
  <c r="A12388" i="1"/>
  <c r="B12388" i="1"/>
  <c r="C12388" i="1"/>
  <c r="D12388" i="1"/>
  <c r="A12389" i="1"/>
  <c r="B12389" i="1"/>
  <c r="C12389" i="1"/>
  <c r="D12389" i="1"/>
  <c r="A12390" i="1"/>
  <c r="B12390" i="1"/>
  <c r="C12390" i="1"/>
  <c r="D12390" i="1"/>
  <c r="A12391" i="1"/>
  <c r="B12391" i="1"/>
  <c r="C12391" i="1"/>
  <c r="D12391" i="1"/>
  <c r="A12392" i="1"/>
  <c r="B12392" i="1"/>
  <c r="C12392" i="1"/>
  <c r="D12392" i="1"/>
  <c r="A12393" i="1"/>
  <c r="B12393" i="1"/>
  <c r="C12393" i="1"/>
  <c r="D12393" i="1"/>
  <c r="A12394" i="1"/>
  <c r="B12394" i="1"/>
  <c r="C12394" i="1"/>
  <c r="D12394" i="1"/>
  <c r="A12395" i="1"/>
  <c r="B12395" i="1"/>
  <c r="C12395" i="1"/>
  <c r="D12395" i="1"/>
  <c r="A12396" i="1"/>
  <c r="B12396" i="1"/>
  <c r="C12396" i="1"/>
  <c r="D12396" i="1"/>
  <c r="A12397" i="1"/>
  <c r="B12397" i="1"/>
  <c r="C12397" i="1"/>
  <c r="D12397" i="1"/>
  <c r="A12398" i="1"/>
  <c r="B12398" i="1"/>
  <c r="C12398" i="1"/>
  <c r="A12399" i="1"/>
  <c r="B12399" i="1"/>
  <c r="C12399" i="1"/>
  <c r="D12399" i="1"/>
  <c r="A12400" i="1"/>
  <c r="B12400" i="1"/>
  <c r="C12400" i="1"/>
  <c r="D12400" i="1"/>
  <c r="A12401" i="1"/>
  <c r="B12401" i="1"/>
  <c r="C12401" i="1"/>
  <c r="D12401" i="1"/>
  <c r="A12402" i="1"/>
  <c r="B12402" i="1"/>
  <c r="C12402" i="1"/>
  <c r="D12402" i="1"/>
  <c r="A12403" i="1"/>
  <c r="B12403" i="1"/>
  <c r="C12403" i="1"/>
  <c r="D12403" i="1"/>
  <c r="A12404" i="1"/>
  <c r="B12404" i="1"/>
  <c r="C12404" i="1"/>
  <c r="D12404" i="1"/>
  <c r="A12405" i="1"/>
  <c r="B12405" i="1"/>
  <c r="C12405" i="1"/>
  <c r="D12405" i="1"/>
  <c r="A12406" i="1"/>
  <c r="B12406" i="1"/>
  <c r="C12406" i="1"/>
  <c r="D12406" i="1"/>
  <c r="A12407" i="1"/>
  <c r="B12407" i="1"/>
  <c r="C12407" i="1"/>
  <c r="D12407" i="1"/>
  <c r="A12408" i="1"/>
  <c r="B12408" i="1"/>
  <c r="C12408" i="1"/>
  <c r="D12408" i="1"/>
  <c r="A12409" i="1"/>
  <c r="B12409" i="1"/>
  <c r="C12409" i="1"/>
  <c r="D12409" i="1"/>
  <c r="A12410" i="1"/>
  <c r="B12410" i="1"/>
  <c r="C12410" i="1"/>
  <c r="D12410" i="1"/>
  <c r="A12411" i="1"/>
  <c r="B12411" i="1"/>
  <c r="C12411" i="1"/>
  <c r="D12411" i="1"/>
  <c r="A12412" i="1"/>
  <c r="B12412" i="1"/>
  <c r="C12412" i="1"/>
  <c r="A12413" i="1"/>
  <c r="B12413" i="1"/>
  <c r="C12413" i="1"/>
  <c r="D12413" i="1"/>
  <c r="A12414" i="1"/>
  <c r="B12414" i="1"/>
  <c r="C12414" i="1"/>
  <c r="D12414" i="1"/>
  <c r="A12415" i="1"/>
  <c r="B12415" i="1"/>
  <c r="C12415" i="1"/>
  <c r="D12415" i="1"/>
  <c r="A12416" i="1"/>
  <c r="B12416" i="1"/>
  <c r="C12416" i="1"/>
  <c r="D12416" i="1"/>
  <c r="A12417" i="1"/>
  <c r="B12417" i="1"/>
  <c r="C12417" i="1"/>
  <c r="D12417" i="1"/>
  <c r="A12418" i="1"/>
  <c r="B12418" i="1"/>
  <c r="C12418" i="1"/>
  <c r="D12418" i="1"/>
  <c r="A12419" i="1"/>
  <c r="B12419" i="1"/>
  <c r="C12419" i="1"/>
  <c r="D12419" i="1"/>
  <c r="A12420" i="1"/>
  <c r="B12420" i="1"/>
  <c r="C12420" i="1"/>
  <c r="A12421" i="1"/>
  <c r="B12421" i="1"/>
  <c r="C12421" i="1"/>
  <c r="D12421" i="1"/>
  <c r="A12422" i="1"/>
  <c r="B12422" i="1"/>
  <c r="C12422" i="1"/>
  <c r="D12422" i="1"/>
  <c r="A12423" i="1"/>
  <c r="B12423" i="1"/>
  <c r="C12423" i="1"/>
  <c r="D12423" i="1"/>
  <c r="A12424" i="1"/>
  <c r="B12424" i="1"/>
  <c r="C12424" i="1"/>
  <c r="D12424" i="1"/>
  <c r="A12425" i="1"/>
  <c r="B12425" i="1"/>
  <c r="C12425" i="1"/>
  <c r="D12425" i="1"/>
  <c r="A12426" i="1"/>
  <c r="B12426" i="1"/>
  <c r="C12426" i="1"/>
  <c r="D12426" i="1"/>
  <c r="A12427" i="1"/>
  <c r="B12427" i="1"/>
  <c r="C12427" i="1"/>
  <c r="D12427" i="1"/>
  <c r="A12428" i="1"/>
  <c r="B12428" i="1"/>
  <c r="C12428" i="1"/>
  <c r="D12428" i="1"/>
  <c r="A12429" i="1"/>
  <c r="B12429" i="1"/>
  <c r="C12429" i="1"/>
  <c r="D12429" i="1"/>
  <c r="A12430" i="1"/>
  <c r="B12430" i="1"/>
  <c r="C12430" i="1"/>
  <c r="D12430" i="1"/>
  <c r="A12431" i="1"/>
  <c r="B12431" i="1"/>
  <c r="C12431" i="1"/>
  <c r="D12431" i="1"/>
  <c r="A12432" i="1"/>
  <c r="B12432" i="1"/>
  <c r="C12432" i="1"/>
  <c r="D12432" i="1"/>
  <c r="A12433" i="1"/>
  <c r="B12433" i="1"/>
  <c r="C12433" i="1"/>
  <c r="D12433" i="1"/>
  <c r="A12434" i="1"/>
  <c r="B12434" i="1"/>
  <c r="C12434" i="1"/>
  <c r="A12435" i="1"/>
  <c r="B12435" i="1"/>
  <c r="C12435" i="1"/>
  <c r="D12435" i="1"/>
  <c r="A12436" i="1"/>
  <c r="B12436" i="1"/>
  <c r="C12436" i="1"/>
  <c r="D12436" i="1"/>
  <c r="A12437" i="1"/>
  <c r="B12437" i="1"/>
  <c r="C12437" i="1"/>
  <c r="D12437" i="1"/>
  <c r="A12438" i="1"/>
  <c r="B12438" i="1"/>
  <c r="C12438" i="1"/>
  <c r="D12438" i="1"/>
  <c r="A12439" i="1"/>
  <c r="B12439" i="1"/>
  <c r="C12439" i="1"/>
  <c r="D12439" i="1"/>
  <c r="A12440" i="1"/>
  <c r="B12440" i="1"/>
  <c r="C12440" i="1"/>
  <c r="D12440" i="1"/>
  <c r="A12441" i="1"/>
  <c r="B12441" i="1"/>
  <c r="C12441" i="1"/>
  <c r="D12441" i="1"/>
  <c r="A12442" i="1"/>
  <c r="B12442" i="1"/>
  <c r="C12442" i="1"/>
  <c r="D12442" i="1"/>
  <c r="A12443" i="1"/>
  <c r="B12443" i="1"/>
  <c r="C12443" i="1"/>
  <c r="D12443" i="1"/>
  <c r="A12444" i="1"/>
  <c r="B12444" i="1"/>
  <c r="C12444" i="1"/>
  <c r="D12444" i="1"/>
  <c r="A12445" i="1"/>
  <c r="B12445" i="1"/>
  <c r="C12445" i="1"/>
  <c r="D12445" i="1"/>
  <c r="A12446" i="1"/>
  <c r="B12446" i="1"/>
  <c r="C12446" i="1"/>
  <c r="D12446" i="1"/>
  <c r="A12447" i="1"/>
  <c r="B12447" i="1"/>
  <c r="C12447" i="1"/>
  <c r="D12447" i="1"/>
  <c r="A12448" i="1"/>
  <c r="B12448" i="1"/>
  <c r="C12448" i="1"/>
  <c r="D12448" i="1"/>
  <c r="A12449" i="1"/>
  <c r="B12449" i="1"/>
  <c r="C12449" i="1"/>
  <c r="D12449" i="1"/>
  <c r="A12450" i="1"/>
  <c r="B12450" i="1"/>
  <c r="C12450" i="1"/>
  <c r="D12450" i="1"/>
  <c r="A12451" i="1"/>
  <c r="B12451" i="1"/>
  <c r="C12451" i="1"/>
  <c r="D12451" i="1"/>
  <c r="A12452" i="1"/>
  <c r="B12452" i="1"/>
  <c r="C12452" i="1"/>
  <c r="D12452" i="1"/>
  <c r="A12453" i="1"/>
  <c r="B12453" i="1"/>
  <c r="C12453" i="1"/>
  <c r="D12453" i="1"/>
  <c r="A12454" i="1"/>
  <c r="B12454" i="1"/>
  <c r="C12454" i="1"/>
  <c r="D12454" i="1"/>
  <c r="A12455" i="1"/>
  <c r="B12455" i="1"/>
  <c r="C12455" i="1"/>
  <c r="D12455" i="1"/>
  <c r="A12456" i="1"/>
  <c r="B12456" i="1"/>
  <c r="C12456" i="1"/>
  <c r="D12456" i="1"/>
  <c r="A12457" i="1"/>
  <c r="B12457" i="1"/>
  <c r="C12457" i="1"/>
  <c r="D12457" i="1"/>
  <c r="A12458" i="1"/>
  <c r="B12458" i="1"/>
  <c r="C12458" i="1"/>
  <c r="D12458" i="1"/>
  <c r="A12459" i="1"/>
  <c r="B12459" i="1"/>
  <c r="C12459" i="1"/>
  <c r="D12459" i="1"/>
  <c r="A12460" i="1"/>
  <c r="B12460" i="1"/>
  <c r="C12460" i="1"/>
  <c r="D12460" i="1"/>
  <c r="A12461" i="1"/>
  <c r="B12461" i="1"/>
  <c r="C12461" i="1"/>
  <c r="D12461" i="1"/>
  <c r="A12462" i="1"/>
  <c r="B12462" i="1"/>
  <c r="C12462" i="1"/>
  <c r="D12462" i="1"/>
  <c r="A12463" i="1"/>
  <c r="B12463" i="1"/>
  <c r="C12463" i="1"/>
  <c r="D12463" i="1"/>
  <c r="A12464" i="1"/>
  <c r="B12464" i="1"/>
  <c r="C12464" i="1"/>
  <c r="D12464" i="1"/>
  <c r="A12465" i="1"/>
  <c r="B12465" i="1"/>
  <c r="C12465" i="1"/>
  <c r="D12465" i="1"/>
  <c r="A12466" i="1"/>
  <c r="B12466" i="1"/>
  <c r="C12466" i="1"/>
  <c r="D12466" i="1"/>
  <c r="A12467" i="1"/>
  <c r="B12467" i="1"/>
  <c r="C12467" i="1"/>
  <c r="D12467" i="1"/>
  <c r="A12468" i="1"/>
  <c r="B12468" i="1"/>
  <c r="C12468" i="1"/>
  <c r="D12468" i="1"/>
  <c r="A12469" i="1"/>
  <c r="B12469" i="1"/>
  <c r="C12469" i="1"/>
  <c r="D12469" i="1"/>
  <c r="A12470" i="1"/>
  <c r="B12470" i="1"/>
  <c r="C12470" i="1"/>
  <c r="D12470" i="1"/>
  <c r="A12471" i="1"/>
  <c r="B12471" i="1"/>
  <c r="C12471" i="1"/>
  <c r="D12471" i="1"/>
  <c r="A12472" i="1"/>
  <c r="B12472" i="1"/>
  <c r="C12472" i="1"/>
  <c r="D12472" i="1"/>
  <c r="A12473" i="1"/>
  <c r="B12473" i="1"/>
  <c r="C12473" i="1"/>
  <c r="D12473" i="1"/>
  <c r="A12474" i="1"/>
  <c r="B12474" i="1"/>
  <c r="C12474" i="1"/>
  <c r="D12474" i="1"/>
  <c r="A12475" i="1"/>
  <c r="B12475" i="1"/>
  <c r="C12475" i="1"/>
  <c r="D12475" i="1"/>
  <c r="A12476" i="1"/>
  <c r="B12476" i="1"/>
  <c r="C12476" i="1"/>
  <c r="D12476" i="1"/>
  <c r="A12477" i="1"/>
  <c r="B12477" i="1"/>
  <c r="C12477" i="1"/>
  <c r="D12477" i="1"/>
  <c r="A12478" i="1"/>
  <c r="B12478" i="1"/>
  <c r="C12478" i="1"/>
  <c r="D12478" i="1"/>
  <c r="A12479" i="1"/>
  <c r="B12479" i="1"/>
  <c r="C12479" i="1"/>
  <c r="D12479" i="1"/>
  <c r="A12480" i="1"/>
  <c r="B12480" i="1"/>
  <c r="C12480" i="1"/>
  <c r="D12480" i="1"/>
  <c r="A12481" i="1"/>
  <c r="B12481" i="1"/>
  <c r="C12481" i="1"/>
  <c r="D12481" i="1"/>
  <c r="A12482" i="1"/>
  <c r="B12482" i="1"/>
  <c r="C12482" i="1"/>
  <c r="D12482" i="1"/>
  <c r="A12483" i="1"/>
  <c r="B12483" i="1"/>
  <c r="C12483" i="1"/>
  <c r="D12483" i="1"/>
  <c r="A12484" i="1"/>
  <c r="B12484" i="1"/>
  <c r="C12484" i="1"/>
  <c r="D12484" i="1"/>
  <c r="A12485" i="1"/>
  <c r="B12485" i="1"/>
  <c r="C12485" i="1"/>
  <c r="D12485" i="1"/>
  <c r="A12486" i="1"/>
  <c r="B12486" i="1"/>
  <c r="C12486" i="1"/>
  <c r="D12486" i="1"/>
  <c r="A12487" i="1"/>
  <c r="B12487" i="1"/>
  <c r="C12487" i="1"/>
  <c r="D12487" i="1"/>
  <c r="A12488" i="1"/>
  <c r="B12488" i="1"/>
  <c r="C12488" i="1"/>
  <c r="D12488" i="1"/>
  <c r="A12489" i="1"/>
  <c r="B12489" i="1"/>
  <c r="C12489" i="1"/>
  <c r="D12489" i="1"/>
  <c r="A12490" i="1"/>
  <c r="B12490" i="1"/>
  <c r="C12490" i="1"/>
  <c r="D12490" i="1"/>
  <c r="A12491" i="1"/>
  <c r="B12491" i="1"/>
  <c r="C12491" i="1"/>
  <c r="D12491" i="1"/>
  <c r="A12492" i="1"/>
  <c r="B12492" i="1"/>
  <c r="C12492" i="1"/>
  <c r="D12492" i="1"/>
  <c r="A12493" i="1"/>
  <c r="B12493" i="1"/>
  <c r="C12493" i="1"/>
  <c r="D12493" i="1"/>
  <c r="A12494" i="1"/>
  <c r="B12494" i="1"/>
  <c r="C12494" i="1"/>
  <c r="D12494" i="1"/>
  <c r="A12495" i="1"/>
  <c r="B12495" i="1"/>
  <c r="C12495" i="1"/>
  <c r="D12495" i="1"/>
  <c r="A12496" i="1"/>
  <c r="B12496" i="1"/>
  <c r="C12496" i="1"/>
  <c r="D12496" i="1"/>
  <c r="A12497" i="1"/>
  <c r="B12497" i="1"/>
  <c r="C12497" i="1"/>
  <c r="D12497" i="1"/>
  <c r="A12498" i="1"/>
  <c r="B12498" i="1"/>
  <c r="C12498" i="1"/>
  <c r="D12498" i="1"/>
  <c r="A12499" i="1"/>
  <c r="B12499" i="1"/>
  <c r="C12499" i="1"/>
  <c r="D12499" i="1"/>
  <c r="A12500" i="1"/>
  <c r="B12500" i="1"/>
  <c r="C12500" i="1"/>
  <c r="D12500" i="1"/>
  <c r="A12501" i="1"/>
  <c r="B12501" i="1"/>
  <c r="C12501" i="1"/>
  <c r="A12502" i="1"/>
  <c r="B12502" i="1"/>
  <c r="C12502" i="1"/>
  <c r="D12502" i="1"/>
  <c r="A12503" i="1"/>
  <c r="B12503" i="1"/>
  <c r="C12503" i="1"/>
  <c r="D12503" i="1"/>
  <c r="A12504" i="1"/>
  <c r="B12504" i="1"/>
  <c r="C12504" i="1"/>
  <c r="A12505" i="1"/>
  <c r="B12505" i="1"/>
  <c r="C12505" i="1"/>
  <c r="D12505" i="1"/>
  <c r="A12506" i="1"/>
  <c r="B12506" i="1"/>
  <c r="C12506" i="1"/>
  <c r="D12506" i="1"/>
  <c r="A12507" i="1"/>
  <c r="B12507" i="1"/>
  <c r="C12507" i="1"/>
  <c r="D12507" i="1"/>
  <c r="A12508" i="1"/>
  <c r="B12508" i="1"/>
  <c r="C12508" i="1"/>
  <c r="D12508" i="1"/>
  <c r="A12509" i="1"/>
  <c r="B12509" i="1"/>
  <c r="C12509" i="1"/>
  <c r="D12509" i="1"/>
  <c r="A12510" i="1"/>
  <c r="B12510" i="1"/>
  <c r="C12510" i="1"/>
  <c r="D12510" i="1"/>
  <c r="A12511" i="1"/>
  <c r="B12511" i="1"/>
  <c r="C12511" i="1"/>
  <c r="D12511" i="1"/>
  <c r="A12512" i="1"/>
  <c r="B12512" i="1"/>
  <c r="C12512" i="1"/>
  <c r="D12512" i="1"/>
  <c r="A12513" i="1"/>
  <c r="B12513" i="1"/>
  <c r="C12513" i="1"/>
  <c r="D12513" i="1"/>
  <c r="A12514" i="1"/>
  <c r="B12514" i="1"/>
  <c r="C12514" i="1"/>
  <c r="D12514" i="1"/>
  <c r="A12515" i="1"/>
  <c r="B12515" i="1"/>
  <c r="C12515" i="1"/>
  <c r="D12515" i="1"/>
  <c r="A12516" i="1"/>
  <c r="B12516" i="1"/>
  <c r="C12516" i="1"/>
  <c r="D12516" i="1"/>
  <c r="A12517" i="1"/>
  <c r="B12517" i="1"/>
  <c r="C12517" i="1"/>
  <c r="D12517" i="1"/>
  <c r="A12518" i="1"/>
  <c r="B12518" i="1"/>
  <c r="C12518" i="1"/>
  <c r="D12518" i="1"/>
  <c r="A12519" i="1"/>
  <c r="B12519" i="1"/>
  <c r="C12519" i="1"/>
  <c r="D12519" i="1"/>
  <c r="A12520" i="1"/>
  <c r="B12520" i="1"/>
  <c r="C12520" i="1"/>
  <c r="D12520" i="1"/>
  <c r="A12521" i="1"/>
  <c r="B12521" i="1"/>
  <c r="C12521" i="1"/>
  <c r="D12521" i="1"/>
  <c r="A12522" i="1"/>
  <c r="B12522" i="1"/>
  <c r="C12522" i="1"/>
  <c r="D12522" i="1"/>
  <c r="A12523" i="1"/>
  <c r="B12523" i="1"/>
  <c r="C12523" i="1"/>
  <c r="D12523" i="1"/>
  <c r="A12524" i="1"/>
  <c r="B12524" i="1"/>
  <c r="C12524" i="1"/>
  <c r="D12524" i="1"/>
  <c r="A12525" i="1"/>
  <c r="B12525" i="1"/>
  <c r="C12525" i="1"/>
  <c r="D12525" i="1"/>
  <c r="A12526" i="1"/>
  <c r="B12526" i="1"/>
  <c r="C12526" i="1"/>
  <c r="D12526" i="1"/>
  <c r="A12527" i="1"/>
  <c r="B12527" i="1"/>
  <c r="C12527" i="1"/>
  <c r="D12527" i="1"/>
  <c r="A12528" i="1"/>
  <c r="B12528" i="1"/>
  <c r="C12528" i="1"/>
  <c r="D12528" i="1"/>
  <c r="A12529" i="1"/>
  <c r="B12529" i="1"/>
  <c r="C12529" i="1"/>
  <c r="D12529" i="1"/>
  <c r="A12530" i="1"/>
  <c r="B12530" i="1"/>
  <c r="C12530" i="1"/>
  <c r="D12530" i="1"/>
  <c r="A12531" i="1"/>
  <c r="B12531" i="1"/>
  <c r="C12531" i="1"/>
  <c r="D12531" i="1"/>
  <c r="A12532" i="1"/>
  <c r="B12532" i="1"/>
  <c r="C12532" i="1"/>
  <c r="D12532" i="1"/>
  <c r="A12533" i="1"/>
  <c r="B12533" i="1"/>
  <c r="C12533" i="1"/>
  <c r="D12533" i="1"/>
  <c r="A12534" i="1"/>
  <c r="B12534" i="1"/>
  <c r="C12534" i="1"/>
  <c r="D12534" i="1"/>
  <c r="A12535" i="1"/>
  <c r="B12535" i="1"/>
  <c r="C12535" i="1"/>
  <c r="D12535" i="1"/>
  <c r="A12536" i="1"/>
  <c r="B12536" i="1"/>
  <c r="C12536" i="1"/>
  <c r="D12536" i="1"/>
  <c r="A12537" i="1"/>
  <c r="B12537" i="1"/>
  <c r="C12537" i="1"/>
  <c r="D12537" i="1"/>
  <c r="A12538" i="1"/>
  <c r="B12538" i="1"/>
  <c r="C12538" i="1"/>
  <c r="D12538" i="1"/>
  <c r="A12539" i="1"/>
  <c r="B12539" i="1"/>
  <c r="C12539" i="1"/>
  <c r="D12539" i="1"/>
  <c r="A12540" i="1"/>
  <c r="B12540" i="1"/>
  <c r="C12540" i="1"/>
  <c r="D12540" i="1"/>
  <c r="A12541" i="1"/>
  <c r="B12541" i="1"/>
  <c r="C12541" i="1"/>
  <c r="D12541" i="1"/>
  <c r="A12542" i="1"/>
  <c r="B12542" i="1"/>
  <c r="C12542" i="1"/>
  <c r="D12542" i="1"/>
  <c r="A12543" i="1"/>
  <c r="B12543" i="1"/>
  <c r="C12543" i="1"/>
  <c r="D12543" i="1"/>
  <c r="A12544" i="1"/>
  <c r="B12544" i="1"/>
  <c r="C12544" i="1"/>
  <c r="A12545" i="1"/>
  <c r="B12545" i="1"/>
  <c r="C12545" i="1"/>
  <c r="D12545" i="1"/>
  <c r="A12546" i="1"/>
  <c r="B12546" i="1"/>
  <c r="C12546" i="1"/>
  <c r="D12546" i="1"/>
  <c r="A12547" i="1"/>
  <c r="B12547" i="1"/>
  <c r="C12547" i="1"/>
  <c r="D12547" i="1"/>
  <c r="A12548" i="1"/>
  <c r="B12548" i="1"/>
  <c r="C12548" i="1"/>
  <c r="D12548" i="1"/>
  <c r="A12549" i="1"/>
  <c r="B12549" i="1"/>
  <c r="C12549" i="1"/>
  <c r="D12549" i="1"/>
  <c r="A12550" i="1"/>
  <c r="B12550" i="1"/>
  <c r="C12550" i="1"/>
  <c r="D12550" i="1"/>
  <c r="A12551" i="1"/>
  <c r="B12551" i="1"/>
  <c r="C12551" i="1"/>
  <c r="D12551" i="1"/>
  <c r="A12552" i="1"/>
  <c r="B12552" i="1"/>
  <c r="C12552" i="1"/>
  <c r="D12552" i="1"/>
  <c r="A12553" i="1"/>
  <c r="B12553" i="1"/>
  <c r="C12553" i="1"/>
  <c r="D12553" i="1"/>
  <c r="A12554" i="1"/>
  <c r="B12554" i="1"/>
  <c r="C12554" i="1"/>
  <c r="D12554" i="1"/>
  <c r="A12555" i="1"/>
  <c r="B12555" i="1"/>
  <c r="C12555" i="1"/>
  <c r="D12555" i="1"/>
  <c r="A12556" i="1"/>
  <c r="B12556" i="1"/>
  <c r="C12556" i="1"/>
  <c r="D12556" i="1"/>
  <c r="A12557" i="1"/>
  <c r="B12557" i="1"/>
  <c r="C12557" i="1"/>
  <c r="D12557" i="1"/>
  <c r="A12558" i="1"/>
  <c r="B12558" i="1"/>
  <c r="C12558" i="1"/>
  <c r="D12558" i="1"/>
  <c r="A12559" i="1"/>
  <c r="B12559" i="1"/>
  <c r="C12559" i="1"/>
  <c r="D12559" i="1"/>
  <c r="A12560" i="1"/>
  <c r="B12560" i="1"/>
  <c r="C12560" i="1"/>
  <c r="D12560" i="1"/>
  <c r="A12561" i="1"/>
  <c r="B12561" i="1"/>
  <c r="C12561" i="1"/>
  <c r="D12561" i="1"/>
  <c r="A12562" i="1"/>
  <c r="B12562" i="1"/>
  <c r="C12562" i="1"/>
  <c r="D12562" i="1"/>
  <c r="A12563" i="1"/>
  <c r="B12563" i="1"/>
  <c r="C12563" i="1"/>
  <c r="D12563" i="1"/>
  <c r="A12564" i="1"/>
  <c r="B12564" i="1"/>
  <c r="C12564" i="1"/>
  <c r="D12564" i="1"/>
  <c r="A12565" i="1"/>
  <c r="B12565" i="1"/>
  <c r="C12565" i="1"/>
  <c r="D12565" i="1"/>
  <c r="A12566" i="1"/>
  <c r="B12566" i="1"/>
  <c r="C12566" i="1"/>
  <c r="D12566" i="1"/>
  <c r="A12567" i="1"/>
  <c r="B12567" i="1"/>
  <c r="C12567" i="1"/>
  <c r="D12567" i="1"/>
  <c r="A12568" i="1"/>
  <c r="B12568" i="1"/>
  <c r="C12568" i="1"/>
  <c r="D12568" i="1"/>
  <c r="A12569" i="1"/>
  <c r="B12569" i="1"/>
  <c r="C12569" i="1"/>
  <c r="D12569" i="1"/>
  <c r="A12570" i="1"/>
  <c r="B12570" i="1"/>
  <c r="C12570" i="1"/>
  <c r="A12571" i="1"/>
  <c r="B12571" i="1"/>
  <c r="C12571" i="1"/>
  <c r="D12571" i="1"/>
  <c r="A12572" i="1"/>
  <c r="B12572" i="1"/>
  <c r="C12572" i="1"/>
  <c r="D12572" i="1"/>
  <c r="A12573" i="1"/>
  <c r="B12573" i="1"/>
  <c r="C12573" i="1"/>
  <c r="A12574" i="1"/>
  <c r="B12574" i="1"/>
  <c r="C12574" i="1"/>
  <c r="D12574" i="1"/>
  <c r="A12575" i="1"/>
  <c r="B12575" i="1"/>
  <c r="C12575" i="1"/>
  <c r="D12575" i="1"/>
  <c r="A12576" i="1"/>
  <c r="B12576" i="1"/>
  <c r="C12576" i="1"/>
  <c r="D12576" i="1"/>
  <c r="A12577" i="1"/>
  <c r="B12577" i="1"/>
  <c r="C12577" i="1"/>
  <c r="D12577" i="1"/>
  <c r="A12578" i="1"/>
  <c r="B12578" i="1"/>
  <c r="C12578" i="1"/>
  <c r="A12579" i="1"/>
  <c r="B12579" i="1"/>
  <c r="C12579" i="1"/>
  <c r="D12579" i="1"/>
  <c r="A12580" i="1"/>
  <c r="B12580" i="1"/>
  <c r="C12580" i="1"/>
  <c r="D12580" i="1"/>
  <c r="A12581" i="1"/>
  <c r="B12581" i="1"/>
  <c r="C12581" i="1"/>
  <c r="D12581" i="1"/>
  <c r="A12582" i="1"/>
  <c r="B12582" i="1"/>
  <c r="C12582" i="1"/>
  <c r="D12582" i="1"/>
  <c r="A12583" i="1"/>
  <c r="B12583" i="1"/>
  <c r="C12583" i="1"/>
  <c r="A12584" i="1"/>
  <c r="B12584" i="1"/>
  <c r="C12584" i="1"/>
  <c r="A12585" i="1"/>
  <c r="B12585" i="1"/>
  <c r="C12585" i="1"/>
  <c r="D12585" i="1"/>
  <c r="A12586" i="1"/>
  <c r="B12586" i="1"/>
  <c r="C12586" i="1"/>
  <c r="D12586" i="1"/>
  <c r="A12587" i="1"/>
  <c r="B12587" i="1"/>
  <c r="C12587" i="1"/>
  <c r="D12587" i="1"/>
  <c r="A12588" i="1"/>
  <c r="B12588" i="1"/>
  <c r="C12588" i="1"/>
  <c r="D12588" i="1"/>
  <c r="A12589" i="1"/>
  <c r="B12589" i="1"/>
  <c r="C12589" i="1"/>
  <c r="D12589" i="1"/>
  <c r="A12590" i="1"/>
  <c r="B12590" i="1"/>
  <c r="C12590" i="1"/>
  <c r="D12590" i="1"/>
  <c r="A12591" i="1"/>
  <c r="B12591" i="1"/>
  <c r="C12591" i="1"/>
  <c r="D12591" i="1"/>
  <c r="A12592" i="1"/>
  <c r="B12592" i="1"/>
  <c r="C12592" i="1"/>
  <c r="D12592" i="1"/>
  <c r="A12593" i="1"/>
  <c r="B12593" i="1"/>
  <c r="C12593" i="1"/>
  <c r="D12593" i="1"/>
  <c r="A12594" i="1"/>
  <c r="B12594" i="1"/>
  <c r="C12594" i="1"/>
  <c r="D12594" i="1"/>
  <c r="A12595" i="1"/>
  <c r="B12595" i="1"/>
  <c r="C12595" i="1"/>
  <c r="D12595" i="1"/>
  <c r="A12596" i="1"/>
  <c r="B12596" i="1"/>
  <c r="C12596" i="1"/>
  <c r="A12597" i="1"/>
  <c r="B12597" i="1"/>
  <c r="C12597" i="1"/>
  <c r="D12597" i="1"/>
  <c r="A12598" i="1"/>
  <c r="B12598" i="1"/>
  <c r="C12598" i="1"/>
  <c r="A12599" i="1"/>
  <c r="B12599" i="1"/>
  <c r="C12599" i="1"/>
  <c r="D12599" i="1"/>
  <c r="A12600" i="1"/>
  <c r="B12600" i="1"/>
  <c r="C12600" i="1"/>
  <c r="D12600" i="1"/>
  <c r="A12601" i="1"/>
  <c r="B12601" i="1"/>
  <c r="C12601" i="1"/>
  <c r="D12601" i="1"/>
  <c r="A12602" i="1"/>
  <c r="B12602" i="1"/>
  <c r="C12602" i="1"/>
  <c r="D12602" i="1"/>
  <c r="A12603" i="1"/>
  <c r="B12603" i="1"/>
  <c r="C12603" i="1"/>
  <c r="D12603" i="1"/>
  <c r="A12604" i="1"/>
  <c r="B12604" i="1"/>
  <c r="C12604" i="1"/>
  <c r="D12604" i="1"/>
  <c r="A12605" i="1"/>
  <c r="B12605" i="1"/>
  <c r="C12605" i="1"/>
  <c r="D12605" i="1"/>
  <c r="A12606" i="1"/>
  <c r="B12606" i="1"/>
  <c r="C12606" i="1"/>
  <c r="D12606" i="1"/>
  <c r="A12607" i="1"/>
  <c r="B12607" i="1"/>
  <c r="C12607" i="1"/>
  <c r="D12607" i="1"/>
  <c r="A12608" i="1"/>
  <c r="B12608" i="1"/>
  <c r="C12608" i="1"/>
  <c r="D12608" i="1"/>
  <c r="A12609" i="1"/>
  <c r="B12609" i="1"/>
  <c r="C12609" i="1"/>
  <c r="D12609" i="1"/>
  <c r="A12610" i="1"/>
  <c r="B12610" i="1"/>
  <c r="C12610" i="1"/>
  <c r="D12610" i="1"/>
  <c r="A12611" i="1"/>
  <c r="B12611" i="1"/>
  <c r="C12611" i="1"/>
  <c r="D12611" i="1"/>
  <c r="A12612" i="1"/>
  <c r="B12612" i="1"/>
  <c r="C12612" i="1"/>
  <c r="D12612" i="1"/>
  <c r="A12613" i="1"/>
  <c r="B12613" i="1"/>
  <c r="C12613" i="1"/>
  <c r="D12613" i="1"/>
  <c r="A12614" i="1"/>
  <c r="B12614" i="1"/>
  <c r="C12614" i="1"/>
  <c r="D12614" i="1"/>
  <c r="A12615" i="1"/>
  <c r="B12615" i="1"/>
  <c r="C12615" i="1"/>
  <c r="D12615" i="1"/>
  <c r="A12616" i="1"/>
  <c r="B12616" i="1"/>
  <c r="C12616" i="1"/>
  <c r="D12616" i="1"/>
  <c r="A12617" i="1"/>
  <c r="B12617" i="1"/>
  <c r="C12617" i="1"/>
  <c r="D12617" i="1"/>
  <c r="A12618" i="1"/>
  <c r="B12618" i="1"/>
  <c r="C12618" i="1"/>
  <c r="D12618" i="1"/>
  <c r="A12619" i="1"/>
  <c r="B12619" i="1"/>
  <c r="C12619" i="1"/>
  <c r="D12619" i="1"/>
  <c r="A12620" i="1"/>
  <c r="B12620" i="1"/>
  <c r="C12620" i="1"/>
  <c r="D12620" i="1"/>
  <c r="A12621" i="1"/>
  <c r="B12621" i="1"/>
  <c r="C12621" i="1"/>
  <c r="D12621" i="1"/>
  <c r="A12622" i="1"/>
  <c r="B12622" i="1"/>
  <c r="C12622" i="1"/>
  <c r="D12622" i="1"/>
  <c r="A12623" i="1"/>
  <c r="B12623" i="1"/>
  <c r="C12623" i="1"/>
  <c r="D12623" i="1"/>
  <c r="A12624" i="1"/>
  <c r="B12624" i="1"/>
  <c r="C12624" i="1"/>
  <c r="D12624" i="1"/>
  <c r="A12625" i="1"/>
  <c r="B12625" i="1"/>
  <c r="C12625" i="1"/>
  <c r="D12625" i="1"/>
  <c r="A12626" i="1"/>
  <c r="B12626" i="1"/>
  <c r="C12626" i="1"/>
  <c r="D12626" i="1"/>
  <c r="A12627" i="1"/>
  <c r="B12627" i="1"/>
  <c r="C12627" i="1"/>
  <c r="D12627" i="1"/>
  <c r="A12628" i="1"/>
  <c r="B12628" i="1"/>
  <c r="C12628" i="1"/>
  <c r="D12628" i="1"/>
  <c r="A12629" i="1"/>
  <c r="B12629" i="1"/>
  <c r="C12629" i="1"/>
  <c r="D12629" i="1"/>
  <c r="A12630" i="1"/>
  <c r="B12630" i="1"/>
  <c r="C12630" i="1"/>
  <c r="D12630" i="1"/>
  <c r="A12631" i="1"/>
  <c r="B12631" i="1"/>
  <c r="C12631" i="1"/>
  <c r="D12631" i="1"/>
  <c r="A12632" i="1"/>
  <c r="B12632" i="1"/>
  <c r="C12632" i="1"/>
  <c r="D12632" i="1"/>
  <c r="A12633" i="1"/>
  <c r="B12633" i="1"/>
  <c r="C12633" i="1"/>
  <c r="D12633" i="1"/>
  <c r="A12634" i="1"/>
  <c r="B12634" i="1"/>
  <c r="C12634" i="1"/>
  <c r="D12634" i="1"/>
  <c r="A12635" i="1"/>
  <c r="B12635" i="1"/>
  <c r="C12635" i="1"/>
  <c r="D12635" i="1"/>
  <c r="A12636" i="1"/>
  <c r="B12636" i="1"/>
  <c r="C12636" i="1"/>
  <c r="D12636" i="1"/>
  <c r="A12637" i="1"/>
  <c r="B12637" i="1"/>
  <c r="C12637" i="1"/>
  <c r="D12637" i="1"/>
  <c r="A12638" i="1"/>
  <c r="B12638" i="1"/>
  <c r="C12638" i="1"/>
  <c r="D12638" i="1"/>
  <c r="A12639" i="1"/>
  <c r="B12639" i="1"/>
  <c r="C12639" i="1"/>
  <c r="D12639" i="1"/>
  <c r="A12640" i="1"/>
  <c r="B12640" i="1"/>
  <c r="C12640" i="1"/>
  <c r="D12640" i="1"/>
  <c r="A12641" i="1"/>
  <c r="B12641" i="1"/>
  <c r="C12641" i="1"/>
  <c r="D12641" i="1"/>
  <c r="A12642" i="1"/>
  <c r="B12642" i="1"/>
  <c r="C12642" i="1"/>
  <c r="D12642" i="1"/>
  <c r="A12643" i="1"/>
  <c r="B12643" i="1"/>
  <c r="C12643" i="1"/>
  <c r="D12643" i="1"/>
  <c r="A12644" i="1"/>
  <c r="B12644" i="1"/>
  <c r="C12644" i="1"/>
  <c r="D12644" i="1"/>
  <c r="A12645" i="1"/>
  <c r="B12645" i="1"/>
  <c r="C12645" i="1"/>
  <c r="D12645" i="1"/>
  <c r="A12646" i="1"/>
  <c r="B12646" i="1"/>
  <c r="C12646" i="1"/>
  <c r="D12646" i="1"/>
  <c r="A12647" i="1"/>
  <c r="B12647" i="1"/>
  <c r="C12647" i="1"/>
  <c r="D12647" i="1"/>
  <c r="A12648" i="1"/>
  <c r="B12648" i="1"/>
  <c r="C12648" i="1"/>
  <c r="D12648" i="1"/>
  <c r="A12649" i="1"/>
  <c r="B12649" i="1"/>
  <c r="C12649" i="1"/>
  <c r="D12649" i="1"/>
  <c r="A12650" i="1"/>
  <c r="B12650" i="1"/>
  <c r="C12650" i="1"/>
  <c r="D12650" i="1"/>
  <c r="A12651" i="1"/>
  <c r="B12651" i="1"/>
  <c r="C12651" i="1"/>
  <c r="D12651" i="1"/>
  <c r="A12652" i="1"/>
  <c r="B12652" i="1"/>
  <c r="C12652" i="1"/>
  <c r="D12652" i="1"/>
  <c r="A12653" i="1"/>
  <c r="B12653" i="1"/>
  <c r="C12653" i="1"/>
  <c r="D12653" i="1"/>
  <c r="A12654" i="1"/>
  <c r="B12654" i="1"/>
  <c r="C12654" i="1"/>
  <c r="D12654" i="1"/>
  <c r="A12655" i="1"/>
  <c r="B12655" i="1"/>
  <c r="C12655" i="1"/>
  <c r="D12655" i="1"/>
  <c r="A12656" i="1"/>
  <c r="B12656" i="1"/>
  <c r="C12656" i="1"/>
  <c r="D12656" i="1"/>
  <c r="A12657" i="1"/>
  <c r="B12657" i="1"/>
  <c r="C12657" i="1"/>
  <c r="A12658" i="1"/>
  <c r="B12658" i="1"/>
  <c r="C12658" i="1"/>
  <c r="D12658" i="1"/>
  <c r="A12659" i="1"/>
  <c r="B12659" i="1"/>
  <c r="C12659" i="1"/>
  <c r="D12659" i="1"/>
  <c r="A12660" i="1"/>
  <c r="B12660" i="1"/>
  <c r="C12660" i="1"/>
  <c r="D12660" i="1"/>
  <c r="A12661" i="1"/>
  <c r="B12661" i="1"/>
  <c r="C12661" i="1"/>
  <c r="D12661" i="1"/>
  <c r="A12662" i="1"/>
  <c r="B12662" i="1"/>
  <c r="C12662" i="1"/>
  <c r="D12662" i="1"/>
  <c r="A12663" i="1"/>
  <c r="B12663" i="1"/>
  <c r="C12663" i="1"/>
  <c r="D12663" i="1"/>
  <c r="A12664" i="1"/>
  <c r="B12664" i="1"/>
  <c r="C12664" i="1"/>
  <c r="D12664" i="1"/>
  <c r="A12665" i="1"/>
  <c r="B12665" i="1"/>
  <c r="C12665" i="1"/>
  <c r="D12665" i="1"/>
  <c r="A12666" i="1"/>
  <c r="B12666" i="1"/>
  <c r="C12666" i="1"/>
  <c r="D12666" i="1"/>
  <c r="A12667" i="1"/>
  <c r="B12667" i="1"/>
  <c r="C12667" i="1"/>
  <c r="D12667" i="1"/>
  <c r="A12668" i="1"/>
  <c r="B12668" i="1"/>
  <c r="C12668" i="1"/>
  <c r="D12668" i="1"/>
  <c r="A12669" i="1"/>
  <c r="B12669" i="1"/>
  <c r="C12669" i="1"/>
  <c r="D12669" i="1"/>
  <c r="A12670" i="1"/>
  <c r="B12670" i="1"/>
  <c r="C12670" i="1"/>
  <c r="D12670" i="1"/>
  <c r="A12671" i="1"/>
  <c r="B12671" i="1"/>
  <c r="C12671" i="1"/>
  <c r="D12671" i="1"/>
  <c r="A12672" i="1"/>
  <c r="B12672" i="1"/>
  <c r="C12672" i="1"/>
  <c r="D12672" i="1"/>
  <c r="A12673" i="1"/>
  <c r="B12673" i="1"/>
  <c r="C12673" i="1"/>
  <c r="D12673" i="1"/>
  <c r="A12674" i="1"/>
  <c r="B12674" i="1"/>
  <c r="C12674" i="1"/>
  <c r="D12674" i="1"/>
  <c r="A12675" i="1"/>
  <c r="B12675" i="1"/>
  <c r="C12675" i="1"/>
  <c r="D12675" i="1"/>
  <c r="A12676" i="1"/>
  <c r="B12676" i="1"/>
  <c r="C12676" i="1"/>
  <c r="D12676" i="1"/>
  <c r="A12677" i="1"/>
  <c r="B12677" i="1"/>
  <c r="C12677" i="1"/>
  <c r="A12678" i="1"/>
  <c r="B12678" i="1"/>
  <c r="C12678" i="1"/>
  <c r="D12678" i="1"/>
  <c r="A12679" i="1"/>
  <c r="B12679" i="1"/>
  <c r="C12679" i="1"/>
  <c r="D12679" i="1"/>
  <c r="A12680" i="1"/>
  <c r="B12680" i="1"/>
  <c r="C12680" i="1"/>
  <c r="D12680" i="1"/>
  <c r="A12681" i="1"/>
  <c r="B12681" i="1"/>
  <c r="C12681" i="1"/>
  <c r="D12681" i="1"/>
  <c r="A12682" i="1"/>
  <c r="B12682" i="1"/>
  <c r="C12682" i="1"/>
  <c r="D12682" i="1"/>
  <c r="A12683" i="1"/>
  <c r="B12683" i="1"/>
  <c r="C12683" i="1"/>
  <c r="D12683" i="1"/>
  <c r="A12684" i="1"/>
  <c r="B12684" i="1"/>
  <c r="C12684" i="1"/>
  <c r="D12684" i="1"/>
  <c r="A12685" i="1"/>
  <c r="B12685" i="1"/>
  <c r="C12685" i="1"/>
  <c r="D12685" i="1"/>
  <c r="A12686" i="1"/>
  <c r="B12686" i="1"/>
  <c r="C12686" i="1"/>
  <c r="D12686" i="1"/>
  <c r="A12687" i="1"/>
  <c r="B12687" i="1"/>
  <c r="C12687" i="1"/>
  <c r="D12687" i="1"/>
  <c r="A12688" i="1"/>
  <c r="B12688" i="1"/>
  <c r="C12688" i="1"/>
  <c r="D12688" i="1"/>
  <c r="A12689" i="1"/>
  <c r="B12689" i="1"/>
  <c r="C12689" i="1"/>
  <c r="D12689" i="1"/>
  <c r="A12690" i="1"/>
  <c r="B12690" i="1"/>
  <c r="C12690" i="1"/>
  <c r="D12690" i="1"/>
  <c r="A12691" i="1"/>
  <c r="B12691" i="1"/>
  <c r="C12691" i="1"/>
  <c r="D12691" i="1"/>
  <c r="A12692" i="1"/>
  <c r="B12692" i="1"/>
  <c r="C12692" i="1"/>
  <c r="D12692" i="1"/>
  <c r="A12693" i="1"/>
  <c r="B12693" i="1"/>
  <c r="C12693" i="1"/>
  <c r="D12693" i="1"/>
  <c r="A12694" i="1"/>
  <c r="B12694" i="1"/>
  <c r="C12694" i="1"/>
  <c r="D12694" i="1"/>
  <c r="A12695" i="1"/>
  <c r="B12695" i="1"/>
  <c r="C12695" i="1"/>
  <c r="D12695" i="1"/>
  <c r="A12696" i="1"/>
  <c r="B12696" i="1"/>
  <c r="C12696" i="1"/>
  <c r="D12696" i="1"/>
  <c r="A12697" i="1"/>
  <c r="B12697" i="1"/>
  <c r="C12697" i="1"/>
  <c r="D12697" i="1"/>
  <c r="A12698" i="1"/>
  <c r="B12698" i="1"/>
  <c r="C12698" i="1"/>
  <c r="D12698" i="1"/>
  <c r="A12699" i="1"/>
  <c r="B12699" i="1"/>
  <c r="C12699" i="1"/>
  <c r="D12699" i="1"/>
  <c r="A12700" i="1"/>
  <c r="B12700" i="1"/>
  <c r="C12700" i="1"/>
  <c r="D12700" i="1"/>
  <c r="A12701" i="1"/>
  <c r="B12701" i="1"/>
  <c r="C12701" i="1"/>
  <c r="D12701" i="1"/>
  <c r="A12702" i="1"/>
  <c r="B12702" i="1"/>
  <c r="C12702" i="1"/>
  <c r="D12702" i="1"/>
  <c r="A12703" i="1"/>
  <c r="B12703" i="1"/>
  <c r="C12703" i="1"/>
  <c r="D12703" i="1"/>
  <c r="A12704" i="1"/>
  <c r="B12704" i="1"/>
  <c r="C12704" i="1"/>
  <c r="D12704" i="1"/>
  <c r="A12705" i="1"/>
  <c r="B12705" i="1"/>
  <c r="C12705" i="1"/>
  <c r="D12705" i="1"/>
  <c r="A12706" i="1"/>
  <c r="B12706" i="1"/>
  <c r="C12706" i="1"/>
  <c r="D12706" i="1"/>
  <c r="A12707" i="1"/>
  <c r="B12707" i="1"/>
  <c r="C12707" i="1"/>
  <c r="D12707" i="1"/>
  <c r="A12708" i="1"/>
  <c r="B12708" i="1"/>
  <c r="C12708" i="1"/>
  <c r="D12708" i="1"/>
  <c r="A12709" i="1"/>
  <c r="B12709" i="1"/>
  <c r="C12709" i="1"/>
  <c r="D12709" i="1"/>
  <c r="A12710" i="1"/>
  <c r="B12710" i="1"/>
  <c r="C12710" i="1"/>
  <c r="D12710" i="1"/>
  <c r="A12711" i="1"/>
  <c r="B12711" i="1"/>
  <c r="C12711" i="1"/>
  <c r="D12711" i="1"/>
  <c r="A12712" i="1"/>
  <c r="B12712" i="1"/>
  <c r="C12712" i="1"/>
  <c r="D12712" i="1"/>
  <c r="A12713" i="1"/>
  <c r="B12713" i="1"/>
  <c r="C12713" i="1"/>
  <c r="D12713" i="1"/>
  <c r="A12714" i="1"/>
  <c r="B12714" i="1"/>
  <c r="C12714" i="1"/>
  <c r="D12714" i="1"/>
  <c r="A12715" i="1"/>
  <c r="B12715" i="1"/>
  <c r="C12715" i="1"/>
  <c r="D12715" i="1"/>
  <c r="A12716" i="1"/>
  <c r="B12716" i="1"/>
  <c r="C12716" i="1"/>
  <c r="D12716" i="1"/>
  <c r="A12717" i="1"/>
  <c r="B12717" i="1"/>
  <c r="C12717" i="1"/>
  <c r="D12717" i="1"/>
  <c r="A12718" i="1"/>
  <c r="B12718" i="1"/>
  <c r="C12718" i="1"/>
  <c r="D12718" i="1"/>
  <c r="A12719" i="1"/>
  <c r="B12719" i="1"/>
  <c r="C12719" i="1"/>
  <c r="D12719" i="1"/>
  <c r="A12720" i="1"/>
  <c r="B12720" i="1"/>
  <c r="C12720" i="1"/>
  <c r="D12720" i="1"/>
  <c r="A12721" i="1"/>
  <c r="B12721" i="1"/>
  <c r="C12721" i="1"/>
  <c r="D12721" i="1"/>
  <c r="A12722" i="1"/>
  <c r="B12722" i="1"/>
  <c r="C12722" i="1"/>
  <c r="D12722" i="1"/>
  <c r="A12723" i="1"/>
  <c r="B12723" i="1"/>
  <c r="C12723" i="1"/>
  <c r="D12723" i="1"/>
  <c r="A12724" i="1"/>
  <c r="B12724" i="1"/>
  <c r="C12724" i="1"/>
  <c r="D12724" i="1"/>
  <c r="A12725" i="1"/>
  <c r="B12725" i="1"/>
  <c r="C12725" i="1"/>
  <c r="D12725" i="1"/>
  <c r="A12726" i="1"/>
  <c r="B12726" i="1"/>
  <c r="C12726" i="1"/>
  <c r="D12726" i="1"/>
  <c r="A12727" i="1"/>
  <c r="B12727" i="1"/>
  <c r="C12727" i="1"/>
  <c r="A12728" i="1"/>
  <c r="B12728" i="1"/>
  <c r="C12728" i="1"/>
  <c r="D12728" i="1"/>
  <c r="A12729" i="1"/>
  <c r="B12729" i="1"/>
  <c r="C12729" i="1"/>
  <c r="D12729" i="1"/>
  <c r="A12730" i="1"/>
  <c r="B12730" i="1"/>
  <c r="C12730" i="1"/>
  <c r="D12730" i="1"/>
  <c r="A12731" i="1"/>
  <c r="B12731" i="1"/>
  <c r="C12731" i="1"/>
  <c r="D12731" i="1"/>
  <c r="A12732" i="1"/>
  <c r="B12732" i="1"/>
  <c r="C12732" i="1"/>
  <c r="D12732" i="1"/>
  <c r="A12733" i="1"/>
  <c r="B12733" i="1"/>
  <c r="C12733" i="1"/>
  <c r="D12733" i="1"/>
  <c r="A12734" i="1"/>
  <c r="B12734" i="1"/>
  <c r="C12734" i="1"/>
  <c r="D12734" i="1"/>
  <c r="A12735" i="1"/>
  <c r="B12735" i="1"/>
  <c r="C12735" i="1"/>
  <c r="D12735" i="1"/>
  <c r="A12736" i="1"/>
  <c r="B12736" i="1"/>
  <c r="C12736" i="1"/>
  <c r="D12736" i="1"/>
  <c r="A12737" i="1"/>
  <c r="B12737" i="1"/>
  <c r="C12737" i="1"/>
  <c r="D12737" i="1"/>
  <c r="A12738" i="1"/>
  <c r="B12738" i="1"/>
  <c r="C12738" i="1"/>
  <c r="D12738" i="1"/>
  <c r="A12739" i="1"/>
  <c r="B12739" i="1"/>
  <c r="C12739" i="1"/>
  <c r="D12739" i="1"/>
  <c r="A12740" i="1"/>
  <c r="B12740" i="1"/>
  <c r="C12740" i="1"/>
  <c r="D12740" i="1"/>
  <c r="A12741" i="1"/>
  <c r="B12741" i="1"/>
  <c r="C12741" i="1"/>
  <c r="D12741" i="1"/>
  <c r="A12742" i="1"/>
  <c r="B12742" i="1"/>
  <c r="C12742" i="1"/>
  <c r="D12742" i="1"/>
  <c r="A12743" i="1"/>
  <c r="B12743" i="1"/>
  <c r="C12743" i="1"/>
  <c r="D12743" i="1"/>
  <c r="A12744" i="1"/>
  <c r="B12744" i="1"/>
  <c r="C12744" i="1"/>
  <c r="D12744" i="1"/>
  <c r="A12745" i="1"/>
  <c r="B12745" i="1"/>
  <c r="C12745" i="1"/>
  <c r="D12745" i="1"/>
  <c r="A12746" i="1"/>
  <c r="B12746" i="1"/>
  <c r="C12746" i="1"/>
  <c r="D12746" i="1"/>
  <c r="A12747" i="1"/>
  <c r="B12747" i="1"/>
  <c r="C12747" i="1"/>
  <c r="D12747" i="1"/>
  <c r="A12748" i="1"/>
  <c r="B12748" i="1"/>
  <c r="C12748" i="1"/>
  <c r="D12748" i="1"/>
  <c r="A12749" i="1"/>
  <c r="B12749" i="1"/>
  <c r="C12749" i="1"/>
  <c r="D12749" i="1"/>
  <c r="A12750" i="1"/>
  <c r="B12750" i="1"/>
  <c r="C12750" i="1"/>
  <c r="D12750" i="1"/>
  <c r="A12751" i="1"/>
  <c r="B12751" i="1"/>
  <c r="C12751" i="1"/>
  <c r="D12751" i="1"/>
  <c r="A12752" i="1"/>
  <c r="B12752" i="1"/>
  <c r="C12752" i="1"/>
  <c r="D12752" i="1"/>
  <c r="A12753" i="1"/>
  <c r="B12753" i="1"/>
  <c r="C12753" i="1"/>
  <c r="D12753" i="1"/>
  <c r="A12754" i="1"/>
  <c r="B12754" i="1"/>
  <c r="C12754" i="1"/>
  <c r="D12754" i="1"/>
  <c r="A12755" i="1"/>
  <c r="B12755" i="1"/>
  <c r="C12755" i="1"/>
  <c r="D12755" i="1"/>
  <c r="A12756" i="1"/>
  <c r="B12756" i="1"/>
  <c r="C12756" i="1"/>
  <c r="D12756" i="1"/>
  <c r="A12757" i="1"/>
  <c r="B12757" i="1"/>
  <c r="C12757" i="1"/>
  <c r="A12758" i="1"/>
  <c r="B12758" i="1"/>
  <c r="C12758" i="1"/>
  <c r="D12758" i="1"/>
  <c r="A12759" i="1"/>
  <c r="B12759" i="1"/>
  <c r="C12759" i="1"/>
  <c r="D12759" i="1"/>
  <c r="A12760" i="1"/>
  <c r="B12760" i="1"/>
  <c r="C12760" i="1"/>
  <c r="D12760" i="1"/>
  <c r="A12761" i="1"/>
  <c r="B12761" i="1"/>
  <c r="C12761" i="1"/>
  <c r="D12761" i="1"/>
  <c r="A12762" i="1"/>
  <c r="B12762" i="1"/>
  <c r="C12762" i="1"/>
  <c r="D12762" i="1"/>
  <c r="A12763" i="1"/>
  <c r="B12763" i="1"/>
  <c r="C12763" i="1"/>
  <c r="D12763" i="1"/>
  <c r="A12764" i="1"/>
  <c r="B12764" i="1"/>
  <c r="C12764" i="1"/>
  <c r="D12764" i="1"/>
  <c r="A12765" i="1"/>
  <c r="B12765" i="1"/>
  <c r="C12765" i="1"/>
  <c r="D12765" i="1"/>
  <c r="A12766" i="1"/>
  <c r="B12766" i="1"/>
  <c r="C12766" i="1"/>
  <c r="D12766" i="1"/>
  <c r="A12767" i="1"/>
  <c r="B12767" i="1"/>
  <c r="C12767" i="1"/>
  <c r="D12767" i="1"/>
  <c r="A12768" i="1"/>
  <c r="B12768" i="1"/>
  <c r="C12768" i="1"/>
  <c r="D12768" i="1"/>
  <c r="A12769" i="1"/>
  <c r="B12769" i="1"/>
  <c r="C12769" i="1"/>
  <c r="A12770" i="1"/>
  <c r="B12770" i="1"/>
  <c r="C12770" i="1"/>
  <c r="D12770" i="1"/>
  <c r="A12771" i="1"/>
  <c r="B12771" i="1"/>
  <c r="C12771" i="1"/>
  <c r="D12771" i="1"/>
  <c r="A12772" i="1"/>
  <c r="B12772" i="1"/>
  <c r="C12772" i="1"/>
  <c r="D12772" i="1"/>
  <c r="A12773" i="1"/>
  <c r="B12773" i="1"/>
  <c r="C12773" i="1"/>
  <c r="D12773" i="1"/>
  <c r="A12774" i="1"/>
  <c r="B12774" i="1"/>
  <c r="C12774" i="1"/>
  <c r="D12774" i="1"/>
  <c r="A12775" i="1"/>
  <c r="B12775" i="1"/>
  <c r="C12775" i="1"/>
  <c r="D12775" i="1"/>
  <c r="A12776" i="1"/>
  <c r="B12776" i="1"/>
  <c r="C12776" i="1"/>
  <c r="D12776" i="1"/>
  <c r="A12777" i="1"/>
  <c r="B12777" i="1"/>
  <c r="C12777" i="1"/>
  <c r="D12777" i="1"/>
  <c r="A12778" i="1"/>
  <c r="B12778" i="1"/>
  <c r="C12778" i="1"/>
  <c r="D12778" i="1"/>
  <c r="A12779" i="1"/>
  <c r="B12779" i="1"/>
  <c r="C12779" i="1"/>
  <c r="D12779" i="1"/>
  <c r="A12780" i="1"/>
  <c r="B12780" i="1"/>
  <c r="C12780" i="1"/>
  <c r="D12780" i="1"/>
  <c r="A12781" i="1"/>
  <c r="B12781" i="1"/>
  <c r="C12781" i="1"/>
  <c r="D12781" i="1"/>
  <c r="A12782" i="1"/>
  <c r="B12782" i="1"/>
  <c r="C12782" i="1"/>
  <c r="D12782" i="1"/>
  <c r="A12783" i="1"/>
  <c r="B12783" i="1"/>
  <c r="C12783" i="1"/>
  <c r="D12783" i="1"/>
  <c r="A12784" i="1"/>
  <c r="B12784" i="1"/>
  <c r="C12784" i="1"/>
  <c r="D12784" i="1"/>
  <c r="A12785" i="1"/>
  <c r="B12785" i="1"/>
  <c r="C12785" i="1"/>
  <c r="D12785" i="1"/>
  <c r="A12786" i="1"/>
  <c r="B12786" i="1"/>
  <c r="C12786" i="1"/>
  <c r="D12786" i="1"/>
  <c r="A12787" i="1"/>
  <c r="B12787" i="1"/>
  <c r="C12787" i="1"/>
  <c r="D12787" i="1"/>
  <c r="A12788" i="1"/>
  <c r="B12788" i="1"/>
  <c r="C12788" i="1"/>
  <c r="D12788" i="1"/>
  <c r="A12789" i="1"/>
  <c r="B12789" i="1"/>
  <c r="C12789" i="1"/>
  <c r="D12789" i="1"/>
  <c r="A12790" i="1"/>
  <c r="B12790" i="1"/>
  <c r="C12790" i="1"/>
  <c r="D12790" i="1"/>
  <c r="A12791" i="1"/>
  <c r="B12791" i="1"/>
  <c r="C12791" i="1"/>
  <c r="D12791" i="1"/>
  <c r="A12792" i="1"/>
  <c r="B12792" i="1"/>
  <c r="C12792" i="1"/>
  <c r="D12792" i="1"/>
  <c r="A12793" i="1"/>
  <c r="B12793" i="1"/>
  <c r="C12793" i="1"/>
  <c r="D12793" i="1"/>
  <c r="A12794" i="1"/>
  <c r="B12794" i="1"/>
  <c r="C12794" i="1"/>
  <c r="D12794" i="1"/>
  <c r="A12795" i="1"/>
  <c r="B12795" i="1"/>
  <c r="C12795" i="1"/>
  <c r="D12795" i="1"/>
  <c r="A12796" i="1"/>
  <c r="B12796" i="1"/>
  <c r="C12796" i="1"/>
  <c r="D12796" i="1"/>
  <c r="A12797" i="1"/>
  <c r="B12797" i="1"/>
  <c r="C12797" i="1"/>
  <c r="D12797" i="1"/>
  <c r="A12798" i="1"/>
  <c r="B12798" i="1"/>
  <c r="C12798" i="1"/>
  <c r="D12798" i="1"/>
  <c r="A12799" i="1"/>
  <c r="B12799" i="1"/>
  <c r="C12799" i="1"/>
  <c r="D12799" i="1"/>
  <c r="A12800" i="1"/>
  <c r="B12800" i="1"/>
  <c r="C12800" i="1"/>
  <c r="D12800" i="1"/>
  <c r="A12801" i="1"/>
  <c r="B12801" i="1"/>
  <c r="C12801" i="1"/>
  <c r="D12801" i="1"/>
  <c r="A12802" i="1"/>
  <c r="B12802" i="1"/>
  <c r="C12802" i="1"/>
  <c r="D12802" i="1"/>
  <c r="A12803" i="1"/>
  <c r="B12803" i="1"/>
  <c r="C12803" i="1"/>
  <c r="D12803" i="1"/>
  <c r="A12804" i="1"/>
  <c r="B12804" i="1"/>
  <c r="C12804" i="1"/>
  <c r="D12804" i="1"/>
  <c r="A12805" i="1"/>
  <c r="B12805" i="1"/>
  <c r="C12805" i="1"/>
  <c r="D12805" i="1"/>
  <c r="A12806" i="1"/>
  <c r="B12806" i="1"/>
  <c r="C12806" i="1"/>
  <c r="D12806" i="1"/>
  <c r="A12807" i="1"/>
  <c r="B12807" i="1"/>
  <c r="C12807" i="1"/>
  <c r="D12807" i="1"/>
  <c r="A12808" i="1"/>
  <c r="B12808" i="1"/>
  <c r="C12808" i="1"/>
  <c r="D12808" i="1"/>
  <c r="A12809" i="1"/>
  <c r="B12809" i="1"/>
  <c r="C12809" i="1"/>
  <c r="D12809" i="1"/>
  <c r="A12810" i="1"/>
  <c r="B12810" i="1"/>
  <c r="C12810" i="1"/>
  <c r="A12811" i="1"/>
  <c r="B12811" i="1"/>
  <c r="C12811" i="1"/>
  <c r="D12811" i="1"/>
  <c r="A12812" i="1"/>
  <c r="B12812" i="1"/>
  <c r="C12812" i="1"/>
  <c r="D12812" i="1"/>
  <c r="A12813" i="1"/>
  <c r="B12813" i="1"/>
  <c r="C12813" i="1"/>
  <c r="D12813" i="1"/>
  <c r="A12814" i="1"/>
  <c r="B12814" i="1"/>
  <c r="C12814" i="1"/>
  <c r="D12814" i="1"/>
  <c r="A12815" i="1"/>
  <c r="B12815" i="1"/>
  <c r="C12815" i="1"/>
  <c r="D12815" i="1"/>
  <c r="A12816" i="1"/>
  <c r="B12816" i="1"/>
  <c r="C12816" i="1"/>
  <c r="A12817" i="1"/>
  <c r="B12817" i="1"/>
  <c r="C12817" i="1"/>
  <c r="D12817" i="1"/>
  <c r="A12818" i="1"/>
  <c r="B12818" i="1"/>
  <c r="C12818" i="1"/>
  <c r="D12818" i="1"/>
  <c r="A12819" i="1"/>
  <c r="B12819" i="1"/>
  <c r="C12819" i="1"/>
  <c r="D12819" i="1"/>
  <c r="A12820" i="1"/>
  <c r="B12820" i="1"/>
  <c r="C12820" i="1"/>
  <c r="D12820" i="1"/>
  <c r="A12821" i="1"/>
  <c r="B12821" i="1"/>
  <c r="C12821" i="1"/>
  <c r="D12821" i="1"/>
  <c r="A12822" i="1"/>
  <c r="B12822" i="1"/>
  <c r="C12822" i="1"/>
  <c r="D12822" i="1"/>
  <c r="A12823" i="1"/>
  <c r="B12823" i="1"/>
  <c r="C12823" i="1"/>
  <c r="D12823" i="1"/>
  <c r="A12824" i="1"/>
  <c r="B12824" i="1"/>
  <c r="C12824" i="1"/>
  <c r="D12824" i="1"/>
  <c r="A12825" i="1"/>
  <c r="B12825" i="1"/>
  <c r="C12825" i="1"/>
  <c r="D12825" i="1"/>
  <c r="A12826" i="1"/>
  <c r="B12826" i="1"/>
  <c r="C12826" i="1"/>
  <c r="D12826" i="1"/>
  <c r="A12827" i="1"/>
  <c r="B12827" i="1"/>
  <c r="C12827" i="1"/>
  <c r="D12827" i="1"/>
  <c r="A12828" i="1"/>
  <c r="B12828" i="1"/>
  <c r="C12828" i="1"/>
  <c r="D12828" i="1"/>
  <c r="A12829" i="1"/>
  <c r="B12829" i="1"/>
  <c r="C12829" i="1"/>
  <c r="D12829" i="1"/>
  <c r="A12830" i="1"/>
  <c r="B12830" i="1"/>
  <c r="C12830" i="1"/>
  <c r="D12830" i="1"/>
  <c r="A12831" i="1"/>
  <c r="B12831" i="1"/>
  <c r="C12831" i="1"/>
  <c r="D12831" i="1"/>
  <c r="A12832" i="1"/>
  <c r="B12832" i="1"/>
  <c r="C12832" i="1"/>
  <c r="D12832" i="1"/>
  <c r="A12833" i="1"/>
  <c r="B12833" i="1"/>
  <c r="C12833" i="1"/>
  <c r="D12833" i="1"/>
  <c r="A12834" i="1"/>
  <c r="B12834" i="1"/>
  <c r="C12834" i="1"/>
  <c r="D12834" i="1"/>
  <c r="A12835" i="1"/>
  <c r="B12835" i="1"/>
  <c r="C12835" i="1"/>
  <c r="D12835" i="1"/>
  <c r="A12836" i="1"/>
  <c r="B12836" i="1"/>
  <c r="C12836" i="1"/>
  <c r="D12836" i="1"/>
  <c r="A12837" i="1"/>
  <c r="B12837" i="1"/>
  <c r="C12837" i="1"/>
  <c r="D12837" i="1"/>
  <c r="A12838" i="1"/>
  <c r="B12838" i="1"/>
  <c r="C12838" i="1"/>
  <c r="D12838" i="1"/>
  <c r="A12839" i="1"/>
  <c r="B12839" i="1"/>
  <c r="C12839" i="1"/>
  <c r="D12839" i="1"/>
  <c r="A12840" i="1"/>
  <c r="B12840" i="1"/>
  <c r="C12840" i="1"/>
  <c r="D12840" i="1"/>
  <c r="A12841" i="1"/>
  <c r="B12841" i="1"/>
  <c r="C12841" i="1"/>
  <c r="D12841" i="1"/>
  <c r="A12842" i="1"/>
  <c r="B12842" i="1"/>
  <c r="C12842" i="1"/>
  <c r="D12842" i="1"/>
  <c r="A12843" i="1"/>
  <c r="B12843" i="1"/>
  <c r="C12843" i="1"/>
  <c r="D12843" i="1"/>
  <c r="A12844" i="1"/>
  <c r="B12844" i="1"/>
  <c r="C12844" i="1"/>
  <c r="D12844" i="1"/>
  <c r="A12845" i="1"/>
  <c r="B12845" i="1"/>
  <c r="C12845" i="1"/>
  <c r="D12845" i="1"/>
  <c r="A12846" i="1"/>
  <c r="B12846" i="1"/>
  <c r="C12846" i="1"/>
  <c r="D12846" i="1"/>
  <c r="A12847" i="1"/>
  <c r="B12847" i="1"/>
  <c r="C12847" i="1"/>
  <c r="D12847" i="1"/>
  <c r="A12848" i="1"/>
  <c r="B12848" i="1"/>
  <c r="C12848" i="1"/>
  <c r="D12848" i="1"/>
  <c r="A12849" i="1"/>
  <c r="B12849" i="1"/>
  <c r="C12849" i="1"/>
  <c r="D12849" i="1"/>
  <c r="A12850" i="1"/>
  <c r="B12850" i="1"/>
  <c r="C12850" i="1"/>
  <c r="D12850" i="1"/>
  <c r="A12851" i="1"/>
  <c r="B12851" i="1"/>
  <c r="C12851" i="1"/>
  <c r="D12851" i="1"/>
  <c r="A12852" i="1"/>
  <c r="B12852" i="1"/>
  <c r="C12852" i="1"/>
  <c r="D12852" i="1"/>
  <c r="A12853" i="1"/>
  <c r="B12853" i="1"/>
  <c r="C12853" i="1"/>
  <c r="D12853" i="1"/>
  <c r="A12854" i="1"/>
  <c r="B12854" i="1"/>
  <c r="C12854" i="1"/>
  <c r="D12854" i="1"/>
  <c r="A12855" i="1"/>
  <c r="B12855" i="1"/>
  <c r="C12855" i="1"/>
  <c r="D12855" i="1"/>
  <c r="A12856" i="1"/>
  <c r="B12856" i="1"/>
  <c r="C12856" i="1"/>
  <c r="D12856" i="1"/>
  <c r="A12857" i="1"/>
  <c r="B12857" i="1"/>
  <c r="C12857" i="1"/>
  <c r="D12857" i="1"/>
  <c r="A12858" i="1"/>
  <c r="B12858" i="1"/>
  <c r="C12858" i="1"/>
  <c r="D12858" i="1"/>
  <c r="A12859" i="1"/>
  <c r="B12859" i="1"/>
  <c r="C12859" i="1"/>
  <c r="D12859" i="1"/>
  <c r="A12860" i="1"/>
  <c r="B12860" i="1"/>
  <c r="C12860" i="1"/>
  <c r="D12860" i="1"/>
  <c r="A12861" i="1"/>
  <c r="B12861" i="1"/>
  <c r="C12861" i="1"/>
  <c r="D12861" i="1"/>
  <c r="A12862" i="1"/>
  <c r="B12862" i="1"/>
  <c r="C12862" i="1"/>
  <c r="D12862" i="1"/>
  <c r="A12863" i="1"/>
  <c r="B12863" i="1"/>
  <c r="C12863" i="1"/>
  <c r="D12863" i="1"/>
  <c r="A12864" i="1"/>
  <c r="B12864" i="1"/>
  <c r="C12864" i="1"/>
  <c r="D12864" i="1"/>
  <c r="A12865" i="1"/>
  <c r="B12865" i="1"/>
  <c r="C12865" i="1"/>
  <c r="D12865" i="1"/>
  <c r="A12866" i="1"/>
  <c r="B12866" i="1"/>
  <c r="C12866" i="1"/>
  <c r="D12866" i="1"/>
  <c r="A12867" i="1"/>
  <c r="B12867" i="1"/>
  <c r="C12867" i="1"/>
  <c r="D12867" i="1"/>
  <c r="A12868" i="1"/>
  <c r="B12868" i="1"/>
  <c r="C12868" i="1"/>
  <c r="D12868" i="1"/>
  <c r="A12869" i="1"/>
  <c r="B12869" i="1"/>
  <c r="C12869" i="1"/>
  <c r="A12870" i="1"/>
  <c r="B12870" i="1"/>
  <c r="C12870" i="1"/>
  <c r="D12870" i="1"/>
  <c r="A12871" i="1"/>
  <c r="B12871" i="1"/>
  <c r="C12871" i="1"/>
  <c r="D12871" i="1"/>
  <c r="A12872" i="1"/>
  <c r="B12872" i="1"/>
  <c r="C12872" i="1"/>
  <c r="D12872" i="1"/>
  <c r="A12873" i="1"/>
  <c r="B12873" i="1"/>
  <c r="C12873" i="1"/>
  <c r="D12873" i="1"/>
  <c r="A12874" i="1"/>
  <c r="B12874" i="1"/>
  <c r="C12874" i="1"/>
  <c r="D12874" i="1"/>
  <c r="A12875" i="1"/>
  <c r="B12875" i="1"/>
  <c r="C12875" i="1"/>
  <c r="D12875" i="1"/>
  <c r="A12876" i="1"/>
  <c r="B12876" i="1"/>
  <c r="C12876" i="1"/>
  <c r="D12876" i="1"/>
  <c r="A12877" i="1"/>
  <c r="B12877" i="1"/>
  <c r="C12877" i="1"/>
  <c r="D12877" i="1"/>
  <c r="A12878" i="1"/>
  <c r="B12878" i="1"/>
  <c r="C12878" i="1"/>
  <c r="D12878" i="1"/>
  <c r="A12879" i="1"/>
  <c r="B12879" i="1"/>
  <c r="C12879" i="1"/>
  <c r="D12879" i="1"/>
  <c r="A12880" i="1"/>
  <c r="B12880" i="1"/>
  <c r="C12880" i="1"/>
  <c r="D12880" i="1"/>
  <c r="A12881" i="1"/>
  <c r="B12881" i="1"/>
  <c r="C12881" i="1"/>
  <c r="D12881" i="1"/>
  <c r="A12882" i="1"/>
  <c r="B12882" i="1"/>
  <c r="C12882" i="1"/>
  <c r="D12882" i="1"/>
  <c r="A12883" i="1"/>
  <c r="B12883" i="1"/>
  <c r="C12883" i="1"/>
  <c r="D12883" i="1"/>
  <c r="A12884" i="1"/>
  <c r="B12884" i="1"/>
  <c r="C12884" i="1"/>
  <c r="D12884" i="1"/>
  <c r="A12885" i="1"/>
  <c r="B12885" i="1"/>
  <c r="C12885" i="1"/>
  <c r="D12885" i="1"/>
  <c r="A12886" i="1"/>
  <c r="B12886" i="1"/>
  <c r="C12886" i="1"/>
  <c r="A12887" i="1"/>
  <c r="B12887" i="1"/>
  <c r="C12887" i="1"/>
  <c r="D12887" i="1"/>
  <c r="A12888" i="1"/>
  <c r="B12888" i="1"/>
  <c r="C12888" i="1"/>
  <c r="D12888" i="1"/>
  <c r="A12889" i="1"/>
  <c r="B12889" i="1"/>
  <c r="C12889" i="1"/>
  <c r="D12889" i="1"/>
  <c r="A12890" i="1"/>
  <c r="B12890" i="1"/>
  <c r="C12890" i="1"/>
  <c r="D12890" i="1"/>
  <c r="A12891" i="1"/>
  <c r="B12891" i="1"/>
  <c r="C12891" i="1"/>
  <c r="D12891" i="1"/>
  <c r="A12892" i="1"/>
  <c r="B12892" i="1"/>
  <c r="C12892" i="1"/>
  <c r="D12892" i="1"/>
  <c r="A12893" i="1"/>
  <c r="B12893" i="1"/>
  <c r="C12893" i="1"/>
  <c r="D12893" i="1"/>
  <c r="A12894" i="1"/>
  <c r="B12894" i="1"/>
  <c r="C12894" i="1"/>
  <c r="D12894" i="1"/>
  <c r="A12895" i="1"/>
  <c r="B12895" i="1"/>
  <c r="C12895" i="1"/>
  <c r="D12895" i="1"/>
  <c r="A12896" i="1"/>
  <c r="B12896" i="1"/>
  <c r="C12896" i="1"/>
  <c r="D12896" i="1"/>
  <c r="A12897" i="1"/>
  <c r="B12897" i="1"/>
  <c r="C12897" i="1"/>
  <c r="D12897" i="1"/>
  <c r="A12898" i="1"/>
  <c r="B12898" i="1"/>
  <c r="C12898" i="1"/>
  <c r="D12898" i="1"/>
  <c r="A12899" i="1"/>
  <c r="B12899" i="1"/>
  <c r="C12899" i="1"/>
  <c r="D12899" i="1"/>
  <c r="A12900" i="1"/>
  <c r="B12900" i="1"/>
  <c r="C12900" i="1"/>
  <c r="A12901" i="1"/>
  <c r="B12901" i="1"/>
  <c r="C12901" i="1"/>
  <c r="D12901" i="1"/>
  <c r="A12902" i="1"/>
  <c r="B12902" i="1"/>
  <c r="C12902" i="1"/>
  <c r="D12902" i="1"/>
  <c r="A12903" i="1"/>
  <c r="B12903" i="1"/>
  <c r="C12903" i="1"/>
  <c r="D12903" i="1"/>
  <c r="A12904" i="1"/>
  <c r="B12904" i="1"/>
  <c r="C12904" i="1"/>
  <c r="D12904" i="1"/>
  <c r="A12905" i="1"/>
  <c r="B12905" i="1"/>
  <c r="C12905" i="1"/>
  <c r="D12905" i="1"/>
  <c r="A12906" i="1"/>
  <c r="B12906" i="1"/>
  <c r="C12906" i="1"/>
  <c r="D12906" i="1"/>
  <c r="A12907" i="1"/>
  <c r="B12907" i="1"/>
  <c r="C12907" i="1"/>
  <c r="A12908" i="1"/>
  <c r="B12908" i="1"/>
  <c r="C12908" i="1"/>
  <c r="D12908" i="1"/>
  <c r="A12909" i="1"/>
  <c r="B12909" i="1"/>
  <c r="C12909" i="1"/>
  <c r="D12909" i="1"/>
  <c r="A12910" i="1"/>
  <c r="B12910" i="1"/>
  <c r="C12910" i="1"/>
  <c r="D12910" i="1"/>
  <c r="A12911" i="1"/>
  <c r="B12911" i="1"/>
  <c r="C12911" i="1"/>
  <c r="D12911" i="1"/>
  <c r="A12912" i="1"/>
  <c r="B12912" i="1"/>
  <c r="C12912" i="1"/>
  <c r="D12912" i="1"/>
  <c r="A12913" i="1"/>
  <c r="B12913" i="1"/>
  <c r="C12913" i="1"/>
  <c r="D12913" i="1"/>
  <c r="A12914" i="1"/>
  <c r="B12914" i="1"/>
  <c r="C12914" i="1"/>
  <c r="D12914" i="1"/>
  <c r="A12915" i="1"/>
  <c r="B12915" i="1"/>
  <c r="C12915" i="1"/>
  <c r="D12915" i="1"/>
  <c r="A12916" i="1"/>
  <c r="B12916" i="1"/>
  <c r="C12916" i="1"/>
  <c r="D12916" i="1"/>
  <c r="A12917" i="1"/>
  <c r="B12917" i="1"/>
  <c r="C12917" i="1"/>
  <c r="D12917" i="1"/>
  <c r="A12918" i="1"/>
  <c r="B12918" i="1"/>
  <c r="C12918" i="1"/>
  <c r="D12918" i="1"/>
  <c r="A12919" i="1"/>
  <c r="B12919" i="1"/>
  <c r="C12919" i="1"/>
  <c r="D12919" i="1"/>
  <c r="A12920" i="1"/>
  <c r="B12920" i="1"/>
  <c r="C12920" i="1"/>
  <c r="D12920" i="1"/>
  <c r="A12921" i="1"/>
  <c r="B12921" i="1"/>
  <c r="C12921" i="1"/>
  <c r="D12921" i="1"/>
  <c r="A12922" i="1"/>
  <c r="B12922" i="1"/>
  <c r="C12922" i="1"/>
  <c r="D12922" i="1"/>
  <c r="A12923" i="1"/>
  <c r="B12923" i="1"/>
  <c r="C12923" i="1"/>
  <c r="D12923" i="1"/>
  <c r="A12924" i="1"/>
  <c r="B12924" i="1"/>
  <c r="C12924" i="1"/>
  <c r="D12924" i="1"/>
  <c r="A12925" i="1"/>
  <c r="B12925" i="1"/>
  <c r="C12925" i="1"/>
  <c r="D12925" i="1"/>
  <c r="A12926" i="1"/>
  <c r="B12926" i="1"/>
  <c r="C12926" i="1"/>
  <c r="D12926" i="1"/>
  <c r="A12927" i="1"/>
  <c r="B12927" i="1"/>
  <c r="C12927" i="1"/>
  <c r="D12927" i="1"/>
  <c r="A12928" i="1"/>
  <c r="B12928" i="1"/>
  <c r="C12928" i="1"/>
  <c r="D12928" i="1"/>
  <c r="A12929" i="1"/>
  <c r="B12929" i="1"/>
  <c r="C12929" i="1"/>
  <c r="D12929" i="1"/>
  <c r="A12930" i="1"/>
  <c r="B12930" i="1"/>
  <c r="C12930" i="1"/>
  <c r="D12930" i="1"/>
  <c r="A12931" i="1"/>
  <c r="B12931" i="1"/>
  <c r="C12931" i="1"/>
  <c r="D12931" i="1"/>
  <c r="A12932" i="1"/>
  <c r="B12932" i="1"/>
  <c r="C12932" i="1"/>
  <c r="D12932" i="1"/>
  <c r="A12933" i="1"/>
  <c r="B12933" i="1"/>
  <c r="C12933" i="1"/>
  <c r="D12933" i="1"/>
  <c r="A12934" i="1"/>
  <c r="B12934" i="1"/>
  <c r="C12934" i="1"/>
  <c r="D12934" i="1"/>
  <c r="A12935" i="1"/>
  <c r="B12935" i="1"/>
  <c r="C12935" i="1"/>
  <c r="D12935" i="1"/>
  <c r="A12936" i="1"/>
  <c r="B12936" i="1"/>
  <c r="C12936" i="1"/>
  <c r="D12936" i="1"/>
  <c r="A12937" i="1"/>
  <c r="B12937" i="1"/>
  <c r="C12937" i="1"/>
  <c r="D12937" i="1"/>
  <c r="A12938" i="1"/>
  <c r="B12938" i="1"/>
  <c r="C12938" i="1"/>
  <c r="D12938" i="1"/>
  <c r="A12939" i="1"/>
  <c r="B12939" i="1"/>
  <c r="C12939" i="1"/>
  <c r="D12939" i="1"/>
  <c r="A12940" i="1"/>
  <c r="B12940" i="1"/>
  <c r="C12940" i="1"/>
  <c r="D12940" i="1"/>
  <c r="A12941" i="1"/>
  <c r="B12941" i="1"/>
  <c r="C12941" i="1"/>
  <c r="D12941" i="1"/>
  <c r="A12942" i="1"/>
  <c r="B12942" i="1"/>
  <c r="C12942" i="1"/>
  <c r="D12942" i="1"/>
  <c r="A12943" i="1"/>
  <c r="B12943" i="1"/>
  <c r="C12943" i="1"/>
  <c r="D12943" i="1"/>
  <c r="A12944" i="1"/>
  <c r="B12944" i="1"/>
  <c r="C12944" i="1"/>
  <c r="D12944" i="1"/>
  <c r="A12945" i="1"/>
  <c r="B12945" i="1"/>
  <c r="C12945" i="1"/>
  <c r="D12945" i="1"/>
  <c r="A12946" i="1"/>
  <c r="B12946" i="1"/>
  <c r="C12946" i="1"/>
  <c r="D12946" i="1"/>
  <c r="A12947" i="1"/>
  <c r="B12947" i="1"/>
  <c r="C12947" i="1"/>
  <c r="D12947" i="1"/>
  <c r="A12948" i="1"/>
  <c r="B12948" i="1"/>
  <c r="C12948" i="1"/>
  <c r="D12948" i="1"/>
  <c r="A12949" i="1"/>
  <c r="B12949" i="1"/>
  <c r="C12949" i="1"/>
  <c r="D12949" i="1"/>
  <c r="A12950" i="1"/>
  <c r="B12950" i="1"/>
  <c r="C12950" i="1"/>
  <c r="D12950" i="1"/>
  <c r="A12951" i="1"/>
  <c r="B12951" i="1"/>
  <c r="C12951" i="1"/>
  <c r="D12951" i="1"/>
  <c r="A12952" i="1"/>
  <c r="B12952" i="1"/>
  <c r="C12952" i="1"/>
  <c r="D12952" i="1"/>
  <c r="A12953" i="1"/>
  <c r="B12953" i="1"/>
  <c r="C12953" i="1"/>
  <c r="D12953" i="1"/>
  <c r="A12954" i="1"/>
  <c r="B12954" i="1"/>
  <c r="C12954" i="1"/>
  <c r="D12954" i="1"/>
  <c r="A12955" i="1"/>
  <c r="B12955" i="1"/>
  <c r="C12955" i="1"/>
  <c r="D12955" i="1"/>
  <c r="A12956" i="1"/>
  <c r="B12956" i="1"/>
  <c r="C12956" i="1"/>
  <c r="D12956" i="1"/>
  <c r="A12957" i="1"/>
  <c r="B12957" i="1"/>
  <c r="C12957" i="1"/>
  <c r="D12957" i="1"/>
  <c r="A12958" i="1"/>
  <c r="B12958" i="1"/>
  <c r="C12958" i="1"/>
  <c r="D12958" i="1"/>
  <c r="A12959" i="1"/>
  <c r="B12959" i="1"/>
  <c r="C12959" i="1"/>
  <c r="D12959" i="1"/>
  <c r="A12960" i="1"/>
  <c r="B12960" i="1"/>
  <c r="C12960" i="1"/>
  <c r="D12960" i="1"/>
  <c r="A12961" i="1"/>
  <c r="B12961" i="1"/>
  <c r="C12961" i="1"/>
  <c r="A12962" i="1"/>
  <c r="B12962" i="1"/>
  <c r="C12962" i="1"/>
  <c r="D12962" i="1"/>
  <c r="A12963" i="1"/>
  <c r="B12963" i="1"/>
  <c r="C12963" i="1"/>
  <c r="D12963" i="1"/>
  <c r="A12964" i="1"/>
  <c r="B12964" i="1"/>
  <c r="C12964" i="1"/>
  <c r="D12964" i="1"/>
  <c r="A12965" i="1"/>
  <c r="B12965" i="1"/>
  <c r="C12965" i="1"/>
  <c r="D12965" i="1"/>
  <c r="A12966" i="1"/>
  <c r="B12966" i="1"/>
  <c r="C12966" i="1"/>
  <c r="D12966" i="1"/>
  <c r="A12967" i="1"/>
  <c r="B12967" i="1"/>
  <c r="C12967" i="1"/>
  <c r="D12967" i="1"/>
  <c r="A12968" i="1"/>
  <c r="B12968" i="1"/>
  <c r="C12968" i="1"/>
  <c r="D12968" i="1"/>
  <c r="A12969" i="1"/>
  <c r="B12969" i="1"/>
  <c r="C12969" i="1"/>
  <c r="D12969" i="1"/>
  <c r="A12970" i="1"/>
  <c r="B12970" i="1"/>
  <c r="C12970" i="1"/>
  <c r="D12970" i="1"/>
  <c r="A12971" i="1"/>
  <c r="B12971" i="1"/>
  <c r="C12971" i="1"/>
  <c r="D12971" i="1"/>
  <c r="A12972" i="1"/>
  <c r="B12972" i="1"/>
  <c r="C12972" i="1"/>
  <c r="D12972" i="1"/>
  <c r="A12973" i="1"/>
  <c r="B12973" i="1"/>
  <c r="C12973" i="1"/>
  <c r="D12973" i="1"/>
  <c r="A12974" i="1"/>
  <c r="B12974" i="1"/>
  <c r="C12974" i="1"/>
  <c r="D12974" i="1"/>
  <c r="A12975" i="1"/>
  <c r="B12975" i="1"/>
  <c r="C12975" i="1"/>
  <c r="D12975" i="1"/>
  <c r="A12976" i="1"/>
  <c r="B12976" i="1"/>
  <c r="C12976" i="1"/>
  <c r="D12976" i="1"/>
  <c r="A12977" i="1"/>
  <c r="B12977" i="1"/>
  <c r="C12977" i="1"/>
  <c r="D12977" i="1"/>
  <c r="A12978" i="1"/>
  <c r="B12978" i="1"/>
  <c r="C12978" i="1"/>
  <c r="D12978" i="1"/>
  <c r="A12979" i="1"/>
  <c r="B12979" i="1"/>
  <c r="C12979" i="1"/>
  <c r="D12979" i="1"/>
  <c r="A12980" i="1"/>
  <c r="B12980" i="1"/>
  <c r="C12980" i="1"/>
  <c r="D12980" i="1"/>
  <c r="A12981" i="1"/>
  <c r="B12981" i="1"/>
  <c r="C12981" i="1"/>
  <c r="D12981" i="1"/>
  <c r="A12982" i="1"/>
  <c r="B12982" i="1"/>
  <c r="C12982" i="1"/>
  <c r="D12982" i="1"/>
  <c r="A12983" i="1"/>
  <c r="B12983" i="1"/>
  <c r="C12983" i="1"/>
  <c r="D12983" i="1"/>
  <c r="A12984" i="1"/>
  <c r="B12984" i="1"/>
  <c r="C12984" i="1"/>
  <c r="D12984" i="1"/>
  <c r="A12985" i="1"/>
  <c r="B12985" i="1"/>
  <c r="C12985" i="1"/>
  <c r="D12985" i="1"/>
  <c r="A12986" i="1"/>
  <c r="B12986" i="1"/>
  <c r="C12986" i="1"/>
  <c r="D12986" i="1"/>
  <c r="A12987" i="1"/>
  <c r="B12987" i="1"/>
  <c r="C12987" i="1"/>
  <c r="D12987" i="1"/>
  <c r="A12988" i="1"/>
  <c r="B12988" i="1"/>
  <c r="C12988" i="1"/>
  <c r="D12988" i="1"/>
  <c r="A12989" i="1"/>
  <c r="B12989" i="1"/>
  <c r="C12989" i="1"/>
  <c r="D12989" i="1"/>
  <c r="A12990" i="1"/>
  <c r="B12990" i="1"/>
  <c r="C12990" i="1"/>
  <c r="D12990" i="1"/>
  <c r="A12991" i="1"/>
  <c r="B12991" i="1"/>
  <c r="C12991" i="1"/>
  <c r="D12991" i="1"/>
  <c r="A12992" i="1"/>
  <c r="B12992" i="1"/>
  <c r="C12992" i="1"/>
  <c r="D12992" i="1"/>
  <c r="A12993" i="1"/>
  <c r="B12993" i="1"/>
  <c r="C12993" i="1"/>
  <c r="D12993" i="1"/>
  <c r="A12994" i="1"/>
  <c r="B12994" i="1"/>
  <c r="C12994" i="1"/>
  <c r="D12994" i="1"/>
  <c r="A12995" i="1"/>
  <c r="B12995" i="1"/>
  <c r="C12995" i="1"/>
  <c r="D12995" i="1"/>
  <c r="A12996" i="1"/>
  <c r="B12996" i="1"/>
  <c r="C12996" i="1"/>
  <c r="D12996" i="1"/>
  <c r="A12997" i="1"/>
  <c r="B12997" i="1"/>
  <c r="C12997" i="1"/>
  <c r="D12997" i="1"/>
  <c r="A12998" i="1"/>
  <c r="B12998" i="1"/>
  <c r="C12998" i="1"/>
  <c r="D12998" i="1"/>
  <c r="A12999" i="1"/>
  <c r="B12999" i="1"/>
  <c r="C12999" i="1"/>
  <c r="D12999" i="1"/>
  <c r="A13000" i="1"/>
  <c r="B13000" i="1"/>
  <c r="C13000" i="1"/>
  <c r="D13000" i="1"/>
  <c r="A13001" i="1"/>
  <c r="B13001" i="1"/>
  <c r="C13001" i="1"/>
  <c r="D13001" i="1"/>
  <c r="A13002" i="1"/>
  <c r="B13002" i="1"/>
  <c r="C13002" i="1"/>
  <c r="D13002" i="1"/>
  <c r="A13003" i="1"/>
  <c r="B13003" i="1"/>
  <c r="C13003" i="1"/>
  <c r="D13003" i="1"/>
  <c r="A13004" i="1"/>
  <c r="B13004" i="1"/>
  <c r="C13004" i="1"/>
  <c r="D13004" i="1"/>
  <c r="A13005" i="1"/>
  <c r="B13005" i="1"/>
  <c r="C13005" i="1"/>
  <c r="D13005" i="1"/>
  <c r="A13006" i="1"/>
  <c r="B13006" i="1"/>
  <c r="C13006" i="1"/>
  <c r="D13006" i="1"/>
  <c r="A13007" i="1"/>
  <c r="B13007" i="1"/>
  <c r="C13007" i="1"/>
  <c r="D13007" i="1"/>
  <c r="A13008" i="1"/>
  <c r="B13008" i="1"/>
  <c r="C13008" i="1"/>
  <c r="D13008" i="1"/>
  <c r="A13009" i="1"/>
  <c r="B13009" i="1"/>
  <c r="C13009" i="1"/>
  <c r="D13009" i="1"/>
  <c r="A13010" i="1"/>
  <c r="B13010" i="1"/>
  <c r="C13010" i="1"/>
  <c r="D13010" i="1"/>
  <c r="A13011" i="1"/>
  <c r="B13011" i="1"/>
  <c r="C13011" i="1"/>
  <c r="D13011" i="1"/>
  <c r="A13012" i="1"/>
  <c r="B13012" i="1"/>
  <c r="C13012" i="1"/>
  <c r="D13012" i="1"/>
  <c r="A13013" i="1"/>
  <c r="B13013" i="1"/>
  <c r="C13013" i="1"/>
  <c r="D13013" i="1"/>
  <c r="A13014" i="1"/>
  <c r="B13014" i="1"/>
  <c r="C13014" i="1"/>
  <c r="D13014" i="1"/>
  <c r="A13015" i="1"/>
  <c r="B13015" i="1"/>
  <c r="C13015" i="1"/>
  <c r="D13015" i="1"/>
  <c r="A13016" i="1"/>
  <c r="B13016" i="1"/>
  <c r="C13016" i="1"/>
  <c r="D13016" i="1"/>
  <c r="A13017" i="1"/>
  <c r="B13017" i="1"/>
  <c r="C13017" i="1"/>
  <c r="D13017" i="1"/>
  <c r="A13018" i="1"/>
  <c r="B13018" i="1"/>
  <c r="C13018" i="1"/>
  <c r="D13018" i="1"/>
  <c r="A13019" i="1"/>
  <c r="B13019" i="1"/>
  <c r="C13019" i="1"/>
  <c r="D13019" i="1"/>
  <c r="A13020" i="1"/>
  <c r="B13020" i="1"/>
  <c r="C13020" i="1"/>
  <c r="A13021" i="1"/>
  <c r="B13021" i="1"/>
  <c r="C13021" i="1"/>
  <c r="D13021" i="1"/>
  <c r="A13022" i="1"/>
  <c r="B13022" i="1"/>
  <c r="C13022" i="1"/>
  <c r="D13022" i="1"/>
  <c r="A13023" i="1"/>
  <c r="B13023" i="1"/>
  <c r="C13023" i="1"/>
  <c r="D13023" i="1"/>
  <c r="A13024" i="1"/>
  <c r="B13024" i="1"/>
  <c r="C13024" i="1"/>
  <c r="D13024" i="1"/>
  <c r="A13025" i="1"/>
  <c r="B13025" i="1"/>
  <c r="C13025" i="1"/>
  <c r="D13025" i="1"/>
  <c r="A13026" i="1"/>
  <c r="B13026" i="1"/>
  <c r="C13026" i="1"/>
  <c r="D13026" i="1"/>
  <c r="A13027" i="1"/>
  <c r="B13027" i="1"/>
  <c r="C13027" i="1"/>
  <c r="D13027" i="1"/>
  <c r="A13028" i="1"/>
  <c r="B13028" i="1"/>
  <c r="C13028" i="1"/>
  <c r="D13028" i="1"/>
  <c r="A13029" i="1"/>
  <c r="B13029" i="1"/>
  <c r="C13029" i="1"/>
  <c r="D13029" i="1"/>
  <c r="A13030" i="1"/>
  <c r="B13030" i="1"/>
  <c r="C13030" i="1"/>
  <c r="D13030" i="1"/>
  <c r="A13031" i="1"/>
  <c r="B13031" i="1"/>
  <c r="C13031" i="1"/>
  <c r="D13031" i="1"/>
  <c r="A13032" i="1"/>
  <c r="B13032" i="1"/>
  <c r="C13032" i="1"/>
  <c r="D13032" i="1"/>
  <c r="A13033" i="1"/>
  <c r="B13033" i="1"/>
  <c r="C13033" i="1"/>
  <c r="D13033" i="1"/>
  <c r="A13034" i="1"/>
  <c r="B13034" i="1"/>
  <c r="C13034" i="1"/>
  <c r="D13034" i="1"/>
  <c r="A13035" i="1"/>
  <c r="B13035" i="1"/>
  <c r="C13035" i="1"/>
  <c r="D13035" i="1"/>
  <c r="A13036" i="1"/>
  <c r="B13036" i="1"/>
  <c r="C13036" i="1"/>
  <c r="D13036" i="1"/>
  <c r="A13037" i="1"/>
  <c r="B13037" i="1"/>
  <c r="C13037" i="1"/>
  <c r="D13037" i="1"/>
  <c r="A13038" i="1"/>
  <c r="B13038" i="1"/>
  <c r="C13038" i="1"/>
  <c r="D13038" i="1"/>
  <c r="A13039" i="1"/>
  <c r="B13039" i="1"/>
  <c r="C13039" i="1"/>
  <c r="D13039" i="1"/>
  <c r="A13040" i="1"/>
  <c r="B13040" i="1"/>
  <c r="C13040" i="1"/>
  <c r="D13040" i="1"/>
  <c r="A13041" i="1"/>
  <c r="B13041" i="1"/>
  <c r="C13041" i="1"/>
  <c r="D13041" i="1"/>
  <c r="A13042" i="1"/>
  <c r="B13042" i="1"/>
  <c r="C13042" i="1"/>
  <c r="D13042" i="1"/>
  <c r="A13043" i="1"/>
  <c r="B13043" i="1"/>
  <c r="C13043" i="1"/>
  <c r="D13043" i="1"/>
  <c r="A13044" i="1"/>
  <c r="B13044" i="1"/>
  <c r="C13044" i="1"/>
  <c r="A13045" i="1"/>
  <c r="B13045" i="1"/>
  <c r="C13045" i="1"/>
  <c r="D13045" i="1"/>
  <c r="A13046" i="1"/>
  <c r="B13046" i="1"/>
  <c r="C13046" i="1"/>
  <c r="D13046" i="1"/>
  <c r="A13047" i="1"/>
  <c r="B13047" i="1"/>
  <c r="C13047" i="1"/>
  <c r="D13047" i="1"/>
  <c r="A13048" i="1"/>
  <c r="B13048" i="1"/>
  <c r="C13048" i="1"/>
  <c r="D13048" i="1"/>
  <c r="A13049" i="1"/>
  <c r="B13049" i="1"/>
  <c r="C13049" i="1"/>
  <c r="D13049" i="1"/>
  <c r="A13050" i="1"/>
  <c r="B13050" i="1"/>
  <c r="C13050" i="1"/>
  <c r="D13050" i="1"/>
  <c r="A13051" i="1"/>
  <c r="B13051" i="1"/>
  <c r="C13051" i="1"/>
  <c r="D13051" i="1"/>
  <c r="A13052" i="1"/>
  <c r="B13052" i="1"/>
  <c r="C13052" i="1"/>
  <c r="D13052" i="1"/>
  <c r="A13053" i="1"/>
  <c r="B13053" i="1"/>
  <c r="C13053" i="1"/>
  <c r="D13053" i="1"/>
  <c r="A13054" i="1"/>
  <c r="B13054" i="1"/>
  <c r="C13054" i="1"/>
  <c r="D13054" i="1"/>
  <c r="A13055" i="1"/>
  <c r="B13055" i="1"/>
  <c r="C13055" i="1"/>
  <c r="D13055" i="1"/>
  <c r="A13056" i="1"/>
  <c r="B13056" i="1"/>
  <c r="C13056" i="1"/>
  <c r="D13056" i="1"/>
  <c r="A13057" i="1"/>
  <c r="B13057" i="1"/>
  <c r="C13057" i="1"/>
  <c r="D13057" i="1"/>
  <c r="A13058" i="1"/>
  <c r="B13058" i="1"/>
  <c r="C13058" i="1"/>
  <c r="D13058" i="1"/>
  <c r="A13059" i="1"/>
  <c r="B13059" i="1"/>
  <c r="C13059" i="1"/>
  <c r="D13059" i="1"/>
  <c r="A13060" i="1"/>
  <c r="B13060" i="1"/>
  <c r="C13060" i="1"/>
  <c r="D13060" i="1"/>
  <c r="A13061" i="1"/>
  <c r="B13061" i="1"/>
  <c r="C13061" i="1"/>
  <c r="D13061" i="1"/>
  <c r="A13062" i="1"/>
  <c r="B13062" i="1"/>
  <c r="C13062" i="1"/>
  <c r="D13062" i="1"/>
  <c r="A13063" i="1"/>
  <c r="B13063" i="1"/>
  <c r="C13063" i="1"/>
  <c r="D13063" i="1"/>
  <c r="A13064" i="1"/>
  <c r="B13064" i="1"/>
  <c r="C13064" i="1"/>
  <c r="D13064" i="1"/>
  <c r="A13065" i="1"/>
  <c r="B13065" i="1"/>
  <c r="C13065" i="1"/>
  <c r="D13065" i="1"/>
  <c r="A13066" i="1"/>
  <c r="B13066" i="1"/>
  <c r="C13066" i="1"/>
  <c r="D13066" i="1"/>
  <c r="A13067" i="1"/>
  <c r="B13067" i="1"/>
  <c r="C13067" i="1"/>
  <c r="A13068" i="1"/>
  <c r="B13068" i="1"/>
  <c r="C13068" i="1"/>
  <c r="D13068" i="1"/>
  <c r="A13069" i="1"/>
  <c r="B13069" i="1"/>
  <c r="C13069" i="1"/>
  <c r="D13069" i="1"/>
  <c r="A13070" i="1"/>
  <c r="B13070" i="1"/>
  <c r="C13070" i="1"/>
  <c r="D13070" i="1"/>
  <c r="A13071" i="1"/>
  <c r="B13071" i="1"/>
  <c r="C13071" i="1"/>
  <c r="D13071" i="1"/>
  <c r="A13072" i="1"/>
  <c r="B13072" i="1"/>
  <c r="C13072" i="1"/>
  <c r="A13073" i="1"/>
  <c r="B13073" i="1"/>
  <c r="C13073" i="1"/>
  <c r="A13074" i="1"/>
  <c r="B13074" i="1"/>
  <c r="C13074" i="1"/>
  <c r="D13074" i="1"/>
  <c r="A13075" i="1"/>
  <c r="B13075" i="1"/>
  <c r="C13075" i="1"/>
  <c r="D13075" i="1"/>
  <c r="A13076" i="1"/>
  <c r="B13076" i="1"/>
  <c r="C13076" i="1"/>
  <c r="D13076" i="1"/>
  <c r="A13077" i="1"/>
  <c r="B13077" i="1"/>
  <c r="C13077" i="1"/>
  <c r="D13077" i="1"/>
  <c r="A13078" i="1"/>
  <c r="B13078" i="1"/>
  <c r="C13078" i="1"/>
  <c r="D13078" i="1"/>
  <c r="A13079" i="1"/>
  <c r="B13079" i="1"/>
  <c r="C13079" i="1"/>
  <c r="D13079" i="1"/>
  <c r="A13080" i="1"/>
  <c r="B13080" i="1"/>
  <c r="C13080" i="1"/>
  <c r="D13080" i="1"/>
  <c r="A13081" i="1"/>
  <c r="B13081" i="1"/>
  <c r="C13081" i="1"/>
  <c r="D13081" i="1"/>
  <c r="A13082" i="1"/>
  <c r="B13082" i="1"/>
  <c r="C13082" i="1"/>
  <c r="D13082" i="1"/>
  <c r="A13083" i="1"/>
  <c r="B13083" i="1"/>
  <c r="C13083" i="1"/>
  <c r="D13083" i="1"/>
  <c r="A13084" i="1"/>
  <c r="B13084" i="1"/>
  <c r="C13084" i="1"/>
  <c r="A13085" i="1"/>
  <c r="B13085" i="1"/>
  <c r="C13085" i="1"/>
  <c r="D13085" i="1"/>
  <c r="A13086" i="1"/>
  <c r="B13086" i="1"/>
  <c r="C13086" i="1"/>
  <c r="D13086" i="1"/>
  <c r="A13087" i="1"/>
  <c r="B13087" i="1"/>
  <c r="C13087" i="1"/>
  <c r="D13087" i="1"/>
  <c r="A13088" i="1"/>
  <c r="B13088" i="1"/>
  <c r="C13088" i="1"/>
  <c r="D13088" i="1"/>
  <c r="A13089" i="1"/>
  <c r="B13089" i="1"/>
  <c r="C13089" i="1"/>
  <c r="D13089" i="1"/>
  <c r="A13090" i="1"/>
  <c r="B13090" i="1"/>
  <c r="C13090" i="1"/>
  <c r="D13090" i="1"/>
  <c r="A13091" i="1"/>
  <c r="B13091" i="1"/>
  <c r="C13091" i="1"/>
  <c r="D13091" i="1"/>
  <c r="A13092" i="1"/>
  <c r="B13092" i="1"/>
  <c r="C13092" i="1"/>
  <c r="D13092" i="1"/>
  <c r="A13093" i="1"/>
  <c r="B13093" i="1"/>
  <c r="C13093" i="1"/>
  <c r="D13093" i="1"/>
  <c r="A13094" i="1"/>
  <c r="B13094" i="1"/>
  <c r="C13094" i="1"/>
  <c r="D13094" i="1"/>
  <c r="A13095" i="1"/>
  <c r="B13095" i="1"/>
  <c r="C13095" i="1"/>
  <c r="D13095" i="1"/>
  <c r="A13096" i="1"/>
  <c r="B13096" i="1"/>
  <c r="C13096" i="1"/>
  <c r="D13096" i="1"/>
  <c r="A13097" i="1"/>
  <c r="B13097" i="1"/>
  <c r="C13097" i="1"/>
  <c r="D13097" i="1"/>
  <c r="A13098" i="1"/>
  <c r="B13098" i="1"/>
  <c r="C13098" i="1"/>
  <c r="D13098" i="1"/>
  <c r="A13099" i="1"/>
  <c r="B13099" i="1"/>
  <c r="C13099" i="1"/>
  <c r="D13099" i="1"/>
  <c r="A13100" i="1"/>
  <c r="B13100" i="1"/>
  <c r="C13100" i="1"/>
  <c r="D13100" i="1"/>
  <c r="A13101" i="1"/>
  <c r="B13101" i="1"/>
  <c r="C13101" i="1"/>
  <c r="D13101" i="1"/>
  <c r="A13102" i="1"/>
  <c r="B13102" i="1"/>
  <c r="C13102" i="1"/>
  <c r="D13102" i="1"/>
  <c r="A13103" i="1"/>
  <c r="B13103" i="1"/>
  <c r="C13103" i="1"/>
  <c r="D13103" i="1"/>
  <c r="A13104" i="1"/>
  <c r="B13104" i="1"/>
  <c r="C13104" i="1"/>
  <c r="D13104" i="1"/>
  <c r="A13105" i="1"/>
  <c r="B13105" i="1"/>
  <c r="C13105" i="1"/>
  <c r="A13106" i="1"/>
  <c r="B13106" i="1"/>
  <c r="C13106" i="1"/>
  <c r="D13106" i="1"/>
  <c r="A13107" i="1"/>
  <c r="B13107" i="1"/>
  <c r="C13107" i="1"/>
  <c r="D13107" i="1"/>
  <c r="A13108" i="1"/>
  <c r="B13108" i="1"/>
  <c r="C13108" i="1"/>
  <c r="D13108" i="1"/>
  <c r="A13109" i="1"/>
  <c r="B13109" i="1"/>
  <c r="C13109" i="1"/>
  <c r="D13109" i="1"/>
  <c r="A13110" i="1"/>
  <c r="B13110" i="1"/>
  <c r="C13110" i="1"/>
  <c r="D13110" i="1"/>
  <c r="A13111" i="1"/>
  <c r="B13111" i="1"/>
  <c r="C13111" i="1"/>
  <c r="D13111" i="1"/>
  <c r="A13112" i="1"/>
  <c r="B13112" i="1"/>
  <c r="C13112" i="1"/>
  <c r="D13112" i="1"/>
  <c r="A13113" i="1"/>
  <c r="B13113" i="1"/>
  <c r="C13113" i="1"/>
  <c r="D13113" i="1"/>
  <c r="A13114" i="1"/>
  <c r="B13114" i="1"/>
  <c r="C13114" i="1"/>
  <c r="D13114" i="1"/>
  <c r="A13115" i="1"/>
  <c r="B13115" i="1"/>
  <c r="C13115" i="1"/>
  <c r="D13115" i="1"/>
  <c r="A13116" i="1"/>
  <c r="B13116" i="1"/>
  <c r="C13116" i="1"/>
  <c r="D13116" i="1"/>
  <c r="A13117" i="1"/>
  <c r="B13117" i="1"/>
  <c r="C13117" i="1"/>
  <c r="D13117" i="1"/>
  <c r="A13118" i="1"/>
  <c r="B13118" i="1"/>
  <c r="C13118" i="1"/>
  <c r="D13118" i="1"/>
  <c r="A13119" i="1"/>
  <c r="B13119" i="1"/>
  <c r="C13119" i="1"/>
  <c r="D13119" i="1"/>
  <c r="A13120" i="1"/>
  <c r="B13120" i="1"/>
  <c r="C13120" i="1"/>
  <c r="D13120" i="1"/>
  <c r="A13121" i="1"/>
  <c r="B13121" i="1"/>
  <c r="C13121" i="1"/>
  <c r="D13121" i="1"/>
  <c r="A13122" i="1"/>
  <c r="B13122" i="1"/>
  <c r="C13122" i="1"/>
  <c r="D13122" i="1"/>
  <c r="A13123" i="1"/>
  <c r="B13123" i="1"/>
  <c r="C13123" i="1"/>
  <c r="D13123" i="1"/>
  <c r="A13124" i="1"/>
  <c r="B13124" i="1"/>
  <c r="C13124" i="1"/>
  <c r="D13124" i="1"/>
  <c r="A13125" i="1"/>
  <c r="B13125" i="1"/>
  <c r="C13125" i="1"/>
  <c r="D13125" i="1"/>
  <c r="A13126" i="1"/>
  <c r="B13126" i="1"/>
  <c r="C13126" i="1"/>
  <c r="D13126" i="1"/>
  <c r="A13127" i="1"/>
  <c r="B13127" i="1"/>
  <c r="C13127" i="1"/>
  <c r="D13127" i="1"/>
  <c r="A13128" i="1"/>
  <c r="B13128" i="1"/>
  <c r="C13128" i="1"/>
  <c r="D13128" i="1"/>
  <c r="A13129" i="1"/>
  <c r="B13129" i="1"/>
  <c r="C13129" i="1"/>
  <c r="D13129" i="1"/>
  <c r="A13130" i="1"/>
  <c r="B13130" i="1"/>
  <c r="C13130" i="1"/>
  <c r="D13130" i="1"/>
  <c r="A13131" i="1"/>
  <c r="B13131" i="1"/>
  <c r="C13131" i="1"/>
  <c r="D13131" i="1"/>
  <c r="A13132" i="1"/>
  <c r="B13132" i="1"/>
  <c r="C13132" i="1"/>
  <c r="D13132" i="1"/>
  <c r="A13133" i="1"/>
  <c r="B13133" i="1"/>
  <c r="C13133" i="1"/>
  <c r="D13133" i="1"/>
  <c r="A13134" i="1"/>
  <c r="B13134" i="1"/>
  <c r="C13134" i="1"/>
  <c r="D13134" i="1"/>
  <c r="A13135" i="1"/>
  <c r="B13135" i="1"/>
  <c r="C13135" i="1"/>
  <c r="D13135" i="1"/>
  <c r="A13136" i="1"/>
  <c r="B13136" i="1"/>
  <c r="C13136" i="1"/>
  <c r="D13136" i="1"/>
  <c r="A13137" i="1"/>
  <c r="B13137" i="1"/>
  <c r="C13137" i="1"/>
  <c r="D13137" i="1"/>
  <c r="A13138" i="1"/>
  <c r="B13138" i="1"/>
  <c r="C13138" i="1"/>
  <c r="A13139" i="1"/>
  <c r="B13139" i="1"/>
  <c r="C13139" i="1"/>
  <c r="D13139" i="1"/>
  <c r="A13140" i="1"/>
  <c r="B13140" i="1"/>
  <c r="C13140" i="1"/>
  <c r="D13140" i="1"/>
  <c r="A13141" i="1"/>
  <c r="B13141" i="1"/>
  <c r="C13141" i="1"/>
  <c r="D13141" i="1"/>
  <c r="A13142" i="1"/>
  <c r="B13142" i="1"/>
  <c r="C13142" i="1"/>
  <c r="D13142" i="1"/>
  <c r="A13143" i="1"/>
  <c r="B13143" i="1"/>
  <c r="C13143" i="1"/>
  <c r="D13143" i="1"/>
  <c r="A13144" i="1"/>
  <c r="B13144" i="1"/>
  <c r="C13144" i="1"/>
  <c r="D13144" i="1"/>
  <c r="A13145" i="1"/>
  <c r="B13145" i="1"/>
  <c r="C13145" i="1"/>
  <c r="D13145" i="1"/>
  <c r="A13146" i="1"/>
  <c r="B13146" i="1"/>
  <c r="C13146" i="1"/>
  <c r="D13146" i="1"/>
  <c r="A13147" i="1"/>
  <c r="B13147" i="1"/>
  <c r="C13147" i="1"/>
  <c r="D13147" i="1"/>
  <c r="A13148" i="1"/>
  <c r="B13148" i="1"/>
  <c r="C13148" i="1"/>
  <c r="D13148" i="1"/>
  <c r="A13149" i="1"/>
  <c r="B13149" i="1"/>
  <c r="C13149" i="1"/>
  <c r="D13149" i="1"/>
  <c r="A13150" i="1"/>
  <c r="B13150" i="1"/>
  <c r="C13150" i="1"/>
  <c r="D13150" i="1"/>
  <c r="A13151" i="1"/>
  <c r="B13151" i="1"/>
  <c r="C13151" i="1"/>
  <c r="D13151" i="1"/>
  <c r="A13152" i="1"/>
  <c r="B13152" i="1"/>
  <c r="C13152" i="1"/>
  <c r="A13153" i="1"/>
  <c r="B13153" i="1"/>
  <c r="C13153" i="1"/>
  <c r="D13153" i="1"/>
  <c r="A13154" i="1"/>
  <c r="B13154" i="1"/>
  <c r="C13154" i="1"/>
  <c r="D13154" i="1"/>
  <c r="A13155" i="1"/>
  <c r="B13155" i="1"/>
  <c r="C13155" i="1"/>
  <c r="D13155" i="1"/>
  <c r="A13156" i="1"/>
  <c r="B13156" i="1"/>
  <c r="C13156" i="1"/>
  <c r="D13156" i="1"/>
  <c r="A13157" i="1"/>
  <c r="B13157" i="1"/>
  <c r="C13157" i="1"/>
  <c r="D13157" i="1"/>
  <c r="A13158" i="1"/>
  <c r="B13158" i="1"/>
  <c r="C13158" i="1"/>
  <c r="D13158" i="1"/>
  <c r="A13159" i="1"/>
  <c r="B13159" i="1"/>
  <c r="C13159" i="1"/>
  <c r="D13159" i="1"/>
  <c r="A13160" i="1"/>
  <c r="B13160" i="1"/>
  <c r="C13160" i="1"/>
  <c r="D13160" i="1"/>
  <c r="A13161" i="1"/>
  <c r="B13161" i="1"/>
  <c r="C13161" i="1"/>
  <c r="D13161" i="1"/>
  <c r="A13162" i="1"/>
  <c r="B13162" i="1"/>
  <c r="C13162" i="1"/>
  <c r="D13162" i="1"/>
  <c r="A13163" i="1"/>
  <c r="B13163" i="1"/>
  <c r="C13163" i="1"/>
  <c r="D13163" i="1"/>
  <c r="A13164" i="1"/>
  <c r="B13164" i="1"/>
  <c r="C13164" i="1"/>
  <c r="D13164" i="1"/>
  <c r="A13165" i="1"/>
  <c r="B13165" i="1"/>
  <c r="C13165" i="1"/>
  <c r="D13165" i="1"/>
  <c r="A13166" i="1"/>
  <c r="B13166" i="1"/>
  <c r="C13166" i="1"/>
  <c r="D13166" i="1"/>
  <c r="A13167" i="1"/>
  <c r="B13167" i="1"/>
  <c r="C13167" i="1"/>
  <c r="D13167" i="1"/>
  <c r="A13168" i="1"/>
  <c r="B13168" i="1"/>
  <c r="C13168" i="1"/>
  <c r="D13168" i="1"/>
  <c r="A13169" i="1"/>
  <c r="B13169" i="1"/>
  <c r="C13169" i="1"/>
  <c r="D13169" i="1"/>
  <c r="A13170" i="1"/>
  <c r="B13170" i="1"/>
  <c r="C13170" i="1"/>
  <c r="D13170" i="1"/>
  <c r="A13171" i="1"/>
  <c r="B13171" i="1"/>
  <c r="C13171" i="1"/>
  <c r="D13171" i="1"/>
  <c r="A13172" i="1"/>
  <c r="B13172" i="1"/>
  <c r="C13172" i="1"/>
  <c r="D13172" i="1"/>
  <c r="A13173" i="1"/>
  <c r="B13173" i="1"/>
  <c r="C13173" i="1"/>
  <c r="D13173" i="1"/>
  <c r="A13174" i="1"/>
  <c r="B13174" i="1"/>
  <c r="C13174" i="1"/>
  <c r="D13174" i="1"/>
  <c r="A13175" i="1"/>
  <c r="B13175" i="1"/>
  <c r="C13175" i="1"/>
  <c r="D13175" i="1"/>
  <c r="A13176" i="1"/>
  <c r="B13176" i="1"/>
  <c r="C13176" i="1"/>
  <c r="D13176" i="1"/>
  <c r="A13177" i="1"/>
  <c r="B13177" i="1"/>
  <c r="C13177" i="1"/>
  <c r="D13177" i="1"/>
  <c r="A13178" i="1"/>
  <c r="B13178" i="1"/>
  <c r="C13178" i="1"/>
  <c r="D13178" i="1"/>
  <c r="A13179" i="1"/>
  <c r="B13179" i="1"/>
  <c r="C13179" i="1"/>
  <c r="D13179" i="1"/>
  <c r="A13180" i="1"/>
  <c r="B13180" i="1"/>
  <c r="C13180" i="1"/>
  <c r="D13180" i="1"/>
  <c r="A13181" i="1"/>
  <c r="B13181" i="1"/>
  <c r="C13181" i="1"/>
  <c r="D13181" i="1"/>
  <c r="A13182" i="1"/>
  <c r="B13182" i="1"/>
  <c r="C13182" i="1"/>
  <c r="D13182" i="1"/>
  <c r="A13183" i="1"/>
  <c r="B13183" i="1"/>
  <c r="C13183" i="1"/>
  <c r="D13183" i="1"/>
  <c r="A13184" i="1"/>
  <c r="B13184" i="1"/>
  <c r="C13184" i="1"/>
  <c r="D13184" i="1"/>
  <c r="A13185" i="1"/>
  <c r="B13185" i="1"/>
  <c r="C13185" i="1"/>
  <c r="D13185" i="1"/>
  <c r="A13186" i="1"/>
  <c r="B13186" i="1"/>
  <c r="C13186" i="1"/>
  <c r="D13186" i="1"/>
  <c r="A13187" i="1"/>
  <c r="B13187" i="1"/>
  <c r="C13187" i="1"/>
  <c r="D13187" i="1"/>
  <c r="A13188" i="1"/>
  <c r="B13188" i="1"/>
  <c r="C13188" i="1"/>
  <c r="D13188" i="1"/>
  <c r="A13189" i="1"/>
  <c r="B13189" i="1"/>
  <c r="C13189" i="1"/>
  <c r="D13189" i="1"/>
  <c r="A13190" i="1"/>
  <c r="B13190" i="1"/>
  <c r="C13190" i="1"/>
  <c r="D13190" i="1"/>
  <c r="A13191" i="1"/>
  <c r="B13191" i="1"/>
  <c r="C13191" i="1"/>
  <c r="D13191" i="1"/>
  <c r="A13192" i="1"/>
  <c r="B13192" i="1"/>
  <c r="C13192" i="1"/>
  <c r="D13192" i="1"/>
  <c r="A13193" i="1"/>
  <c r="B13193" i="1"/>
  <c r="C13193" i="1"/>
  <c r="D13193" i="1"/>
  <c r="A13194" i="1"/>
  <c r="B13194" i="1"/>
  <c r="C13194" i="1"/>
  <c r="D13194" i="1"/>
  <c r="A13195" i="1"/>
  <c r="B13195" i="1"/>
  <c r="C13195" i="1"/>
  <c r="D13195" i="1"/>
  <c r="A13196" i="1"/>
  <c r="B13196" i="1"/>
  <c r="C13196" i="1"/>
  <c r="D13196" i="1"/>
  <c r="A13197" i="1"/>
  <c r="B13197" i="1"/>
  <c r="C13197" i="1"/>
  <c r="D13197" i="1"/>
  <c r="A13198" i="1"/>
  <c r="B13198" i="1"/>
  <c r="C13198" i="1"/>
  <c r="D13198" i="1"/>
  <c r="A13199" i="1"/>
  <c r="B13199" i="1"/>
  <c r="C13199" i="1"/>
  <c r="D13199" i="1"/>
  <c r="A13200" i="1"/>
  <c r="B13200" i="1"/>
  <c r="C13200" i="1"/>
  <c r="D13200" i="1"/>
  <c r="A13201" i="1"/>
  <c r="B13201" i="1"/>
  <c r="C13201" i="1"/>
  <c r="D13201" i="1"/>
  <c r="A13202" i="1"/>
  <c r="B13202" i="1"/>
  <c r="C13202" i="1"/>
  <c r="D13202" i="1"/>
  <c r="A13203" i="1"/>
  <c r="B13203" i="1"/>
  <c r="C13203" i="1"/>
  <c r="D13203" i="1"/>
  <c r="A13204" i="1"/>
  <c r="B13204" i="1"/>
  <c r="C13204" i="1"/>
  <c r="D13204" i="1"/>
  <c r="A13205" i="1"/>
  <c r="B13205" i="1"/>
  <c r="C13205" i="1"/>
  <c r="D13205" i="1"/>
  <c r="A13206" i="1"/>
  <c r="B13206" i="1"/>
  <c r="C13206" i="1"/>
  <c r="D13206" i="1"/>
  <c r="A13207" i="1"/>
  <c r="B13207" i="1"/>
  <c r="C13207" i="1"/>
  <c r="D13207" i="1"/>
  <c r="A13208" i="1"/>
  <c r="B13208" i="1"/>
  <c r="C13208" i="1"/>
  <c r="D13208" i="1"/>
  <c r="A13209" i="1"/>
  <c r="B13209" i="1"/>
  <c r="C13209" i="1"/>
  <c r="D13209" i="1"/>
  <c r="A13210" i="1"/>
  <c r="B13210" i="1"/>
  <c r="C13210" i="1"/>
  <c r="D13210" i="1"/>
  <c r="A13211" i="1"/>
  <c r="B13211" i="1"/>
  <c r="C13211" i="1"/>
  <c r="D13211" i="1"/>
  <c r="A13212" i="1"/>
  <c r="B13212" i="1"/>
  <c r="C13212" i="1"/>
  <c r="D13212" i="1"/>
  <c r="A13213" i="1"/>
  <c r="B13213" i="1"/>
  <c r="C13213" i="1"/>
  <c r="D13213" i="1"/>
  <c r="A13214" i="1"/>
  <c r="B13214" i="1"/>
  <c r="C13214" i="1"/>
  <c r="D13214" i="1"/>
  <c r="A13215" i="1"/>
  <c r="B13215" i="1"/>
  <c r="C13215" i="1"/>
  <c r="D13215" i="1"/>
  <c r="A13216" i="1"/>
  <c r="B13216" i="1"/>
  <c r="C13216" i="1"/>
  <c r="D13216" i="1"/>
  <c r="A13217" i="1"/>
  <c r="B13217" i="1"/>
  <c r="C13217" i="1"/>
  <c r="D13217" i="1"/>
  <c r="A13218" i="1"/>
  <c r="B13218" i="1"/>
  <c r="C13218" i="1"/>
  <c r="D13218" i="1"/>
  <c r="A13219" i="1"/>
  <c r="B13219" i="1"/>
  <c r="C13219" i="1"/>
  <c r="D13219" i="1"/>
  <c r="A13220" i="1"/>
  <c r="B13220" i="1"/>
  <c r="C13220" i="1"/>
  <c r="D13220" i="1"/>
  <c r="A13221" i="1"/>
  <c r="B13221" i="1"/>
  <c r="C13221" i="1"/>
  <c r="D13221" i="1"/>
  <c r="A13222" i="1"/>
  <c r="B13222" i="1"/>
  <c r="C13222" i="1"/>
  <c r="D13222" i="1"/>
  <c r="A13223" i="1"/>
  <c r="B13223" i="1"/>
  <c r="C13223" i="1"/>
  <c r="D13223" i="1"/>
  <c r="A13224" i="1"/>
  <c r="B13224" i="1"/>
  <c r="C13224" i="1"/>
  <c r="D13224" i="1"/>
  <c r="A13225" i="1"/>
  <c r="B13225" i="1"/>
  <c r="C13225" i="1"/>
  <c r="D13225" i="1"/>
  <c r="A13226" i="1"/>
  <c r="B13226" i="1"/>
  <c r="C13226" i="1"/>
  <c r="D13226" i="1"/>
  <c r="A13227" i="1"/>
  <c r="B13227" i="1"/>
  <c r="C13227" i="1"/>
  <c r="D13227" i="1"/>
  <c r="A13228" i="1"/>
  <c r="B13228" i="1"/>
  <c r="C13228" i="1"/>
  <c r="D13228" i="1"/>
  <c r="A13229" i="1"/>
  <c r="B13229" i="1"/>
  <c r="C13229" i="1"/>
  <c r="D13229" i="1"/>
  <c r="A13230" i="1"/>
  <c r="B13230" i="1"/>
  <c r="C13230" i="1"/>
  <c r="D13230" i="1"/>
  <c r="A13231" i="1"/>
  <c r="B13231" i="1"/>
  <c r="C13231" i="1"/>
  <c r="D13231" i="1"/>
  <c r="A13232" i="1"/>
  <c r="B13232" i="1"/>
  <c r="C13232" i="1"/>
  <c r="D13232" i="1"/>
  <c r="A13233" i="1"/>
  <c r="B13233" i="1"/>
  <c r="C13233" i="1"/>
  <c r="D13233" i="1"/>
  <c r="A13234" i="1"/>
  <c r="B13234" i="1"/>
  <c r="C13234" i="1"/>
  <c r="D13234" i="1"/>
  <c r="A13235" i="1"/>
  <c r="B13235" i="1"/>
  <c r="C13235" i="1"/>
  <c r="D13235" i="1"/>
  <c r="A13236" i="1"/>
  <c r="B13236" i="1"/>
  <c r="C13236" i="1"/>
  <c r="D13236" i="1"/>
  <c r="A13237" i="1"/>
  <c r="B13237" i="1"/>
  <c r="C13237" i="1"/>
  <c r="D13237" i="1"/>
  <c r="A13238" i="1"/>
  <c r="B13238" i="1"/>
  <c r="C13238" i="1"/>
  <c r="D13238" i="1"/>
  <c r="A13239" i="1"/>
  <c r="B13239" i="1"/>
  <c r="C13239" i="1"/>
  <c r="D13239" i="1"/>
  <c r="A13240" i="1"/>
  <c r="B13240" i="1"/>
  <c r="C13240" i="1"/>
  <c r="D13240" i="1"/>
  <c r="A13241" i="1"/>
  <c r="B13241" i="1"/>
  <c r="C13241" i="1"/>
  <c r="D13241" i="1"/>
  <c r="A13242" i="1"/>
  <c r="B13242" i="1"/>
  <c r="C13242" i="1"/>
  <c r="D13242" i="1"/>
  <c r="A13243" i="1"/>
  <c r="B13243" i="1"/>
  <c r="C13243" i="1"/>
  <c r="D13243" i="1"/>
  <c r="A13244" i="1"/>
  <c r="B13244" i="1"/>
  <c r="C13244" i="1"/>
  <c r="D13244" i="1"/>
  <c r="A13245" i="1"/>
  <c r="B13245" i="1"/>
  <c r="C13245" i="1"/>
  <c r="D13245" i="1"/>
  <c r="A13246" i="1"/>
  <c r="B13246" i="1"/>
  <c r="C13246" i="1"/>
  <c r="D13246" i="1"/>
  <c r="A13247" i="1"/>
  <c r="B13247" i="1"/>
  <c r="C13247" i="1"/>
  <c r="D13247" i="1"/>
  <c r="A13248" i="1"/>
  <c r="B13248" i="1"/>
  <c r="C13248" i="1"/>
  <c r="D13248" i="1"/>
  <c r="A13249" i="1"/>
  <c r="B13249" i="1"/>
  <c r="C13249" i="1"/>
  <c r="D13249" i="1"/>
  <c r="A13250" i="1"/>
  <c r="B13250" i="1"/>
  <c r="C13250" i="1"/>
  <c r="D13250" i="1"/>
  <c r="A13251" i="1"/>
  <c r="B13251" i="1"/>
  <c r="C13251" i="1"/>
  <c r="D13251" i="1"/>
  <c r="A13252" i="1"/>
  <c r="B13252" i="1"/>
  <c r="C13252" i="1"/>
  <c r="D13252" i="1"/>
  <c r="A13253" i="1"/>
  <c r="B13253" i="1"/>
  <c r="C13253" i="1"/>
  <c r="D13253" i="1"/>
  <c r="A13254" i="1"/>
  <c r="B13254" i="1"/>
  <c r="C13254" i="1"/>
  <c r="D13254" i="1"/>
  <c r="A13255" i="1"/>
  <c r="B13255" i="1"/>
  <c r="C13255" i="1"/>
  <c r="D13255" i="1"/>
  <c r="A13256" i="1"/>
  <c r="B13256" i="1"/>
  <c r="C13256" i="1"/>
  <c r="D13256" i="1"/>
  <c r="A13257" i="1"/>
  <c r="B13257" i="1"/>
  <c r="C13257" i="1"/>
  <c r="D13257" i="1"/>
  <c r="A13258" i="1"/>
  <c r="B13258" i="1"/>
  <c r="C13258" i="1"/>
  <c r="D13258" i="1"/>
  <c r="A13259" i="1"/>
  <c r="B13259" i="1"/>
  <c r="C13259" i="1"/>
  <c r="D13259" i="1"/>
  <c r="A13260" i="1"/>
  <c r="B13260" i="1"/>
  <c r="C13260" i="1"/>
  <c r="D13260" i="1"/>
  <c r="A13261" i="1"/>
  <c r="B13261" i="1"/>
  <c r="C13261" i="1"/>
  <c r="D13261" i="1"/>
  <c r="A13262" i="1"/>
  <c r="B13262" i="1"/>
  <c r="C13262" i="1"/>
  <c r="D13262" i="1"/>
  <c r="A13263" i="1"/>
  <c r="B13263" i="1"/>
  <c r="C13263" i="1"/>
  <c r="D13263" i="1"/>
  <c r="A13264" i="1"/>
  <c r="B13264" i="1"/>
  <c r="C13264" i="1"/>
  <c r="D13264" i="1"/>
  <c r="A13265" i="1"/>
  <c r="B13265" i="1"/>
  <c r="C13265" i="1"/>
  <c r="D13265" i="1"/>
  <c r="A13266" i="1"/>
  <c r="B13266" i="1"/>
  <c r="C13266" i="1"/>
  <c r="D13266" i="1"/>
  <c r="A13267" i="1"/>
  <c r="B13267" i="1"/>
  <c r="C13267" i="1"/>
  <c r="D13267" i="1"/>
  <c r="A13268" i="1"/>
  <c r="B13268" i="1"/>
  <c r="C13268" i="1"/>
  <c r="D13268" i="1"/>
  <c r="A13269" i="1"/>
  <c r="B13269" i="1"/>
  <c r="C13269" i="1"/>
  <c r="D13269" i="1"/>
  <c r="A13270" i="1"/>
  <c r="B13270" i="1"/>
  <c r="C13270" i="1"/>
  <c r="D13270" i="1"/>
  <c r="A13271" i="1"/>
  <c r="B13271" i="1"/>
  <c r="C13271" i="1"/>
  <c r="D13271" i="1"/>
  <c r="A13272" i="1"/>
  <c r="B13272" i="1"/>
  <c r="C13272" i="1"/>
  <c r="D13272" i="1"/>
  <c r="A13273" i="1"/>
  <c r="B13273" i="1"/>
  <c r="C13273" i="1"/>
  <c r="D13273" i="1"/>
  <c r="A13274" i="1"/>
  <c r="B13274" i="1"/>
  <c r="C13274" i="1"/>
  <c r="D13274" i="1"/>
  <c r="A13275" i="1"/>
  <c r="B13275" i="1"/>
  <c r="C13275" i="1"/>
  <c r="D13275" i="1"/>
  <c r="A13276" i="1"/>
  <c r="B13276" i="1"/>
  <c r="C13276" i="1"/>
  <c r="D13276" i="1"/>
  <c r="A13277" i="1"/>
  <c r="B13277" i="1"/>
  <c r="C13277" i="1"/>
  <c r="D13277" i="1"/>
  <c r="A13278" i="1"/>
  <c r="B13278" i="1"/>
  <c r="C13278" i="1"/>
  <c r="D13278" i="1"/>
  <c r="A13279" i="1"/>
  <c r="B13279" i="1"/>
  <c r="C13279" i="1"/>
  <c r="D13279" i="1"/>
  <c r="A13280" i="1"/>
  <c r="B13280" i="1"/>
  <c r="C13280" i="1"/>
  <c r="D13280" i="1"/>
  <c r="A13281" i="1"/>
  <c r="B13281" i="1"/>
  <c r="C13281" i="1"/>
  <c r="A13282" i="1"/>
  <c r="B13282" i="1"/>
  <c r="C13282" i="1"/>
  <c r="D13282" i="1"/>
  <c r="A13283" i="1"/>
  <c r="B13283" i="1"/>
  <c r="C13283" i="1"/>
  <c r="D13283" i="1"/>
  <c r="A13284" i="1"/>
  <c r="B13284" i="1"/>
  <c r="C13284" i="1"/>
  <c r="D13284" i="1"/>
  <c r="A13285" i="1"/>
  <c r="B13285" i="1"/>
  <c r="C13285" i="1"/>
  <c r="D13285" i="1"/>
  <c r="A13286" i="1"/>
  <c r="B13286" i="1"/>
  <c r="C13286" i="1"/>
  <c r="D13286" i="1"/>
  <c r="A13287" i="1"/>
  <c r="B13287" i="1"/>
  <c r="C13287" i="1"/>
  <c r="D13287" i="1"/>
  <c r="A13288" i="1"/>
  <c r="B13288" i="1"/>
  <c r="C13288" i="1"/>
  <c r="D13288" i="1"/>
  <c r="A13289" i="1"/>
  <c r="B13289" i="1"/>
  <c r="C13289" i="1"/>
  <c r="D13289" i="1"/>
  <c r="A13290" i="1"/>
  <c r="B13290" i="1"/>
  <c r="C13290" i="1"/>
  <c r="D13290" i="1"/>
  <c r="A13291" i="1"/>
  <c r="B13291" i="1"/>
  <c r="C13291" i="1"/>
  <c r="D13291" i="1"/>
  <c r="A13292" i="1"/>
  <c r="B13292" i="1"/>
  <c r="C13292" i="1"/>
  <c r="D13292" i="1"/>
  <c r="A13293" i="1"/>
  <c r="B13293" i="1"/>
  <c r="C13293" i="1"/>
  <c r="D13293" i="1"/>
  <c r="A13294" i="1"/>
  <c r="B13294" i="1"/>
  <c r="C13294" i="1"/>
  <c r="D13294" i="1"/>
  <c r="A13295" i="1"/>
  <c r="B13295" i="1"/>
  <c r="C13295" i="1"/>
  <c r="D13295" i="1"/>
  <c r="A13296" i="1"/>
  <c r="B13296" i="1"/>
  <c r="C13296" i="1"/>
  <c r="D13296" i="1"/>
  <c r="A13297" i="1"/>
  <c r="B13297" i="1"/>
  <c r="C13297" i="1"/>
  <c r="D13297" i="1"/>
  <c r="A13298" i="1"/>
  <c r="B13298" i="1"/>
  <c r="C13298" i="1"/>
  <c r="D13298" i="1"/>
  <c r="A13299" i="1"/>
  <c r="B13299" i="1"/>
  <c r="C13299" i="1"/>
  <c r="D13299" i="1"/>
  <c r="A13300" i="1"/>
  <c r="B13300" i="1"/>
  <c r="C13300" i="1"/>
  <c r="D13300" i="1"/>
  <c r="A13301" i="1"/>
  <c r="B13301" i="1"/>
  <c r="C13301" i="1"/>
  <c r="D13301" i="1"/>
  <c r="A13302" i="1"/>
  <c r="B13302" i="1"/>
  <c r="C13302" i="1"/>
  <c r="D13302" i="1"/>
  <c r="A13303" i="1"/>
  <c r="B13303" i="1"/>
  <c r="C13303" i="1"/>
  <c r="D13303" i="1"/>
  <c r="A13304" i="1"/>
  <c r="B13304" i="1"/>
  <c r="C13304" i="1"/>
  <c r="D13304" i="1"/>
  <c r="A13305" i="1"/>
  <c r="B13305" i="1"/>
  <c r="C13305" i="1"/>
  <c r="D13305" i="1"/>
  <c r="A13306" i="1"/>
  <c r="B13306" i="1"/>
  <c r="C13306" i="1"/>
  <c r="D13306" i="1"/>
  <c r="A13307" i="1"/>
  <c r="B13307" i="1"/>
  <c r="C13307" i="1"/>
  <c r="D13307" i="1"/>
  <c r="A13308" i="1"/>
  <c r="B13308" i="1"/>
  <c r="C13308" i="1"/>
  <c r="D13308" i="1"/>
  <c r="A13309" i="1"/>
  <c r="B13309" i="1"/>
  <c r="C13309" i="1"/>
  <c r="D13309" i="1"/>
  <c r="A13310" i="1"/>
  <c r="B13310" i="1"/>
  <c r="C13310" i="1"/>
  <c r="D13310" i="1"/>
  <c r="A13311" i="1"/>
  <c r="B13311" i="1"/>
  <c r="C13311" i="1"/>
  <c r="D13311" i="1"/>
  <c r="A13312" i="1"/>
  <c r="B13312" i="1"/>
  <c r="C13312" i="1"/>
  <c r="D13312" i="1"/>
  <c r="A13313" i="1"/>
  <c r="B13313" i="1"/>
  <c r="C13313" i="1"/>
  <c r="D13313" i="1"/>
  <c r="A13314" i="1"/>
  <c r="B13314" i="1"/>
  <c r="C13314" i="1"/>
  <c r="D13314" i="1"/>
  <c r="A13315" i="1"/>
  <c r="B13315" i="1"/>
  <c r="C13315" i="1"/>
  <c r="D13315" i="1"/>
  <c r="A13316" i="1"/>
  <c r="B13316" i="1"/>
  <c r="C13316" i="1"/>
  <c r="D13316" i="1"/>
  <c r="A13317" i="1"/>
  <c r="B13317" i="1"/>
  <c r="C13317" i="1"/>
  <c r="D13317" i="1"/>
  <c r="A13318" i="1"/>
  <c r="B13318" i="1"/>
  <c r="C13318" i="1"/>
  <c r="D13318" i="1"/>
  <c r="A13319" i="1"/>
  <c r="B13319" i="1"/>
  <c r="C13319" i="1"/>
  <c r="D13319" i="1"/>
  <c r="A13320" i="1"/>
  <c r="B13320" i="1"/>
  <c r="C13320" i="1"/>
  <c r="D13320" i="1"/>
  <c r="A13321" i="1"/>
  <c r="B13321" i="1"/>
  <c r="C13321" i="1"/>
  <c r="D13321" i="1"/>
  <c r="A13322" i="1"/>
  <c r="B13322" i="1"/>
  <c r="C13322" i="1"/>
  <c r="D13322" i="1"/>
  <c r="A13323" i="1"/>
  <c r="B13323" i="1"/>
  <c r="C13323" i="1"/>
  <c r="D13323" i="1"/>
  <c r="A13324" i="1"/>
  <c r="B13324" i="1"/>
  <c r="C13324" i="1"/>
  <c r="D13324" i="1"/>
  <c r="A13325" i="1"/>
  <c r="B13325" i="1"/>
  <c r="C13325" i="1"/>
  <c r="D13325" i="1"/>
  <c r="A13326" i="1"/>
  <c r="B13326" i="1"/>
  <c r="C13326" i="1"/>
  <c r="D13326" i="1"/>
  <c r="A13327" i="1"/>
  <c r="B13327" i="1"/>
  <c r="C13327" i="1"/>
  <c r="D13327" i="1"/>
  <c r="A13328" i="1"/>
  <c r="B13328" i="1"/>
  <c r="C13328" i="1"/>
  <c r="D13328" i="1"/>
  <c r="A13329" i="1"/>
  <c r="B13329" i="1"/>
  <c r="C13329" i="1"/>
  <c r="D13329" i="1"/>
  <c r="A13330" i="1"/>
  <c r="B13330" i="1"/>
  <c r="C13330" i="1"/>
  <c r="D13330" i="1"/>
  <c r="A13331" i="1"/>
  <c r="B13331" i="1"/>
  <c r="C13331" i="1"/>
  <c r="D13331" i="1"/>
  <c r="A13332" i="1"/>
  <c r="B13332" i="1"/>
  <c r="C13332" i="1"/>
  <c r="D13332" i="1"/>
  <c r="A13333" i="1"/>
  <c r="B13333" i="1"/>
  <c r="C13333" i="1"/>
  <c r="D13333" i="1"/>
  <c r="A13334" i="1"/>
  <c r="B13334" i="1"/>
  <c r="C13334" i="1"/>
  <c r="D13334" i="1"/>
  <c r="A13335" i="1"/>
  <c r="B13335" i="1"/>
  <c r="C13335" i="1"/>
  <c r="D13335" i="1"/>
  <c r="A13336" i="1"/>
  <c r="B13336" i="1"/>
  <c r="C13336" i="1"/>
  <c r="D13336" i="1"/>
  <c r="A13337" i="1"/>
  <c r="B13337" i="1"/>
  <c r="C13337" i="1"/>
  <c r="D13337" i="1"/>
  <c r="A13338" i="1"/>
  <c r="B13338" i="1"/>
  <c r="C13338" i="1"/>
  <c r="D13338" i="1"/>
  <c r="A13339" i="1"/>
  <c r="B13339" i="1"/>
  <c r="C13339" i="1"/>
  <c r="D13339" i="1"/>
  <c r="A13340" i="1"/>
  <c r="B13340" i="1"/>
  <c r="C13340" i="1"/>
  <c r="D13340" i="1"/>
  <c r="A13341" i="1"/>
  <c r="B13341" i="1"/>
  <c r="C13341" i="1"/>
  <c r="D13341" i="1"/>
  <c r="A13342" i="1"/>
  <c r="B13342" i="1"/>
  <c r="C13342" i="1"/>
  <c r="D13342" i="1"/>
  <c r="A13343" i="1"/>
  <c r="B13343" i="1"/>
  <c r="C13343" i="1"/>
  <c r="D13343" i="1"/>
  <c r="A13344" i="1"/>
  <c r="B13344" i="1"/>
  <c r="C13344" i="1"/>
  <c r="D13344" i="1"/>
  <c r="A13345" i="1"/>
  <c r="B13345" i="1"/>
  <c r="C13345" i="1"/>
  <c r="D13345" i="1"/>
  <c r="A13346" i="1"/>
  <c r="B13346" i="1"/>
  <c r="C13346" i="1"/>
  <c r="D13346" i="1"/>
  <c r="A13347" i="1"/>
  <c r="B13347" i="1"/>
  <c r="C13347" i="1"/>
  <c r="A13348" i="1"/>
  <c r="B13348" i="1"/>
  <c r="C13348" i="1"/>
  <c r="D13348" i="1"/>
  <c r="A13349" i="1"/>
  <c r="B13349" i="1"/>
  <c r="C13349" i="1"/>
  <c r="D13349" i="1"/>
  <c r="A13350" i="1"/>
  <c r="B13350" i="1"/>
  <c r="C13350" i="1"/>
  <c r="A13351" i="1"/>
  <c r="B13351" i="1"/>
  <c r="C13351" i="1"/>
  <c r="D13351" i="1"/>
  <c r="A13352" i="1"/>
  <c r="B13352" i="1"/>
  <c r="C13352" i="1"/>
  <c r="D13352" i="1"/>
  <c r="A13353" i="1"/>
  <c r="B13353" i="1"/>
  <c r="C13353" i="1"/>
  <c r="D13353" i="1"/>
  <c r="A13354" i="1"/>
  <c r="B13354" i="1"/>
  <c r="C13354" i="1"/>
  <c r="D13354" i="1"/>
  <c r="A13355" i="1"/>
  <c r="B13355" i="1"/>
  <c r="C13355" i="1"/>
  <c r="D13355" i="1"/>
  <c r="A13356" i="1"/>
  <c r="B13356" i="1"/>
  <c r="C13356" i="1"/>
  <c r="D13356" i="1"/>
  <c r="A13357" i="1"/>
  <c r="B13357" i="1"/>
  <c r="C13357" i="1"/>
  <c r="D13357" i="1"/>
  <c r="A13358" i="1"/>
  <c r="B13358" i="1"/>
  <c r="C13358" i="1"/>
  <c r="D13358" i="1"/>
  <c r="A13359" i="1"/>
  <c r="B13359" i="1"/>
  <c r="C13359" i="1"/>
  <c r="D13359" i="1"/>
  <c r="A13360" i="1"/>
  <c r="B13360" i="1"/>
  <c r="C13360" i="1"/>
  <c r="D13360" i="1"/>
  <c r="A13361" i="1"/>
  <c r="B13361" i="1"/>
  <c r="C13361" i="1"/>
  <c r="D13361" i="1"/>
  <c r="A13362" i="1"/>
  <c r="B13362" i="1"/>
  <c r="C13362" i="1"/>
  <c r="D13362" i="1"/>
  <c r="A13363" i="1"/>
  <c r="B13363" i="1"/>
  <c r="C13363" i="1"/>
  <c r="D13363" i="1"/>
  <c r="A13364" i="1"/>
  <c r="B13364" i="1"/>
  <c r="C13364" i="1"/>
  <c r="D13364" i="1"/>
  <c r="A13365" i="1"/>
  <c r="B13365" i="1"/>
  <c r="C13365" i="1"/>
  <c r="D13365" i="1"/>
  <c r="A13366" i="1"/>
  <c r="B13366" i="1"/>
  <c r="C13366" i="1"/>
  <c r="D13366" i="1"/>
  <c r="A13367" i="1"/>
  <c r="B13367" i="1"/>
  <c r="C13367" i="1"/>
  <c r="D13367" i="1"/>
  <c r="A13368" i="1"/>
  <c r="B13368" i="1"/>
  <c r="C13368" i="1"/>
  <c r="D13368" i="1"/>
  <c r="A13369" i="1"/>
  <c r="B13369" i="1"/>
  <c r="C13369" i="1"/>
  <c r="D13369" i="1"/>
  <c r="A13370" i="1"/>
  <c r="B13370" i="1"/>
  <c r="C13370" i="1"/>
  <c r="D13370" i="1"/>
  <c r="A13371" i="1"/>
  <c r="B13371" i="1"/>
  <c r="C13371" i="1"/>
  <c r="D13371" i="1"/>
  <c r="A13372" i="1"/>
  <c r="B13372" i="1"/>
  <c r="C13372" i="1"/>
  <c r="D13372" i="1"/>
  <c r="A13373" i="1"/>
  <c r="B13373" i="1"/>
  <c r="C13373" i="1"/>
  <c r="D13373" i="1"/>
  <c r="A13374" i="1"/>
  <c r="B13374" i="1"/>
  <c r="C13374" i="1"/>
  <c r="D13374" i="1"/>
  <c r="A13375" i="1"/>
  <c r="B13375" i="1"/>
  <c r="C13375" i="1"/>
  <c r="D13375" i="1"/>
  <c r="A13376" i="1"/>
  <c r="B13376" i="1"/>
  <c r="C13376" i="1"/>
  <c r="D13376" i="1"/>
  <c r="A13377" i="1"/>
  <c r="B13377" i="1"/>
  <c r="C13377" i="1"/>
  <c r="D13377" i="1"/>
  <c r="A13378" i="1"/>
  <c r="B13378" i="1"/>
  <c r="C13378" i="1"/>
  <c r="D13378" i="1"/>
  <c r="A13379" i="1"/>
  <c r="B13379" i="1"/>
  <c r="C13379" i="1"/>
  <c r="D13379" i="1"/>
  <c r="A13380" i="1"/>
  <c r="B13380" i="1"/>
  <c r="C13380" i="1"/>
  <c r="D13380" i="1"/>
  <c r="A13381" i="1"/>
  <c r="B13381" i="1"/>
  <c r="C13381" i="1"/>
  <c r="D13381" i="1"/>
  <c r="A13382" i="1"/>
  <c r="B13382" i="1"/>
  <c r="C13382" i="1"/>
  <c r="D13382" i="1"/>
  <c r="A13383" i="1"/>
  <c r="B13383" i="1"/>
  <c r="C13383" i="1"/>
  <c r="D13383" i="1"/>
  <c r="A13384" i="1"/>
  <c r="B13384" i="1"/>
  <c r="C13384" i="1"/>
  <c r="D13384" i="1"/>
  <c r="A13385" i="1"/>
  <c r="B13385" i="1"/>
  <c r="C13385" i="1"/>
  <c r="D13385" i="1"/>
  <c r="A13386" i="1"/>
  <c r="B13386" i="1"/>
  <c r="C13386" i="1"/>
  <c r="D13386" i="1"/>
  <c r="A13387" i="1"/>
  <c r="B13387" i="1"/>
  <c r="C13387" i="1"/>
  <c r="D13387" i="1"/>
  <c r="A13388" i="1"/>
  <c r="B13388" i="1"/>
  <c r="C13388" i="1"/>
  <c r="D13388" i="1"/>
  <c r="A13389" i="1"/>
  <c r="B13389" i="1"/>
  <c r="C13389" i="1"/>
  <c r="D13389" i="1"/>
  <c r="A13390" i="1"/>
  <c r="B13390" i="1"/>
  <c r="C13390" i="1"/>
  <c r="D13390" i="1"/>
  <c r="A13391" i="1"/>
  <c r="B13391" i="1"/>
  <c r="C13391" i="1"/>
  <c r="D13391" i="1"/>
  <c r="A13392" i="1"/>
  <c r="B13392" i="1"/>
  <c r="C13392" i="1"/>
  <c r="D13392" i="1"/>
  <c r="A13393" i="1"/>
  <c r="B13393" i="1"/>
  <c r="C13393" i="1"/>
  <c r="D13393" i="1"/>
  <c r="A13394" i="1"/>
  <c r="B13394" i="1"/>
  <c r="C13394" i="1"/>
  <c r="D13394" i="1"/>
  <c r="A13395" i="1"/>
  <c r="B13395" i="1"/>
  <c r="C13395" i="1"/>
  <c r="D13395" i="1"/>
  <c r="A13396" i="1"/>
  <c r="B13396" i="1"/>
  <c r="C13396" i="1"/>
  <c r="D13396" i="1"/>
  <c r="A13397" i="1"/>
  <c r="B13397" i="1"/>
  <c r="C13397" i="1"/>
  <c r="D13397" i="1"/>
  <c r="A13398" i="1"/>
  <c r="B13398" i="1"/>
  <c r="C13398" i="1"/>
  <c r="D13398" i="1"/>
  <c r="A13399" i="1"/>
  <c r="B13399" i="1"/>
  <c r="C13399" i="1"/>
  <c r="D13399" i="1"/>
  <c r="A13400" i="1"/>
  <c r="B13400" i="1"/>
  <c r="C13400" i="1"/>
  <c r="D13400" i="1"/>
  <c r="A13401" i="1"/>
  <c r="B13401" i="1"/>
  <c r="C13401" i="1"/>
  <c r="D13401" i="1"/>
  <c r="A13402" i="1"/>
  <c r="B13402" i="1"/>
  <c r="C13402" i="1"/>
  <c r="D13402" i="1"/>
  <c r="A13403" i="1"/>
  <c r="B13403" i="1"/>
  <c r="C13403" i="1"/>
  <c r="D13403" i="1"/>
  <c r="A13404" i="1"/>
  <c r="B13404" i="1"/>
  <c r="C13404" i="1"/>
  <c r="D13404" i="1"/>
  <c r="A13405" i="1"/>
  <c r="B13405" i="1"/>
  <c r="C13405" i="1"/>
  <c r="D13405" i="1"/>
  <c r="A13406" i="1"/>
  <c r="B13406" i="1"/>
  <c r="C13406" i="1"/>
  <c r="D13406" i="1"/>
  <c r="A13407" i="1"/>
  <c r="B13407" i="1"/>
  <c r="C13407" i="1"/>
  <c r="D13407" i="1"/>
  <c r="A13408" i="1"/>
  <c r="B13408" i="1"/>
  <c r="C13408" i="1"/>
  <c r="D13408" i="1"/>
  <c r="A13409" i="1"/>
  <c r="B13409" i="1"/>
  <c r="C13409" i="1"/>
  <c r="D13409" i="1"/>
  <c r="A13410" i="1"/>
  <c r="B13410" i="1"/>
  <c r="C13410" i="1"/>
  <c r="D13410" i="1"/>
  <c r="A13411" i="1"/>
  <c r="B13411" i="1"/>
  <c r="C13411" i="1"/>
  <c r="D13411" i="1"/>
  <c r="A13412" i="1"/>
  <c r="B13412" i="1"/>
  <c r="C13412" i="1"/>
  <c r="D13412" i="1"/>
  <c r="A13413" i="1"/>
  <c r="B13413" i="1"/>
  <c r="C13413" i="1"/>
  <c r="A13414" i="1"/>
  <c r="B13414" i="1"/>
  <c r="C13414" i="1"/>
  <c r="D13414" i="1"/>
  <c r="A13415" i="1"/>
  <c r="B13415" i="1"/>
  <c r="C13415" i="1"/>
  <c r="D13415" i="1"/>
  <c r="A13416" i="1"/>
  <c r="B13416" i="1"/>
  <c r="C13416" i="1"/>
  <c r="D13416" i="1"/>
  <c r="A13417" i="1"/>
  <c r="B13417" i="1"/>
  <c r="C13417" i="1"/>
  <c r="D13417" i="1"/>
  <c r="A13418" i="1"/>
  <c r="B13418" i="1"/>
  <c r="C13418" i="1"/>
  <c r="D13418" i="1"/>
  <c r="A13419" i="1"/>
  <c r="B13419" i="1"/>
  <c r="C13419" i="1"/>
  <c r="A13420" i="1"/>
  <c r="B13420" i="1"/>
  <c r="C13420" i="1"/>
  <c r="D13420" i="1"/>
  <c r="A13421" i="1"/>
  <c r="B13421" i="1"/>
  <c r="C13421" i="1"/>
  <c r="D13421" i="1"/>
  <c r="A13422" i="1"/>
  <c r="B13422" i="1"/>
  <c r="C13422" i="1"/>
  <c r="D13422" i="1"/>
  <c r="A13423" i="1"/>
  <c r="B13423" i="1"/>
  <c r="C13423" i="1"/>
  <c r="D13423" i="1"/>
  <c r="A13424" i="1"/>
  <c r="B13424" i="1"/>
  <c r="C13424" i="1"/>
  <c r="D13424" i="1"/>
  <c r="A13425" i="1"/>
  <c r="B13425" i="1"/>
  <c r="C13425" i="1"/>
  <c r="D13425" i="1"/>
  <c r="A13426" i="1"/>
  <c r="B13426" i="1"/>
  <c r="C13426" i="1"/>
  <c r="A13427" i="1"/>
  <c r="B13427" i="1"/>
  <c r="C13427" i="1"/>
  <c r="D13427" i="1"/>
  <c r="A13428" i="1"/>
  <c r="B13428" i="1"/>
  <c r="C13428" i="1"/>
  <c r="D13428" i="1"/>
  <c r="A13429" i="1"/>
  <c r="B13429" i="1"/>
  <c r="C13429" i="1"/>
  <c r="D13429" i="1"/>
  <c r="A13430" i="1"/>
  <c r="B13430" i="1"/>
  <c r="C13430" i="1"/>
  <c r="D13430" i="1"/>
  <c r="A13431" i="1"/>
  <c r="B13431" i="1"/>
  <c r="C13431" i="1"/>
  <c r="D13431" i="1"/>
  <c r="A13432" i="1"/>
  <c r="B13432" i="1"/>
  <c r="C13432" i="1"/>
  <c r="D13432" i="1"/>
  <c r="A13433" i="1"/>
  <c r="B13433" i="1"/>
  <c r="C13433" i="1"/>
  <c r="D13433" i="1"/>
  <c r="A13434" i="1"/>
  <c r="B13434" i="1"/>
  <c r="C13434" i="1"/>
  <c r="D13434" i="1"/>
  <c r="A13435" i="1"/>
  <c r="B13435" i="1"/>
  <c r="C13435" i="1"/>
  <c r="D13435" i="1"/>
  <c r="A13436" i="1"/>
  <c r="B13436" i="1"/>
  <c r="C13436" i="1"/>
  <c r="D13436" i="1"/>
  <c r="A13437" i="1"/>
  <c r="B13437" i="1"/>
  <c r="C13437" i="1"/>
  <c r="D13437" i="1"/>
  <c r="A13438" i="1"/>
  <c r="B13438" i="1"/>
  <c r="C13438" i="1"/>
  <c r="D13438" i="1"/>
  <c r="A13439" i="1"/>
  <c r="B13439" i="1"/>
  <c r="C13439" i="1"/>
  <c r="D13439" i="1"/>
  <c r="A13440" i="1"/>
  <c r="B13440" i="1"/>
  <c r="C13440" i="1"/>
  <c r="D13440" i="1"/>
  <c r="A13441" i="1"/>
  <c r="B13441" i="1"/>
  <c r="C13441" i="1"/>
  <c r="D13441" i="1"/>
  <c r="A13442" i="1"/>
  <c r="B13442" i="1"/>
  <c r="C13442" i="1"/>
  <c r="D13442" i="1"/>
  <c r="A13443" i="1"/>
  <c r="B13443" i="1"/>
  <c r="C13443" i="1"/>
  <c r="D13443" i="1"/>
  <c r="A13444" i="1"/>
  <c r="B13444" i="1"/>
  <c r="C13444" i="1"/>
  <c r="D13444" i="1"/>
  <c r="A13445" i="1"/>
  <c r="B13445" i="1"/>
  <c r="C13445" i="1"/>
  <c r="D13445" i="1"/>
  <c r="A13446" i="1"/>
  <c r="B13446" i="1"/>
  <c r="C13446" i="1"/>
  <c r="D13446" i="1"/>
  <c r="A13447" i="1"/>
  <c r="B13447" i="1"/>
  <c r="C13447" i="1"/>
  <c r="D13447" i="1"/>
  <c r="A13448" i="1"/>
  <c r="B13448" i="1"/>
  <c r="C13448" i="1"/>
  <c r="D13448" i="1"/>
  <c r="A13449" i="1"/>
  <c r="B13449" i="1"/>
  <c r="C13449" i="1"/>
  <c r="D13449" i="1"/>
  <c r="A13450" i="1"/>
  <c r="B13450" i="1"/>
  <c r="C13450" i="1"/>
  <c r="D13450" i="1"/>
  <c r="A13451" i="1"/>
  <c r="B13451" i="1"/>
  <c r="C13451" i="1"/>
  <c r="D13451" i="1"/>
  <c r="A13452" i="1"/>
  <c r="B13452" i="1"/>
  <c r="C13452" i="1"/>
  <c r="D13452" i="1"/>
  <c r="A13453" i="1"/>
  <c r="B13453" i="1"/>
  <c r="C13453" i="1"/>
  <c r="D13453" i="1"/>
  <c r="A13454" i="1"/>
  <c r="B13454" i="1"/>
  <c r="C13454" i="1"/>
  <c r="D13454" i="1"/>
  <c r="A13455" i="1"/>
  <c r="B13455" i="1"/>
  <c r="C13455" i="1"/>
  <c r="D13455" i="1"/>
  <c r="A13456" i="1"/>
  <c r="B13456" i="1"/>
  <c r="C13456" i="1"/>
  <c r="D13456" i="1"/>
  <c r="A13457" i="1"/>
  <c r="B13457" i="1"/>
  <c r="C13457" i="1"/>
  <c r="D13457" i="1"/>
  <c r="A13458" i="1"/>
  <c r="B13458" i="1"/>
  <c r="C13458" i="1"/>
  <c r="D13458" i="1"/>
  <c r="A13459" i="1"/>
  <c r="B13459" i="1"/>
  <c r="C13459" i="1"/>
  <c r="D13459" i="1"/>
  <c r="A13460" i="1"/>
  <c r="B13460" i="1"/>
  <c r="C13460" i="1"/>
  <c r="D13460" i="1"/>
  <c r="A13461" i="1"/>
  <c r="B13461" i="1"/>
  <c r="C13461" i="1"/>
  <c r="D13461" i="1"/>
  <c r="A13462" i="1"/>
  <c r="B13462" i="1"/>
  <c r="C13462" i="1"/>
  <c r="D13462" i="1"/>
  <c r="A13463" i="1"/>
  <c r="B13463" i="1"/>
  <c r="C13463" i="1"/>
  <c r="A13464" i="1"/>
  <c r="B13464" i="1"/>
  <c r="C13464" i="1"/>
  <c r="D13464" i="1"/>
  <c r="A13465" i="1"/>
  <c r="B13465" i="1"/>
  <c r="C13465" i="1"/>
  <c r="D13465" i="1"/>
  <c r="A13466" i="1"/>
  <c r="B13466" i="1"/>
  <c r="C13466" i="1"/>
  <c r="D13466" i="1"/>
  <c r="A13467" i="1"/>
  <c r="B13467" i="1"/>
  <c r="C13467" i="1"/>
  <c r="D13467" i="1"/>
  <c r="A13468" i="1"/>
  <c r="B13468" i="1"/>
  <c r="C13468" i="1"/>
  <c r="D13468" i="1"/>
  <c r="A13469" i="1"/>
  <c r="B13469" i="1"/>
  <c r="C13469" i="1"/>
  <c r="D13469" i="1"/>
  <c r="A13470" i="1"/>
  <c r="B13470" i="1"/>
  <c r="C13470" i="1"/>
  <c r="D13470" i="1"/>
  <c r="A13471" i="1"/>
  <c r="B13471" i="1"/>
  <c r="C13471" i="1"/>
  <c r="D13471" i="1"/>
  <c r="A13472" i="1"/>
  <c r="B13472" i="1"/>
  <c r="C13472" i="1"/>
  <c r="D13472" i="1"/>
  <c r="A13473" i="1"/>
  <c r="B13473" i="1"/>
  <c r="C13473" i="1"/>
  <c r="D13473" i="1"/>
  <c r="A13474" i="1"/>
  <c r="B13474" i="1"/>
  <c r="C13474" i="1"/>
  <c r="D13474" i="1"/>
  <c r="A13475" i="1"/>
  <c r="B13475" i="1"/>
  <c r="C13475" i="1"/>
  <c r="D13475" i="1"/>
  <c r="A13476" i="1"/>
  <c r="B13476" i="1"/>
  <c r="C13476" i="1"/>
  <c r="D13476" i="1"/>
  <c r="A13477" i="1"/>
  <c r="B13477" i="1"/>
  <c r="C13477" i="1"/>
  <c r="D13477" i="1"/>
  <c r="A13478" i="1"/>
  <c r="B13478" i="1"/>
  <c r="C13478" i="1"/>
  <c r="A13479" i="1"/>
  <c r="B13479" i="1"/>
  <c r="C13479" i="1"/>
  <c r="D13479" i="1"/>
  <c r="A13480" i="1"/>
  <c r="B13480" i="1"/>
  <c r="C13480" i="1"/>
  <c r="D13480" i="1"/>
  <c r="A13481" i="1"/>
  <c r="B13481" i="1"/>
  <c r="C13481" i="1"/>
  <c r="D13481" i="1"/>
  <c r="A13482" i="1"/>
  <c r="B13482" i="1"/>
  <c r="C13482" i="1"/>
  <c r="D13482" i="1"/>
  <c r="A13483" i="1"/>
  <c r="B13483" i="1"/>
  <c r="C13483" i="1"/>
  <c r="D13483" i="1"/>
  <c r="A13484" i="1"/>
  <c r="B13484" i="1"/>
  <c r="C13484" i="1"/>
  <c r="D13484" i="1"/>
  <c r="A13485" i="1"/>
  <c r="B13485" i="1"/>
  <c r="C13485" i="1"/>
  <c r="D13485" i="1"/>
  <c r="A13486" i="1"/>
  <c r="B13486" i="1"/>
  <c r="C13486" i="1"/>
  <c r="D13486" i="1"/>
  <c r="A13487" i="1"/>
  <c r="B13487" i="1"/>
  <c r="C13487" i="1"/>
  <c r="D13487" i="1"/>
  <c r="A13488" i="1"/>
  <c r="B13488" i="1"/>
  <c r="C13488" i="1"/>
  <c r="D13488" i="1"/>
  <c r="A13489" i="1"/>
  <c r="B13489" i="1"/>
  <c r="C13489" i="1"/>
  <c r="D13489" i="1"/>
  <c r="A13490" i="1"/>
  <c r="B13490" i="1"/>
  <c r="C13490" i="1"/>
  <c r="D13490" i="1"/>
  <c r="A13491" i="1"/>
  <c r="B13491" i="1"/>
  <c r="C13491" i="1"/>
  <c r="D13491" i="1"/>
  <c r="A13492" i="1"/>
  <c r="B13492" i="1"/>
  <c r="C13492" i="1"/>
  <c r="D13492" i="1"/>
  <c r="A13493" i="1"/>
  <c r="B13493" i="1"/>
  <c r="C13493" i="1"/>
  <c r="D13493" i="1"/>
  <c r="A13494" i="1"/>
  <c r="B13494" i="1"/>
  <c r="C13494" i="1"/>
  <c r="D13494" i="1"/>
  <c r="A13495" i="1"/>
  <c r="B13495" i="1"/>
  <c r="C13495" i="1"/>
  <c r="D13495" i="1"/>
  <c r="A13496" i="1"/>
  <c r="B13496" i="1"/>
  <c r="C13496" i="1"/>
  <c r="D13496" i="1"/>
  <c r="A13497" i="1"/>
  <c r="B13497" i="1"/>
  <c r="C13497" i="1"/>
  <c r="A13498" i="1"/>
  <c r="B13498" i="1"/>
  <c r="C13498" i="1"/>
  <c r="D13498" i="1"/>
  <c r="A13499" i="1"/>
  <c r="B13499" i="1"/>
  <c r="C13499" i="1"/>
  <c r="D13499" i="1"/>
  <c r="A13500" i="1"/>
  <c r="B13500" i="1"/>
  <c r="C13500" i="1"/>
  <c r="D13500" i="1"/>
  <c r="A13501" i="1"/>
  <c r="B13501" i="1"/>
  <c r="C13501" i="1"/>
  <c r="D13501" i="1"/>
  <c r="A13502" i="1"/>
  <c r="B13502" i="1"/>
  <c r="C13502" i="1"/>
  <c r="D13502" i="1"/>
  <c r="A13503" i="1"/>
  <c r="B13503" i="1"/>
  <c r="C13503" i="1"/>
  <c r="D13503" i="1"/>
  <c r="A13504" i="1"/>
  <c r="B13504" i="1"/>
  <c r="C13504" i="1"/>
  <c r="A13505" i="1"/>
  <c r="B13505" i="1"/>
  <c r="C13505" i="1"/>
  <c r="D13505" i="1"/>
  <c r="A13506" i="1"/>
  <c r="B13506" i="1"/>
  <c r="C13506" i="1"/>
  <c r="D13506" i="1"/>
  <c r="A13507" i="1"/>
  <c r="B13507" i="1"/>
  <c r="C13507" i="1"/>
  <c r="D13507" i="1"/>
  <c r="A13508" i="1"/>
  <c r="B13508" i="1"/>
  <c r="C13508" i="1"/>
  <c r="D13508" i="1"/>
  <c r="A13509" i="1"/>
  <c r="B13509" i="1"/>
  <c r="C13509" i="1"/>
  <c r="A13510" i="1"/>
  <c r="B13510" i="1"/>
  <c r="C13510" i="1"/>
  <c r="D13510" i="1"/>
  <c r="A13511" i="1"/>
  <c r="B13511" i="1"/>
  <c r="C13511" i="1"/>
  <c r="D13511" i="1"/>
  <c r="A13512" i="1"/>
  <c r="B13512" i="1"/>
  <c r="C13512" i="1"/>
  <c r="D13512" i="1"/>
  <c r="A13513" i="1"/>
  <c r="B13513" i="1"/>
  <c r="C13513" i="1"/>
  <c r="D13513" i="1"/>
  <c r="A13514" i="1"/>
  <c r="B13514" i="1"/>
  <c r="C13514" i="1"/>
  <c r="D13514" i="1"/>
  <c r="A13515" i="1"/>
  <c r="B13515" i="1"/>
  <c r="C13515" i="1"/>
  <c r="D13515" i="1"/>
  <c r="A13516" i="1"/>
  <c r="B13516" i="1"/>
  <c r="C13516" i="1"/>
  <c r="D13516" i="1"/>
  <c r="A13517" i="1"/>
  <c r="B13517" i="1"/>
  <c r="C13517" i="1"/>
  <c r="D13517" i="1"/>
  <c r="A13518" i="1"/>
  <c r="B13518" i="1"/>
  <c r="C13518" i="1"/>
  <c r="D13518" i="1"/>
  <c r="A13519" i="1"/>
  <c r="B13519" i="1"/>
  <c r="C13519" i="1"/>
  <c r="D13519" i="1"/>
  <c r="A13520" i="1"/>
  <c r="B13520" i="1"/>
  <c r="C13520" i="1"/>
  <c r="D13520" i="1"/>
  <c r="A13521" i="1"/>
  <c r="B13521" i="1"/>
  <c r="C13521" i="1"/>
  <c r="D13521" i="1"/>
  <c r="A13522" i="1"/>
  <c r="B13522" i="1"/>
  <c r="C13522" i="1"/>
  <c r="D13522" i="1"/>
  <c r="A13523" i="1"/>
  <c r="B13523" i="1"/>
  <c r="C13523" i="1"/>
  <c r="D13523" i="1"/>
  <c r="A13524" i="1"/>
  <c r="B13524" i="1"/>
  <c r="C13524" i="1"/>
  <c r="D13524" i="1"/>
  <c r="A13525" i="1"/>
  <c r="B13525" i="1"/>
  <c r="C13525" i="1"/>
  <c r="D13525" i="1"/>
  <c r="A13526" i="1"/>
  <c r="B13526" i="1"/>
  <c r="C13526" i="1"/>
  <c r="D13526" i="1"/>
  <c r="A13527" i="1"/>
  <c r="B13527" i="1"/>
  <c r="C13527" i="1"/>
  <c r="D13527" i="1"/>
  <c r="A13528" i="1"/>
  <c r="B13528" i="1"/>
  <c r="C13528" i="1"/>
  <c r="D13528" i="1"/>
  <c r="A13529" i="1"/>
  <c r="B13529" i="1"/>
  <c r="C13529" i="1"/>
  <c r="D13529" i="1"/>
  <c r="A13530" i="1"/>
  <c r="B13530" i="1"/>
  <c r="C13530" i="1"/>
  <c r="D13530" i="1"/>
  <c r="A13531" i="1"/>
  <c r="B13531" i="1"/>
  <c r="C13531" i="1"/>
  <c r="D13531" i="1"/>
  <c r="A13532" i="1"/>
  <c r="B13532" i="1"/>
  <c r="C13532" i="1"/>
  <c r="D13532" i="1"/>
  <c r="A13533" i="1"/>
  <c r="B13533" i="1"/>
  <c r="C13533" i="1"/>
  <c r="D13533" i="1"/>
  <c r="A13534" i="1"/>
  <c r="B13534" i="1"/>
  <c r="C13534" i="1"/>
  <c r="D13534" i="1"/>
  <c r="A13535" i="1"/>
  <c r="B13535" i="1"/>
  <c r="C13535" i="1"/>
  <c r="D13535" i="1"/>
  <c r="A13536" i="1"/>
  <c r="B13536" i="1"/>
  <c r="C13536" i="1"/>
  <c r="D13536" i="1"/>
  <c r="A13537" i="1"/>
  <c r="B13537" i="1"/>
  <c r="C13537" i="1"/>
  <c r="D13537" i="1"/>
  <c r="A13538" i="1"/>
  <c r="B13538" i="1"/>
  <c r="C13538" i="1"/>
  <c r="D13538" i="1"/>
  <c r="A13539" i="1"/>
  <c r="B13539" i="1"/>
  <c r="C13539" i="1"/>
  <c r="D13539" i="1"/>
  <c r="A13540" i="1"/>
  <c r="B13540" i="1"/>
  <c r="C13540" i="1"/>
  <c r="D13540" i="1"/>
  <c r="A13541" i="1"/>
  <c r="B13541" i="1"/>
  <c r="C13541" i="1"/>
  <c r="D13541" i="1"/>
  <c r="A13542" i="1"/>
  <c r="B13542" i="1"/>
  <c r="C13542" i="1"/>
  <c r="D13542" i="1"/>
  <c r="A13543" i="1"/>
  <c r="B13543" i="1"/>
  <c r="C13543" i="1"/>
  <c r="D13543" i="1"/>
  <c r="A13544" i="1"/>
  <c r="B13544" i="1"/>
  <c r="C13544" i="1"/>
  <c r="A13545" i="1"/>
  <c r="B13545" i="1"/>
  <c r="C13545" i="1"/>
  <c r="D13545" i="1"/>
  <c r="A13546" i="1"/>
  <c r="B13546" i="1"/>
  <c r="C13546" i="1"/>
  <c r="D13546" i="1"/>
  <c r="A13547" i="1"/>
  <c r="B13547" i="1"/>
  <c r="C13547" i="1"/>
  <c r="D13547" i="1"/>
  <c r="A13548" i="1"/>
  <c r="B13548" i="1"/>
  <c r="C13548" i="1"/>
  <c r="D13548" i="1"/>
  <c r="A13549" i="1"/>
  <c r="B13549" i="1"/>
  <c r="C13549" i="1"/>
  <c r="D13549" i="1"/>
  <c r="A13550" i="1"/>
  <c r="B13550" i="1"/>
  <c r="C13550" i="1"/>
  <c r="D13550" i="1"/>
  <c r="A13551" i="1"/>
  <c r="B13551" i="1"/>
  <c r="C13551" i="1"/>
  <c r="D13551" i="1"/>
  <c r="A13552" i="1"/>
  <c r="B13552" i="1"/>
  <c r="C13552" i="1"/>
  <c r="D13552" i="1"/>
  <c r="A13553" i="1"/>
  <c r="B13553" i="1"/>
  <c r="C13553" i="1"/>
  <c r="D13553" i="1"/>
  <c r="A13554" i="1"/>
  <c r="B13554" i="1"/>
  <c r="C13554" i="1"/>
  <c r="D13554" i="1"/>
  <c r="A13555" i="1"/>
  <c r="B13555" i="1"/>
  <c r="C13555" i="1"/>
  <c r="D13555" i="1"/>
  <c r="A13556" i="1"/>
  <c r="B13556" i="1"/>
  <c r="C13556" i="1"/>
  <c r="D13556" i="1"/>
  <c r="A13557" i="1"/>
  <c r="B13557" i="1"/>
  <c r="C13557" i="1"/>
  <c r="D13557" i="1"/>
  <c r="A13558" i="1"/>
  <c r="B13558" i="1"/>
  <c r="C13558" i="1"/>
  <c r="D13558" i="1"/>
  <c r="A13559" i="1"/>
  <c r="B13559" i="1"/>
  <c r="C13559" i="1"/>
  <c r="D13559" i="1"/>
  <c r="A13560" i="1"/>
  <c r="B13560" i="1"/>
  <c r="C13560" i="1"/>
  <c r="D13560" i="1"/>
  <c r="A13561" i="1"/>
  <c r="B13561" i="1"/>
  <c r="C13561" i="1"/>
  <c r="D13561" i="1"/>
  <c r="A13562" i="1"/>
  <c r="B13562" i="1"/>
  <c r="C13562" i="1"/>
  <c r="D13562" i="1"/>
  <c r="A13563" i="1"/>
  <c r="B13563" i="1"/>
  <c r="C13563" i="1"/>
  <c r="D13563" i="1"/>
  <c r="A13564" i="1"/>
  <c r="B13564" i="1"/>
  <c r="C13564" i="1"/>
  <c r="D13564" i="1"/>
  <c r="A13565" i="1"/>
  <c r="B13565" i="1"/>
  <c r="C13565" i="1"/>
  <c r="D13565" i="1"/>
  <c r="A13566" i="1"/>
  <c r="B13566" i="1"/>
  <c r="C13566" i="1"/>
  <c r="D13566" i="1"/>
  <c r="A13567" i="1"/>
  <c r="B13567" i="1"/>
  <c r="C13567" i="1"/>
  <c r="D13567" i="1"/>
  <c r="A13568" i="1"/>
  <c r="B13568" i="1"/>
  <c r="C13568" i="1"/>
  <c r="D13568" i="1"/>
  <c r="A13569" i="1"/>
  <c r="B13569" i="1"/>
  <c r="C13569" i="1"/>
  <c r="D13569" i="1"/>
  <c r="A13570" i="1"/>
  <c r="B13570" i="1"/>
  <c r="C13570" i="1"/>
  <c r="D13570" i="1"/>
  <c r="A13571" i="1"/>
  <c r="B13571" i="1"/>
  <c r="C13571" i="1"/>
  <c r="D13571" i="1"/>
  <c r="A13572" i="1"/>
  <c r="B13572" i="1"/>
  <c r="C13572" i="1"/>
  <c r="D13572" i="1"/>
  <c r="A13573" i="1"/>
  <c r="B13573" i="1"/>
  <c r="C13573" i="1"/>
  <c r="D13573" i="1"/>
  <c r="A13574" i="1"/>
  <c r="B13574" i="1"/>
  <c r="C13574" i="1"/>
  <c r="D13574" i="1"/>
  <c r="A13575" i="1"/>
  <c r="B13575" i="1"/>
  <c r="C13575" i="1"/>
  <c r="D13575" i="1"/>
  <c r="A13576" i="1"/>
  <c r="B13576" i="1"/>
  <c r="C13576" i="1"/>
  <c r="D13576" i="1"/>
  <c r="A13577" i="1"/>
  <c r="B13577" i="1"/>
  <c r="C13577" i="1"/>
  <c r="D13577" i="1"/>
  <c r="A13578" i="1"/>
  <c r="B13578" i="1"/>
  <c r="C13578" i="1"/>
  <c r="A13579" i="1"/>
  <c r="B13579" i="1"/>
  <c r="C13579" i="1"/>
  <c r="D13579" i="1"/>
  <c r="A13580" i="1"/>
  <c r="B13580" i="1"/>
  <c r="C13580" i="1"/>
  <c r="D13580" i="1"/>
  <c r="A13581" i="1"/>
  <c r="B13581" i="1"/>
  <c r="C13581" i="1"/>
  <c r="D13581" i="1"/>
  <c r="A13582" i="1"/>
  <c r="B13582" i="1"/>
  <c r="C13582" i="1"/>
  <c r="D13582" i="1"/>
  <c r="A13583" i="1"/>
  <c r="B13583" i="1"/>
  <c r="C13583" i="1"/>
  <c r="A13584" i="1"/>
  <c r="B13584" i="1"/>
  <c r="C13584" i="1"/>
  <c r="D13584" i="1"/>
  <c r="A13585" i="1"/>
  <c r="B13585" i="1"/>
  <c r="C13585" i="1"/>
  <c r="D13585" i="1"/>
  <c r="A13586" i="1"/>
  <c r="B13586" i="1"/>
  <c r="C13586" i="1"/>
  <c r="D13586" i="1"/>
  <c r="A13587" i="1"/>
  <c r="B13587" i="1"/>
  <c r="C13587" i="1"/>
  <c r="D13587" i="1"/>
  <c r="A13588" i="1"/>
  <c r="B13588" i="1"/>
  <c r="C13588" i="1"/>
  <c r="D13588" i="1"/>
  <c r="A13589" i="1"/>
  <c r="B13589" i="1"/>
  <c r="C13589" i="1"/>
  <c r="D13589" i="1"/>
  <c r="A13590" i="1"/>
  <c r="B13590" i="1"/>
  <c r="C13590" i="1"/>
  <c r="D13590" i="1"/>
  <c r="A13591" i="1"/>
  <c r="B13591" i="1"/>
  <c r="C13591" i="1"/>
  <c r="D13591" i="1"/>
  <c r="A13592" i="1"/>
  <c r="B13592" i="1"/>
  <c r="C13592" i="1"/>
  <c r="A13593" i="1"/>
  <c r="B13593" i="1"/>
  <c r="C13593" i="1"/>
  <c r="D13593" i="1"/>
  <c r="A13594" i="1"/>
  <c r="B13594" i="1"/>
  <c r="C13594" i="1"/>
  <c r="D13594" i="1"/>
  <c r="A13595" i="1"/>
  <c r="B13595" i="1"/>
  <c r="C13595" i="1"/>
  <c r="D13595" i="1"/>
  <c r="A13596" i="1"/>
  <c r="B13596" i="1"/>
  <c r="C13596" i="1"/>
  <c r="A13597" i="1"/>
  <c r="B13597" i="1"/>
  <c r="C13597" i="1"/>
  <c r="D13597" i="1"/>
  <c r="A13598" i="1"/>
  <c r="B13598" i="1"/>
  <c r="C13598" i="1"/>
  <c r="D13598" i="1"/>
  <c r="A13599" i="1"/>
  <c r="B13599" i="1"/>
  <c r="C13599" i="1"/>
  <c r="D13599" i="1"/>
  <c r="A13600" i="1"/>
  <c r="B13600" i="1"/>
  <c r="C13600" i="1"/>
  <c r="D13600" i="1"/>
  <c r="A13601" i="1"/>
  <c r="B13601" i="1"/>
  <c r="C13601" i="1"/>
  <c r="D13601" i="1"/>
  <c r="A13602" i="1"/>
  <c r="B13602" i="1"/>
  <c r="C13602" i="1"/>
  <c r="D13602" i="1"/>
  <c r="A13603" i="1"/>
  <c r="B13603" i="1"/>
  <c r="C13603" i="1"/>
  <c r="D13603" i="1"/>
  <c r="A13604" i="1"/>
  <c r="B13604" i="1"/>
  <c r="C13604" i="1"/>
  <c r="D13604" i="1"/>
  <c r="A13605" i="1"/>
  <c r="B13605" i="1"/>
  <c r="C13605" i="1"/>
  <c r="D13605" i="1"/>
  <c r="A13606" i="1"/>
  <c r="B13606" i="1"/>
  <c r="C13606" i="1"/>
  <c r="D13606" i="1"/>
  <c r="A13607" i="1"/>
  <c r="B13607" i="1"/>
  <c r="C13607" i="1"/>
  <c r="D13607" i="1"/>
  <c r="A13608" i="1"/>
  <c r="B13608" i="1"/>
  <c r="C13608" i="1"/>
  <c r="D13608" i="1"/>
  <c r="A13609" i="1"/>
  <c r="B13609" i="1"/>
  <c r="C13609" i="1"/>
  <c r="D13609" i="1"/>
  <c r="A13610" i="1"/>
  <c r="B13610" i="1"/>
  <c r="C13610" i="1"/>
  <c r="D13610" i="1"/>
  <c r="A13611" i="1"/>
  <c r="B13611" i="1"/>
  <c r="C13611" i="1"/>
  <c r="D13611" i="1"/>
  <c r="A13612" i="1"/>
  <c r="B13612" i="1"/>
  <c r="C13612" i="1"/>
  <c r="A13613" i="1"/>
  <c r="B13613" i="1"/>
  <c r="C13613" i="1"/>
  <c r="D13613" i="1"/>
  <c r="A13614" i="1"/>
  <c r="B13614" i="1"/>
  <c r="C13614" i="1"/>
  <c r="D13614" i="1"/>
  <c r="A13615" i="1"/>
  <c r="B13615" i="1"/>
  <c r="C13615" i="1"/>
  <c r="D13615" i="1"/>
  <c r="A13616" i="1"/>
  <c r="B13616" i="1"/>
  <c r="C13616" i="1"/>
  <c r="D13616" i="1"/>
  <c r="A13617" i="1"/>
  <c r="B13617" i="1"/>
  <c r="C13617" i="1"/>
  <c r="D13617" i="1"/>
  <c r="A13618" i="1"/>
  <c r="B13618" i="1"/>
  <c r="C13618" i="1"/>
  <c r="D13618" i="1"/>
  <c r="A13619" i="1"/>
  <c r="B13619" i="1"/>
  <c r="C13619" i="1"/>
  <c r="D13619" i="1"/>
  <c r="A13620" i="1"/>
  <c r="B13620" i="1"/>
  <c r="C13620" i="1"/>
  <c r="D13620" i="1"/>
  <c r="A13621" i="1"/>
  <c r="B13621" i="1"/>
  <c r="C13621" i="1"/>
  <c r="D13621" i="1"/>
  <c r="A13622" i="1"/>
  <c r="B13622" i="1"/>
  <c r="C13622" i="1"/>
  <c r="D13622" i="1"/>
  <c r="A13623" i="1"/>
  <c r="B13623" i="1"/>
  <c r="C13623" i="1"/>
  <c r="D13623" i="1"/>
  <c r="A13624" i="1"/>
  <c r="B13624" i="1"/>
  <c r="C13624" i="1"/>
  <c r="D13624" i="1"/>
  <c r="A13625" i="1"/>
  <c r="B13625" i="1"/>
  <c r="C13625" i="1"/>
  <c r="D13625" i="1"/>
  <c r="A13626" i="1"/>
  <c r="B13626" i="1"/>
  <c r="C13626" i="1"/>
  <c r="D13626" i="1"/>
  <c r="A13627" i="1"/>
  <c r="B13627" i="1"/>
  <c r="C13627" i="1"/>
  <c r="D13627" i="1"/>
  <c r="A13628" i="1"/>
  <c r="B13628" i="1"/>
  <c r="C13628" i="1"/>
  <c r="D13628" i="1"/>
  <c r="A13629" i="1"/>
  <c r="B13629" i="1"/>
  <c r="C13629" i="1"/>
  <c r="D13629" i="1"/>
  <c r="A13630" i="1"/>
  <c r="B13630" i="1"/>
  <c r="C13630" i="1"/>
  <c r="D13630" i="1"/>
  <c r="A13631" i="1"/>
  <c r="B13631" i="1"/>
  <c r="C13631" i="1"/>
  <c r="D13631" i="1"/>
  <c r="A13632" i="1"/>
  <c r="B13632" i="1"/>
  <c r="C13632" i="1"/>
  <c r="D13632" i="1"/>
  <c r="A13633" i="1"/>
  <c r="B13633" i="1"/>
  <c r="C13633" i="1"/>
  <c r="D13633" i="1"/>
  <c r="A13634" i="1"/>
  <c r="B13634" i="1"/>
  <c r="C13634" i="1"/>
  <c r="D13634" i="1"/>
  <c r="A13635" i="1"/>
  <c r="B13635" i="1"/>
  <c r="C13635" i="1"/>
  <c r="D13635" i="1"/>
  <c r="A13636" i="1"/>
  <c r="B13636" i="1"/>
  <c r="C13636" i="1"/>
  <c r="D13636" i="1"/>
  <c r="A13637" i="1"/>
  <c r="B13637" i="1"/>
  <c r="C13637" i="1"/>
  <c r="D13637" i="1"/>
  <c r="A13638" i="1"/>
  <c r="B13638" i="1"/>
  <c r="C13638" i="1"/>
  <c r="D13638" i="1"/>
  <c r="A13639" i="1"/>
  <c r="B13639" i="1"/>
  <c r="C13639" i="1"/>
  <c r="D13639" i="1"/>
  <c r="A13640" i="1"/>
  <c r="B13640" i="1"/>
  <c r="C13640" i="1"/>
  <c r="D13640" i="1"/>
  <c r="A13641" i="1"/>
  <c r="B13641" i="1"/>
  <c r="C13641" i="1"/>
  <c r="A13642" i="1"/>
  <c r="B13642" i="1"/>
  <c r="C13642" i="1"/>
  <c r="D13642" i="1"/>
  <c r="A13643" i="1"/>
  <c r="B13643" i="1"/>
  <c r="C13643" i="1"/>
  <c r="D13643" i="1"/>
  <c r="A13644" i="1"/>
  <c r="B13644" i="1"/>
  <c r="C13644" i="1"/>
  <c r="D13644" i="1"/>
  <c r="A13645" i="1"/>
  <c r="B13645" i="1"/>
  <c r="C13645" i="1"/>
  <c r="D13645" i="1"/>
  <c r="A13646" i="1"/>
  <c r="B13646" i="1"/>
  <c r="C13646" i="1"/>
  <c r="D13646" i="1"/>
  <c r="A13647" i="1"/>
  <c r="B13647" i="1"/>
  <c r="C13647" i="1"/>
  <c r="D13647" i="1"/>
  <c r="A13648" i="1"/>
  <c r="B13648" i="1"/>
  <c r="C13648" i="1"/>
  <c r="D13648" i="1"/>
  <c r="A13649" i="1"/>
  <c r="B13649" i="1"/>
  <c r="C13649" i="1"/>
  <c r="D13649" i="1"/>
  <c r="A13650" i="1"/>
  <c r="B13650" i="1"/>
  <c r="C13650" i="1"/>
  <c r="D13650" i="1"/>
  <c r="A13651" i="1"/>
  <c r="B13651" i="1"/>
  <c r="C13651" i="1"/>
  <c r="D13651" i="1"/>
  <c r="A13652" i="1"/>
  <c r="B13652" i="1"/>
  <c r="C13652" i="1"/>
  <c r="D13652" i="1"/>
  <c r="A13653" i="1"/>
  <c r="B13653" i="1"/>
  <c r="C13653" i="1"/>
  <c r="D13653" i="1"/>
  <c r="A13654" i="1"/>
  <c r="B13654" i="1"/>
  <c r="C13654" i="1"/>
  <c r="D13654" i="1"/>
  <c r="A13655" i="1"/>
  <c r="B13655" i="1"/>
  <c r="C13655" i="1"/>
  <c r="D13655" i="1"/>
  <c r="A13656" i="1"/>
  <c r="B13656" i="1"/>
  <c r="C13656" i="1"/>
  <c r="D13656" i="1"/>
  <c r="A13657" i="1"/>
  <c r="B13657" i="1"/>
  <c r="C13657" i="1"/>
  <c r="D13657" i="1"/>
  <c r="A13658" i="1"/>
  <c r="B13658" i="1"/>
  <c r="C13658" i="1"/>
  <c r="D13658" i="1"/>
  <c r="A13659" i="1"/>
  <c r="B13659" i="1"/>
  <c r="C13659" i="1"/>
  <c r="D13659" i="1"/>
  <c r="A13660" i="1"/>
  <c r="B13660" i="1"/>
  <c r="C13660" i="1"/>
  <c r="D13660" i="1"/>
  <c r="A13661" i="1"/>
  <c r="B13661" i="1"/>
  <c r="C13661" i="1"/>
  <c r="D13661" i="1"/>
  <c r="A13662" i="1"/>
  <c r="B13662" i="1"/>
  <c r="C13662" i="1"/>
  <c r="D13662" i="1"/>
  <c r="A13663" i="1"/>
  <c r="B13663" i="1"/>
  <c r="C13663" i="1"/>
  <c r="D13663" i="1"/>
  <c r="A13664" i="1"/>
  <c r="B13664" i="1"/>
  <c r="C13664" i="1"/>
  <c r="D13664" i="1"/>
  <c r="A13665" i="1"/>
  <c r="B13665" i="1"/>
  <c r="C13665" i="1"/>
  <c r="D13665" i="1"/>
  <c r="A13666" i="1"/>
  <c r="B13666" i="1"/>
  <c r="C13666" i="1"/>
  <c r="D13666" i="1"/>
  <c r="A13667" i="1"/>
  <c r="B13667" i="1"/>
  <c r="C13667" i="1"/>
  <c r="D13667" i="1"/>
  <c r="A13668" i="1"/>
  <c r="B13668" i="1"/>
  <c r="C13668" i="1"/>
  <c r="D13668" i="1"/>
  <c r="A13669" i="1"/>
  <c r="B13669" i="1"/>
  <c r="C13669" i="1"/>
  <c r="D13669" i="1"/>
  <c r="A13670" i="1"/>
  <c r="B13670" i="1"/>
  <c r="C13670" i="1"/>
  <c r="D13670" i="1"/>
  <c r="A13671" i="1"/>
  <c r="B13671" i="1"/>
  <c r="C13671" i="1"/>
  <c r="D13671" i="1"/>
  <c r="A13672" i="1"/>
  <c r="B13672" i="1"/>
  <c r="C13672" i="1"/>
  <c r="D13672" i="1"/>
  <c r="A13673" i="1"/>
  <c r="B13673" i="1"/>
  <c r="C13673" i="1"/>
  <c r="D13673" i="1"/>
  <c r="A13674" i="1"/>
  <c r="B13674" i="1"/>
  <c r="C13674" i="1"/>
  <c r="D13674" i="1"/>
  <c r="A13675" i="1"/>
  <c r="B13675" i="1"/>
  <c r="C13675" i="1"/>
  <c r="D13675" i="1"/>
  <c r="A13676" i="1"/>
  <c r="B13676" i="1"/>
  <c r="C13676" i="1"/>
  <c r="D13676" i="1"/>
  <c r="A13677" i="1"/>
  <c r="B13677" i="1"/>
  <c r="C13677" i="1"/>
  <c r="D13677" i="1"/>
  <c r="A13678" i="1"/>
  <c r="B13678" i="1"/>
  <c r="C13678" i="1"/>
  <c r="D13678" i="1"/>
  <c r="A13679" i="1"/>
  <c r="B13679" i="1"/>
  <c r="C13679" i="1"/>
  <c r="D13679" i="1"/>
  <c r="A13680" i="1"/>
  <c r="B13680" i="1"/>
  <c r="C13680" i="1"/>
  <c r="D13680" i="1"/>
  <c r="A13681" i="1"/>
  <c r="B13681" i="1"/>
  <c r="C13681" i="1"/>
  <c r="D13681" i="1"/>
  <c r="A13682" i="1"/>
  <c r="B13682" i="1"/>
  <c r="C13682" i="1"/>
  <c r="D13682" i="1"/>
  <c r="A13683" i="1"/>
  <c r="B13683" i="1"/>
  <c r="C13683" i="1"/>
  <c r="D13683" i="1"/>
  <c r="A13684" i="1"/>
  <c r="B13684" i="1"/>
  <c r="C13684" i="1"/>
  <c r="D13684" i="1"/>
  <c r="A13685" i="1"/>
  <c r="B13685" i="1"/>
  <c r="C13685" i="1"/>
  <c r="D13685" i="1"/>
  <c r="A13686" i="1"/>
  <c r="B13686" i="1"/>
  <c r="C13686" i="1"/>
  <c r="D13686" i="1"/>
  <c r="A13687" i="1"/>
  <c r="B13687" i="1"/>
  <c r="C13687" i="1"/>
  <c r="D13687" i="1"/>
  <c r="A13688" i="1"/>
  <c r="B13688" i="1"/>
  <c r="C13688" i="1"/>
  <c r="D13688" i="1"/>
  <c r="A13689" i="1"/>
  <c r="B13689" i="1"/>
  <c r="C13689" i="1"/>
  <c r="D13689" i="1"/>
  <c r="A13690" i="1"/>
  <c r="B13690" i="1"/>
  <c r="C13690" i="1"/>
  <c r="D13690" i="1"/>
  <c r="A13691" i="1"/>
  <c r="B13691" i="1"/>
  <c r="C13691" i="1"/>
  <c r="D13691" i="1"/>
  <c r="A13692" i="1"/>
  <c r="B13692" i="1"/>
  <c r="C13692" i="1"/>
  <c r="D13692" i="1"/>
  <c r="A13693" i="1"/>
  <c r="B13693" i="1"/>
  <c r="C13693" i="1"/>
  <c r="D13693" i="1"/>
  <c r="A13694" i="1"/>
  <c r="B13694" i="1"/>
  <c r="C13694" i="1"/>
  <c r="D13694" i="1"/>
  <c r="A13695" i="1"/>
  <c r="B13695" i="1"/>
  <c r="C13695" i="1"/>
  <c r="D13695" i="1"/>
  <c r="A13696" i="1"/>
  <c r="B13696" i="1"/>
  <c r="C13696" i="1"/>
  <c r="D13696" i="1"/>
  <c r="A13697" i="1"/>
  <c r="B13697" i="1"/>
  <c r="C13697" i="1"/>
  <c r="D13697" i="1"/>
  <c r="A13698" i="1"/>
  <c r="B13698" i="1"/>
  <c r="C13698" i="1"/>
  <c r="D13698" i="1"/>
  <c r="A13699" i="1"/>
  <c r="B13699" i="1"/>
  <c r="C13699" i="1"/>
  <c r="D13699" i="1"/>
  <c r="A13700" i="1"/>
  <c r="B13700" i="1"/>
  <c r="C13700" i="1"/>
  <c r="A13701" i="1"/>
  <c r="B13701" i="1"/>
  <c r="C13701" i="1"/>
  <c r="D13701" i="1"/>
  <c r="A13702" i="1"/>
  <c r="B13702" i="1"/>
  <c r="C13702" i="1"/>
  <c r="D13702" i="1"/>
  <c r="A13703" i="1"/>
  <c r="B13703" i="1"/>
  <c r="C13703" i="1"/>
  <c r="D13703" i="1"/>
  <c r="A13704" i="1"/>
  <c r="B13704" i="1"/>
  <c r="C13704" i="1"/>
  <c r="D13704" i="1"/>
  <c r="A13705" i="1"/>
  <c r="B13705" i="1"/>
  <c r="C13705" i="1"/>
  <c r="D13705" i="1"/>
  <c r="A13706" i="1"/>
  <c r="B13706" i="1"/>
  <c r="C13706" i="1"/>
  <c r="D13706" i="1"/>
  <c r="A13707" i="1"/>
  <c r="B13707" i="1"/>
  <c r="C13707" i="1"/>
  <c r="D13707" i="1"/>
  <c r="A13708" i="1"/>
  <c r="B13708" i="1"/>
  <c r="C13708" i="1"/>
  <c r="D13708" i="1"/>
  <c r="A13709" i="1"/>
  <c r="B13709" i="1"/>
  <c r="C13709" i="1"/>
  <c r="D13709" i="1"/>
  <c r="A13710" i="1"/>
  <c r="B13710" i="1"/>
  <c r="C13710" i="1"/>
  <c r="D13710" i="1"/>
  <c r="A13711" i="1"/>
  <c r="B13711" i="1"/>
  <c r="C13711" i="1"/>
  <c r="D13711" i="1"/>
  <c r="A13712" i="1"/>
  <c r="B13712" i="1"/>
  <c r="C13712" i="1"/>
  <c r="D13712" i="1"/>
  <c r="A13713" i="1"/>
  <c r="B13713" i="1"/>
  <c r="C13713" i="1"/>
  <c r="D13713" i="1"/>
  <c r="A13714" i="1"/>
  <c r="B13714" i="1"/>
  <c r="C13714" i="1"/>
  <c r="A13715" i="1"/>
  <c r="B13715" i="1"/>
  <c r="C13715" i="1"/>
  <c r="D13715" i="1"/>
  <c r="A13716" i="1"/>
  <c r="B13716" i="1"/>
  <c r="C13716" i="1"/>
  <c r="D13716" i="1"/>
  <c r="A13717" i="1"/>
  <c r="B13717" i="1"/>
  <c r="C13717" i="1"/>
  <c r="D13717" i="1"/>
  <c r="A13718" i="1"/>
  <c r="B13718" i="1"/>
  <c r="C13718" i="1"/>
  <c r="D13718" i="1"/>
  <c r="A13719" i="1"/>
  <c r="B13719" i="1"/>
  <c r="C13719" i="1"/>
  <c r="D13719" i="1"/>
  <c r="A13720" i="1"/>
  <c r="B13720" i="1"/>
  <c r="C13720" i="1"/>
  <c r="D13720" i="1"/>
  <c r="A13721" i="1"/>
  <c r="B13721" i="1"/>
  <c r="C13721" i="1"/>
  <c r="A13722" i="1"/>
  <c r="B13722" i="1"/>
  <c r="C13722" i="1"/>
  <c r="D13722" i="1"/>
  <c r="A13723" i="1"/>
  <c r="B13723" i="1"/>
  <c r="C13723" i="1"/>
  <c r="D13723" i="1"/>
  <c r="A13724" i="1"/>
  <c r="B13724" i="1"/>
  <c r="C13724" i="1"/>
  <c r="D13724" i="1"/>
  <c r="A13725" i="1"/>
  <c r="B13725" i="1"/>
  <c r="C13725" i="1"/>
  <c r="D13725" i="1"/>
  <c r="A13726" i="1"/>
  <c r="B13726" i="1"/>
  <c r="C13726" i="1"/>
  <c r="D13726" i="1"/>
  <c r="A13727" i="1"/>
  <c r="B13727" i="1"/>
  <c r="C13727" i="1"/>
  <c r="D13727" i="1"/>
  <c r="A13728" i="1"/>
  <c r="B13728" i="1"/>
  <c r="C13728" i="1"/>
  <c r="A13729" i="1"/>
  <c r="B13729" i="1"/>
  <c r="C13729" i="1"/>
  <c r="D13729" i="1"/>
  <c r="A13730" i="1"/>
  <c r="B13730" i="1"/>
  <c r="C13730" i="1"/>
  <c r="D13730" i="1"/>
  <c r="A13731" i="1"/>
  <c r="B13731" i="1"/>
  <c r="C13731" i="1"/>
  <c r="D13731" i="1"/>
  <c r="A13732" i="1"/>
  <c r="B13732" i="1"/>
  <c r="C13732" i="1"/>
  <c r="D13732" i="1"/>
  <c r="A13733" i="1"/>
  <c r="B13733" i="1"/>
  <c r="C13733" i="1"/>
  <c r="D13733" i="1"/>
  <c r="A13734" i="1"/>
  <c r="B13734" i="1"/>
  <c r="C13734" i="1"/>
  <c r="D13734" i="1"/>
  <c r="A13735" i="1"/>
  <c r="B13735" i="1"/>
  <c r="C13735" i="1"/>
  <c r="D13735" i="1"/>
  <c r="A13736" i="1"/>
  <c r="B13736" i="1"/>
  <c r="C13736" i="1"/>
  <c r="D13736" i="1"/>
  <c r="A13737" i="1"/>
  <c r="B13737" i="1"/>
  <c r="C13737" i="1"/>
  <c r="D13737" i="1"/>
  <c r="A13738" i="1"/>
  <c r="B13738" i="1"/>
  <c r="C13738" i="1"/>
  <c r="D13738" i="1"/>
  <c r="A13739" i="1"/>
  <c r="B13739" i="1"/>
  <c r="C13739" i="1"/>
  <c r="D13739" i="1"/>
  <c r="A13740" i="1"/>
  <c r="B13740" i="1"/>
  <c r="C13740" i="1"/>
  <c r="D13740" i="1"/>
  <c r="A13741" i="1"/>
  <c r="B13741" i="1"/>
  <c r="C13741" i="1"/>
  <c r="D13741" i="1"/>
  <c r="A13742" i="1"/>
  <c r="B13742" i="1"/>
  <c r="C13742" i="1"/>
  <c r="D13742" i="1"/>
  <c r="A13743" i="1"/>
  <c r="B13743" i="1"/>
  <c r="C13743" i="1"/>
  <c r="D13743" i="1"/>
  <c r="A13744" i="1"/>
  <c r="B13744" i="1"/>
  <c r="C13744" i="1"/>
  <c r="D13744" i="1"/>
  <c r="A13745" i="1"/>
  <c r="B13745" i="1"/>
  <c r="C13745" i="1"/>
  <c r="D13745" i="1"/>
  <c r="A13746" i="1"/>
  <c r="B13746" i="1"/>
  <c r="C13746" i="1"/>
  <c r="D13746" i="1"/>
  <c r="A13747" i="1"/>
  <c r="B13747" i="1"/>
  <c r="C13747" i="1"/>
  <c r="D13747" i="1"/>
  <c r="A13748" i="1"/>
  <c r="B13748" i="1"/>
  <c r="C13748" i="1"/>
  <c r="D13748" i="1"/>
  <c r="A13749" i="1"/>
  <c r="B13749" i="1"/>
  <c r="C13749" i="1"/>
  <c r="D13749" i="1"/>
  <c r="A13750" i="1"/>
  <c r="B13750" i="1"/>
  <c r="C13750" i="1"/>
  <c r="D13750" i="1"/>
  <c r="A13751" i="1"/>
  <c r="B13751" i="1"/>
  <c r="C13751" i="1"/>
  <c r="D13751" i="1"/>
  <c r="A13752" i="1"/>
  <c r="B13752" i="1"/>
  <c r="C13752" i="1"/>
  <c r="D13752" i="1"/>
  <c r="A13753" i="1"/>
  <c r="B13753" i="1"/>
  <c r="C13753" i="1"/>
  <c r="D13753" i="1"/>
  <c r="A13754" i="1"/>
  <c r="B13754" i="1"/>
  <c r="C13754" i="1"/>
  <c r="D13754" i="1"/>
  <c r="A13755" i="1"/>
  <c r="B13755" i="1"/>
  <c r="C13755" i="1"/>
  <c r="D13755" i="1"/>
  <c r="A13756" i="1"/>
  <c r="B13756" i="1"/>
  <c r="C13756" i="1"/>
  <c r="D13756" i="1"/>
  <c r="A13757" i="1"/>
  <c r="B13757" i="1"/>
  <c r="C13757" i="1"/>
  <c r="D13757" i="1"/>
  <c r="A13758" i="1"/>
  <c r="B13758" i="1"/>
  <c r="C13758" i="1"/>
  <c r="D13758" i="1"/>
  <c r="A13759" i="1"/>
  <c r="B13759" i="1"/>
  <c r="C13759" i="1"/>
  <c r="D13759" i="1"/>
  <c r="A13760" i="1"/>
  <c r="B13760" i="1"/>
  <c r="C13760" i="1"/>
  <c r="D13760" i="1"/>
  <c r="A13761" i="1"/>
  <c r="B13761" i="1"/>
  <c r="C13761" i="1"/>
  <c r="D13761" i="1"/>
  <c r="A13762" i="1"/>
  <c r="B13762" i="1"/>
  <c r="C13762" i="1"/>
  <c r="D13762" i="1"/>
  <c r="A13763" i="1"/>
  <c r="B13763" i="1"/>
  <c r="C13763" i="1"/>
  <c r="D13763" i="1"/>
  <c r="A13764" i="1"/>
  <c r="B13764" i="1"/>
  <c r="C13764" i="1"/>
  <c r="D13764" i="1"/>
  <c r="A13765" i="1"/>
  <c r="B13765" i="1"/>
  <c r="C13765" i="1"/>
  <c r="D13765" i="1"/>
  <c r="A13766" i="1"/>
  <c r="B13766" i="1"/>
  <c r="C13766" i="1"/>
  <c r="A13767" i="1"/>
  <c r="B13767" i="1"/>
  <c r="C13767" i="1"/>
  <c r="D13767" i="1"/>
  <c r="A13768" i="1"/>
  <c r="B13768" i="1"/>
  <c r="C13768" i="1"/>
  <c r="D13768" i="1"/>
  <c r="A13769" i="1"/>
  <c r="B13769" i="1"/>
  <c r="C13769" i="1"/>
  <c r="D13769" i="1"/>
  <c r="A13770" i="1"/>
  <c r="B13770" i="1"/>
  <c r="C13770" i="1"/>
  <c r="D13770" i="1"/>
  <c r="A13771" i="1"/>
  <c r="B13771" i="1"/>
  <c r="C13771" i="1"/>
  <c r="D13771" i="1"/>
  <c r="A13772" i="1"/>
  <c r="B13772" i="1"/>
  <c r="C13772" i="1"/>
  <c r="D13772" i="1"/>
  <c r="A13773" i="1"/>
  <c r="B13773" i="1"/>
  <c r="C13773" i="1"/>
  <c r="D13773" i="1"/>
  <c r="A13774" i="1"/>
  <c r="B13774" i="1"/>
  <c r="C13774" i="1"/>
  <c r="D13774" i="1"/>
  <c r="A13775" i="1"/>
  <c r="B13775" i="1"/>
  <c r="C13775" i="1"/>
  <c r="D13775" i="1"/>
  <c r="A13776" i="1"/>
  <c r="B13776" i="1"/>
  <c r="C13776" i="1"/>
  <c r="D13776" i="1"/>
  <c r="A13777" i="1"/>
  <c r="B13777" i="1"/>
  <c r="C13777" i="1"/>
  <c r="D13777" i="1"/>
  <c r="A13778" i="1"/>
  <c r="B13778" i="1"/>
  <c r="C13778" i="1"/>
  <c r="D13778" i="1"/>
  <c r="A13779" i="1"/>
  <c r="B13779" i="1"/>
  <c r="C13779" i="1"/>
  <c r="D13779" i="1"/>
  <c r="A13780" i="1"/>
  <c r="B13780" i="1"/>
  <c r="C13780" i="1"/>
  <c r="D13780" i="1"/>
  <c r="A13781" i="1"/>
  <c r="B13781" i="1"/>
  <c r="C13781" i="1"/>
  <c r="A13782" i="1"/>
  <c r="B13782" i="1"/>
  <c r="C13782" i="1"/>
  <c r="D13782" i="1"/>
  <c r="A13783" i="1"/>
  <c r="B13783" i="1"/>
  <c r="C13783" i="1"/>
  <c r="D13783" i="1"/>
  <c r="A13784" i="1"/>
  <c r="B13784" i="1"/>
  <c r="C13784" i="1"/>
  <c r="D13784" i="1"/>
  <c r="A13785" i="1"/>
  <c r="B13785" i="1"/>
  <c r="C13785" i="1"/>
  <c r="D13785" i="1"/>
  <c r="A13786" i="1"/>
  <c r="B13786" i="1"/>
  <c r="C13786" i="1"/>
  <c r="D13786" i="1"/>
  <c r="A13787" i="1"/>
  <c r="B13787" i="1"/>
  <c r="C13787" i="1"/>
  <c r="D13787" i="1"/>
  <c r="A13788" i="1"/>
  <c r="B13788" i="1"/>
  <c r="C13788" i="1"/>
  <c r="D13788" i="1"/>
  <c r="A13789" i="1"/>
  <c r="B13789" i="1"/>
  <c r="C13789" i="1"/>
  <c r="D13789" i="1"/>
  <c r="A13790" i="1"/>
  <c r="B13790" i="1"/>
  <c r="C13790" i="1"/>
  <c r="D13790" i="1"/>
  <c r="A13791" i="1"/>
  <c r="B13791" i="1"/>
  <c r="C13791" i="1"/>
  <c r="D13791" i="1"/>
  <c r="A13792" i="1"/>
  <c r="B13792" i="1"/>
  <c r="C13792" i="1"/>
  <c r="D13792" i="1"/>
  <c r="A13793" i="1"/>
  <c r="B13793" i="1"/>
  <c r="C13793" i="1"/>
  <c r="D13793" i="1"/>
  <c r="A13794" i="1"/>
  <c r="B13794" i="1"/>
  <c r="C13794" i="1"/>
  <c r="D13794" i="1"/>
  <c r="A13795" i="1"/>
  <c r="B13795" i="1"/>
  <c r="C13795" i="1"/>
  <c r="D13795" i="1"/>
  <c r="A13796" i="1"/>
  <c r="B13796" i="1"/>
  <c r="C13796" i="1"/>
  <c r="D13796" i="1"/>
  <c r="A13797" i="1"/>
  <c r="B13797" i="1"/>
  <c r="C13797" i="1"/>
  <c r="D13797" i="1"/>
  <c r="A13798" i="1"/>
  <c r="B13798" i="1"/>
  <c r="C13798" i="1"/>
  <c r="D13798" i="1"/>
  <c r="A13799" i="1"/>
  <c r="B13799" i="1"/>
  <c r="C13799" i="1"/>
  <c r="D13799" i="1"/>
  <c r="A13800" i="1"/>
  <c r="B13800" i="1"/>
  <c r="C13800" i="1"/>
  <c r="D13800" i="1"/>
  <c r="A13801" i="1"/>
  <c r="B13801" i="1"/>
  <c r="C13801" i="1"/>
  <c r="D13801" i="1"/>
  <c r="A13802" i="1"/>
  <c r="B13802" i="1"/>
  <c r="C13802" i="1"/>
  <c r="D13802" i="1"/>
  <c r="A13803" i="1"/>
  <c r="B13803" i="1"/>
  <c r="C13803" i="1"/>
  <c r="D13803" i="1"/>
  <c r="A13804" i="1"/>
  <c r="B13804" i="1"/>
  <c r="C13804" i="1"/>
  <c r="D13804" i="1"/>
  <c r="A13805" i="1"/>
  <c r="B13805" i="1"/>
  <c r="C13805" i="1"/>
  <c r="D13805" i="1"/>
  <c r="A13806" i="1"/>
  <c r="B13806" i="1"/>
  <c r="C13806" i="1"/>
  <c r="D13806" i="1"/>
  <c r="A13807" i="1"/>
  <c r="B13807" i="1"/>
  <c r="C13807" i="1"/>
  <c r="D13807" i="1"/>
  <c r="A13808" i="1"/>
  <c r="B13808" i="1"/>
  <c r="C13808" i="1"/>
  <c r="D13808" i="1"/>
  <c r="A13809" i="1"/>
  <c r="B13809" i="1"/>
  <c r="C13809" i="1"/>
  <c r="D13809" i="1"/>
  <c r="A13810" i="1"/>
  <c r="B13810" i="1"/>
  <c r="C13810" i="1"/>
  <c r="D13810" i="1"/>
  <c r="A13811" i="1"/>
  <c r="B13811" i="1"/>
  <c r="C13811" i="1"/>
  <c r="D13811" i="1"/>
  <c r="A13812" i="1"/>
  <c r="B13812" i="1"/>
  <c r="C13812" i="1"/>
  <c r="D13812" i="1"/>
  <c r="A13813" i="1"/>
  <c r="B13813" i="1"/>
  <c r="C13813" i="1"/>
  <c r="D13813" i="1"/>
  <c r="A13814" i="1"/>
  <c r="B13814" i="1"/>
  <c r="C13814" i="1"/>
  <c r="D13814" i="1"/>
  <c r="A13815" i="1"/>
  <c r="B13815" i="1"/>
  <c r="C13815" i="1"/>
  <c r="D13815" i="1"/>
  <c r="A13816" i="1"/>
  <c r="B13816" i="1"/>
  <c r="C13816" i="1"/>
  <c r="D13816" i="1"/>
  <c r="A13817" i="1"/>
  <c r="B13817" i="1"/>
  <c r="C13817" i="1"/>
  <c r="D13817" i="1"/>
  <c r="A13818" i="1"/>
  <c r="B13818" i="1"/>
  <c r="C13818" i="1"/>
  <c r="D13818" i="1"/>
  <c r="A13819" i="1"/>
  <c r="B13819" i="1"/>
  <c r="C13819" i="1"/>
  <c r="D13819" i="1"/>
  <c r="A13820" i="1"/>
  <c r="B13820" i="1"/>
  <c r="C13820" i="1"/>
  <c r="D13820" i="1"/>
  <c r="A13821" i="1"/>
  <c r="B13821" i="1"/>
  <c r="C13821" i="1"/>
  <c r="D13821" i="1"/>
  <c r="A13822" i="1"/>
  <c r="B13822" i="1"/>
  <c r="C13822" i="1"/>
  <c r="A13823" i="1"/>
  <c r="B13823" i="1"/>
  <c r="C13823" i="1"/>
  <c r="D13823" i="1"/>
  <c r="A13824" i="1"/>
  <c r="B13824" i="1"/>
  <c r="C13824" i="1"/>
  <c r="D13824" i="1"/>
  <c r="A13825" i="1"/>
  <c r="B13825" i="1"/>
  <c r="C13825" i="1"/>
  <c r="D13825" i="1"/>
  <c r="A13826" i="1"/>
  <c r="B13826" i="1"/>
  <c r="C13826" i="1"/>
  <c r="D13826" i="1"/>
  <c r="A13827" i="1"/>
  <c r="B13827" i="1"/>
  <c r="C13827" i="1"/>
  <c r="D13827" i="1"/>
  <c r="A13828" i="1"/>
  <c r="B13828" i="1"/>
  <c r="C13828" i="1"/>
  <c r="D13828" i="1"/>
  <c r="A13829" i="1"/>
  <c r="B13829" i="1"/>
  <c r="C13829" i="1"/>
  <c r="D13829" i="1"/>
  <c r="A13830" i="1"/>
  <c r="B13830" i="1"/>
  <c r="C13830" i="1"/>
  <c r="D13830" i="1"/>
  <c r="A13831" i="1"/>
  <c r="B13831" i="1"/>
  <c r="C13831" i="1"/>
  <c r="D13831" i="1"/>
  <c r="A13832" i="1"/>
  <c r="B13832" i="1"/>
  <c r="C13832" i="1"/>
  <c r="D13832" i="1"/>
  <c r="A13833" i="1"/>
  <c r="B13833" i="1"/>
  <c r="C13833" i="1"/>
  <c r="D13833" i="1"/>
  <c r="A13834" i="1"/>
  <c r="B13834" i="1"/>
  <c r="C13834" i="1"/>
  <c r="D13834" i="1"/>
  <c r="A13835" i="1"/>
  <c r="B13835" i="1"/>
  <c r="C13835" i="1"/>
  <c r="D13835" i="1"/>
  <c r="A13836" i="1"/>
  <c r="B13836" i="1"/>
  <c r="C13836" i="1"/>
  <c r="D13836" i="1"/>
  <c r="A13837" i="1"/>
  <c r="B13837" i="1"/>
  <c r="C13837" i="1"/>
  <c r="D13837" i="1"/>
  <c r="A13838" i="1"/>
  <c r="B13838" i="1"/>
  <c r="C13838" i="1"/>
  <c r="A13839" i="1"/>
  <c r="B13839" i="1"/>
  <c r="C13839" i="1"/>
  <c r="D13839" i="1"/>
  <c r="A13840" i="1"/>
  <c r="B13840" i="1"/>
  <c r="C13840" i="1"/>
  <c r="D13840" i="1"/>
  <c r="A13841" i="1"/>
  <c r="B13841" i="1"/>
  <c r="C13841" i="1"/>
  <c r="D13841" i="1"/>
  <c r="A13842" i="1"/>
  <c r="B13842" i="1"/>
  <c r="C13842" i="1"/>
  <c r="D13842" i="1"/>
  <c r="A13843" i="1"/>
  <c r="B13843" i="1"/>
  <c r="C13843" i="1"/>
  <c r="D13843" i="1"/>
  <c r="A13844" i="1"/>
  <c r="B13844" i="1"/>
  <c r="C13844" i="1"/>
  <c r="D13844" i="1"/>
  <c r="A13845" i="1"/>
  <c r="B13845" i="1"/>
  <c r="C13845" i="1"/>
  <c r="D13845" i="1"/>
  <c r="A13846" i="1"/>
  <c r="B13846" i="1"/>
  <c r="C13846" i="1"/>
  <c r="D13846" i="1"/>
  <c r="A13847" i="1"/>
  <c r="B13847" i="1"/>
  <c r="C13847" i="1"/>
  <c r="D13847" i="1"/>
  <c r="A13848" i="1"/>
  <c r="B13848" i="1"/>
  <c r="C13848" i="1"/>
  <c r="D13848" i="1"/>
  <c r="A13849" i="1"/>
  <c r="B13849" i="1"/>
  <c r="C13849" i="1"/>
  <c r="D13849" i="1"/>
  <c r="A13850" i="1"/>
  <c r="B13850" i="1"/>
  <c r="C13850" i="1"/>
  <c r="D13850" i="1"/>
  <c r="A13851" i="1"/>
  <c r="B13851" i="1"/>
  <c r="C13851" i="1"/>
  <c r="D13851" i="1"/>
  <c r="A13852" i="1"/>
  <c r="B13852" i="1"/>
  <c r="C13852" i="1"/>
  <c r="D13852" i="1"/>
  <c r="A13853" i="1"/>
  <c r="B13853" i="1"/>
  <c r="C13853" i="1"/>
  <c r="D13853" i="1"/>
  <c r="A13854" i="1"/>
  <c r="B13854" i="1"/>
  <c r="C13854" i="1"/>
  <c r="D13854" i="1"/>
  <c r="A13855" i="1"/>
  <c r="B13855" i="1"/>
  <c r="C13855" i="1"/>
  <c r="D13855" i="1"/>
  <c r="A13856" i="1"/>
  <c r="B13856" i="1"/>
  <c r="C13856" i="1"/>
  <c r="D13856" i="1"/>
  <c r="A13857" i="1"/>
  <c r="B13857" i="1"/>
  <c r="C13857" i="1"/>
  <c r="D13857" i="1"/>
  <c r="A13858" i="1"/>
  <c r="B13858" i="1"/>
  <c r="C13858" i="1"/>
  <c r="D13858" i="1"/>
  <c r="A13859" i="1"/>
  <c r="B13859" i="1"/>
  <c r="C13859" i="1"/>
  <c r="D13859" i="1"/>
  <c r="A13860" i="1"/>
  <c r="B13860" i="1"/>
  <c r="C13860" i="1"/>
  <c r="D13860" i="1"/>
  <c r="A13861" i="1"/>
  <c r="B13861" i="1"/>
  <c r="C13861" i="1"/>
  <c r="D13861" i="1"/>
  <c r="A13862" i="1"/>
  <c r="B13862" i="1"/>
  <c r="C13862" i="1"/>
  <c r="D13862" i="1"/>
  <c r="A13863" i="1"/>
  <c r="B13863" i="1"/>
  <c r="C13863" i="1"/>
  <c r="D13863" i="1"/>
  <c r="A13864" i="1"/>
  <c r="B13864" i="1"/>
  <c r="C13864" i="1"/>
  <c r="D13864" i="1"/>
  <c r="A13865" i="1"/>
  <c r="B13865" i="1"/>
  <c r="C13865" i="1"/>
  <c r="D13865" i="1"/>
  <c r="A13866" i="1"/>
  <c r="B13866" i="1"/>
  <c r="C13866" i="1"/>
  <c r="D13866" i="1"/>
  <c r="A13867" i="1"/>
  <c r="B13867" i="1"/>
  <c r="C13867" i="1"/>
  <c r="D13867" i="1"/>
  <c r="A13868" i="1"/>
  <c r="B13868" i="1"/>
  <c r="C13868" i="1"/>
  <c r="D13868" i="1"/>
  <c r="A13869" i="1"/>
  <c r="B13869" i="1"/>
  <c r="C13869" i="1"/>
  <c r="D13869" i="1"/>
  <c r="A13870" i="1"/>
  <c r="B13870" i="1"/>
  <c r="C13870" i="1"/>
  <c r="D13870" i="1"/>
  <c r="A13871" i="1"/>
  <c r="B13871" i="1"/>
  <c r="C13871" i="1"/>
  <c r="D13871" i="1"/>
  <c r="A13872" i="1"/>
  <c r="B13872" i="1"/>
  <c r="C13872" i="1"/>
  <c r="D13872" i="1"/>
  <c r="A13873" i="1"/>
  <c r="B13873" i="1"/>
  <c r="C13873" i="1"/>
  <c r="D13873" i="1"/>
  <c r="A13874" i="1"/>
  <c r="B13874" i="1"/>
  <c r="C13874" i="1"/>
  <c r="D13874" i="1"/>
  <c r="A13875" i="1"/>
  <c r="B13875" i="1"/>
  <c r="C13875" i="1"/>
  <c r="D13875" i="1"/>
  <c r="A13876" i="1"/>
  <c r="B13876" i="1"/>
  <c r="C13876" i="1"/>
  <c r="D13876" i="1"/>
  <c r="A13877" i="1"/>
  <c r="B13877" i="1"/>
  <c r="C13877" i="1"/>
  <c r="D13877" i="1"/>
  <c r="A13878" i="1"/>
  <c r="B13878" i="1"/>
  <c r="C13878" i="1"/>
  <c r="D13878" i="1"/>
  <c r="A13879" i="1"/>
  <c r="B13879" i="1"/>
  <c r="C13879" i="1"/>
  <c r="D13879" i="1"/>
  <c r="A13880" i="1"/>
  <c r="B13880" i="1"/>
  <c r="C13880" i="1"/>
  <c r="D13880" i="1"/>
  <c r="A13881" i="1"/>
  <c r="B13881" i="1"/>
  <c r="C13881" i="1"/>
  <c r="D13881" i="1"/>
  <c r="A13882" i="1"/>
  <c r="B13882" i="1"/>
  <c r="C13882" i="1"/>
  <c r="D13882" i="1"/>
  <c r="A13883" i="1"/>
  <c r="B13883" i="1"/>
  <c r="C13883" i="1"/>
  <c r="D13883" i="1"/>
  <c r="A13884" i="1"/>
  <c r="B13884" i="1"/>
  <c r="C13884" i="1"/>
  <c r="D13884" i="1"/>
  <c r="A13885" i="1"/>
  <c r="B13885" i="1"/>
  <c r="C13885" i="1"/>
  <c r="D13885" i="1"/>
  <c r="A13886" i="1"/>
  <c r="B13886" i="1"/>
  <c r="C13886" i="1"/>
  <c r="D13886" i="1"/>
  <c r="A13887" i="1"/>
  <c r="B13887" i="1"/>
  <c r="C13887" i="1"/>
  <c r="D13887" i="1"/>
  <c r="A13888" i="1"/>
  <c r="B13888" i="1"/>
  <c r="C13888" i="1"/>
  <c r="D13888" i="1"/>
  <c r="A13889" i="1"/>
  <c r="B13889" i="1"/>
  <c r="C13889" i="1"/>
  <c r="D13889" i="1"/>
  <c r="A13890" i="1"/>
  <c r="B13890" i="1"/>
  <c r="C13890" i="1"/>
  <c r="D13890" i="1"/>
  <c r="A13891" i="1"/>
  <c r="B13891" i="1"/>
  <c r="C13891" i="1"/>
  <c r="D13891" i="1"/>
  <c r="A13892" i="1"/>
  <c r="B13892" i="1"/>
  <c r="C13892" i="1"/>
  <c r="D13892" i="1"/>
  <c r="A13893" i="1"/>
  <c r="B13893" i="1"/>
  <c r="C13893" i="1"/>
  <c r="D13893" i="1"/>
  <c r="A13894" i="1"/>
  <c r="B13894" i="1"/>
  <c r="C13894" i="1"/>
  <c r="D13894" i="1"/>
  <c r="A13895" i="1"/>
  <c r="B13895" i="1"/>
  <c r="C13895" i="1"/>
  <c r="D13895" i="1"/>
  <c r="A13896" i="1"/>
  <c r="B13896" i="1"/>
  <c r="C13896" i="1"/>
  <c r="D13896" i="1"/>
  <c r="A13897" i="1"/>
  <c r="B13897" i="1"/>
  <c r="C13897" i="1"/>
  <c r="D13897" i="1"/>
  <c r="A13898" i="1"/>
  <c r="B13898" i="1"/>
  <c r="C13898" i="1"/>
  <c r="D13898" i="1"/>
  <c r="A13899" i="1"/>
  <c r="B13899" i="1"/>
  <c r="C13899" i="1"/>
  <c r="D13899" i="1"/>
  <c r="A13900" i="1"/>
  <c r="B13900" i="1"/>
  <c r="C13900" i="1"/>
  <c r="D13900" i="1"/>
  <c r="A13901" i="1"/>
  <c r="B13901" i="1"/>
  <c r="C13901" i="1"/>
  <c r="D13901" i="1"/>
  <c r="A13902" i="1"/>
  <c r="B13902" i="1"/>
  <c r="C13902" i="1"/>
  <c r="D13902" i="1"/>
  <c r="A13903" i="1"/>
  <c r="B13903" i="1"/>
  <c r="C13903" i="1"/>
  <c r="D13903" i="1"/>
  <c r="A13904" i="1"/>
  <c r="B13904" i="1"/>
  <c r="C13904" i="1"/>
  <c r="D13904" i="1"/>
  <c r="A13905" i="1"/>
  <c r="B13905" i="1"/>
  <c r="C13905" i="1"/>
  <c r="D13905" i="1"/>
  <c r="A13906" i="1"/>
  <c r="B13906" i="1"/>
  <c r="C13906" i="1"/>
  <c r="D13906" i="1"/>
  <c r="A13907" i="1"/>
  <c r="B13907" i="1"/>
  <c r="C13907" i="1"/>
  <c r="D13907" i="1"/>
  <c r="A13908" i="1"/>
  <c r="B13908" i="1"/>
  <c r="C13908" i="1"/>
  <c r="D13908" i="1"/>
  <c r="A13909" i="1"/>
  <c r="B13909" i="1"/>
  <c r="C13909" i="1"/>
  <c r="D13909" i="1"/>
  <c r="A13910" i="1"/>
  <c r="B13910" i="1"/>
  <c r="C13910" i="1"/>
  <c r="D13910" i="1"/>
  <c r="A13911" i="1"/>
  <c r="B13911" i="1"/>
  <c r="C13911" i="1"/>
  <c r="D13911" i="1"/>
  <c r="A13912" i="1"/>
  <c r="B13912" i="1"/>
  <c r="C13912" i="1"/>
  <c r="D13912" i="1"/>
  <c r="A13913" i="1"/>
  <c r="B13913" i="1"/>
  <c r="C13913" i="1"/>
  <c r="D13913" i="1"/>
  <c r="A13914" i="1"/>
  <c r="B13914" i="1"/>
  <c r="C13914" i="1"/>
  <c r="D13914" i="1"/>
  <c r="A13915" i="1"/>
  <c r="B13915" i="1"/>
  <c r="C13915" i="1"/>
  <c r="D13915" i="1"/>
  <c r="A13916" i="1"/>
  <c r="B13916" i="1"/>
  <c r="C13916" i="1"/>
  <c r="D13916" i="1"/>
  <c r="A13917" i="1"/>
  <c r="B13917" i="1"/>
  <c r="C13917" i="1"/>
  <c r="D13917" i="1"/>
  <c r="A13918" i="1"/>
  <c r="B13918" i="1"/>
  <c r="C13918" i="1"/>
  <c r="D13918" i="1"/>
  <c r="A13919" i="1"/>
  <c r="B13919" i="1"/>
  <c r="C13919" i="1"/>
  <c r="D13919" i="1"/>
  <c r="A13920" i="1"/>
  <c r="B13920" i="1"/>
  <c r="C13920" i="1"/>
  <c r="D13920" i="1"/>
  <c r="A13921" i="1"/>
  <c r="B13921" i="1"/>
  <c r="C13921" i="1"/>
  <c r="D13921" i="1"/>
  <c r="A13922" i="1"/>
  <c r="B13922" i="1"/>
  <c r="C13922" i="1"/>
  <c r="D13922" i="1"/>
  <c r="A13923" i="1"/>
  <c r="B13923" i="1"/>
  <c r="C13923" i="1"/>
  <c r="D13923" i="1"/>
  <c r="A13924" i="1"/>
  <c r="B13924" i="1"/>
  <c r="C13924" i="1"/>
  <c r="D13924" i="1"/>
  <c r="A13925" i="1"/>
  <c r="B13925" i="1"/>
  <c r="C13925" i="1"/>
  <c r="D13925" i="1"/>
  <c r="A13926" i="1"/>
  <c r="B13926" i="1"/>
  <c r="C13926" i="1"/>
  <c r="D13926" i="1"/>
  <c r="A13927" i="1"/>
  <c r="B13927" i="1"/>
  <c r="C13927" i="1"/>
  <c r="D13927" i="1"/>
  <c r="A13928" i="1"/>
  <c r="B13928" i="1"/>
  <c r="C13928" i="1"/>
  <c r="D13928" i="1"/>
  <c r="A13929" i="1"/>
  <c r="B13929" i="1"/>
  <c r="C13929" i="1"/>
  <c r="D13929" i="1"/>
  <c r="A13930" i="1"/>
  <c r="B13930" i="1"/>
  <c r="C13930" i="1"/>
  <c r="D13930" i="1"/>
  <c r="A13931" i="1"/>
  <c r="B13931" i="1"/>
  <c r="C13931" i="1"/>
  <c r="D13931" i="1"/>
  <c r="A13932" i="1"/>
  <c r="B13932" i="1"/>
  <c r="C13932" i="1"/>
  <c r="D13932" i="1"/>
  <c r="A13933" i="1"/>
  <c r="B13933" i="1"/>
  <c r="C13933" i="1"/>
  <c r="D13933" i="1"/>
  <c r="A13934" i="1"/>
  <c r="B13934" i="1"/>
  <c r="C13934" i="1"/>
  <c r="D13934" i="1"/>
  <c r="A13935" i="1"/>
  <c r="B13935" i="1"/>
  <c r="C13935" i="1"/>
  <c r="D13935" i="1"/>
  <c r="A13936" i="1"/>
  <c r="B13936" i="1"/>
  <c r="C13936" i="1"/>
  <c r="D13936" i="1"/>
  <c r="A13937" i="1"/>
  <c r="B13937" i="1"/>
  <c r="C13937" i="1"/>
  <c r="D13937" i="1"/>
  <c r="A13938" i="1"/>
  <c r="B13938" i="1"/>
  <c r="C13938" i="1"/>
  <c r="D13938" i="1"/>
  <c r="A13939" i="1"/>
  <c r="B13939" i="1"/>
  <c r="C13939" i="1"/>
  <c r="D13939" i="1"/>
  <c r="A13940" i="1"/>
  <c r="B13940" i="1"/>
  <c r="C13940" i="1"/>
  <c r="D13940" i="1"/>
  <c r="A13941" i="1"/>
  <c r="B13941" i="1"/>
  <c r="C13941" i="1"/>
  <c r="D13941" i="1"/>
  <c r="A13942" i="1"/>
  <c r="B13942" i="1"/>
  <c r="C13942" i="1"/>
  <c r="D13942" i="1"/>
  <c r="A13943" i="1"/>
  <c r="B13943" i="1"/>
  <c r="C13943" i="1"/>
  <c r="D13943" i="1"/>
  <c r="A13944" i="1"/>
  <c r="B13944" i="1"/>
  <c r="C13944" i="1"/>
  <c r="D13944" i="1"/>
  <c r="A13945" i="1"/>
  <c r="B13945" i="1"/>
  <c r="C13945" i="1"/>
  <c r="D13945" i="1"/>
  <c r="A13946" i="1"/>
  <c r="B13946" i="1"/>
  <c r="C13946" i="1"/>
  <c r="D13946" i="1"/>
  <c r="A13947" i="1"/>
  <c r="B13947" i="1"/>
  <c r="C13947" i="1"/>
  <c r="D13947" i="1"/>
  <c r="A13948" i="1"/>
  <c r="B13948" i="1"/>
  <c r="C13948" i="1"/>
  <c r="D13948" i="1"/>
  <c r="A13949" i="1"/>
  <c r="B13949" i="1"/>
  <c r="C13949" i="1"/>
  <c r="D13949" i="1"/>
  <c r="A13950" i="1"/>
  <c r="B13950" i="1"/>
  <c r="C13950" i="1"/>
  <c r="D13950" i="1"/>
  <c r="A13951" i="1"/>
  <c r="B13951" i="1"/>
  <c r="C13951" i="1"/>
  <c r="D13951" i="1"/>
  <c r="A13952" i="1"/>
  <c r="B13952" i="1"/>
  <c r="C13952" i="1"/>
  <c r="D13952" i="1"/>
  <c r="A13953" i="1"/>
  <c r="B13953" i="1"/>
  <c r="C13953" i="1"/>
  <c r="D13953" i="1"/>
  <c r="A13954" i="1"/>
  <c r="B13954" i="1"/>
  <c r="C13954" i="1"/>
  <c r="D13954" i="1"/>
  <c r="A13955" i="1"/>
  <c r="B13955" i="1"/>
  <c r="C13955" i="1"/>
  <c r="D13955" i="1"/>
  <c r="A13956" i="1"/>
  <c r="B13956" i="1"/>
  <c r="C13956" i="1"/>
  <c r="D13956" i="1"/>
  <c r="A13957" i="1"/>
  <c r="B13957" i="1"/>
  <c r="C13957" i="1"/>
  <c r="D13957" i="1"/>
  <c r="A13958" i="1"/>
  <c r="B13958" i="1"/>
  <c r="C13958" i="1"/>
  <c r="D13958" i="1"/>
  <c r="A13959" i="1"/>
  <c r="B13959" i="1"/>
  <c r="C13959" i="1"/>
  <c r="D13959" i="1"/>
  <c r="A13960" i="1"/>
  <c r="B13960" i="1"/>
  <c r="C13960" i="1"/>
  <c r="D13960" i="1"/>
  <c r="A13961" i="1"/>
  <c r="B13961" i="1"/>
  <c r="C13961" i="1"/>
  <c r="D13961" i="1"/>
  <c r="A13962" i="1"/>
  <c r="B13962" i="1"/>
  <c r="C13962" i="1"/>
  <c r="D13962" i="1"/>
  <c r="A13963" i="1"/>
  <c r="B13963" i="1"/>
  <c r="C13963" i="1"/>
  <c r="D13963" i="1"/>
  <c r="A13964" i="1"/>
  <c r="B13964" i="1"/>
  <c r="C13964" i="1"/>
  <c r="D13964" i="1"/>
  <c r="A13965" i="1"/>
  <c r="B13965" i="1"/>
  <c r="C13965" i="1"/>
  <c r="D13965" i="1"/>
  <c r="A13966" i="1"/>
  <c r="B13966" i="1"/>
  <c r="C13966" i="1"/>
  <c r="D13966" i="1"/>
  <c r="A13967" i="1"/>
  <c r="B13967" i="1"/>
  <c r="C13967" i="1"/>
  <c r="D13967" i="1"/>
  <c r="A13968" i="1"/>
  <c r="B13968" i="1"/>
  <c r="C13968" i="1"/>
  <c r="D13968" i="1"/>
  <c r="A13969" i="1"/>
  <c r="B13969" i="1"/>
  <c r="C13969" i="1"/>
  <c r="D13969" i="1"/>
  <c r="A13970" i="1"/>
  <c r="B13970" i="1"/>
  <c r="C13970" i="1"/>
  <c r="D13970" i="1"/>
  <c r="A13971" i="1"/>
  <c r="B13971" i="1"/>
  <c r="C13971" i="1"/>
  <c r="D13971" i="1"/>
  <c r="A13972" i="1"/>
  <c r="B13972" i="1"/>
  <c r="C13972" i="1"/>
  <c r="D13972" i="1"/>
  <c r="A13973" i="1"/>
  <c r="B13973" i="1"/>
  <c r="C13973" i="1"/>
  <c r="D13973" i="1"/>
  <c r="A13974" i="1"/>
  <c r="B13974" i="1"/>
  <c r="C13974" i="1"/>
  <c r="D13974" i="1"/>
  <c r="A13975" i="1"/>
  <c r="B13975" i="1"/>
  <c r="C13975" i="1"/>
  <c r="D13975" i="1"/>
  <c r="A13976" i="1"/>
  <c r="B13976" i="1"/>
  <c r="C13976" i="1"/>
  <c r="D13976" i="1"/>
  <c r="A13977" i="1"/>
  <c r="B13977" i="1"/>
  <c r="C13977" i="1"/>
  <c r="D13977" i="1"/>
  <c r="A13978" i="1"/>
  <c r="B13978" i="1"/>
  <c r="C13978" i="1"/>
  <c r="D13978" i="1"/>
  <c r="A13979" i="1"/>
  <c r="B13979" i="1"/>
  <c r="C13979" i="1"/>
  <c r="D13979" i="1"/>
  <c r="A13980" i="1"/>
  <c r="B13980" i="1"/>
  <c r="C13980" i="1"/>
  <c r="D13980" i="1"/>
  <c r="A13981" i="1"/>
  <c r="B13981" i="1"/>
  <c r="C13981" i="1"/>
  <c r="D13981" i="1"/>
  <c r="A13982" i="1"/>
  <c r="B13982" i="1"/>
  <c r="C13982" i="1"/>
  <c r="D13982" i="1"/>
  <c r="A13983" i="1"/>
  <c r="B13983" i="1"/>
  <c r="C13983" i="1"/>
  <c r="D13983" i="1"/>
  <c r="A13984" i="1"/>
  <c r="B13984" i="1"/>
  <c r="C13984" i="1"/>
  <c r="D13984" i="1"/>
  <c r="A13985" i="1"/>
  <c r="B13985" i="1"/>
  <c r="C13985" i="1"/>
  <c r="D13985" i="1"/>
  <c r="A13986" i="1"/>
  <c r="B13986" i="1"/>
  <c r="C13986" i="1"/>
  <c r="D13986" i="1"/>
  <c r="A13987" i="1"/>
  <c r="B13987" i="1"/>
  <c r="C13987" i="1"/>
  <c r="D13987" i="1"/>
  <c r="A13988" i="1"/>
  <c r="B13988" i="1"/>
  <c r="C13988" i="1"/>
  <c r="D13988" i="1"/>
  <c r="A13989" i="1"/>
  <c r="B13989" i="1"/>
  <c r="C13989" i="1"/>
  <c r="D13989" i="1"/>
  <c r="A13990" i="1"/>
  <c r="B13990" i="1"/>
  <c r="C13990" i="1"/>
  <c r="D13990" i="1"/>
  <c r="A13991" i="1"/>
  <c r="B13991" i="1"/>
  <c r="C13991" i="1"/>
  <c r="D13991" i="1"/>
  <c r="A13992" i="1"/>
  <c r="B13992" i="1"/>
  <c r="C13992" i="1"/>
  <c r="D13992" i="1"/>
  <c r="A13993" i="1"/>
  <c r="B13993" i="1"/>
  <c r="C13993" i="1"/>
  <c r="A13994" i="1"/>
  <c r="B13994" i="1"/>
  <c r="C13994" i="1"/>
  <c r="D13994" i="1"/>
  <c r="A13995" i="1"/>
  <c r="B13995" i="1"/>
  <c r="C13995" i="1"/>
  <c r="D13995" i="1"/>
  <c r="A13996" i="1"/>
  <c r="B13996" i="1"/>
  <c r="C13996" i="1"/>
  <c r="D13996" i="1"/>
  <c r="A13997" i="1"/>
  <c r="B13997" i="1"/>
  <c r="C13997" i="1"/>
  <c r="D13997" i="1"/>
  <c r="A13998" i="1"/>
  <c r="B13998" i="1"/>
  <c r="C13998" i="1"/>
  <c r="D13998" i="1"/>
  <c r="A13999" i="1"/>
  <c r="B13999" i="1"/>
  <c r="C13999" i="1"/>
  <c r="D13999" i="1"/>
  <c r="A14000" i="1"/>
  <c r="B14000" i="1"/>
  <c r="C14000" i="1"/>
  <c r="D14000" i="1"/>
  <c r="A14001" i="1"/>
  <c r="B14001" i="1"/>
  <c r="C14001" i="1"/>
  <c r="D14001" i="1"/>
  <c r="A14002" i="1"/>
  <c r="B14002" i="1"/>
  <c r="C14002" i="1"/>
  <c r="D14002" i="1"/>
  <c r="A14003" i="1"/>
  <c r="B14003" i="1"/>
  <c r="C14003" i="1"/>
  <c r="D14003" i="1"/>
  <c r="A14004" i="1"/>
  <c r="B14004" i="1"/>
  <c r="C14004" i="1"/>
  <c r="D14004" i="1"/>
  <c r="A14005" i="1"/>
  <c r="B14005" i="1"/>
  <c r="C14005" i="1"/>
  <c r="D14005" i="1"/>
  <c r="A14006" i="1"/>
  <c r="B14006" i="1"/>
  <c r="C14006" i="1"/>
  <c r="D14006" i="1"/>
  <c r="A14007" i="1"/>
  <c r="B14007" i="1"/>
  <c r="C14007" i="1"/>
  <c r="D14007" i="1"/>
  <c r="A14008" i="1"/>
  <c r="B14008" i="1"/>
  <c r="C14008" i="1"/>
  <c r="D14008" i="1"/>
  <c r="A14009" i="1"/>
  <c r="B14009" i="1"/>
  <c r="C14009" i="1"/>
  <c r="D14009" i="1"/>
  <c r="A14010" i="1"/>
  <c r="B14010" i="1"/>
  <c r="C14010" i="1"/>
  <c r="D14010" i="1"/>
  <c r="A14011" i="1"/>
  <c r="B14011" i="1"/>
  <c r="C14011" i="1"/>
  <c r="D14011" i="1"/>
  <c r="A14012" i="1"/>
  <c r="B14012" i="1"/>
  <c r="C14012" i="1"/>
  <c r="D14012" i="1"/>
  <c r="A14013" i="1"/>
  <c r="B14013" i="1"/>
  <c r="C14013" i="1"/>
  <c r="D14013" i="1"/>
  <c r="A14014" i="1"/>
  <c r="B14014" i="1"/>
  <c r="C14014" i="1"/>
  <c r="D14014" i="1"/>
  <c r="A14015" i="1"/>
  <c r="B14015" i="1"/>
  <c r="C14015" i="1"/>
  <c r="D14015" i="1"/>
  <c r="A14016" i="1"/>
  <c r="B14016" i="1"/>
  <c r="C14016" i="1"/>
  <c r="D14016" i="1"/>
  <c r="A14017" i="1"/>
  <c r="B14017" i="1"/>
  <c r="C14017" i="1"/>
  <c r="D14017" i="1"/>
  <c r="A14018" i="1"/>
  <c r="B14018" i="1"/>
  <c r="C14018" i="1"/>
  <c r="D14018" i="1"/>
  <c r="A14019" i="1"/>
  <c r="B14019" i="1"/>
  <c r="C14019" i="1"/>
  <c r="A14020" i="1"/>
  <c r="B14020" i="1"/>
  <c r="C14020" i="1"/>
  <c r="D14020" i="1"/>
  <c r="A14021" i="1"/>
  <c r="B14021" i="1"/>
  <c r="C14021" i="1"/>
  <c r="D14021" i="1"/>
  <c r="A14022" i="1"/>
  <c r="B14022" i="1"/>
  <c r="C14022" i="1"/>
  <c r="D14022" i="1"/>
  <c r="A14023" i="1"/>
  <c r="B14023" i="1"/>
  <c r="C14023" i="1"/>
  <c r="D14023" i="1"/>
  <c r="A14024" i="1"/>
  <c r="B14024" i="1"/>
  <c r="C14024" i="1"/>
  <c r="D14024" i="1"/>
  <c r="A14025" i="1"/>
  <c r="B14025" i="1"/>
  <c r="C14025" i="1"/>
  <c r="D14025" i="1"/>
  <c r="A14026" i="1"/>
  <c r="B14026" i="1"/>
  <c r="C14026" i="1"/>
  <c r="D14026" i="1"/>
  <c r="A14027" i="1"/>
  <c r="B14027" i="1"/>
  <c r="C14027" i="1"/>
  <c r="D14027" i="1"/>
  <c r="A14028" i="1"/>
  <c r="B14028" i="1"/>
  <c r="C14028" i="1"/>
  <c r="D14028" i="1"/>
  <c r="A14029" i="1"/>
  <c r="B14029" i="1"/>
  <c r="C14029" i="1"/>
  <c r="D14029" i="1"/>
  <c r="A14030" i="1"/>
  <c r="B14030" i="1"/>
  <c r="C14030" i="1"/>
  <c r="D14030" i="1"/>
  <c r="A14031" i="1"/>
  <c r="B14031" i="1"/>
  <c r="C14031" i="1"/>
  <c r="D14031" i="1"/>
  <c r="A14032" i="1"/>
  <c r="B14032" i="1"/>
  <c r="C14032" i="1"/>
  <c r="D14032" i="1"/>
  <c r="A14033" i="1"/>
  <c r="B14033" i="1"/>
  <c r="C14033" i="1"/>
  <c r="D14033" i="1"/>
  <c r="A14034" i="1"/>
  <c r="B14034" i="1"/>
  <c r="C14034" i="1"/>
  <c r="D14034" i="1"/>
  <c r="A14035" i="1"/>
  <c r="B14035" i="1"/>
  <c r="C14035" i="1"/>
  <c r="D14035" i="1"/>
  <c r="A14036" i="1"/>
  <c r="B14036" i="1"/>
  <c r="C14036" i="1"/>
  <c r="D14036" i="1"/>
  <c r="A14037" i="1"/>
  <c r="B14037" i="1"/>
  <c r="C14037" i="1"/>
  <c r="D14037" i="1"/>
  <c r="A14038" i="1"/>
  <c r="B14038" i="1"/>
  <c r="C14038" i="1"/>
  <c r="D14038" i="1"/>
  <c r="A14039" i="1"/>
  <c r="B14039" i="1"/>
  <c r="C14039" i="1"/>
  <c r="D14039" i="1"/>
  <c r="A14040" i="1"/>
  <c r="B14040" i="1"/>
  <c r="C14040" i="1"/>
  <c r="D14040" i="1"/>
  <c r="A14041" i="1"/>
  <c r="B14041" i="1"/>
  <c r="C14041" i="1"/>
  <c r="D14041" i="1"/>
  <c r="A14042" i="1"/>
  <c r="B14042" i="1"/>
  <c r="C14042" i="1"/>
  <c r="D14042" i="1"/>
  <c r="A14043" i="1"/>
  <c r="B14043" i="1"/>
  <c r="C14043" i="1"/>
  <c r="D14043" i="1"/>
  <c r="A14044" i="1"/>
  <c r="B14044" i="1"/>
  <c r="C14044" i="1"/>
  <c r="D14044" i="1"/>
  <c r="A14045" i="1"/>
  <c r="B14045" i="1"/>
  <c r="C14045" i="1"/>
  <c r="D14045" i="1"/>
  <c r="A14046" i="1"/>
  <c r="B14046" i="1"/>
  <c r="C14046" i="1"/>
  <c r="D14046" i="1"/>
  <c r="A14047" i="1"/>
  <c r="B14047" i="1"/>
  <c r="C14047" i="1"/>
  <c r="D14047" i="1"/>
  <c r="A14048" i="1"/>
  <c r="B14048" i="1"/>
  <c r="C14048" i="1"/>
  <c r="D14048" i="1"/>
  <c r="A14049" i="1"/>
  <c r="B14049" i="1"/>
  <c r="C14049" i="1"/>
  <c r="D14049" i="1"/>
  <c r="A14050" i="1"/>
  <c r="B14050" i="1"/>
  <c r="C14050" i="1"/>
  <c r="D14050" i="1"/>
  <c r="A14051" i="1"/>
  <c r="B14051" i="1"/>
  <c r="C14051" i="1"/>
  <c r="D14051" i="1"/>
  <c r="A14052" i="1"/>
  <c r="B14052" i="1"/>
  <c r="C14052" i="1"/>
  <c r="D14052" i="1"/>
  <c r="A14053" i="1"/>
  <c r="B14053" i="1"/>
  <c r="C14053" i="1"/>
  <c r="D14053" i="1"/>
  <c r="A14054" i="1"/>
  <c r="B14054" i="1"/>
  <c r="C14054" i="1"/>
  <c r="D14054" i="1"/>
  <c r="A14055" i="1"/>
  <c r="B14055" i="1"/>
  <c r="C14055" i="1"/>
  <c r="D14055" i="1"/>
  <c r="A14056" i="1"/>
  <c r="B14056" i="1"/>
  <c r="C14056" i="1"/>
  <c r="D14056" i="1"/>
  <c r="A14057" i="1"/>
  <c r="B14057" i="1"/>
  <c r="C14057" i="1"/>
  <c r="D14057" i="1"/>
  <c r="A14058" i="1"/>
  <c r="B14058" i="1"/>
  <c r="C14058" i="1"/>
  <c r="D14058" i="1"/>
  <c r="A14059" i="1"/>
  <c r="B14059" i="1"/>
  <c r="C14059" i="1"/>
  <c r="D14059" i="1"/>
  <c r="A14060" i="1"/>
  <c r="B14060" i="1"/>
  <c r="C14060" i="1"/>
  <c r="D14060" i="1"/>
  <c r="A14061" i="1"/>
  <c r="B14061" i="1"/>
  <c r="C14061" i="1"/>
  <c r="D14061" i="1"/>
  <c r="A14062" i="1"/>
  <c r="B14062" i="1"/>
  <c r="C14062" i="1"/>
  <c r="D14062" i="1"/>
  <c r="A14063" i="1"/>
  <c r="B14063" i="1"/>
  <c r="C14063" i="1"/>
  <c r="D14063" i="1"/>
  <c r="A14064" i="1"/>
  <c r="B14064" i="1"/>
  <c r="C14064" i="1"/>
  <c r="D14064" i="1"/>
  <c r="A14065" i="1"/>
  <c r="B14065" i="1"/>
  <c r="C14065" i="1"/>
  <c r="D14065" i="1"/>
  <c r="A14066" i="1"/>
  <c r="B14066" i="1"/>
  <c r="C14066" i="1"/>
  <c r="D14066" i="1"/>
  <c r="A14067" i="1"/>
  <c r="B14067" i="1"/>
  <c r="C14067" i="1"/>
  <c r="D14067" i="1"/>
  <c r="A14068" i="1"/>
  <c r="B14068" i="1"/>
  <c r="C14068" i="1"/>
  <c r="D14068" i="1"/>
  <c r="A14069" i="1"/>
  <c r="B14069" i="1"/>
  <c r="C14069" i="1"/>
  <c r="D14069" i="1"/>
  <c r="A14070" i="1"/>
  <c r="B14070" i="1"/>
  <c r="C14070" i="1"/>
  <c r="D14070" i="1"/>
  <c r="A14071" i="1"/>
  <c r="B14071" i="1"/>
  <c r="C14071" i="1"/>
  <c r="D14071" i="1"/>
  <c r="A14072" i="1"/>
  <c r="B14072" i="1"/>
  <c r="C14072" i="1"/>
  <c r="D14072" i="1"/>
  <c r="A14073" i="1"/>
  <c r="B14073" i="1"/>
  <c r="C14073" i="1"/>
  <c r="D14073" i="1"/>
  <c r="A14074" i="1"/>
  <c r="B14074" i="1"/>
  <c r="C14074" i="1"/>
  <c r="D14074" i="1"/>
  <c r="A14075" i="1"/>
  <c r="B14075" i="1"/>
  <c r="C14075" i="1"/>
  <c r="D14075" i="1"/>
  <c r="A14076" i="1"/>
  <c r="B14076" i="1"/>
  <c r="C14076" i="1"/>
  <c r="D14076" i="1"/>
  <c r="A14077" i="1"/>
  <c r="B14077" i="1"/>
  <c r="C14077" i="1"/>
  <c r="D14077" i="1"/>
  <c r="A14078" i="1"/>
  <c r="B14078" i="1"/>
  <c r="C14078" i="1"/>
  <c r="D14078" i="1"/>
  <c r="A14079" i="1"/>
  <c r="B14079" i="1"/>
  <c r="C14079" i="1"/>
  <c r="D14079" i="1"/>
  <c r="A14080" i="1"/>
  <c r="B14080" i="1"/>
  <c r="C14080" i="1"/>
  <c r="D14080" i="1"/>
  <c r="A14081" i="1"/>
  <c r="B14081" i="1"/>
  <c r="C14081" i="1"/>
  <c r="D14081" i="1"/>
  <c r="A14082" i="1"/>
  <c r="B14082" i="1"/>
  <c r="C14082" i="1"/>
  <c r="D14082" i="1"/>
  <c r="A14083" i="1"/>
  <c r="B14083" i="1"/>
  <c r="C14083" i="1"/>
  <c r="D14083" i="1"/>
  <c r="A14084" i="1"/>
  <c r="B14084" i="1"/>
  <c r="C14084" i="1"/>
  <c r="D14084" i="1"/>
  <c r="A14085" i="1"/>
  <c r="B14085" i="1"/>
  <c r="C14085" i="1"/>
  <c r="D14085" i="1"/>
  <c r="A14086" i="1"/>
  <c r="B14086" i="1"/>
  <c r="C14086" i="1"/>
  <c r="D14086" i="1"/>
  <c r="A14087" i="1"/>
  <c r="B14087" i="1"/>
  <c r="C14087" i="1"/>
  <c r="D14087" i="1"/>
  <c r="A14088" i="1"/>
  <c r="B14088" i="1"/>
  <c r="C14088" i="1"/>
  <c r="D14088" i="1"/>
  <c r="A14089" i="1"/>
  <c r="B14089" i="1"/>
  <c r="C14089" i="1"/>
  <c r="D14089" i="1"/>
  <c r="A14090" i="1"/>
  <c r="B14090" i="1"/>
  <c r="C14090" i="1"/>
  <c r="D14090" i="1"/>
  <c r="A14091" i="1"/>
  <c r="B14091" i="1"/>
  <c r="C14091" i="1"/>
  <c r="D14091" i="1"/>
  <c r="A14092" i="1"/>
  <c r="B14092" i="1"/>
  <c r="C14092" i="1"/>
  <c r="D14092" i="1"/>
  <c r="A14093" i="1"/>
  <c r="B14093" i="1"/>
  <c r="C14093" i="1"/>
  <c r="D14093" i="1"/>
  <c r="A14094" i="1"/>
  <c r="B14094" i="1"/>
  <c r="C14094" i="1"/>
  <c r="D14094" i="1"/>
  <c r="A14095" i="1"/>
  <c r="B14095" i="1"/>
  <c r="C14095" i="1"/>
  <c r="D14095" i="1"/>
  <c r="A14096" i="1"/>
  <c r="B14096" i="1"/>
  <c r="C14096" i="1"/>
  <c r="D14096" i="1"/>
  <c r="A14097" i="1"/>
  <c r="B14097" i="1"/>
  <c r="C14097" i="1"/>
  <c r="D14097" i="1"/>
  <c r="A14098" i="1"/>
  <c r="B14098" i="1"/>
  <c r="C14098" i="1"/>
  <c r="A14099" i="1"/>
  <c r="B14099" i="1"/>
  <c r="C14099" i="1"/>
  <c r="D14099" i="1"/>
  <c r="A14100" i="1"/>
  <c r="B14100" i="1"/>
  <c r="C14100" i="1"/>
  <c r="D14100" i="1"/>
  <c r="A14101" i="1"/>
  <c r="B14101" i="1"/>
  <c r="C14101" i="1"/>
  <c r="D14101" i="1"/>
  <c r="A14102" i="1"/>
  <c r="B14102" i="1"/>
  <c r="C14102" i="1"/>
  <c r="A14103" i="1"/>
  <c r="B14103" i="1"/>
  <c r="C14103" i="1"/>
  <c r="D14103" i="1"/>
  <c r="A14104" i="1"/>
  <c r="B14104" i="1"/>
  <c r="C14104" i="1"/>
  <c r="D14104" i="1"/>
  <c r="A14105" i="1"/>
  <c r="B14105" i="1"/>
  <c r="C14105" i="1"/>
  <c r="D14105" i="1"/>
  <c r="A14106" i="1"/>
  <c r="B14106" i="1"/>
  <c r="C14106" i="1"/>
  <c r="D14106" i="1"/>
  <c r="A14107" i="1"/>
  <c r="B14107" i="1"/>
  <c r="C14107" i="1"/>
  <c r="D14107" i="1"/>
  <c r="A14108" i="1"/>
  <c r="B14108" i="1"/>
  <c r="C14108" i="1"/>
  <c r="D14108" i="1"/>
  <c r="A14109" i="1"/>
  <c r="B14109" i="1"/>
  <c r="C14109" i="1"/>
  <c r="D14109" i="1"/>
  <c r="A14110" i="1"/>
  <c r="B14110" i="1"/>
  <c r="C14110" i="1"/>
  <c r="D14110" i="1"/>
  <c r="A14111" i="1"/>
  <c r="B14111" i="1"/>
  <c r="C14111" i="1"/>
  <c r="A14112" i="1"/>
  <c r="B14112" i="1"/>
  <c r="C14112" i="1"/>
  <c r="D14112" i="1"/>
  <c r="A14113" i="1"/>
  <c r="B14113" i="1"/>
  <c r="C14113" i="1"/>
  <c r="D14113" i="1"/>
  <c r="A14114" i="1"/>
  <c r="B14114" i="1"/>
  <c r="C14114" i="1"/>
  <c r="D14114" i="1"/>
  <c r="A14115" i="1"/>
  <c r="B14115" i="1"/>
  <c r="C14115" i="1"/>
  <c r="D14115" i="1"/>
  <c r="A14116" i="1"/>
  <c r="B14116" i="1"/>
  <c r="C14116" i="1"/>
  <c r="D14116" i="1"/>
  <c r="A14117" i="1"/>
  <c r="B14117" i="1"/>
  <c r="C14117" i="1"/>
  <c r="D14117" i="1"/>
  <c r="A14118" i="1"/>
  <c r="B14118" i="1"/>
  <c r="C14118" i="1"/>
  <c r="A14119" i="1"/>
  <c r="B14119" i="1"/>
  <c r="C14119" i="1"/>
  <c r="D14119" i="1"/>
  <c r="A14120" i="1"/>
  <c r="B14120" i="1"/>
  <c r="C14120" i="1"/>
  <c r="D14120" i="1"/>
  <c r="A14121" i="1"/>
  <c r="B14121" i="1"/>
  <c r="C14121" i="1"/>
  <c r="D14121" i="1"/>
  <c r="A14122" i="1"/>
  <c r="B14122" i="1"/>
  <c r="C14122" i="1"/>
  <c r="D14122" i="1"/>
  <c r="A14123" i="1"/>
  <c r="B14123" i="1"/>
  <c r="C14123" i="1"/>
  <c r="D14123" i="1"/>
  <c r="A14124" i="1"/>
  <c r="B14124" i="1"/>
  <c r="C14124" i="1"/>
  <c r="D14124" i="1"/>
  <c r="A14125" i="1"/>
  <c r="B14125" i="1"/>
  <c r="C14125" i="1"/>
  <c r="D14125" i="1"/>
  <c r="A14126" i="1"/>
  <c r="B14126" i="1"/>
  <c r="C14126" i="1"/>
  <c r="D14126" i="1"/>
  <c r="A14127" i="1"/>
  <c r="B14127" i="1"/>
  <c r="C14127" i="1"/>
  <c r="D14127" i="1"/>
  <c r="A14128" i="1"/>
  <c r="B14128" i="1"/>
  <c r="C14128" i="1"/>
  <c r="A14129" i="1"/>
  <c r="B14129" i="1"/>
  <c r="C14129" i="1"/>
  <c r="D14129" i="1"/>
  <c r="A14130" i="1"/>
  <c r="B14130" i="1"/>
  <c r="C14130" i="1"/>
  <c r="D14130" i="1"/>
  <c r="A14131" i="1"/>
  <c r="B14131" i="1"/>
  <c r="C14131" i="1"/>
  <c r="D14131" i="1"/>
  <c r="A14132" i="1"/>
  <c r="B14132" i="1"/>
  <c r="C14132" i="1"/>
  <c r="D14132" i="1"/>
  <c r="A14133" i="1"/>
  <c r="B14133" i="1"/>
  <c r="C14133" i="1"/>
  <c r="D14133" i="1"/>
  <c r="A14134" i="1"/>
  <c r="B14134" i="1"/>
  <c r="C14134" i="1"/>
  <c r="D14134" i="1"/>
  <c r="A14135" i="1"/>
  <c r="B14135" i="1"/>
  <c r="C14135" i="1"/>
  <c r="D14135" i="1"/>
  <c r="A14136" i="1"/>
  <c r="B14136" i="1"/>
  <c r="C14136" i="1"/>
  <c r="D14136" i="1"/>
  <c r="A14137" i="1"/>
  <c r="B14137" i="1"/>
  <c r="C14137" i="1"/>
  <c r="D14137" i="1"/>
  <c r="A14138" i="1"/>
  <c r="B14138" i="1"/>
  <c r="C14138" i="1"/>
  <c r="D14138" i="1"/>
  <c r="A14139" i="1"/>
  <c r="B14139" i="1"/>
  <c r="C14139" i="1"/>
  <c r="D14139" i="1"/>
  <c r="A14140" i="1"/>
  <c r="B14140" i="1"/>
  <c r="C14140" i="1"/>
  <c r="D14140" i="1"/>
  <c r="A14141" i="1"/>
  <c r="B14141" i="1"/>
  <c r="C14141" i="1"/>
  <c r="D14141" i="1"/>
  <c r="A14142" i="1"/>
  <c r="B14142" i="1"/>
  <c r="C14142" i="1"/>
  <c r="D14142" i="1"/>
  <c r="A14143" i="1"/>
  <c r="B14143" i="1"/>
  <c r="C14143" i="1"/>
  <c r="D14143" i="1"/>
  <c r="A14144" i="1"/>
  <c r="B14144" i="1"/>
  <c r="C14144" i="1"/>
  <c r="D14144" i="1"/>
  <c r="A14145" i="1"/>
  <c r="B14145" i="1"/>
  <c r="C14145" i="1"/>
  <c r="D14145" i="1"/>
  <c r="A14146" i="1"/>
  <c r="B14146" i="1"/>
  <c r="C14146" i="1"/>
  <c r="D14146" i="1"/>
  <c r="A14147" i="1"/>
  <c r="B14147" i="1"/>
  <c r="C14147" i="1"/>
  <c r="D14147" i="1"/>
  <c r="A14148" i="1"/>
  <c r="B14148" i="1"/>
  <c r="C14148" i="1"/>
  <c r="A14149" i="1"/>
  <c r="B14149" i="1"/>
  <c r="C14149" i="1"/>
  <c r="D14149" i="1"/>
  <c r="A14150" i="1"/>
  <c r="B14150" i="1"/>
  <c r="C14150" i="1"/>
  <c r="D14150" i="1"/>
  <c r="A14151" i="1"/>
  <c r="B14151" i="1"/>
  <c r="C14151" i="1"/>
  <c r="D14151" i="1"/>
  <c r="A14152" i="1"/>
  <c r="B14152" i="1"/>
  <c r="C14152" i="1"/>
  <c r="D14152" i="1"/>
  <c r="A14153" i="1"/>
  <c r="B14153" i="1"/>
  <c r="C14153" i="1"/>
  <c r="D14153" i="1"/>
  <c r="A14154" i="1"/>
  <c r="B14154" i="1"/>
  <c r="C14154" i="1"/>
  <c r="D14154" i="1"/>
  <c r="A14155" i="1"/>
  <c r="B14155" i="1"/>
  <c r="C14155" i="1"/>
  <c r="D14155" i="1"/>
  <c r="A14156" i="1"/>
  <c r="B14156" i="1"/>
  <c r="C14156" i="1"/>
  <c r="D14156" i="1"/>
  <c r="A14157" i="1"/>
  <c r="B14157" i="1"/>
  <c r="C14157" i="1"/>
  <c r="D14157" i="1"/>
  <c r="A14158" i="1"/>
  <c r="B14158" i="1"/>
  <c r="C14158" i="1"/>
  <c r="D14158" i="1"/>
  <c r="A14159" i="1"/>
  <c r="B14159" i="1"/>
  <c r="C14159" i="1"/>
  <c r="D14159" i="1"/>
  <c r="A14160" i="1"/>
  <c r="B14160" i="1"/>
  <c r="C14160" i="1"/>
  <c r="D14160" i="1"/>
  <c r="A14161" i="1"/>
  <c r="B14161" i="1"/>
  <c r="C14161" i="1"/>
  <c r="D14161" i="1"/>
  <c r="A14162" i="1"/>
  <c r="B14162" i="1"/>
  <c r="C14162" i="1"/>
  <c r="D14162" i="1"/>
  <c r="A14163" i="1"/>
  <c r="B14163" i="1"/>
  <c r="C14163" i="1"/>
  <c r="A14164" i="1"/>
  <c r="B14164" i="1"/>
  <c r="C14164" i="1"/>
  <c r="D14164" i="1"/>
  <c r="A14165" i="1"/>
  <c r="B14165" i="1"/>
  <c r="C14165" i="1"/>
  <c r="D14165" i="1"/>
  <c r="A14166" i="1"/>
  <c r="B14166" i="1"/>
  <c r="C14166" i="1"/>
  <c r="D14166" i="1"/>
  <c r="A14167" i="1"/>
  <c r="B14167" i="1"/>
  <c r="C14167" i="1"/>
  <c r="D14167" i="1"/>
  <c r="A14168" i="1"/>
  <c r="B14168" i="1"/>
  <c r="C14168" i="1"/>
  <c r="D14168" i="1"/>
  <c r="A14169" i="1"/>
  <c r="B14169" i="1"/>
  <c r="C14169" i="1"/>
  <c r="D14169" i="1"/>
  <c r="A14170" i="1"/>
  <c r="B14170" i="1"/>
  <c r="C14170" i="1"/>
  <c r="A14171" i="1"/>
  <c r="B14171" i="1"/>
  <c r="C14171" i="1"/>
  <c r="A14172" i="1"/>
  <c r="B14172" i="1"/>
  <c r="C14172" i="1"/>
  <c r="D14172" i="1"/>
  <c r="A14173" i="1"/>
  <c r="B14173" i="1"/>
  <c r="C14173" i="1"/>
  <c r="D14173" i="1"/>
  <c r="A14174" i="1"/>
  <c r="B14174" i="1"/>
  <c r="C14174" i="1"/>
  <c r="D14174" i="1"/>
  <c r="A14175" i="1"/>
  <c r="B14175" i="1"/>
  <c r="C14175" i="1"/>
  <c r="D14175" i="1"/>
  <c r="A14176" i="1"/>
  <c r="B14176" i="1"/>
  <c r="C14176" i="1"/>
  <c r="D14176" i="1"/>
  <c r="A14177" i="1"/>
  <c r="B14177" i="1"/>
  <c r="C14177" i="1"/>
  <c r="D14177" i="1"/>
  <c r="A14178" i="1"/>
  <c r="B14178" i="1"/>
  <c r="C14178" i="1"/>
  <c r="D14178" i="1"/>
  <c r="A14179" i="1"/>
  <c r="B14179" i="1"/>
  <c r="C14179" i="1"/>
  <c r="D14179" i="1"/>
  <c r="A14180" i="1"/>
  <c r="B14180" i="1"/>
  <c r="C14180" i="1"/>
  <c r="D14180" i="1"/>
  <c r="A14181" i="1"/>
  <c r="B14181" i="1"/>
  <c r="C14181" i="1"/>
  <c r="D14181" i="1"/>
  <c r="A14182" i="1"/>
  <c r="B14182" i="1"/>
  <c r="C14182" i="1"/>
  <c r="D14182" i="1"/>
  <c r="A14183" i="1"/>
  <c r="B14183" i="1"/>
  <c r="C14183" i="1"/>
  <c r="D14183" i="1"/>
  <c r="A14184" i="1"/>
  <c r="B14184" i="1"/>
  <c r="C14184" i="1"/>
  <c r="D14184" i="1"/>
  <c r="A14185" i="1"/>
  <c r="B14185" i="1"/>
  <c r="C14185" i="1"/>
  <c r="D14185" i="1"/>
  <c r="A14186" i="1"/>
  <c r="B14186" i="1"/>
  <c r="C14186" i="1"/>
  <c r="D14186" i="1"/>
  <c r="A14187" i="1"/>
  <c r="B14187" i="1"/>
  <c r="C14187" i="1"/>
  <c r="D14187" i="1"/>
  <c r="A14188" i="1"/>
  <c r="B14188" i="1"/>
  <c r="C14188" i="1"/>
  <c r="D14188" i="1"/>
  <c r="A14189" i="1"/>
  <c r="B14189" i="1"/>
  <c r="C14189" i="1"/>
  <c r="D14189" i="1"/>
  <c r="A14190" i="1"/>
  <c r="B14190" i="1"/>
  <c r="C14190" i="1"/>
  <c r="D14190" i="1"/>
  <c r="A14191" i="1"/>
  <c r="B14191" i="1"/>
  <c r="C14191" i="1"/>
  <c r="D14191" i="1"/>
  <c r="A14192" i="1"/>
  <c r="B14192" i="1"/>
  <c r="C14192" i="1"/>
  <c r="D14192" i="1"/>
  <c r="A14193" i="1"/>
  <c r="B14193" i="1"/>
  <c r="C14193" i="1"/>
  <c r="D14193" i="1"/>
  <c r="A14194" i="1"/>
  <c r="B14194" i="1"/>
  <c r="C14194" i="1"/>
  <c r="D14194" i="1"/>
  <c r="A14195" i="1"/>
  <c r="B14195" i="1"/>
  <c r="C14195" i="1"/>
  <c r="D14195" i="1"/>
  <c r="A14196" i="1"/>
  <c r="B14196" i="1"/>
  <c r="C14196" i="1"/>
  <c r="D14196" i="1"/>
  <c r="A14197" i="1"/>
  <c r="B14197" i="1"/>
  <c r="C14197" i="1"/>
  <c r="D14197" i="1"/>
  <c r="A14198" i="1"/>
  <c r="B14198" i="1"/>
  <c r="C14198" i="1"/>
  <c r="D14198" i="1"/>
  <c r="A14199" i="1"/>
  <c r="B14199" i="1"/>
  <c r="C14199" i="1"/>
  <c r="D14199" i="1"/>
  <c r="A14200" i="1"/>
  <c r="B14200" i="1"/>
  <c r="C14200" i="1"/>
  <c r="A14201" i="1"/>
  <c r="B14201" i="1"/>
  <c r="C14201" i="1"/>
  <c r="D14201" i="1"/>
  <c r="A14202" i="1"/>
  <c r="B14202" i="1"/>
  <c r="C14202" i="1"/>
  <c r="D14202" i="1"/>
  <c r="A14203" i="1"/>
  <c r="B14203" i="1"/>
  <c r="C14203" i="1"/>
  <c r="D14203" i="1"/>
  <c r="A14204" i="1"/>
  <c r="B14204" i="1"/>
  <c r="C14204" i="1"/>
  <c r="D14204" i="1"/>
  <c r="A14205" i="1"/>
  <c r="B14205" i="1"/>
  <c r="C14205" i="1"/>
  <c r="D14205" i="1"/>
  <c r="A14206" i="1"/>
  <c r="B14206" i="1"/>
  <c r="C14206" i="1"/>
  <c r="D14206" i="1"/>
  <c r="A14207" i="1"/>
  <c r="B14207" i="1"/>
  <c r="C14207" i="1"/>
  <c r="D14207" i="1"/>
  <c r="A14208" i="1"/>
  <c r="B14208" i="1"/>
  <c r="C14208" i="1"/>
  <c r="D14208" i="1"/>
  <c r="A14209" i="1"/>
  <c r="B14209" i="1"/>
  <c r="C14209" i="1"/>
  <c r="D14209" i="1"/>
  <c r="A14210" i="1"/>
  <c r="B14210" i="1"/>
  <c r="C14210" i="1"/>
  <c r="D14210" i="1"/>
  <c r="A14211" i="1"/>
  <c r="B14211" i="1"/>
  <c r="C14211" i="1"/>
  <c r="D14211" i="1"/>
  <c r="A14212" i="1"/>
  <c r="B14212" i="1"/>
  <c r="C14212" i="1"/>
  <c r="D14212" i="1"/>
  <c r="A14213" i="1"/>
  <c r="B14213" i="1"/>
  <c r="C14213" i="1"/>
  <c r="D14213" i="1"/>
  <c r="A14214" i="1"/>
  <c r="B14214" i="1"/>
  <c r="C14214" i="1"/>
  <c r="D14214" i="1"/>
  <c r="A14215" i="1"/>
  <c r="B14215" i="1"/>
  <c r="C14215" i="1"/>
  <c r="D14215" i="1"/>
  <c r="A14216" i="1"/>
  <c r="B14216" i="1"/>
  <c r="C14216" i="1"/>
  <c r="D14216" i="1"/>
  <c r="A14217" i="1"/>
  <c r="B14217" i="1"/>
  <c r="C14217" i="1"/>
  <c r="D14217" i="1"/>
  <c r="A14218" i="1"/>
  <c r="B14218" i="1"/>
  <c r="C14218" i="1"/>
  <c r="D14218" i="1"/>
  <c r="A14219" i="1"/>
  <c r="B14219" i="1"/>
  <c r="C14219" i="1"/>
  <c r="D14219" i="1"/>
  <c r="A14220" i="1"/>
  <c r="B14220" i="1"/>
  <c r="C14220" i="1"/>
  <c r="D14220" i="1"/>
  <c r="A14221" i="1"/>
  <c r="B14221" i="1"/>
  <c r="C14221" i="1"/>
  <c r="D14221" i="1"/>
  <c r="A14222" i="1"/>
  <c r="B14222" i="1"/>
  <c r="C14222" i="1"/>
  <c r="D14222" i="1"/>
  <c r="A14223" i="1"/>
  <c r="B14223" i="1"/>
  <c r="C14223" i="1"/>
  <c r="D14223" i="1"/>
  <c r="A14224" i="1"/>
  <c r="B14224" i="1"/>
  <c r="C14224" i="1"/>
  <c r="D14224" i="1"/>
  <c r="A14225" i="1"/>
  <c r="B14225" i="1"/>
  <c r="C14225" i="1"/>
  <c r="D14225" i="1"/>
  <c r="A14226" i="1"/>
  <c r="B14226" i="1"/>
  <c r="C14226" i="1"/>
  <c r="D14226" i="1"/>
  <c r="A14227" i="1"/>
  <c r="B14227" i="1"/>
  <c r="C14227" i="1"/>
  <c r="D14227" i="1"/>
  <c r="A14228" i="1"/>
  <c r="B14228" i="1"/>
  <c r="C14228" i="1"/>
  <c r="D14228" i="1"/>
  <c r="A14229" i="1"/>
  <c r="B14229" i="1"/>
  <c r="C14229" i="1"/>
  <c r="D14229" i="1"/>
  <c r="A14230" i="1"/>
  <c r="B14230" i="1"/>
  <c r="C14230" i="1"/>
  <c r="D14230" i="1"/>
  <c r="A14231" i="1"/>
  <c r="B14231" i="1"/>
  <c r="C14231" i="1"/>
  <c r="D14231" i="1"/>
  <c r="A14232" i="1"/>
  <c r="B14232" i="1"/>
  <c r="C14232" i="1"/>
  <c r="D14232" i="1"/>
  <c r="A14233" i="1"/>
  <c r="B14233" i="1"/>
  <c r="C14233" i="1"/>
  <c r="D14233" i="1"/>
  <c r="A14234" i="1"/>
  <c r="B14234" i="1"/>
  <c r="C14234" i="1"/>
  <c r="D14234" i="1"/>
  <c r="A14235" i="1"/>
  <c r="B14235" i="1"/>
  <c r="C14235" i="1"/>
  <c r="D14235" i="1"/>
  <c r="A14236" i="1"/>
  <c r="B14236" i="1"/>
  <c r="C14236" i="1"/>
  <c r="D14236" i="1"/>
  <c r="A14237" i="1"/>
  <c r="B14237" i="1"/>
  <c r="C14237" i="1"/>
  <c r="D14237" i="1"/>
  <c r="A14238" i="1"/>
  <c r="B14238" i="1"/>
  <c r="C14238" i="1"/>
  <c r="D14238" i="1"/>
  <c r="A14239" i="1"/>
  <c r="B14239" i="1"/>
  <c r="C14239" i="1"/>
  <c r="D14239" i="1"/>
  <c r="A14240" i="1"/>
  <c r="B14240" i="1"/>
  <c r="C14240" i="1"/>
  <c r="D14240" i="1"/>
  <c r="A14241" i="1"/>
  <c r="B14241" i="1"/>
  <c r="C14241" i="1"/>
  <c r="D14241" i="1"/>
  <c r="A14242" i="1"/>
  <c r="B14242" i="1"/>
  <c r="C14242" i="1"/>
  <c r="D14242" i="1"/>
  <c r="A14243" i="1"/>
  <c r="B14243" i="1"/>
  <c r="C14243" i="1"/>
  <c r="D14243" i="1"/>
  <c r="A14244" i="1"/>
  <c r="B14244" i="1"/>
  <c r="C14244" i="1"/>
  <c r="D14244" i="1"/>
  <c r="A14245" i="1"/>
  <c r="B14245" i="1"/>
  <c r="C14245" i="1"/>
  <c r="D14245" i="1"/>
  <c r="A14246" i="1"/>
  <c r="B14246" i="1"/>
  <c r="C14246" i="1"/>
  <c r="D14246" i="1"/>
  <c r="A14247" i="1"/>
  <c r="B14247" i="1"/>
  <c r="C14247" i="1"/>
  <c r="D14247" i="1"/>
  <c r="A14248" i="1"/>
  <c r="B14248" i="1"/>
  <c r="C14248" i="1"/>
  <c r="D14248" i="1"/>
  <c r="A14249" i="1"/>
  <c r="B14249" i="1"/>
  <c r="C14249" i="1"/>
  <c r="D14249" i="1"/>
  <c r="A14250" i="1"/>
  <c r="B14250" i="1"/>
  <c r="C14250" i="1"/>
  <c r="D14250" i="1"/>
  <c r="A14251" i="1"/>
  <c r="B14251" i="1"/>
  <c r="C14251" i="1"/>
  <c r="D14251" i="1"/>
  <c r="A14252" i="1"/>
  <c r="B14252" i="1"/>
  <c r="C14252" i="1"/>
  <c r="D14252" i="1"/>
  <c r="A14253" i="1"/>
  <c r="B14253" i="1"/>
  <c r="C14253" i="1"/>
  <c r="D14253" i="1"/>
  <c r="A14254" i="1"/>
  <c r="B14254" i="1"/>
  <c r="C14254" i="1"/>
  <c r="D14254" i="1"/>
  <c r="A14255" i="1"/>
  <c r="B14255" i="1"/>
  <c r="C14255" i="1"/>
  <c r="D14255" i="1"/>
  <c r="A14256" i="1"/>
  <c r="B14256" i="1"/>
  <c r="C14256" i="1"/>
  <c r="D14256" i="1"/>
  <c r="A14257" i="1"/>
  <c r="B14257" i="1"/>
  <c r="C14257" i="1"/>
  <c r="D14257" i="1"/>
  <c r="A14258" i="1"/>
  <c r="B14258" i="1"/>
  <c r="C14258" i="1"/>
  <c r="A14259" i="1"/>
  <c r="B14259" i="1"/>
  <c r="C14259" i="1"/>
  <c r="D14259" i="1"/>
  <c r="A14260" i="1"/>
  <c r="B14260" i="1"/>
  <c r="C14260" i="1"/>
  <c r="D14260" i="1"/>
  <c r="A14261" i="1"/>
  <c r="B14261" i="1"/>
  <c r="C14261" i="1"/>
  <c r="D14261" i="1"/>
  <c r="A14262" i="1"/>
  <c r="B14262" i="1"/>
  <c r="C14262" i="1"/>
  <c r="D14262" i="1"/>
  <c r="A14263" i="1"/>
  <c r="B14263" i="1"/>
  <c r="C14263" i="1"/>
  <c r="D14263" i="1"/>
  <c r="A14264" i="1"/>
  <c r="B14264" i="1"/>
  <c r="C14264" i="1"/>
  <c r="D14264" i="1"/>
  <c r="A14265" i="1"/>
  <c r="B14265" i="1"/>
  <c r="C14265" i="1"/>
  <c r="D14265" i="1"/>
  <c r="A14266" i="1"/>
  <c r="B14266" i="1"/>
  <c r="C14266" i="1"/>
  <c r="D14266" i="1"/>
  <c r="A14267" i="1"/>
  <c r="B14267" i="1"/>
  <c r="C14267" i="1"/>
  <c r="D14267" i="1"/>
  <c r="A14268" i="1"/>
  <c r="B14268" i="1"/>
  <c r="C14268" i="1"/>
  <c r="D14268" i="1"/>
  <c r="A14269" i="1"/>
  <c r="B14269" i="1"/>
  <c r="C14269" i="1"/>
  <c r="D14269" i="1"/>
  <c r="A14270" i="1"/>
  <c r="B14270" i="1"/>
  <c r="C14270" i="1"/>
  <c r="D14270" i="1"/>
  <c r="A14271" i="1"/>
  <c r="B14271" i="1"/>
  <c r="C14271" i="1"/>
  <c r="D14271" i="1"/>
  <c r="A14272" i="1"/>
  <c r="B14272" i="1"/>
  <c r="C14272" i="1"/>
  <c r="D14272" i="1"/>
  <c r="A14273" i="1"/>
  <c r="B14273" i="1"/>
  <c r="C14273" i="1"/>
  <c r="D14273" i="1"/>
  <c r="A14274" i="1"/>
  <c r="B14274" i="1"/>
  <c r="C14274" i="1"/>
  <c r="D14274" i="1"/>
  <c r="A14275" i="1"/>
  <c r="B14275" i="1"/>
  <c r="C14275" i="1"/>
  <c r="D14275" i="1"/>
  <c r="A14276" i="1"/>
  <c r="B14276" i="1"/>
  <c r="C14276" i="1"/>
  <c r="D14276" i="1"/>
  <c r="A14277" i="1"/>
  <c r="B14277" i="1"/>
  <c r="C14277" i="1"/>
  <c r="D14277" i="1"/>
  <c r="A14278" i="1"/>
  <c r="B14278" i="1"/>
  <c r="C14278" i="1"/>
  <c r="D14278" i="1"/>
  <c r="A14279" i="1"/>
  <c r="B14279" i="1"/>
  <c r="C14279" i="1"/>
  <c r="D14279" i="1"/>
  <c r="A14280" i="1"/>
  <c r="B14280" i="1"/>
  <c r="C14280" i="1"/>
  <c r="D14280" i="1"/>
  <c r="A14281" i="1"/>
  <c r="B14281" i="1"/>
  <c r="C14281" i="1"/>
  <c r="D14281" i="1"/>
  <c r="A14282" i="1"/>
  <c r="B14282" i="1"/>
  <c r="C14282" i="1"/>
  <c r="D14282" i="1"/>
  <c r="A14283" i="1"/>
  <c r="B14283" i="1"/>
  <c r="C14283" i="1"/>
  <c r="D14283" i="1"/>
  <c r="A14284" i="1"/>
  <c r="B14284" i="1"/>
  <c r="C14284" i="1"/>
  <c r="D14284" i="1"/>
  <c r="A14285" i="1"/>
  <c r="B14285" i="1"/>
  <c r="C14285" i="1"/>
  <c r="D14285" i="1"/>
  <c r="A14286" i="1"/>
  <c r="B14286" i="1"/>
  <c r="C14286" i="1"/>
  <c r="D14286" i="1"/>
  <c r="A14287" i="1"/>
  <c r="B14287" i="1"/>
  <c r="C14287" i="1"/>
  <c r="D14287" i="1"/>
  <c r="A14288" i="1"/>
  <c r="B14288" i="1"/>
  <c r="C14288" i="1"/>
  <c r="D14288" i="1"/>
  <c r="A14289" i="1"/>
  <c r="B14289" i="1"/>
  <c r="C14289" i="1"/>
  <c r="D14289" i="1"/>
  <c r="A14290" i="1"/>
  <c r="B14290" i="1"/>
  <c r="C14290" i="1"/>
  <c r="D14290" i="1"/>
  <c r="A14291" i="1"/>
  <c r="B14291" i="1"/>
  <c r="C14291" i="1"/>
  <c r="D14291" i="1"/>
  <c r="A14292" i="1"/>
  <c r="B14292" i="1"/>
  <c r="C14292" i="1"/>
  <c r="D14292" i="1"/>
  <c r="A14293" i="1"/>
  <c r="B14293" i="1"/>
  <c r="C14293" i="1"/>
  <c r="D14293" i="1"/>
  <c r="A14294" i="1"/>
  <c r="B14294" i="1"/>
  <c r="C14294" i="1"/>
  <c r="D14294" i="1"/>
  <c r="A14295" i="1"/>
  <c r="B14295" i="1"/>
  <c r="C14295" i="1"/>
  <c r="D14295" i="1"/>
  <c r="A14296" i="1"/>
  <c r="B14296" i="1"/>
  <c r="C14296" i="1"/>
  <c r="D14296" i="1"/>
  <c r="A14297" i="1"/>
  <c r="B14297" i="1"/>
  <c r="C14297" i="1"/>
  <c r="D14297" i="1"/>
  <c r="A14298" i="1"/>
  <c r="B14298" i="1"/>
  <c r="C14298" i="1"/>
  <c r="D14298" i="1"/>
  <c r="A14299" i="1"/>
  <c r="B14299" i="1"/>
  <c r="C14299" i="1"/>
  <c r="D14299" i="1"/>
  <c r="A14300" i="1"/>
  <c r="B14300" i="1"/>
  <c r="C14300" i="1"/>
  <c r="D14300" i="1"/>
  <c r="A14301" i="1"/>
  <c r="B14301" i="1"/>
  <c r="C14301" i="1"/>
  <c r="D14301" i="1"/>
  <c r="A14302" i="1"/>
  <c r="B14302" i="1"/>
  <c r="C14302" i="1"/>
  <c r="D14302" i="1"/>
  <c r="A14303" i="1"/>
  <c r="B14303" i="1"/>
  <c r="C14303" i="1"/>
  <c r="D14303" i="1"/>
  <c r="A14304" i="1"/>
  <c r="B14304" i="1"/>
  <c r="C14304" i="1"/>
  <c r="D14304" i="1"/>
  <c r="A14305" i="1"/>
  <c r="B14305" i="1"/>
  <c r="C14305" i="1"/>
  <c r="D14305" i="1"/>
  <c r="A14306" i="1"/>
  <c r="B14306" i="1"/>
  <c r="C14306" i="1"/>
  <c r="D14306" i="1"/>
  <c r="A14307" i="1"/>
  <c r="B14307" i="1"/>
  <c r="C14307" i="1"/>
  <c r="D14307" i="1"/>
  <c r="A14308" i="1"/>
  <c r="B14308" i="1"/>
  <c r="C14308" i="1"/>
  <c r="D14308" i="1"/>
  <c r="A14309" i="1"/>
  <c r="B14309" i="1"/>
  <c r="C14309" i="1"/>
  <c r="D14309" i="1"/>
  <c r="A14310" i="1"/>
  <c r="B14310" i="1"/>
  <c r="C14310" i="1"/>
  <c r="D14310" i="1"/>
  <c r="A14311" i="1"/>
  <c r="B14311" i="1"/>
  <c r="C14311" i="1"/>
  <c r="D14311" i="1"/>
  <c r="A14312" i="1"/>
  <c r="B14312" i="1"/>
  <c r="C14312" i="1"/>
  <c r="D14312" i="1"/>
  <c r="A14313" i="1"/>
  <c r="B14313" i="1"/>
  <c r="C14313" i="1"/>
  <c r="D14313" i="1"/>
  <c r="A14314" i="1"/>
  <c r="B14314" i="1"/>
  <c r="C14314" i="1"/>
  <c r="D14314" i="1"/>
  <c r="A14315" i="1"/>
  <c r="B14315" i="1"/>
  <c r="C14315" i="1"/>
  <c r="D14315" i="1"/>
  <c r="A14316" i="1"/>
  <c r="B14316" i="1"/>
  <c r="C14316" i="1"/>
  <c r="D14316" i="1"/>
  <c r="A14317" i="1"/>
  <c r="B14317" i="1"/>
  <c r="C14317" i="1"/>
  <c r="D14317" i="1"/>
  <c r="A14318" i="1"/>
  <c r="B14318" i="1"/>
  <c r="C14318" i="1"/>
  <c r="D14318" i="1"/>
  <c r="A14319" i="1"/>
  <c r="B14319" i="1"/>
  <c r="C14319" i="1"/>
  <c r="D14319" i="1"/>
  <c r="A14320" i="1"/>
  <c r="B14320" i="1"/>
  <c r="C14320" i="1"/>
  <c r="D14320" i="1"/>
  <c r="A14321" i="1"/>
  <c r="B14321" i="1"/>
  <c r="C14321" i="1"/>
  <c r="D14321" i="1"/>
  <c r="A14322" i="1"/>
  <c r="B14322" i="1"/>
  <c r="C14322" i="1"/>
  <c r="D14322" i="1"/>
  <c r="A14323" i="1"/>
  <c r="B14323" i="1"/>
  <c r="C14323" i="1"/>
  <c r="D14323" i="1"/>
  <c r="A14324" i="1"/>
  <c r="B14324" i="1"/>
  <c r="C14324" i="1"/>
  <c r="D14324" i="1"/>
  <c r="A14325" i="1"/>
  <c r="B14325" i="1"/>
  <c r="C14325" i="1"/>
  <c r="D14325" i="1"/>
  <c r="A14326" i="1"/>
  <c r="B14326" i="1"/>
  <c r="C14326" i="1"/>
  <c r="D14326" i="1"/>
  <c r="A14327" i="1"/>
  <c r="B14327" i="1"/>
  <c r="C14327" i="1"/>
  <c r="D14327" i="1"/>
  <c r="A14328" i="1"/>
  <c r="B14328" i="1"/>
  <c r="C14328" i="1"/>
  <c r="D14328" i="1"/>
  <c r="A14329" i="1"/>
  <c r="B14329" i="1"/>
  <c r="C14329" i="1"/>
  <c r="A14330" i="1"/>
  <c r="B14330" i="1"/>
  <c r="C14330" i="1"/>
  <c r="D14330" i="1"/>
  <c r="A14331" i="1"/>
  <c r="B14331" i="1"/>
  <c r="C14331" i="1"/>
  <c r="D14331" i="1"/>
  <c r="A14332" i="1"/>
  <c r="B14332" i="1"/>
  <c r="C14332" i="1"/>
  <c r="D14332" i="1"/>
  <c r="A14333" i="1"/>
  <c r="B14333" i="1"/>
  <c r="C14333" i="1"/>
  <c r="D14333" i="1"/>
  <c r="A14334" i="1"/>
  <c r="B14334" i="1"/>
  <c r="C14334" i="1"/>
  <c r="D14334" i="1"/>
  <c r="A14335" i="1"/>
  <c r="B14335" i="1"/>
  <c r="C14335" i="1"/>
  <c r="D14335" i="1"/>
  <c r="A14336" i="1"/>
  <c r="B14336" i="1"/>
  <c r="C14336" i="1"/>
  <c r="D14336" i="1"/>
  <c r="A14337" i="1"/>
  <c r="B14337" i="1"/>
  <c r="C14337" i="1"/>
  <c r="D14337" i="1"/>
  <c r="A14338" i="1"/>
  <c r="B14338" i="1"/>
  <c r="C14338" i="1"/>
  <c r="D14338" i="1"/>
  <c r="A14339" i="1"/>
  <c r="B14339" i="1"/>
  <c r="C14339" i="1"/>
  <c r="D14339" i="1"/>
  <c r="A14340" i="1"/>
  <c r="B14340" i="1"/>
  <c r="C14340" i="1"/>
  <c r="D14340" i="1"/>
  <c r="A14341" i="1"/>
  <c r="B14341" i="1"/>
  <c r="C14341" i="1"/>
  <c r="D14341" i="1"/>
  <c r="A14342" i="1"/>
  <c r="B14342" i="1"/>
  <c r="C14342" i="1"/>
  <c r="D14342" i="1"/>
  <c r="A14343" i="1"/>
  <c r="B14343" i="1"/>
  <c r="C14343" i="1"/>
  <c r="D14343" i="1"/>
  <c r="A14344" i="1"/>
  <c r="B14344" i="1"/>
  <c r="C14344" i="1"/>
  <c r="A14345" i="1"/>
  <c r="B14345" i="1"/>
  <c r="C14345" i="1"/>
  <c r="D14345" i="1"/>
  <c r="A14346" i="1"/>
  <c r="B14346" i="1"/>
  <c r="C14346" i="1"/>
  <c r="A14347" i="1"/>
  <c r="B14347" i="1"/>
  <c r="C14347" i="1"/>
  <c r="D14347" i="1"/>
  <c r="A14348" i="1"/>
  <c r="B14348" i="1"/>
  <c r="C14348" i="1"/>
  <c r="D14348" i="1"/>
  <c r="A14349" i="1"/>
  <c r="B14349" i="1"/>
  <c r="C14349" i="1"/>
  <c r="D14349" i="1"/>
  <c r="A14350" i="1"/>
  <c r="B14350" i="1"/>
  <c r="C14350" i="1"/>
  <c r="D14350" i="1"/>
  <c r="A14351" i="1"/>
  <c r="B14351" i="1"/>
  <c r="C14351" i="1"/>
  <c r="A14352" i="1"/>
  <c r="B14352" i="1"/>
  <c r="C14352" i="1"/>
  <c r="D14352" i="1"/>
  <c r="A14353" i="1"/>
  <c r="B14353" i="1"/>
  <c r="C14353" i="1"/>
  <c r="D14353" i="1"/>
  <c r="A14354" i="1"/>
  <c r="B14354" i="1"/>
  <c r="C14354" i="1"/>
  <c r="D14354" i="1"/>
  <c r="A14355" i="1"/>
  <c r="B14355" i="1"/>
  <c r="C14355" i="1"/>
  <c r="D14355" i="1"/>
  <c r="A14356" i="1"/>
  <c r="B14356" i="1"/>
  <c r="C14356" i="1"/>
  <c r="D14356" i="1"/>
  <c r="A14357" i="1"/>
  <c r="B14357" i="1"/>
  <c r="C14357" i="1"/>
  <c r="D14357" i="1"/>
  <c r="A14358" i="1"/>
  <c r="B14358" i="1"/>
  <c r="C14358" i="1"/>
  <c r="D14358" i="1"/>
  <c r="A14359" i="1"/>
  <c r="B14359" i="1"/>
  <c r="C14359" i="1"/>
  <c r="D14359" i="1"/>
  <c r="A14360" i="1"/>
  <c r="B14360" i="1"/>
  <c r="C14360" i="1"/>
  <c r="D14360" i="1"/>
  <c r="A14361" i="1"/>
  <c r="B14361" i="1"/>
  <c r="C14361" i="1"/>
  <c r="D14361" i="1"/>
  <c r="A14362" i="1"/>
  <c r="B14362" i="1"/>
  <c r="C14362" i="1"/>
  <c r="A14363" i="1"/>
  <c r="B14363" i="1"/>
  <c r="C14363" i="1"/>
  <c r="D14363" i="1"/>
  <c r="A14364" i="1"/>
  <c r="B14364" i="1"/>
  <c r="C14364" i="1"/>
  <c r="D14364" i="1"/>
  <c r="A14365" i="1"/>
  <c r="B14365" i="1"/>
  <c r="C14365" i="1"/>
  <c r="D14365" i="1"/>
  <c r="A14366" i="1"/>
  <c r="B14366" i="1"/>
  <c r="C14366" i="1"/>
  <c r="D14366" i="1"/>
  <c r="A14367" i="1"/>
  <c r="B14367" i="1"/>
  <c r="C14367" i="1"/>
  <c r="D14367" i="1"/>
  <c r="A14368" i="1"/>
  <c r="B14368" i="1"/>
  <c r="C14368" i="1"/>
  <c r="D14368" i="1"/>
  <c r="A14369" i="1"/>
  <c r="B14369" i="1"/>
  <c r="C14369" i="1"/>
  <c r="D14369" i="1"/>
  <c r="A14370" i="1"/>
  <c r="B14370" i="1"/>
  <c r="C14370" i="1"/>
  <c r="D14370" i="1"/>
  <c r="A14371" i="1"/>
  <c r="B14371" i="1"/>
  <c r="C14371" i="1"/>
  <c r="D14371" i="1"/>
  <c r="A14372" i="1"/>
  <c r="B14372" i="1"/>
  <c r="C14372" i="1"/>
  <c r="D14372" i="1"/>
  <c r="A14373" i="1"/>
  <c r="B14373" i="1"/>
  <c r="C14373" i="1"/>
  <c r="D14373" i="1"/>
  <c r="A14374" i="1"/>
  <c r="B14374" i="1"/>
  <c r="C14374" i="1"/>
  <c r="D14374" i="1"/>
  <c r="A14375" i="1"/>
  <c r="B14375" i="1"/>
  <c r="C14375" i="1"/>
  <c r="D14375" i="1"/>
  <c r="A14376" i="1"/>
  <c r="B14376" i="1"/>
  <c r="C14376" i="1"/>
  <c r="D14376" i="1"/>
  <c r="A14377" i="1"/>
  <c r="B14377" i="1"/>
  <c r="C14377" i="1"/>
  <c r="D14377" i="1"/>
  <c r="A14378" i="1"/>
  <c r="B14378" i="1"/>
  <c r="C14378" i="1"/>
  <c r="D14378" i="1"/>
  <c r="A14379" i="1"/>
  <c r="B14379" i="1"/>
  <c r="C14379" i="1"/>
  <c r="D14379" i="1"/>
  <c r="A14380" i="1"/>
  <c r="B14380" i="1"/>
  <c r="C14380" i="1"/>
  <c r="D14380" i="1"/>
  <c r="A14381" i="1"/>
  <c r="B14381" i="1"/>
  <c r="C14381" i="1"/>
  <c r="D14381" i="1"/>
  <c r="A14382" i="1"/>
  <c r="B14382" i="1"/>
  <c r="C14382" i="1"/>
  <c r="D14382" i="1"/>
  <c r="A14383" i="1"/>
  <c r="B14383" i="1"/>
  <c r="C14383" i="1"/>
  <c r="D14383" i="1"/>
  <c r="A14384" i="1"/>
  <c r="B14384" i="1"/>
  <c r="C14384" i="1"/>
  <c r="D14384" i="1"/>
  <c r="A14385" i="1"/>
  <c r="B14385" i="1"/>
  <c r="C14385" i="1"/>
  <c r="D14385" i="1"/>
  <c r="A14386" i="1"/>
  <c r="B14386" i="1"/>
  <c r="C14386" i="1"/>
  <c r="D14386" i="1"/>
  <c r="A14387" i="1"/>
  <c r="B14387" i="1"/>
  <c r="C14387" i="1"/>
  <c r="D14387" i="1"/>
  <c r="A14388" i="1"/>
  <c r="B14388" i="1"/>
  <c r="C14388" i="1"/>
  <c r="A14389" i="1"/>
  <c r="B14389" i="1"/>
  <c r="C14389" i="1"/>
  <c r="D14389" i="1"/>
  <c r="A14390" i="1"/>
  <c r="B14390" i="1"/>
  <c r="C14390" i="1"/>
  <c r="D14390" i="1"/>
  <c r="A14391" i="1"/>
  <c r="B14391" i="1"/>
  <c r="C14391" i="1"/>
  <c r="A14392" i="1"/>
  <c r="B14392" i="1"/>
  <c r="C14392" i="1"/>
  <c r="D14392" i="1"/>
  <c r="A14393" i="1"/>
  <c r="B14393" i="1"/>
  <c r="C14393" i="1"/>
  <c r="D14393" i="1"/>
  <c r="A14394" i="1"/>
  <c r="B14394" i="1"/>
  <c r="C14394" i="1"/>
  <c r="D14394" i="1"/>
  <c r="A14395" i="1"/>
  <c r="B14395" i="1"/>
  <c r="C14395" i="1"/>
  <c r="D14395" i="1"/>
  <c r="A14396" i="1"/>
  <c r="B14396" i="1"/>
  <c r="C14396" i="1"/>
  <c r="D14396" i="1"/>
  <c r="A14397" i="1"/>
  <c r="B14397" i="1"/>
  <c r="C14397" i="1"/>
  <c r="D14397" i="1"/>
  <c r="A14398" i="1"/>
  <c r="B14398" i="1"/>
  <c r="C14398" i="1"/>
  <c r="D14398" i="1"/>
  <c r="A14399" i="1"/>
  <c r="B14399" i="1"/>
  <c r="C14399" i="1"/>
  <c r="D14399" i="1"/>
  <c r="A14400" i="1"/>
  <c r="B14400" i="1"/>
  <c r="C14400" i="1"/>
  <c r="D14400" i="1"/>
  <c r="A14401" i="1"/>
  <c r="B14401" i="1"/>
  <c r="C14401" i="1"/>
  <c r="D14401" i="1"/>
  <c r="A14402" i="1"/>
  <c r="B14402" i="1"/>
  <c r="C14402" i="1"/>
  <c r="D14402" i="1"/>
  <c r="A14403" i="1"/>
  <c r="B14403" i="1"/>
  <c r="C14403" i="1"/>
  <c r="D14403" i="1"/>
  <c r="A14404" i="1"/>
  <c r="B14404" i="1"/>
  <c r="C14404" i="1"/>
  <c r="D14404" i="1"/>
  <c r="A14405" i="1"/>
  <c r="B14405" i="1"/>
  <c r="C14405" i="1"/>
  <c r="D14405" i="1"/>
  <c r="A14406" i="1"/>
  <c r="B14406" i="1"/>
  <c r="C14406" i="1"/>
  <c r="D14406" i="1"/>
  <c r="A14407" i="1"/>
  <c r="B14407" i="1"/>
  <c r="C14407" i="1"/>
  <c r="D14407" i="1"/>
  <c r="A14408" i="1"/>
  <c r="B14408" i="1"/>
  <c r="C14408" i="1"/>
  <c r="D14408" i="1"/>
  <c r="A14409" i="1"/>
  <c r="B14409" i="1"/>
  <c r="C14409" i="1"/>
  <c r="D14409" i="1"/>
  <c r="A14410" i="1"/>
  <c r="B14410" i="1"/>
  <c r="C14410" i="1"/>
  <c r="D14410" i="1"/>
  <c r="A14411" i="1"/>
  <c r="B14411" i="1"/>
  <c r="C14411" i="1"/>
  <c r="D14411" i="1"/>
  <c r="A14412" i="1"/>
  <c r="B14412" i="1"/>
  <c r="C14412" i="1"/>
  <c r="D14412" i="1"/>
  <c r="A14413" i="1"/>
  <c r="B14413" i="1"/>
  <c r="C14413" i="1"/>
  <c r="D14413" i="1"/>
  <c r="A14414" i="1"/>
  <c r="B14414" i="1"/>
  <c r="C14414" i="1"/>
  <c r="D14414" i="1"/>
  <c r="A14415" i="1"/>
  <c r="B14415" i="1"/>
  <c r="C14415" i="1"/>
  <c r="D14415" i="1"/>
  <c r="A14416" i="1"/>
  <c r="B14416" i="1"/>
  <c r="C14416" i="1"/>
  <c r="D14416" i="1"/>
  <c r="A14417" i="1"/>
  <c r="B14417" i="1"/>
  <c r="C14417" i="1"/>
  <c r="D14417" i="1"/>
  <c r="A14418" i="1"/>
  <c r="B14418" i="1"/>
  <c r="C14418" i="1"/>
  <c r="D14418" i="1"/>
  <c r="A14419" i="1"/>
  <c r="B14419" i="1"/>
  <c r="C14419" i="1"/>
  <c r="D14419" i="1"/>
  <c r="A14420" i="1"/>
  <c r="B14420" i="1"/>
  <c r="C14420" i="1"/>
  <c r="D14420" i="1"/>
  <c r="A14421" i="1"/>
  <c r="B14421" i="1"/>
  <c r="C14421" i="1"/>
  <c r="D14421" i="1"/>
  <c r="A14422" i="1"/>
  <c r="B14422" i="1"/>
  <c r="C14422" i="1"/>
  <c r="D14422" i="1"/>
  <c r="A14423" i="1"/>
  <c r="B14423" i="1"/>
  <c r="C14423" i="1"/>
  <c r="D14423" i="1"/>
  <c r="A14424" i="1"/>
  <c r="B14424" i="1"/>
  <c r="C14424" i="1"/>
  <c r="D14424" i="1"/>
  <c r="A14425" i="1"/>
  <c r="B14425" i="1"/>
  <c r="C14425" i="1"/>
  <c r="D14425" i="1"/>
  <c r="A14426" i="1"/>
  <c r="B14426" i="1"/>
  <c r="C14426" i="1"/>
  <c r="D14426" i="1"/>
  <c r="A14427" i="1"/>
  <c r="B14427" i="1"/>
  <c r="C14427" i="1"/>
  <c r="D14427" i="1"/>
  <c r="A14428" i="1"/>
  <c r="B14428" i="1"/>
  <c r="C14428" i="1"/>
  <c r="D14428" i="1"/>
  <c r="A14429" i="1"/>
  <c r="B14429" i="1"/>
  <c r="C14429" i="1"/>
  <c r="D14429" i="1"/>
  <c r="A14430" i="1"/>
  <c r="B14430" i="1"/>
  <c r="C14430" i="1"/>
  <c r="D14430" i="1"/>
  <c r="A14431" i="1"/>
  <c r="B14431" i="1"/>
  <c r="C14431" i="1"/>
  <c r="D14431" i="1"/>
  <c r="A14432" i="1"/>
  <c r="B14432" i="1"/>
  <c r="C14432" i="1"/>
  <c r="D14432" i="1"/>
  <c r="A14433" i="1"/>
  <c r="B14433" i="1"/>
  <c r="C14433" i="1"/>
  <c r="D14433" i="1"/>
  <c r="A14434" i="1"/>
  <c r="B14434" i="1"/>
  <c r="C14434" i="1"/>
  <c r="D14434" i="1"/>
  <c r="A14435" i="1"/>
  <c r="B14435" i="1"/>
  <c r="C14435" i="1"/>
  <c r="D14435" i="1"/>
  <c r="A14436" i="1"/>
  <c r="B14436" i="1"/>
  <c r="C14436" i="1"/>
  <c r="D14436" i="1"/>
  <c r="A14437" i="1"/>
  <c r="B14437" i="1"/>
  <c r="C14437" i="1"/>
  <c r="D14437" i="1"/>
  <c r="A14438" i="1"/>
  <c r="B14438" i="1"/>
  <c r="C14438" i="1"/>
  <c r="D14438" i="1"/>
  <c r="A14439" i="1"/>
  <c r="B14439" i="1"/>
  <c r="C14439" i="1"/>
  <c r="D14439" i="1"/>
  <c r="A14440" i="1"/>
  <c r="B14440" i="1"/>
  <c r="C14440" i="1"/>
  <c r="A14441" i="1"/>
  <c r="B14441" i="1"/>
  <c r="C14441" i="1"/>
  <c r="D14441" i="1"/>
  <c r="A14442" i="1"/>
  <c r="B14442" i="1"/>
  <c r="C14442" i="1"/>
  <c r="D14442" i="1"/>
  <c r="A14443" i="1"/>
  <c r="B14443" i="1"/>
  <c r="C14443" i="1"/>
  <c r="D14443" i="1"/>
  <c r="A14444" i="1"/>
  <c r="B14444" i="1"/>
  <c r="C14444" i="1"/>
  <c r="D14444" i="1"/>
  <c r="A14445" i="1"/>
  <c r="B14445" i="1"/>
  <c r="C14445" i="1"/>
  <c r="D14445" i="1"/>
  <c r="A14446" i="1"/>
  <c r="B14446" i="1"/>
  <c r="C14446" i="1"/>
  <c r="D14446" i="1"/>
  <c r="A14447" i="1"/>
  <c r="B14447" i="1"/>
  <c r="C14447" i="1"/>
  <c r="D14447" i="1"/>
  <c r="A14448" i="1"/>
  <c r="B14448" i="1"/>
  <c r="C14448" i="1"/>
  <c r="D14448" i="1"/>
  <c r="A14449" i="1"/>
  <c r="B14449" i="1"/>
  <c r="C14449" i="1"/>
  <c r="D14449" i="1"/>
  <c r="A14450" i="1"/>
  <c r="B14450" i="1"/>
  <c r="C14450" i="1"/>
  <c r="D14450" i="1"/>
  <c r="A14451" i="1"/>
  <c r="B14451" i="1"/>
  <c r="C14451" i="1"/>
  <c r="D14451" i="1"/>
  <c r="A14452" i="1"/>
  <c r="B14452" i="1"/>
  <c r="C14452" i="1"/>
  <c r="D14452" i="1"/>
  <c r="A14453" i="1"/>
  <c r="B14453" i="1"/>
  <c r="C14453" i="1"/>
  <c r="D14453" i="1"/>
  <c r="A14454" i="1"/>
  <c r="B14454" i="1"/>
  <c r="C14454" i="1"/>
  <c r="D14454" i="1"/>
  <c r="A14455" i="1"/>
  <c r="B14455" i="1"/>
  <c r="C14455" i="1"/>
  <c r="D14455" i="1"/>
  <c r="A14456" i="1"/>
  <c r="B14456" i="1"/>
  <c r="C14456" i="1"/>
  <c r="D14456" i="1"/>
  <c r="A14457" i="1"/>
  <c r="B14457" i="1"/>
  <c r="C14457" i="1"/>
  <c r="D14457" i="1"/>
  <c r="A14458" i="1"/>
  <c r="B14458" i="1"/>
  <c r="C14458" i="1"/>
  <c r="D14458" i="1"/>
  <c r="A14459" i="1"/>
  <c r="B14459" i="1"/>
  <c r="C14459" i="1"/>
  <c r="D14459" i="1"/>
  <c r="A14460" i="1"/>
  <c r="B14460" i="1"/>
  <c r="C14460" i="1"/>
  <c r="D14460" i="1"/>
  <c r="A14461" i="1"/>
  <c r="B14461" i="1"/>
  <c r="C14461" i="1"/>
  <c r="D14461" i="1"/>
  <c r="A14462" i="1"/>
  <c r="B14462" i="1"/>
  <c r="C14462" i="1"/>
  <c r="D14462" i="1"/>
  <c r="A14463" i="1"/>
  <c r="B14463" i="1"/>
  <c r="C14463" i="1"/>
  <c r="D14463" i="1"/>
  <c r="A14464" i="1"/>
  <c r="B14464" i="1"/>
  <c r="C14464" i="1"/>
  <c r="D14464" i="1"/>
  <c r="A14465" i="1"/>
  <c r="B14465" i="1"/>
  <c r="C14465" i="1"/>
  <c r="D14465" i="1"/>
  <c r="A14466" i="1"/>
  <c r="B14466" i="1"/>
  <c r="C14466" i="1"/>
  <c r="D14466" i="1"/>
  <c r="A14467" i="1"/>
  <c r="B14467" i="1"/>
  <c r="C14467" i="1"/>
  <c r="A14468" i="1"/>
  <c r="B14468" i="1"/>
  <c r="C14468" i="1"/>
  <c r="D14468" i="1"/>
  <c r="A14469" i="1"/>
  <c r="B14469" i="1"/>
  <c r="C14469" i="1"/>
  <c r="D14469" i="1"/>
  <c r="A14470" i="1"/>
  <c r="B14470" i="1"/>
  <c r="C14470" i="1"/>
  <c r="D14470" i="1"/>
  <c r="A14471" i="1"/>
  <c r="B14471" i="1"/>
  <c r="C14471" i="1"/>
  <c r="D14471" i="1"/>
  <c r="A14472" i="1"/>
  <c r="B14472" i="1"/>
  <c r="C14472" i="1"/>
  <c r="D14472" i="1"/>
  <c r="A14473" i="1"/>
  <c r="B14473" i="1"/>
  <c r="C14473" i="1"/>
  <c r="D14473" i="1"/>
  <c r="A14474" i="1"/>
  <c r="B14474" i="1"/>
  <c r="C14474" i="1"/>
  <c r="D14474" i="1"/>
  <c r="A14475" i="1"/>
  <c r="B14475" i="1"/>
  <c r="C14475" i="1"/>
  <c r="D14475" i="1"/>
  <c r="A14476" i="1"/>
  <c r="B14476" i="1"/>
  <c r="C14476" i="1"/>
  <c r="D14476" i="1"/>
  <c r="A14477" i="1"/>
  <c r="B14477" i="1"/>
  <c r="C14477" i="1"/>
  <c r="D14477" i="1"/>
  <c r="A14478" i="1"/>
  <c r="B14478" i="1"/>
  <c r="C14478" i="1"/>
  <c r="D14478" i="1"/>
  <c r="A14479" i="1"/>
  <c r="B14479" i="1"/>
  <c r="C14479" i="1"/>
  <c r="D14479" i="1"/>
  <c r="A14480" i="1"/>
  <c r="B14480" i="1"/>
  <c r="C14480" i="1"/>
  <c r="D14480" i="1"/>
  <c r="A14481" i="1"/>
  <c r="B14481" i="1"/>
  <c r="C14481" i="1"/>
  <c r="D14481" i="1"/>
  <c r="A14482" i="1"/>
  <c r="B14482" i="1"/>
  <c r="C14482" i="1"/>
  <c r="D14482" i="1"/>
  <c r="A14483" i="1"/>
  <c r="B14483" i="1"/>
  <c r="C14483" i="1"/>
  <c r="D14483" i="1"/>
  <c r="A14484" i="1"/>
  <c r="B14484" i="1"/>
  <c r="C14484" i="1"/>
  <c r="D14484" i="1"/>
  <c r="A14485" i="1"/>
  <c r="B14485" i="1"/>
  <c r="C14485" i="1"/>
  <c r="D14485" i="1"/>
  <c r="A14486" i="1"/>
  <c r="B14486" i="1"/>
  <c r="C14486" i="1"/>
  <c r="D14486" i="1"/>
  <c r="A14487" i="1"/>
  <c r="B14487" i="1"/>
  <c r="C14487" i="1"/>
  <c r="D14487" i="1"/>
  <c r="A14488" i="1"/>
  <c r="B14488" i="1"/>
  <c r="C14488" i="1"/>
  <c r="D14488" i="1"/>
  <c r="A14489" i="1"/>
  <c r="B14489" i="1"/>
  <c r="C14489" i="1"/>
  <c r="D14489" i="1"/>
  <c r="A14490" i="1"/>
  <c r="B14490" i="1"/>
  <c r="C14490" i="1"/>
  <c r="D14490" i="1"/>
  <c r="A14491" i="1"/>
  <c r="B14491" i="1"/>
  <c r="C14491" i="1"/>
  <c r="D14491" i="1"/>
  <c r="A14492" i="1"/>
  <c r="B14492" i="1"/>
  <c r="C14492" i="1"/>
  <c r="D14492" i="1"/>
  <c r="A14493" i="1"/>
  <c r="B14493" i="1"/>
  <c r="C14493" i="1"/>
  <c r="D14493" i="1"/>
  <c r="A14494" i="1"/>
  <c r="B14494" i="1"/>
  <c r="C14494" i="1"/>
  <c r="D14494" i="1"/>
  <c r="A14495" i="1"/>
  <c r="B14495" i="1"/>
  <c r="C14495" i="1"/>
  <c r="D14495" i="1"/>
  <c r="A14496" i="1"/>
  <c r="B14496" i="1"/>
  <c r="C14496" i="1"/>
  <c r="D14496" i="1"/>
  <c r="A14497" i="1"/>
  <c r="B14497" i="1"/>
  <c r="C14497" i="1"/>
  <c r="D14497" i="1"/>
  <c r="A14498" i="1"/>
  <c r="B14498" i="1"/>
  <c r="C14498" i="1"/>
  <c r="D14498" i="1"/>
  <c r="A14499" i="1"/>
  <c r="B14499" i="1"/>
  <c r="C14499" i="1"/>
  <c r="D14499" i="1"/>
  <c r="A14500" i="1"/>
  <c r="B14500" i="1"/>
  <c r="C14500" i="1"/>
  <c r="D14500" i="1"/>
  <c r="A14501" i="1"/>
  <c r="B14501" i="1"/>
  <c r="C14501" i="1"/>
  <c r="D14501" i="1"/>
  <c r="A14502" i="1"/>
  <c r="B14502" i="1"/>
  <c r="C14502" i="1"/>
  <c r="D14502" i="1"/>
  <c r="A14503" i="1"/>
  <c r="B14503" i="1"/>
  <c r="C14503" i="1"/>
  <c r="D14503" i="1"/>
  <c r="A14504" i="1"/>
  <c r="B14504" i="1"/>
  <c r="C14504" i="1"/>
  <c r="D14504" i="1"/>
  <c r="A14505" i="1"/>
  <c r="B14505" i="1"/>
  <c r="C14505" i="1"/>
  <c r="D14505" i="1"/>
  <c r="A14506" i="1"/>
  <c r="B14506" i="1"/>
  <c r="C14506" i="1"/>
  <c r="D14506" i="1"/>
  <c r="A14507" i="1"/>
  <c r="B14507" i="1"/>
  <c r="C14507" i="1"/>
  <c r="D14507" i="1"/>
  <c r="A14508" i="1"/>
  <c r="B14508" i="1"/>
  <c r="C14508" i="1"/>
  <c r="D14508" i="1"/>
  <c r="A14509" i="1"/>
  <c r="B14509" i="1"/>
  <c r="C14509" i="1"/>
  <c r="D14509" i="1"/>
  <c r="A14510" i="1"/>
  <c r="B14510" i="1"/>
  <c r="C14510" i="1"/>
  <c r="D14510" i="1"/>
  <c r="A14511" i="1"/>
  <c r="B14511" i="1"/>
  <c r="C14511" i="1"/>
  <c r="D14511" i="1"/>
  <c r="A14512" i="1"/>
  <c r="B14512" i="1"/>
  <c r="C14512" i="1"/>
  <c r="D14512" i="1"/>
  <c r="A14513" i="1"/>
  <c r="B14513" i="1"/>
  <c r="C14513" i="1"/>
  <c r="D14513" i="1"/>
  <c r="A14514" i="1"/>
  <c r="B14514" i="1"/>
  <c r="C14514" i="1"/>
  <c r="D14514" i="1"/>
  <c r="A14515" i="1"/>
  <c r="B14515" i="1"/>
  <c r="C14515" i="1"/>
  <c r="D14515" i="1"/>
  <c r="A14516" i="1"/>
  <c r="B14516" i="1"/>
  <c r="C14516" i="1"/>
  <c r="D14516" i="1"/>
  <c r="A14517" i="1"/>
  <c r="B14517" i="1"/>
  <c r="C14517" i="1"/>
  <c r="D14517" i="1"/>
  <c r="A14518" i="1"/>
  <c r="B14518" i="1"/>
  <c r="C14518" i="1"/>
  <c r="D14518" i="1"/>
  <c r="A14519" i="1"/>
  <c r="B14519" i="1"/>
  <c r="C14519" i="1"/>
  <c r="D14519" i="1"/>
  <c r="A14520" i="1"/>
  <c r="B14520" i="1"/>
  <c r="C14520" i="1"/>
  <c r="D14520" i="1"/>
  <c r="A14521" i="1"/>
  <c r="B14521" i="1"/>
  <c r="C14521" i="1"/>
  <c r="D14521" i="1"/>
  <c r="A14522" i="1"/>
  <c r="B14522" i="1"/>
  <c r="C14522" i="1"/>
  <c r="D14522" i="1"/>
  <c r="A14523" i="1"/>
  <c r="B14523" i="1"/>
  <c r="C14523" i="1"/>
  <c r="D14523" i="1"/>
  <c r="A14524" i="1"/>
  <c r="B14524" i="1"/>
  <c r="C14524" i="1"/>
  <c r="D14524" i="1"/>
  <c r="A14525" i="1"/>
  <c r="B14525" i="1"/>
  <c r="C14525" i="1"/>
  <c r="D14525" i="1"/>
  <c r="A14526" i="1"/>
  <c r="B14526" i="1"/>
  <c r="C14526" i="1"/>
  <c r="D14526" i="1"/>
  <c r="A14527" i="1"/>
  <c r="B14527" i="1"/>
  <c r="C14527" i="1"/>
  <c r="D14527" i="1"/>
  <c r="A14528" i="1"/>
  <c r="B14528" i="1"/>
  <c r="C14528" i="1"/>
  <c r="D14528" i="1"/>
  <c r="A14529" i="1"/>
  <c r="B14529" i="1"/>
  <c r="C14529" i="1"/>
  <c r="D14529" i="1"/>
  <c r="A14530" i="1"/>
  <c r="B14530" i="1"/>
  <c r="C14530" i="1"/>
  <c r="D14530" i="1"/>
  <c r="A14531" i="1"/>
  <c r="B14531" i="1"/>
  <c r="C14531" i="1"/>
  <c r="D14531" i="1"/>
  <c r="A14532" i="1"/>
  <c r="B14532" i="1"/>
  <c r="C14532" i="1"/>
  <c r="D14532" i="1"/>
  <c r="A14533" i="1"/>
  <c r="B14533" i="1"/>
  <c r="C14533" i="1"/>
  <c r="D14533" i="1"/>
  <c r="A14534" i="1"/>
  <c r="B14534" i="1"/>
  <c r="C14534" i="1"/>
  <c r="D14534" i="1"/>
  <c r="A14535" i="1"/>
  <c r="B14535" i="1"/>
  <c r="C14535" i="1"/>
  <c r="D14535" i="1"/>
  <c r="A14536" i="1"/>
  <c r="B14536" i="1"/>
  <c r="C14536" i="1"/>
  <c r="D14536" i="1"/>
  <c r="A14537" i="1"/>
  <c r="B14537" i="1"/>
  <c r="C14537" i="1"/>
  <c r="D14537" i="1"/>
  <c r="A14538" i="1"/>
  <c r="B14538" i="1"/>
  <c r="C14538" i="1"/>
  <c r="D14538" i="1"/>
  <c r="A14539" i="1"/>
  <c r="B14539" i="1"/>
  <c r="C14539" i="1"/>
  <c r="D14539" i="1"/>
  <c r="A14540" i="1"/>
  <c r="B14540" i="1"/>
  <c r="C14540" i="1"/>
  <c r="D14540" i="1"/>
  <c r="A14541" i="1"/>
  <c r="B14541" i="1"/>
  <c r="C14541" i="1"/>
  <c r="D14541" i="1"/>
  <c r="A14542" i="1"/>
  <c r="B14542" i="1"/>
  <c r="C14542" i="1"/>
  <c r="D14542" i="1"/>
  <c r="A14543" i="1"/>
  <c r="B14543" i="1"/>
  <c r="C14543" i="1"/>
  <c r="D14543" i="1"/>
  <c r="A14544" i="1"/>
  <c r="B14544" i="1"/>
  <c r="C14544" i="1"/>
  <c r="D14544" i="1"/>
  <c r="A14545" i="1"/>
  <c r="B14545" i="1"/>
  <c r="C14545" i="1"/>
  <c r="D14545" i="1"/>
  <c r="A14546" i="1"/>
  <c r="B14546" i="1"/>
  <c r="C14546" i="1"/>
  <c r="D14546" i="1"/>
  <c r="A14547" i="1"/>
  <c r="B14547" i="1"/>
  <c r="C14547" i="1"/>
  <c r="D14547" i="1"/>
  <c r="A14548" i="1"/>
  <c r="B14548" i="1"/>
  <c r="C14548" i="1"/>
  <c r="D14548" i="1"/>
  <c r="A14549" i="1"/>
  <c r="B14549" i="1"/>
  <c r="C14549" i="1"/>
  <c r="D14549" i="1"/>
  <c r="A14550" i="1"/>
  <c r="B14550" i="1"/>
  <c r="C14550" i="1"/>
  <c r="D14550" i="1"/>
  <c r="A14551" i="1"/>
  <c r="B14551" i="1"/>
  <c r="C14551" i="1"/>
  <c r="D14551" i="1"/>
  <c r="A14552" i="1"/>
  <c r="B14552" i="1"/>
  <c r="C14552" i="1"/>
  <c r="D14552" i="1"/>
  <c r="A14553" i="1"/>
  <c r="B14553" i="1"/>
  <c r="C14553" i="1"/>
  <c r="D14553" i="1"/>
  <c r="A14554" i="1"/>
  <c r="B14554" i="1"/>
  <c r="C14554" i="1"/>
  <c r="D14554" i="1"/>
  <c r="A14555" i="1"/>
  <c r="B14555" i="1"/>
  <c r="C14555" i="1"/>
  <c r="D14555" i="1"/>
  <c r="A14556" i="1"/>
  <c r="B14556" i="1"/>
  <c r="C14556" i="1"/>
  <c r="D14556" i="1"/>
  <c r="A14557" i="1"/>
  <c r="B14557" i="1"/>
  <c r="C14557" i="1"/>
  <c r="D14557" i="1"/>
  <c r="A14558" i="1"/>
  <c r="B14558" i="1"/>
  <c r="C14558" i="1"/>
  <c r="D14558" i="1"/>
  <c r="A14559" i="1"/>
  <c r="B14559" i="1"/>
  <c r="C14559" i="1"/>
  <c r="D14559" i="1"/>
  <c r="A14560" i="1"/>
  <c r="B14560" i="1"/>
  <c r="C14560" i="1"/>
  <c r="D14560" i="1"/>
  <c r="A14561" i="1"/>
  <c r="B14561" i="1"/>
  <c r="C14561" i="1"/>
  <c r="D14561" i="1"/>
  <c r="A14562" i="1"/>
  <c r="B14562" i="1"/>
  <c r="C14562" i="1"/>
  <c r="D14562" i="1"/>
  <c r="A14563" i="1"/>
  <c r="B14563" i="1"/>
  <c r="C14563" i="1"/>
  <c r="D14563" i="1"/>
  <c r="A14564" i="1"/>
  <c r="B14564" i="1"/>
  <c r="C14564" i="1"/>
  <c r="D14564" i="1"/>
  <c r="A14565" i="1"/>
  <c r="B14565" i="1"/>
  <c r="C14565" i="1"/>
  <c r="D14565" i="1"/>
  <c r="A14566" i="1"/>
  <c r="B14566" i="1"/>
  <c r="C14566" i="1"/>
  <c r="D14566" i="1"/>
  <c r="A14567" i="1"/>
  <c r="B14567" i="1"/>
  <c r="C14567" i="1"/>
  <c r="D14567" i="1"/>
  <c r="A14568" i="1"/>
  <c r="B14568" i="1"/>
  <c r="C14568" i="1"/>
  <c r="D14568" i="1"/>
  <c r="A14569" i="1"/>
  <c r="B14569" i="1"/>
  <c r="C14569" i="1"/>
  <c r="D14569" i="1"/>
  <c r="A14570" i="1"/>
  <c r="B14570" i="1"/>
  <c r="C14570" i="1"/>
  <c r="D14570" i="1"/>
  <c r="A14571" i="1"/>
  <c r="B14571" i="1"/>
  <c r="C14571" i="1"/>
  <c r="D14571" i="1"/>
  <c r="A14572" i="1"/>
  <c r="B14572" i="1"/>
  <c r="C14572" i="1"/>
  <c r="D14572" i="1"/>
  <c r="A14573" i="1"/>
  <c r="B14573" i="1"/>
  <c r="C14573" i="1"/>
  <c r="D14573" i="1"/>
  <c r="A14574" i="1"/>
  <c r="B14574" i="1"/>
  <c r="C14574" i="1"/>
  <c r="D14574" i="1"/>
  <c r="A14575" i="1"/>
  <c r="B14575" i="1"/>
  <c r="C14575" i="1"/>
  <c r="D14575" i="1"/>
  <c r="A14576" i="1"/>
  <c r="B14576" i="1"/>
  <c r="C14576" i="1"/>
  <c r="D14576" i="1"/>
  <c r="A14577" i="1"/>
  <c r="B14577" i="1"/>
  <c r="C14577" i="1"/>
  <c r="D14577" i="1"/>
  <c r="A14578" i="1"/>
  <c r="B14578" i="1"/>
  <c r="C14578" i="1"/>
  <c r="D14578" i="1"/>
  <c r="A14579" i="1"/>
  <c r="B14579" i="1"/>
  <c r="C14579" i="1"/>
  <c r="D14579" i="1"/>
  <c r="A14580" i="1"/>
  <c r="B14580" i="1"/>
  <c r="C14580" i="1"/>
  <c r="D14580" i="1"/>
  <c r="A14581" i="1"/>
  <c r="B14581" i="1"/>
  <c r="C14581" i="1"/>
  <c r="D14581" i="1"/>
  <c r="A14582" i="1"/>
  <c r="B14582" i="1"/>
  <c r="C14582" i="1"/>
  <c r="D14582" i="1"/>
  <c r="A14583" i="1"/>
  <c r="B14583" i="1"/>
  <c r="C14583" i="1"/>
  <c r="D14583" i="1"/>
  <c r="A14584" i="1"/>
  <c r="B14584" i="1"/>
  <c r="C14584" i="1"/>
  <c r="D14584" i="1"/>
  <c r="A14585" i="1"/>
  <c r="B14585" i="1"/>
  <c r="C14585" i="1"/>
  <c r="D14585" i="1"/>
  <c r="A14586" i="1"/>
  <c r="B14586" i="1"/>
  <c r="C14586" i="1"/>
  <c r="D14586" i="1"/>
  <c r="A14587" i="1"/>
  <c r="B14587" i="1"/>
  <c r="C14587" i="1"/>
  <c r="D14587" i="1"/>
  <c r="A14588" i="1"/>
  <c r="B14588" i="1"/>
  <c r="C14588" i="1"/>
  <c r="D14588" i="1"/>
  <c r="A14589" i="1"/>
  <c r="B14589" i="1"/>
  <c r="C14589" i="1"/>
  <c r="D14589" i="1"/>
  <c r="A14590" i="1"/>
  <c r="B14590" i="1"/>
  <c r="C14590" i="1"/>
  <c r="D14590" i="1"/>
  <c r="A14591" i="1"/>
  <c r="B14591" i="1"/>
  <c r="C14591" i="1"/>
  <c r="D14591" i="1"/>
  <c r="A14592" i="1"/>
  <c r="B14592" i="1"/>
  <c r="C14592" i="1"/>
  <c r="D14592" i="1"/>
  <c r="A14593" i="1"/>
  <c r="B14593" i="1"/>
  <c r="C14593" i="1"/>
  <c r="D14593" i="1"/>
  <c r="A14594" i="1"/>
  <c r="B14594" i="1"/>
  <c r="C14594" i="1"/>
  <c r="D14594" i="1"/>
  <c r="A14595" i="1"/>
  <c r="B14595" i="1"/>
  <c r="C14595" i="1"/>
  <c r="D14595" i="1"/>
  <c r="A14596" i="1"/>
  <c r="B14596" i="1"/>
  <c r="C14596" i="1"/>
  <c r="D14596" i="1"/>
  <c r="A14597" i="1"/>
  <c r="B14597" i="1"/>
  <c r="C14597" i="1"/>
  <c r="D14597" i="1"/>
  <c r="A14598" i="1"/>
  <c r="B14598" i="1"/>
  <c r="C14598" i="1"/>
  <c r="D14598" i="1"/>
  <c r="A14599" i="1"/>
  <c r="B14599" i="1"/>
  <c r="C14599" i="1"/>
  <c r="D14599" i="1"/>
  <c r="A14600" i="1"/>
  <c r="B14600" i="1"/>
  <c r="C14600" i="1"/>
  <c r="D14600" i="1"/>
  <c r="A14601" i="1"/>
  <c r="B14601" i="1"/>
  <c r="C14601" i="1"/>
  <c r="D14601" i="1"/>
  <c r="A14602" i="1"/>
  <c r="B14602" i="1"/>
  <c r="C14602" i="1"/>
  <c r="D14602" i="1"/>
  <c r="A14603" i="1"/>
  <c r="B14603" i="1"/>
  <c r="C14603" i="1"/>
  <c r="D14603" i="1"/>
  <c r="A14604" i="1"/>
  <c r="B14604" i="1"/>
  <c r="C14604" i="1"/>
  <c r="D14604" i="1"/>
  <c r="A14605" i="1"/>
  <c r="B14605" i="1"/>
  <c r="C14605" i="1"/>
  <c r="D14605" i="1"/>
  <c r="A14606" i="1"/>
  <c r="B14606" i="1"/>
  <c r="C14606" i="1"/>
  <c r="D14606" i="1"/>
  <c r="A14607" i="1"/>
  <c r="B14607" i="1"/>
  <c r="C14607" i="1"/>
  <c r="D14607" i="1"/>
  <c r="A14608" i="1"/>
  <c r="B14608" i="1"/>
  <c r="C14608" i="1"/>
  <c r="D14608" i="1"/>
  <c r="A14609" i="1"/>
  <c r="B14609" i="1"/>
  <c r="C14609" i="1"/>
  <c r="D14609" i="1"/>
  <c r="A14610" i="1"/>
  <c r="B14610" i="1"/>
  <c r="C14610" i="1"/>
  <c r="D14610" i="1"/>
  <c r="A14611" i="1"/>
  <c r="B14611" i="1"/>
  <c r="C14611" i="1"/>
  <c r="D14611" i="1"/>
  <c r="A14612" i="1"/>
  <c r="B14612" i="1"/>
  <c r="C14612" i="1"/>
  <c r="D14612" i="1"/>
  <c r="A14613" i="1"/>
  <c r="B14613" i="1"/>
  <c r="C14613" i="1"/>
  <c r="D14613" i="1"/>
  <c r="A14614" i="1"/>
  <c r="B14614" i="1"/>
  <c r="C14614" i="1"/>
  <c r="D14614" i="1"/>
  <c r="A14615" i="1"/>
  <c r="B14615" i="1"/>
  <c r="C14615" i="1"/>
  <c r="D14615" i="1"/>
  <c r="A14616" i="1"/>
  <c r="B14616" i="1"/>
  <c r="C14616" i="1"/>
  <c r="D14616" i="1"/>
  <c r="A14617" i="1"/>
  <c r="B14617" i="1"/>
  <c r="C14617" i="1"/>
  <c r="D14617" i="1"/>
  <c r="A14618" i="1"/>
  <c r="B14618" i="1"/>
  <c r="C14618" i="1"/>
  <c r="D14618" i="1"/>
  <c r="A14619" i="1"/>
  <c r="B14619" i="1"/>
  <c r="C14619" i="1"/>
  <c r="D14619" i="1"/>
  <c r="A14620" i="1"/>
  <c r="B14620" i="1"/>
  <c r="C14620" i="1"/>
  <c r="D14620" i="1"/>
  <c r="A14621" i="1"/>
  <c r="B14621" i="1"/>
  <c r="C14621" i="1"/>
  <c r="D14621" i="1"/>
  <c r="A14622" i="1"/>
  <c r="B14622" i="1"/>
  <c r="C14622" i="1"/>
  <c r="D14622" i="1"/>
  <c r="A14623" i="1"/>
  <c r="B14623" i="1"/>
  <c r="C14623" i="1"/>
  <c r="D14623" i="1"/>
  <c r="A14624" i="1"/>
  <c r="B14624" i="1"/>
  <c r="C14624" i="1"/>
  <c r="D14624" i="1"/>
  <c r="A14625" i="1"/>
  <c r="B14625" i="1"/>
  <c r="C14625" i="1"/>
  <c r="D14625" i="1"/>
  <c r="A14626" i="1"/>
  <c r="B14626" i="1"/>
  <c r="C14626" i="1"/>
  <c r="D14626" i="1"/>
  <c r="A14627" i="1"/>
  <c r="B14627" i="1"/>
  <c r="C14627" i="1"/>
  <c r="D14627" i="1"/>
  <c r="A14628" i="1"/>
  <c r="B14628" i="1"/>
  <c r="C14628" i="1"/>
  <c r="D14628" i="1"/>
  <c r="A14629" i="1"/>
  <c r="B14629" i="1"/>
  <c r="C14629" i="1"/>
  <c r="D14629" i="1"/>
  <c r="A14630" i="1"/>
  <c r="B14630" i="1"/>
  <c r="C14630" i="1"/>
  <c r="D14630" i="1"/>
  <c r="A14631" i="1"/>
  <c r="B14631" i="1"/>
  <c r="C14631" i="1"/>
  <c r="D14631" i="1"/>
  <c r="A14632" i="1"/>
  <c r="B14632" i="1"/>
  <c r="C14632" i="1"/>
  <c r="D14632" i="1"/>
  <c r="A14633" i="1"/>
  <c r="B14633" i="1"/>
  <c r="C14633" i="1"/>
  <c r="D14633" i="1"/>
  <c r="A14634" i="1"/>
  <c r="B14634" i="1"/>
  <c r="C14634" i="1"/>
  <c r="A14635" i="1"/>
  <c r="B14635" i="1"/>
  <c r="C14635" i="1"/>
  <c r="D14635" i="1"/>
  <c r="A14636" i="1"/>
  <c r="B14636" i="1"/>
  <c r="C14636" i="1"/>
  <c r="D14636" i="1"/>
  <c r="A14637" i="1"/>
  <c r="B14637" i="1"/>
  <c r="C14637" i="1"/>
  <c r="D14637" i="1"/>
  <c r="A14638" i="1"/>
  <c r="B14638" i="1"/>
  <c r="C14638" i="1"/>
  <c r="D14638" i="1"/>
  <c r="A14639" i="1"/>
  <c r="B14639" i="1"/>
  <c r="C14639" i="1"/>
  <c r="D14639" i="1"/>
  <c r="A14640" i="1"/>
  <c r="B14640" i="1"/>
  <c r="C14640" i="1"/>
  <c r="D14640" i="1"/>
  <c r="A14641" i="1"/>
  <c r="B14641" i="1"/>
  <c r="C14641" i="1"/>
  <c r="D14641" i="1"/>
  <c r="A14642" i="1"/>
  <c r="B14642" i="1"/>
  <c r="C14642" i="1"/>
  <c r="D14642" i="1"/>
  <c r="A14643" i="1"/>
  <c r="B14643" i="1"/>
  <c r="C14643" i="1"/>
  <c r="D14643" i="1"/>
  <c r="A14644" i="1"/>
  <c r="B14644" i="1"/>
  <c r="C14644" i="1"/>
  <c r="D14644" i="1"/>
  <c r="A14645" i="1"/>
  <c r="B14645" i="1"/>
  <c r="C14645" i="1"/>
  <c r="D14645" i="1"/>
  <c r="A14646" i="1"/>
  <c r="B14646" i="1"/>
  <c r="C14646" i="1"/>
  <c r="D14646" i="1"/>
  <c r="A14647" i="1"/>
  <c r="B14647" i="1"/>
  <c r="C14647" i="1"/>
  <c r="D14647" i="1"/>
  <c r="A14648" i="1"/>
  <c r="B14648" i="1"/>
  <c r="C14648" i="1"/>
  <c r="D14648" i="1"/>
  <c r="A14649" i="1"/>
  <c r="B14649" i="1"/>
  <c r="C14649" i="1"/>
  <c r="D14649" i="1"/>
  <c r="A14650" i="1"/>
  <c r="B14650" i="1"/>
  <c r="C14650" i="1"/>
  <c r="D14650" i="1"/>
  <c r="A14651" i="1"/>
  <c r="B14651" i="1"/>
  <c r="C14651" i="1"/>
  <c r="D14651" i="1"/>
  <c r="A14652" i="1"/>
  <c r="B14652" i="1"/>
  <c r="C14652" i="1"/>
  <c r="A14653" i="1"/>
  <c r="B14653" i="1"/>
  <c r="C14653" i="1"/>
  <c r="D14653" i="1"/>
  <c r="A14654" i="1"/>
  <c r="B14654" i="1"/>
  <c r="C14654" i="1"/>
  <c r="D14654" i="1"/>
  <c r="A14655" i="1"/>
  <c r="B14655" i="1"/>
  <c r="C14655" i="1"/>
  <c r="A14656" i="1"/>
  <c r="B14656" i="1"/>
  <c r="C14656" i="1"/>
  <c r="D14656" i="1"/>
  <c r="A14657" i="1"/>
  <c r="B14657" i="1"/>
  <c r="C14657" i="1"/>
  <c r="A14658" i="1"/>
  <c r="B14658" i="1"/>
  <c r="C14658" i="1"/>
  <c r="D14658" i="1"/>
  <c r="A14659" i="1"/>
  <c r="B14659" i="1"/>
  <c r="C14659" i="1"/>
  <c r="D14659" i="1"/>
  <c r="A14660" i="1"/>
  <c r="B14660" i="1"/>
  <c r="C14660" i="1"/>
  <c r="D14660" i="1"/>
  <c r="A14661" i="1"/>
  <c r="B14661" i="1"/>
  <c r="C14661" i="1"/>
  <c r="D14661" i="1"/>
  <c r="A14662" i="1"/>
  <c r="B14662" i="1"/>
  <c r="C14662" i="1"/>
  <c r="D14662" i="1"/>
  <c r="A14663" i="1"/>
  <c r="B14663" i="1"/>
  <c r="C14663" i="1"/>
  <c r="D14663" i="1"/>
  <c r="A14664" i="1"/>
  <c r="B14664" i="1"/>
  <c r="C14664" i="1"/>
  <c r="D14664" i="1"/>
  <c r="A14665" i="1"/>
  <c r="B14665" i="1"/>
  <c r="C14665" i="1"/>
  <c r="D14665" i="1"/>
  <c r="A14666" i="1"/>
  <c r="B14666" i="1"/>
  <c r="C14666" i="1"/>
  <c r="D14666" i="1"/>
  <c r="A14667" i="1"/>
  <c r="B14667" i="1"/>
  <c r="C14667" i="1"/>
  <c r="D14667" i="1"/>
  <c r="A14668" i="1"/>
  <c r="B14668" i="1"/>
  <c r="C14668" i="1"/>
  <c r="D14668" i="1"/>
  <c r="A14669" i="1"/>
  <c r="B14669" i="1"/>
  <c r="C14669" i="1"/>
  <c r="D14669" i="1"/>
  <c r="A14670" i="1"/>
  <c r="B14670" i="1"/>
  <c r="C14670" i="1"/>
  <c r="D14670" i="1"/>
  <c r="A14671" i="1"/>
  <c r="B14671" i="1"/>
  <c r="C14671" i="1"/>
  <c r="D14671" i="1"/>
  <c r="A14672" i="1"/>
  <c r="B14672" i="1"/>
  <c r="C14672" i="1"/>
  <c r="D14672" i="1"/>
  <c r="A14673" i="1"/>
  <c r="B14673" i="1"/>
  <c r="C14673" i="1"/>
  <c r="D14673" i="1"/>
  <c r="A14674" i="1"/>
  <c r="B14674" i="1"/>
  <c r="C14674" i="1"/>
  <c r="D14674" i="1"/>
  <c r="A14675" i="1"/>
  <c r="B14675" i="1"/>
  <c r="C14675" i="1"/>
  <c r="D14675" i="1"/>
  <c r="A14676" i="1"/>
  <c r="B14676" i="1"/>
  <c r="C14676" i="1"/>
  <c r="D14676" i="1"/>
  <c r="A14677" i="1"/>
  <c r="B14677" i="1"/>
  <c r="C14677" i="1"/>
  <c r="D14677" i="1"/>
  <c r="A14678" i="1"/>
  <c r="B14678" i="1"/>
  <c r="C14678" i="1"/>
  <c r="D14678" i="1"/>
  <c r="A14679" i="1"/>
  <c r="B14679" i="1"/>
  <c r="C14679" i="1"/>
  <c r="D14679" i="1"/>
  <c r="A14680" i="1"/>
  <c r="B14680" i="1"/>
  <c r="C14680" i="1"/>
  <c r="D14680" i="1"/>
  <c r="A14681" i="1"/>
  <c r="B14681" i="1"/>
  <c r="C14681" i="1"/>
  <c r="D14681" i="1"/>
  <c r="A14682" i="1"/>
  <c r="B14682" i="1"/>
  <c r="C14682" i="1"/>
  <c r="D14682" i="1"/>
  <c r="A14683" i="1"/>
  <c r="B14683" i="1"/>
  <c r="C14683" i="1"/>
  <c r="D14683" i="1"/>
  <c r="A14684" i="1"/>
  <c r="B14684" i="1"/>
  <c r="C14684" i="1"/>
  <c r="D14684" i="1"/>
  <c r="A14685" i="1"/>
  <c r="B14685" i="1"/>
  <c r="C14685" i="1"/>
  <c r="D14685" i="1"/>
  <c r="A14686" i="1"/>
  <c r="B14686" i="1"/>
  <c r="C14686" i="1"/>
  <c r="D14686" i="1"/>
  <c r="A14687" i="1"/>
  <c r="B14687" i="1"/>
  <c r="C14687" i="1"/>
  <c r="D14687" i="1"/>
  <c r="A14688" i="1"/>
  <c r="B14688" i="1"/>
  <c r="C14688" i="1"/>
  <c r="D14688" i="1"/>
  <c r="A14689" i="1"/>
  <c r="B14689" i="1"/>
  <c r="C14689" i="1"/>
  <c r="D14689" i="1"/>
  <c r="A14690" i="1"/>
  <c r="B14690" i="1"/>
  <c r="C14690" i="1"/>
  <c r="D14690" i="1"/>
  <c r="A14691" i="1"/>
  <c r="B14691" i="1"/>
  <c r="C14691" i="1"/>
  <c r="D14691" i="1"/>
  <c r="A14692" i="1"/>
  <c r="B14692" i="1"/>
  <c r="C14692" i="1"/>
  <c r="D14692" i="1"/>
  <c r="A14693" i="1"/>
  <c r="B14693" i="1"/>
  <c r="C14693" i="1"/>
  <c r="D14693" i="1"/>
  <c r="A14694" i="1"/>
  <c r="B14694" i="1"/>
  <c r="C14694" i="1"/>
  <c r="D14694" i="1"/>
  <c r="A14695" i="1"/>
  <c r="B14695" i="1"/>
  <c r="C14695" i="1"/>
  <c r="D14695" i="1"/>
  <c r="A14696" i="1"/>
  <c r="B14696" i="1"/>
  <c r="C14696" i="1"/>
  <c r="D14696" i="1"/>
  <c r="A14697" i="1"/>
  <c r="B14697" i="1"/>
  <c r="C14697" i="1"/>
  <c r="D14697" i="1"/>
  <c r="A14698" i="1"/>
  <c r="B14698" i="1"/>
  <c r="C14698" i="1"/>
  <c r="D14698" i="1"/>
  <c r="A14699" i="1"/>
  <c r="B14699" i="1"/>
  <c r="C14699" i="1"/>
  <c r="D14699" i="1"/>
  <c r="A14700" i="1"/>
  <c r="B14700" i="1"/>
  <c r="C14700" i="1"/>
  <c r="D14700" i="1"/>
  <c r="A14701" i="1"/>
  <c r="B14701" i="1"/>
  <c r="C14701" i="1"/>
  <c r="D14701" i="1"/>
  <c r="A14702" i="1"/>
  <c r="B14702" i="1"/>
  <c r="C14702" i="1"/>
  <c r="D14702" i="1"/>
  <c r="A14703" i="1"/>
  <c r="B14703" i="1"/>
  <c r="C14703" i="1"/>
  <c r="D14703" i="1"/>
  <c r="A14704" i="1"/>
  <c r="B14704" i="1"/>
  <c r="C14704" i="1"/>
  <c r="D14704" i="1"/>
  <c r="A14705" i="1"/>
  <c r="B14705" i="1"/>
  <c r="C14705" i="1"/>
  <c r="D14705" i="1"/>
  <c r="A14706" i="1"/>
  <c r="B14706" i="1"/>
  <c r="C14706" i="1"/>
  <c r="D14706" i="1"/>
  <c r="A14707" i="1"/>
  <c r="B14707" i="1"/>
  <c r="C14707" i="1"/>
  <c r="D14707" i="1"/>
  <c r="A14708" i="1"/>
  <c r="B14708" i="1"/>
  <c r="C14708" i="1"/>
  <c r="D14708" i="1"/>
  <c r="A14709" i="1"/>
  <c r="B14709" i="1"/>
  <c r="C14709" i="1"/>
  <c r="D14709" i="1"/>
  <c r="A14710" i="1"/>
  <c r="B14710" i="1"/>
  <c r="C14710" i="1"/>
  <c r="D14710" i="1"/>
  <c r="A14711" i="1"/>
  <c r="B14711" i="1"/>
  <c r="C14711" i="1"/>
  <c r="D14711" i="1"/>
  <c r="A14712" i="1"/>
  <c r="B14712" i="1"/>
  <c r="C14712" i="1"/>
  <c r="D14712" i="1"/>
  <c r="A14713" i="1"/>
  <c r="B14713" i="1"/>
  <c r="C14713" i="1"/>
  <c r="D14713" i="1"/>
  <c r="A14714" i="1"/>
  <c r="B14714" i="1"/>
  <c r="C14714" i="1"/>
  <c r="D14714" i="1"/>
  <c r="A14715" i="1"/>
  <c r="B14715" i="1"/>
  <c r="C14715" i="1"/>
  <c r="D14715" i="1"/>
  <c r="A14716" i="1"/>
  <c r="B14716" i="1"/>
  <c r="C14716" i="1"/>
  <c r="D14716" i="1"/>
  <c r="A14717" i="1"/>
  <c r="B14717" i="1"/>
  <c r="C14717" i="1"/>
  <c r="D14717" i="1"/>
  <c r="A14718" i="1"/>
  <c r="B14718" i="1"/>
  <c r="C14718" i="1"/>
  <c r="D14718" i="1"/>
  <c r="A14719" i="1"/>
  <c r="B14719" i="1"/>
  <c r="C14719" i="1"/>
  <c r="D14719" i="1"/>
  <c r="A14720" i="1"/>
  <c r="B14720" i="1"/>
  <c r="C14720" i="1"/>
  <c r="D14720" i="1"/>
  <c r="A14721" i="1"/>
  <c r="B14721" i="1"/>
  <c r="C14721" i="1"/>
  <c r="D14721" i="1"/>
  <c r="A14722" i="1"/>
  <c r="B14722" i="1"/>
  <c r="C14722" i="1"/>
  <c r="D14722" i="1"/>
  <c r="A14723" i="1"/>
  <c r="B14723" i="1"/>
  <c r="C14723" i="1"/>
  <c r="D14723" i="1"/>
  <c r="A14724" i="1"/>
  <c r="B14724" i="1"/>
  <c r="C14724" i="1"/>
  <c r="D14724" i="1"/>
  <c r="A14725" i="1"/>
  <c r="B14725" i="1"/>
  <c r="C14725" i="1"/>
  <c r="D14725" i="1"/>
  <c r="A14726" i="1"/>
  <c r="B14726" i="1"/>
  <c r="C14726" i="1"/>
  <c r="D14726" i="1"/>
  <c r="A14727" i="1"/>
  <c r="B14727" i="1"/>
  <c r="C14727" i="1"/>
  <c r="D14727" i="1"/>
  <c r="A14728" i="1"/>
  <c r="B14728" i="1"/>
  <c r="C14728" i="1"/>
  <c r="D14728" i="1"/>
  <c r="A14729" i="1"/>
  <c r="B14729" i="1"/>
  <c r="C14729" i="1"/>
  <c r="D14729" i="1"/>
  <c r="A14730" i="1"/>
  <c r="B14730" i="1"/>
  <c r="C14730" i="1"/>
  <c r="D14730" i="1"/>
  <c r="A14731" i="1"/>
  <c r="B14731" i="1"/>
  <c r="C14731" i="1"/>
  <c r="D14731" i="1"/>
  <c r="A14732" i="1"/>
  <c r="B14732" i="1"/>
  <c r="C14732" i="1"/>
  <c r="D14732" i="1"/>
  <c r="A14733" i="1"/>
  <c r="B14733" i="1"/>
  <c r="C14733" i="1"/>
  <c r="D14733" i="1"/>
  <c r="A14734" i="1"/>
  <c r="B14734" i="1"/>
  <c r="C14734" i="1"/>
  <c r="D14734" i="1"/>
  <c r="A14735" i="1"/>
  <c r="B14735" i="1"/>
  <c r="C14735" i="1"/>
  <c r="D14735" i="1"/>
  <c r="A14736" i="1"/>
  <c r="B14736" i="1"/>
  <c r="C14736" i="1"/>
  <c r="D14736" i="1"/>
  <c r="A14737" i="1"/>
  <c r="B14737" i="1"/>
  <c r="C14737" i="1"/>
  <c r="D14737" i="1"/>
  <c r="A14738" i="1"/>
  <c r="B14738" i="1"/>
  <c r="C14738" i="1"/>
  <c r="D14738" i="1"/>
  <c r="A14739" i="1"/>
  <c r="B14739" i="1"/>
  <c r="C14739" i="1"/>
  <c r="D14739" i="1"/>
  <c r="A14740" i="1"/>
  <c r="B14740" i="1"/>
  <c r="C14740" i="1"/>
  <c r="A14741" i="1"/>
  <c r="B14741" i="1"/>
  <c r="C14741" i="1"/>
  <c r="D14741" i="1"/>
  <c r="A14742" i="1"/>
  <c r="B14742" i="1"/>
  <c r="C14742" i="1"/>
  <c r="D14742" i="1"/>
  <c r="A14743" i="1"/>
  <c r="B14743" i="1"/>
  <c r="C14743" i="1"/>
  <c r="D14743" i="1"/>
  <c r="A14744" i="1"/>
  <c r="B14744" i="1"/>
  <c r="C14744" i="1"/>
  <c r="D14744" i="1"/>
  <c r="A14745" i="1"/>
  <c r="B14745" i="1"/>
  <c r="C14745" i="1"/>
  <c r="D14745" i="1"/>
  <c r="A14746" i="1"/>
  <c r="B14746" i="1"/>
  <c r="C14746" i="1"/>
  <c r="D14746" i="1"/>
  <c r="A14747" i="1"/>
  <c r="B14747" i="1"/>
  <c r="C14747" i="1"/>
  <c r="A14748" i="1"/>
  <c r="B14748" i="1"/>
  <c r="C14748" i="1"/>
  <c r="D14748" i="1"/>
  <c r="A14749" i="1"/>
  <c r="B14749" i="1"/>
  <c r="C14749" i="1"/>
  <c r="D14749" i="1"/>
  <c r="A14750" i="1"/>
  <c r="B14750" i="1"/>
  <c r="C14750" i="1"/>
  <c r="D14750" i="1"/>
  <c r="A14751" i="1"/>
  <c r="B14751" i="1"/>
  <c r="C14751" i="1"/>
  <c r="D14751" i="1"/>
  <c r="A14752" i="1"/>
  <c r="B14752" i="1"/>
  <c r="C14752" i="1"/>
  <c r="D14752" i="1"/>
  <c r="A14753" i="1"/>
  <c r="B14753" i="1"/>
  <c r="C14753" i="1"/>
  <c r="D14753" i="1"/>
  <c r="A14754" i="1"/>
  <c r="B14754" i="1"/>
  <c r="C14754" i="1"/>
  <c r="D14754" i="1"/>
  <c r="A14755" i="1"/>
  <c r="B14755" i="1"/>
  <c r="C14755" i="1"/>
  <c r="D14755" i="1"/>
  <c r="A14756" i="1"/>
  <c r="B14756" i="1"/>
  <c r="C14756" i="1"/>
  <c r="D14756" i="1"/>
  <c r="A14757" i="1"/>
  <c r="B14757" i="1"/>
  <c r="C14757" i="1"/>
  <c r="D14757" i="1"/>
  <c r="A14758" i="1"/>
  <c r="B14758" i="1"/>
  <c r="C14758" i="1"/>
  <c r="D14758" i="1"/>
  <c r="A14759" i="1"/>
  <c r="B14759" i="1"/>
  <c r="C14759" i="1"/>
  <c r="D14759" i="1"/>
  <c r="A14760" i="1"/>
  <c r="B14760" i="1"/>
  <c r="C14760" i="1"/>
  <c r="D14760" i="1"/>
  <c r="A14761" i="1"/>
  <c r="B14761" i="1"/>
  <c r="C14761" i="1"/>
  <c r="D14761" i="1"/>
  <c r="A14762" i="1"/>
  <c r="B14762" i="1"/>
  <c r="C14762" i="1"/>
  <c r="D14762" i="1"/>
  <c r="A14763" i="1"/>
  <c r="B14763" i="1"/>
  <c r="C14763" i="1"/>
  <c r="A14764" i="1"/>
  <c r="B14764" i="1"/>
  <c r="C14764" i="1"/>
  <c r="D14764" i="1"/>
  <c r="A14765" i="1"/>
  <c r="B14765" i="1"/>
  <c r="C14765" i="1"/>
  <c r="D14765" i="1"/>
  <c r="A14766" i="1"/>
  <c r="B14766" i="1"/>
  <c r="C14766" i="1"/>
  <c r="D14766" i="1"/>
  <c r="A14767" i="1"/>
  <c r="B14767" i="1"/>
  <c r="C14767" i="1"/>
  <c r="D14767" i="1"/>
  <c r="A14768" i="1"/>
  <c r="B14768" i="1"/>
  <c r="C14768" i="1"/>
  <c r="D14768" i="1"/>
  <c r="A14769" i="1"/>
  <c r="B14769" i="1"/>
  <c r="C14769" i="1"/>
  <c r="D14769" i="1"/>
  <c r="A14770" i="1"/>
  <c r="B14770" i="1"/>
  <c r="C14770" i="1"/>
  <c r="D14770" i="1"/>
  <c r="A14771" i="1"/>
  <c r="B14771" i="1"/>
  <c r="C14771" i="1"/>
  <c r="D14771" i="1"/>
  <c r="A14772" i="1"/>
  <c r="B14772" i="1"/>
  <c r="C14772" i="1"/>
  <c r="A14773" i="1"/>
  <c r="B14773" i="1"/>
  <c r="C14773" i="1"/>
  <c r="D14773" i="1"/>
  <c r="A14774" i="1"/>
  <c r="B14774" i="1"/>
  <c r="C14774" i="1"/>
  <c r="D14774" i="1"/>
  <c r="A14775" i="1"/>
  <c r="B14775" i="1"/>
  <c r="C14775" i="1"/>
  <c r="D14775" i="1"/>
  <c r="A14776" i="1"/>
  <c r="B14776" i="1"/>
  <c r="C14776" i="1"/>
  <c r="D14776" i="1"/>
  <c r="A14777" i="1"/>
  <c r="B14777" i="1"/>
  <c r="C14777" i="1"/>
  <c r="D14777" i="1"/>
  <c r="A14778" i="1"/>
  <c r="B14778" i="1"/>
  <c r="C14778" i="1"/>
  <c r="D14778" i="1"/>
  <c r="A14779" i="1"/>
  <c r="B14779" i="1"/>
  <c r="C14779" i="1"/>
  <c r="D14779" i="1"/>
  <c r="A14780" i="1"/>
  <c r="B14780" i="1"/>
  <c r="C14780" i="1"/>
  <c r="D14780" i="1"/>
  <c r="A14781" i="1"/>
  <c r="B14781" i="1"/>
  <c r="C14781" i="1"/>
  <c r="D14781" i="1"/>
  <c r="A14782" i="1"/>
  <c r="B14782" i="1"/>
  <c r="C14782" i="1"/>
  <c r="D14782" i="1"/>
  <c r="A14783" i="1"/>
  <c r="B14783" i="1"/>
  <c r="C14783" i="1"/>
  <c r="D14783" i="1"/>
  <c r="A14784" i="1"/>
  <c r="B14784" i="1"/>
  <c r="C14784" i="1"/>
  <c r="D14784" i="1"/>
  <c r="A14785" i="1"/>
  <c r="B14785" i="1"/>
  <c r="C14785" i="1"/>
  <c r="D14785" i="1"/>
  <c r="A14786" i="1"/>
  <c r="B14786" i="1"/>
  <c r="C14786" i="1"/>
  <c r="D14786" i="1"/>
  <c r="A14787" i="1"/>
  <c r="B14787" i="1"/>
  <c r="C14787" i="1"/>
  <c r="D14787" i="1"/>
  <c r="A14788" i="1"/>
  <c r="B14788" i="1"/>
  <c r="C14788" i="1"/>
  <c r="D14788" i="1"/>
  <c r="A14789" i="1"/>
  <c r="B14789" i="1"/>
  <c r="C14789" i="1"/>
  <c r="D14789" i="1"/>
  <c r="A14790" i="1"/>
  <c r="B14790" i="1"/>
  <c r="C14790" i="1"/>
  <c r="D14790" i="1"/>
  <c r="A14791" i="1"/>
  <c r="B14791" i="1"/>
  <c r="C14791" i="1"/>
  <c r="D14791" i="1"/>
  <c r="A14792" i="1"/>
  <c r="B14792" i="1"/>
  <c r="C14792" i="1"/>
  <c r="D14792" i="1"/>
  <c r="A14793" i="1"/>
  <c r="B14793" i="1"/>
  <c r="C14793" i="1"/>
  <c r="D14793" i="1"/>
  <c r="A14794" i="1"/>
  <c r="B14794" i="1"/>
  <c r="C14794" i="1"/>
  <c r="D14794" i="1"/>
  <c r="A14795" i="1"/>
  <c r="B14795" i="1"/>
  <c r="C14795" i="1"/>
  <c r="D14795" i="1"/>
  <c r="A14796" i="1"/>
  <c r="B14796" i="1"/>
  <c r="C14796" i="1"/>
  <c r="D14796" i="1"/>
  <c r="A14797" i="1"/>
  <c r="B14797" i="1"/>
  <c r="C14797" i="1"/>
  <c r="D14797" i="1"/>
  <c r="A14798" i="1"/>
  <c r="B14798" i="1"/>
  <c r="C14798" i="1"/>
  <c r="D14798" i="1"/>
  <c r="A14799" i="1"/>
  <c r="B14799" i="1"/>
  <c r="C14799" i="1"/>
  <c r="D14799" i="1"/>
  <c r="A14800" i="1"/>
  <c r="B14800" i="1"/>
  <c r="C14800" i="1"/>
  <c r="D14800" i="1"/>
  <c r="A14801" i="1"/>
  <c r="B14801" i="1"/>
  <c r="C14801" i="1"/>
  <c r="D14801" i="1"/>
  <c r="A14802" i="1"/>
  <c r="B14802" i="1"/>
  <c r="C14802" i="1"/>
  <c r="D14802" i="1"/>
  <c r="A14803" i="1"/>
  <c r="B14803" i="1"/>
  <c r="C14803" i="1"/>
  <c r="A14804" i="1"/>
  <c r="B14804" i="1"/>
  <c r="C14804" i="1"/>
  <c r="D14804" i="1"/>
  <c r="A14805" i="1"/>
  <c r="B14805" i="1"/>
  <c r="C14805" i="1"/>
  <c r="D14805" i="1"/>
  <c r="A14806" i="1"/>
  <c r="B14806" i="1"/>
  <c r="C14806" i="1"/>
  <c r="D14806" i="1"/>
  <c r="A14807" i="1"/>
  <c r="B14807" i="1"/>
  <c r="C14807" i="1"/>
  <c r="D14807" i="1"/>
  <c r="A14808" i="1"/>
  <c r="B14808" i="1"/>
  <c r="C14808" i="1"/>
  <c r="D14808" i="1"/>
  <c r="A14809" i="1"/>
  <c r="B14809" i="1"/>
  <c r="C14809" i="1"/>
  <c r="D14809" i="1"/>
  <c r="A14810" i="1"/>
  <c r="B14810" i="1"/>
  <c r="C14810" i="1"/>
  <c r="D14810" i="1"/>
  <c r="A14811" i="1"/>
  <c r="B14811" i="1"/>
  <c r="C14811" i="1"/>
  <c r="D14811" i="1"/>
  <c r="A14812" i="1"/>
  <c r="B14812" i="1"/>
  <c r="C14812" i="1"/>
  <c r="D14812" i="1"/>
  <c r="A14813" i="1"/>
  <c r="B14813" i="1"/>
  <c r="C14813" i="1"/>
  <c r="D14813" i="1"/>
  <c r="A14814" i="1"/>
  <c r="B14814" i="1"/>
  <c r="C14814" i="1"/>
  <c r="D14814" i="1"/>
  <c r="A14815" i="1"/>
  <c r="B14815" i="1"/>
  <c r="C14815" i="1"/>
  <c r="D14815" i="1"/>
  <c r="A14816" i="1"/>
  <c r="B14816" i="1"/>
  <c r="C14816" i="1"/>
  <c r="D14816" i="1"/>
  <c r="A14817" i="1"/>
  <c r="B14817" i="1"/>
  <c r="C14817" i="1"/>
  <c r="D14817" i="1"/>
  <c r="A14818" i="1"/>
  <c r="B14818" i="1"/>
  <c r="C14818" i="1"/>
  <c r="D14818" i="1"/>
  <c r="A14819" i="1"/>
  <c r="B14819" i="1"/>
  <c r="C14819" i="1"/>
  <c r="D14819" i="1"/>
  <c r="A14820" i="1"/>
  <c r="B14820" i="1"/>
  <c r="C14820" i="1"/>
  <c r="D14820" i="1"/>
  <c r="A14821" i="1"/>
  <c r="B14821" i="1"/>
  <c r="C14821" i="1"/>
  <c r="D14821" i="1"/>
  <c r="A14822" i="1"/>
  <c r="B14822" i="1"/>
  <c r="C14822" i="1"/>
  <c r="D14822" i="1"/>
  <c r="A14823" i="1"/>
  <c r="B14823" i="1"/>
  <c r="C14823" i="1"/>
  <c r="D14823" i="1"/>
  <c r="A14824" i="1"/>
  <c r="B14824" i="1"/>
  <c r="C14824" i="1"/>
  <c r="D14824" i="1"/>
  <c r="A14825" i="1"/>
  <c r="B14825" i="1"/>
  <c r="C14825" i="1"/>
  <c r="D14825" i="1"/>
  <c r="A14826" i="1"/>
  <c r="B14826" i="1"/>
  <c r="C14826" i="1"/>
  <c r="D14826" i="1"/>
  <c r="A14827" i="1"/>
  <c r="B14827" i="1"/>
  <c r="C14827" i="1"/>
  <c r="D14827" i="1"/>
  <c r="A14828" i="1"/>
  <c r="B14828" i="1"/>
  <c r="C14828" i="1"/>
  <c r="D14828" i="1"/>
  <c r="A14829" i="1"/>
  <c r="B14829" i="1"/>
  <c r="C14829" i="1"/>
  <c r="D14829" i="1"/>
  <c r="A14830" i="1"/>
  <c r="B14830" i="1"/>
  <c r="C14830" i="1"/>
  <c r="D14830" i="1"/>
  <c r="A14831" i="1"/>
  <c r="B14831" i="1"/>
  <c r="C14831" i="1"/>
  <c r="D14831" i="1"/>
  <c r="A14832" i="1"/>
  <c r="B14832" i="1"/>
  <c r="C14832" i="1"/>
  <c r="D14832" i="1"/>
  <c r="A14833" i="1"/>
  <c r="B14833" i="1"/>
  <c r="C14833" i="1"/>
  <c r="D14833" i="1"/>
  <c r="A14834" i="1"/>
  <c r="B14834" i="1"/>
  <c r="C14834" i="1"/>
  <c r="D14834" i="1"/>
  <c r="A14835" i="1"/>
  <c r="B14835" i="1"/>
  <c r="C14835" i="1"/>
  <c r="D14835" i="1"/>
  <c r="A14836" i="1"/>
  <c r="B14836" i="1"/>
  <c r="C14836" i="1"/>
  <c r="D14836" i="1"/>
  <c r="A14837" i="1"/>
  <c r="B14837" i="1"/>
  <c r="C14837" i="1"/>
  <c r="D14837" i="1"/>
  <c r="A14838" i="1"/>
  <c r="B14838" i="1"/>
  <c r="C14838" i="1"/>
  <c r="D14838" i="1"/>
  <c r="A14839" i="1"/>
  <c r="B14839" i="1"/>
  <c r="C14839" i="1"/>
  <c r="D14839" i="1"/>
  <c r="A14840" i="1"/>
  <c r="B14840" i="1"/>
  <c r="C14840" i="1"/>
  <c r="D14840" i="1"/>
  <c r="A14841" i="1"/>
  <c r="B14841" i="1"/>
  <c r="C14841" i="1"/>
  <c r="D14841" i="1"/>
  <c r="A14842" i="1"/>
  <c r="B14842" i="1"/>
  <c r="C14842" i="1"/>
  <c r="D14842" i="1"/>
  <c r="A14843" i="1"/>
  <c r="B14843" i="1"/>
  <c r="C14843" i="1"/>
  <c r="D14843" i="1"/>
  <c r="A14844" i="1"/>
  <c r="B14844" i="1"/>
  <c r="C14844" i="1"/>
  <c r="D14844" i="1"/>
  <c r="A14845" i="1"/>
  <c r="B14845" i="1"/>
  <c r="C14845" i="1"/>
  <c r="D14845" i="1"/>
  <c r="A14846" i="1"/>
  <c r="B14846" i="1"/>
  <c r="C14846" i="1"/>
  <c r="D14846" i="1"/>
  <c r="A14847" i="1"/>
  <c r="B14847" i="1"/>
  <c r="C14847" i="1"/>
  <c r="D14847" i="1"/>
  <c r="A14848" i="1"/>
  <c r="B14848" i="1"/>
  <c r="C14848" i="1"/>
  <c r="D14848" i="1"/>
  <c r="A14849" i="1"/>
  <c r="B14849" i="1"/>
  <c r="C14849" i="1"/>
  <c r="D14849" i="1"/>
  <c r="A14850" i="1"/>
  <c r="B14850" i="1"/>
  <c r="C14850" i="1"/>
  <c r="D14850" i="1"/>
  <c r="A14851" i="1"/>
  <c r="B14851" i="1"/>
  <c r="C14851" i="1"/>
  <c r="D14851" i="1"/>
  <c r="A14852" i="1"/>
  <c r="B14852" i="1"/>
  <c r="C14852" i="1"/>
  <c r="A14853" i="1"/>
  <c r="B14853" i="1"/>
  <c r="C14853" i="1"/>
  <c r="D14853" i="1"/>
  <c r="A14854" i="1"/>
  <c r="B14854" i="1"/>
  <c r="C14854" i="1"/>
  <c r="D14854" i="1"/>
  <c r="A14855" i="1"/>
  <c r="B14855" i="1"/>
  <c r="C14855" i="1"/>
  <c r="D14855" i="1"/>
  <c r="A14856" i="1"/>
  <c r="B14856" i="1"/>
  <c r="C14856" i="1"/>
  <c r="D14856" i="1"/>
  <c r="A14857" i="1"/>
  <c r="B14857" i="1"/>
  <c r="C14857" i="1"/>
  <c r="D14857" i="1"/>
  <c r="A14858" i="1"/>
  <c r="B14858" i="1"/>
  <c r="C14858" i="1"/>
  <c r="A14859" i="1"/>
  <c r="B14859" i="1"/>
  <c r="C14859" i="1"/>
  <c r="D14859" i="1"/>
  <c r="A14860" i="1"/>
  <c r="B14860" i="1"/>
  <c r="C14860" i="1"/>
  <c r="D14860" i="1"/>
  <c r="A14861" i="1"/>
  <c r="B14861" i="1"/>
  <c r="C14861" i="1"/>
  <c r="D14861" i="1"/>
  <c r="A14862" i="1"/>
  <c r="B14862" i="1"/>
  <c r="C14862" i="1"/>
  <c r="D14862" i="1"/>
  <c r="A14863" i="1"/>
  <c r="B14863" i="1"/>
  <c r="C14863" i="1"/>
  <c r="D14863" i="1"/>
  <c r="A14864" i="1"/>
  <c r="B14864" i="1"/>
  <c r="C14864" i="1"/>
  <c r="D14864" i="1"/>
  <c r="A14865" i="1"/>
  <c r="B14865" i="1"/>
  <c r="C14865" i="1"/>
  <c r="D14865" i="1"/>
  <c r="A14866" i="1"/>
  <c r="B14866" i="1"/>
  <c r="C14866" i="1"/>
  <c r="D14866" i="1"/>
  <c r="A14867" i="1"/>
  <c r="B14867" i="1"/>
  <c r="C14867" i="1"/>
  <c r="D14867" i="1"/>
  <c r="A14868" i="1"/>
  <c r="B14868" i="1"/>
  <c r="C14868" i="1"/>
  <c r="D14868" i="1"/>
  <c r="A14869" i="1"/>
  <c r="B14869" i="1"/>
  <c r="C14869" i="1"/>
  <c r="D14869" i="1"/>
  <c r="A14870" i="1"/>
  <c r="B14870" i="1"/>
  <c r="C14870" i="1"/>
  <c r="D14870" i="1"/>
  <c r="A14871" i="1"/>
  <c r="B14871" i="1"/>
  <c r="C14871" i="1"/>
  <c r="D14871" i="1"/>
  <c r="A14872" i="1"/>
  <c r="B14872" i="1"/>
  <c r="C14872" i="1"/>
  <c r="D14872" i="1"/>
  <c r="A14873" i="1"/>
  <c r="B14873" i="1"/>
  <c r="C14873" i="1"/>
  <c r="D14873" i="1"/>
  <c r="A14874" i="1"/>
  <c r="B14874" i="1"/>
  <c r="C14874" i="1"/>
  <c r="D14874" i="1"/>
  <c r="A14875" i="1"/>
  <c r="B14875" i="1"/>
  <c r="C14875" i="1"/>
  <c r="D14875" i="1"/>
  <c r="A14876" i="1"/>
  <c r="B14876" i="1"/>
  <c r="C14876" i="1"/>
  <c r="D14876" i="1"/>
  <c r="A14877" i="1"/>
  <c r="B14877" i="1"/>
  <c r="C14877" i="1"/>
  <c r="D14877" i="1"/>
  <c r="A14878" i="1"/>
  <c r="B14878" i="1"/>
  <c r="C14878" i="1"/>
  <c r="D14878" i="1"/>
  <c r="A14879" i="1"/>
  <c r="B14879" i="1"/>
  <c r="C14879" i="1"/>
  <c r="D14879" i="1"/>
  <c r="A14880" i="1"/>
  <c r="B14880" i="1"/>
  <c r="C14880" i="1"/>
  <c r="D14880" i="1"/>
  <c r="A14881" i="1"/>
  <c r="B14881" i="1"/>
  <c r="C14881" i="1"/>
  <c r="D14881" i="1"/>
  <c r="A14882" i="1"/>
  <c r="B14882" i="1"/>
  <c r="C14882" i="1"/>
  <c r="D14882" i="1"/>
  <c r="A14883" i="1"/>
  <c r="B14883" i="1"/>
  <c r="C14883" i="1"/>
  <c r="D14883" i="1"/>
  <c r="A14884" i="1"/>
  <c r="B14884" i="1"/>
  <c r="C14884" i="1"/>
  <c r="D14884" i="1"/>
  <c r="A14885" i="1"/>
  <c r="B14885" i="1"/>
  <c r="C14885" i="1"/>
  <c r="D14885" i="1"/>
  <c r="A14886" i="1"/>
  <c r="B14886" i="1"/>
  <c r="C14886" i="1"/>
  <c r="D14886" i="1"/>
  <c r="A14887" i="1"/>
  <c r="B14887" i="1"/>
  <c r="C14887" i="1"/>
  <c r="D14887" i="1"/>
  <c r="A14888" i="1"/>
  <c r="B14888" i="1"/>
  <c r="C14888" i="1"/>
  <c r="D14888" i="1"/>
  <c r="A14889" i="1"/>
  <c r="B14889" i="1"/>
  <c r="C14889" i="1"/>
  <c r="D14889" i="1"/>
  <c r="A14890" i="1"/>
  <c r="B14890" i="1"/>
  <c r="C14890" i="1"/>
  <c r="D14890" i="1"/>
  <c r="A14891" i="1"/>
  <c r="B14891" i="1"/>
  <c r="C14891" i="1"/>
  <c r="D14891" i="1"/>
  <c r="A14892" i="1"/>
  <c r="B14892" i="1"/>
  <c r="C14892" i="1"/>
  <c r="D14892" i="1"/>
  <c r="A14893" i="1"/>
  <c r="B14893" i="1"/>
  <c r="C14893" i="1"/>
  <c r="D14893" i="1"/>
  <c r="A14894" i="1"/>
  <c r="B14894" i="1"/>
  <c r="C14894" i="1"/>
  <c r="D14894" i="1"/>
  <c r="A14895" i="1"/>
  <c r="B14895" i="1"/>
  <c r="C14895" i="1"/>
  <c r="D14895" i="1"/>
  <c r="A14896" i="1"/>
  <c r="B14896" i="1"/>
  <c r="C14896" i="1"/>
  <c r="D14896" i="1"/>
  <c r="A14897" i="1"/>
  <c r="B14897" i="1"/>
  <c r="C14897" i="1"/>
  <c r="D14897" i="1"/>
  <c r="A14898" i="1"/>
  <c r="B14898" i="1"/>
  <c r="C14898" i="1"/>
  <c r="D14898" i="1"/>
  <c r="A14899" i="1"/>
  <c r="B14899" i="1"/>
  <c r="C14899" i="1"/>
  <c r="D14899" i="1"/>
  <c r="A14900" i="1"/>
  <c r="B14900" i="1"/>
  <c r="C14900" i="1"/>
  <c r="D14900" i="1"/>
  <c r="A14901" i="1"/>
  <c r="B14901" i="1"/>
  <c r="C14901" i="1"/>
  <c r="D14901" i="1"/>
  <c r="A14902" i="1"/>
  <c r="B14902" i="1"/>
  <c r="C14902" i="1"/>
  <c r="D14902" i="1"/>
  <c r="A14903" i="1"/>
  <c r="B14903" i="1"/>
  <c r="C14903" i="1"/>
  <c r="D14903" i="1"/>
  <c r="A14904" i="1"/>
  <c r="B14904" i="1"/>
  <c r="C14904" i="1"/>
  <c r="D14904" i="1"/>
  <c r="A14905" i="1"/>
  <c r="B14905" i="1"/>
  <c r="C14905" i="1"/>
  <c r="D14905" i="1"/>
  <c r="A14906" i="1"/>
  <c r="B14906" i="1"/>
  <c r="C14906" i="1"/>
  <c r="D14906" i="1"/>
  <c r="A14907" i="1"/>
  <c r="B14907" i="1"/>
  <c r="C14907" i="1"/>
  <c r="D14907" i="1"/>
  <c r="A14908" i="1"/>
  <c r="B14908" i="1"/>
  <c r="C14908" i="1"/>
  <c r="D14908" i="1"/>
  <c r="A14909" i="1"/>
  <c r="B14909" i="1"/>
  <c r="C14909" i="1"/>
  <c r="D14909" i="1"/>
  <c r="A14910" i="1"/>
  <c r="B14910" i="1"/>
  <c r="C14910" i="1"/>
  <c r="D14910" i="1"/>
  <c r="A14911" i="1"/>
  <c r="B14911" i="1"/>
  <c r="C14911" i="1"/>
  <c r="D14911" i="1"/>
  <c r="A14912" i="1"/>
  <c r="B14912" i="1"/>
  <c r="C14912" i="1"/>
  <c r="D14912" i="1"/>
  <c r="A14913" i="1"/>
  <c r="B14913" i="1"/>
  <c r="C14913" i="1"/>
  <c r="D14913" i="1"/>
  <c r="A14914" i="1"/>
  <c r="B14914" i="1"/>
  <c r="C14914" i="1"/>
  <c r="D14914" i="1"/>
  <c r="A14915" i="1"/>
  <c r="B14915" i="1"/>
  <c r="C14915" i="1"/>
  <c r="D14915" i="1"/>
  <c r="A14916" i="1"/>
  <c r="B14916" i="1"/>
  <c r="C14916" i="1"/>
  <c r="D14916" i="1"/>
  <c r="A14917" i="1"/>
  <c r="B14917" i="1"/>
  <c r="C14917" i="1"/>
  <c r="D14917" i="1"/>
  <c r="A14918" i="1"/>
  <c r="B14918" i="1"/>
  <c r="C14918" i="1"/>
  <c r="D14918" i="1"/>
  <c r="A14919" i="1"/>
  <c r="B14919" i="1"/>
  <c r="C14919" i="1"/>
  <c r="D14919" i="1"/>
  <c r="A14920" i="1"/>
  <c r="B14920" i="1"/>
  <c r="C14920" i="1"/>
  <c r="D14920" i="1"/>
  <c r="A14921" i="1"/>
  <c r="B14921" i="1"/>
  <c r="C14921" i="1"/>
  <c r="D14921" i="1"/>
  <c r="A14922" i="1"/>
  <c r="B14922" i="1"/>
  <c r="C14922" i="1"/>
  <c r="D14922" i="1"/>
  <c r="A14923" i="1"/>
  <c r="B14923" i="1"/>
  <c r="C14923" i="1"/>
  <c r="D14923" i="1"/>
  <c r="A14924" i="1"/>
  <c r="B14924" i="1"/>
  <c r="C14924" i="1"/>
  <c r="D14924" i="1"/>
  <c r="A14925" i="1"/>
  <c r="B14925" i="1"/>
  <c r="C14925" i="1"/>
  <c r="D14925" i="1"/>
  <c r="A14926" i="1"/>
  <c r="B14926" i="1"/>
  <c r="C14926" i="1"/>
  <c r="D14926" i="1"/>
  <c r="A14927" i="1"/>
  <c r="B14927" i="1"/>
  <c r="C14927" i="1"/>
  <c r="D14927" i="1"/>
  <c r="A14928" i="1"/>
  <c r="B14928" i="1"/>
  <c r="C14928" i="1"/>
  <c r="D14928" i="1"/>
  <c r="A14929" i="1"/>
  <c r="B14929" i="1"/>
  <c r="C14929" i="1"/>
  <c r="D14929" i="1"/>
  <c r="A14930" i="1"/>
  <c r="B14930" i="1"/>
  <c r="C14930" i="1"/>
  <c r="D14930" i="1"/>
  <c r="A14931" i="1"/>
  <c r="B14931" i="1"/>
  <c r="C14931" i="1"/>
  <c r="D14931" i="1"/>
  <c r="A14932" i="1"/>
  <c r="B14932" i="1"/>
  <c r="C14932" i="1"/>
  <c r="A14933" i="1"/>
  <c r="B14933" i="1"/>
  <c r="C14933" i="1"/>
  <c r="D14933" i="1"/>
  <c r="A14934" i="1"/>
  <c r="B14934" i="1"/>
  <c r="C14934" i="1"/>
  <c r="D14934" i="1"/>
  <c r="A14935" i="1"/>
  <c r="B14935" i="1"/>
  <c r="C14935" i="1"/>
  <c r="D14935" i="1"/>
  <c r="A14936" i="1"/>
  <c r="B14936" i="1"/>
  <c r="C14936" i="1"/>
  <c r="D14936" i="1"/>
  <c r="A14937" i="1"/>
  <c r="B14937" i="1"/>
  <c r="C14937" i="1"/>
  <c r="D14937" i="1"/>
  <c r="A14938" i="1"/>
  <c r="B14938" i="1"/>
  <c r="C14938" i="1"/>
  <c r="D14938" i="1"/>
  <c r="A14939" i="1"/>
  <c r="B14939" i="1"/>
  <c r="C14939" i="1"/>
  <c r="D14939" i="1"/>
  <c r="A14940" i="1"/>
  <c r="B14940" i="1"/>
  <c r="C14940" i="1"/>
  <c r="D14940" i="1"/>
  <c r="A14941" i="1"/>
  <c r="B14941" i="1"/>
  <c r="C14941" i="1"/>
  <c r="D14941" i="1"/>
  <c r="A14942" i="1"/>
  <c r="B14942" i="1"/>
  <c r="C14942" i="1"/>
  <c r="D14942" i="1"/>
  <c r="A14943" i="1"/>
  <c r="B14943" i="1"/>
  <c r="C14943" i="1"/>
  <c r="D14943" i="1"/>
  <c r="A14944" i="1"/>
  <c r="B14944" i="1"/>
  <c r="C14944" i="1"/>
  <c r="D14944" i="1"/>
  <c r="A14945" i="1"/>
  <c r="B14945" i="1"/>
  <c r="C14945" i="1"/>
  <c r="D14945" i="1"/>
  <c r="A14946" i="1"/>
  <c r="B14946" i="1"/>
  <c r="C14946" i="1"/>
  <c r="D14946" i="1"/>
  <c r="A14947" i="1"/>
  <c r="B14947" i="1"/>
  <c r="C14947" i="1"/>
  <c r="D14947" i="1"/>
  <c r="A14948" i="1"/>
  <c r="B14948" i="1"/>
  <c r="C14948" i="1"/>
  <c r="D14948" i="1"/>
  <c r="A14949" i="1"/>
  <c r="B14949" i="1"/>
  <c r="C14949" i="1"/>
  <c r="D14949" i="1"/>
  <c r="A14950" i="1"/>
  <c r="B14950" i="1"/>
  <c r="C14950" i="1"/>
  <c r="D14950" i="1"/>
  <c r="A14951" i="1"/>
  <c r="B14951" i="1"/>
  <c r="C14951" i="1"/>
  <c r="D14951" i="1"/>
  <c r="A14952" i="1"/>
  <c r="B14952" i="1"/>
  <c r="C14952" i="1"/>
  <c r="D14952" i="1"/>
  <c r="A14953" i="1"/>
  <c r="B14953" i="1"/>
  <c r="C14953" i="1"/>
  <c r="D14953" i="1"/>
  <c r="A14954" i="1"/>
  <c r="B14954" i="1"/>
  <c r="C14954" i="1"/>
  <c r="D14954" i="1"/>
  <c r="A14955" i="1"/>
  <c r="B14955" i="1"/>
  <c r="C14955" i="1"/>
  <c r="D14955" i="1"/>
  <c r="A14956" i="1"/>
  <c r="B14956" i="1"/>
  <c r="C14956" i="1"/>
  <c r="D14956" i="1"/>
  <c r="A14957" i="1"/>
  <c r="B14957" i="1"/>
  <c r="C14957" i="1"/>
  <c r="D14957" i="1"/>
  <c r="A14958" i="1"/>
  <c r="B14958" i="1"/>
  <c r="C14958" i="1"/>
  <c r="D14958" i="1"/>
  <c r="A14959" i="1"/>
  <c r="B14959" i="1"/>
  <c r="C14959" i="1"/>
  <c r="A14960" i="1"/>
  <c r="B14960" i="1"/>
  <c r="C14960" i="1"/>
  <c r="D14960" i="1"/>
  <c r="A14961" i="1"/>
  <c r="B14961" i="1"/>
  <c r="C14961" i="1"/>
  <c r="A14962" i="1"/>
  <c r="B14962" i="1"/>
  <c r="C14962" i="1"/>
  <c r="D14962" i="1"/>
  <c r="A14963" i="1"/>
  <c r="B14963" i="1"/>
  <c r="C14963" i="1"/>
  <c r="D14963" i="1"/>
  <c r="A14964" i="1"/>
  <c r="B14964" i="1"/>
  <c r="C14964" i="1"/>
  <c r="D14964" i="1"/>
  <c r="A14965" i="1"/>
  <c r="B14965" i="1"/>
  <c r="C14965" i="1"/>
  <c r="D14965" i="1"/>
  <c r="A14966" i="1"/>
  <c r="B14966" i="1"/>
  <c r="C14966" i="1"/>
  <c r="D14966" i="1"/>
  <c r="A14967" i="1"/>
  <c r="B14967" i="1"/>
  <c r="C14967" i="1"/>
  <c r="D14967" i="1"/>
  <c r="A14968" i="1"/>
  <c r="B14968" i="1"/>
  <c r="C14968" i="1"/>
  <c r="D14968" i="1"/>
  <c r="A14969" i="1"/>
  <c r="B14969" i="1"/>
  <c r="C14969" i="1"/>
  <c r="D14969" i="1"/>
  <c r="A14970" i="1"/>
  <c r="B14970" i="1"/>
  <c r="C14970" i="1"/>
  <c r="D14970" i="1"/>
  <c r="A14971" i="1"/>
  <c r="B14971" i="1"/>
  <c r="C14971" i="1"/>
  <c r="D14971" i="1"/>
  <c r="A14972" i="1"/>
  <c r="B14972" i="1"/>
  <c r="C14972" i="1"/>
  <c r="D14972" i="1"/>
  <c r="A14973" i="1"/>
  <c r="B14973" i="1"/>
  <c r="C14973" i="1"/>
  <c r="D14973" i="1"/>
  <c r="A14974" i="1"/>
  <c r="B14974" i="1"/>
  <c r="C14974" i="1"/>
  <c r="D14974" i="1"/>
  <c r="A14975" i="1"/>
  <c r="B14975" i="1"/>
  <c r="C14975" i="1"/>
  <c r="D14975" i="1"/>
  <c r="A14976" i="1"/>
  <c r="B14976" i="1"/>
  <c r="C14976" i="1"/>
  <c r="D14976" i="1"/>
  <c r="A14977" i="1"/>
  <c r="B14977" i="1"/>
  <c r="C14977" i="1"/>
  <c r="D14977" i="1"/>
  <c r="A14978" i="1"/>
  <c r="B14978" i="1"/>
  <c r="C14978" i="1"/>
  <c r="D14978" i="1"/>
  <c r="A14979" i="1"/>
  <c r="B14979" i="1"/>
  <c r="C14979" i="1"/>
  <c r="D14979" i="1"/>
  <c r="A14980" i="1"/>
  <c r="B14980" i="1"/>
  <c r="C14980" i="1"/>
  <c r="D14980" i="1"/>
  <c r="A14981" i="1"/>
  <c r="B14981" i="1"/>
  <c r="C14981" i="1"/>
  <c r="D14981" i="1"/>
  <c r="A14982" i="1"/>
  <c r="B14982" i="1"/>
  <c r="C14982" i="1"/>
  <c r="D14982" i="1"/>
  <c r="A14983" i="1"/>
  <c r="B14983" i="1"/>
  <c r="C14983" i="1"/>
  <c r="D14983" i="1"/>
  <c r="A14984" i="1"/>
  <c r="B14984" i="1"/>
  <c r="C14984" i="1"/>
  <c r="D14984" i="1"/>
  <c r="A14985" i="1"/>
  <c r="B14985" i="1"/>
  <c r="C14985" i="1"/>
  <c r="D14985" i="1"/>
  <c r="A14986" i="1"/>
  <c r="B14986" i="1"/>
  <c r="C14986" i="1"/>
  <c r="D14986" i="1"/>
  <c r="A14987" i="1"/>
  <c r="B14987" i="1"/>
  <c r="C14987" i="1"/>
  <c r="D14987" i="1"/>
  <c r="A14988" i="1"/>
  <c r="B14988" i="1"/>
  <c r="C14988" i="1"/>
  <c r="D14988" i="1"/>
  <c r="A14989" i="1"/>
  <c r="B14989" i="1"/>
  <c r="C14989" i="1"/>
  <c r="D14989" i="1"/>
  <c r="A14990" i="1"/>
  <c r="B14990" i="1"/>
  <c r="C14990" i="1"/>
  <c r="D14990" i="1"/>
  <c r="A14991" i="1"/>
  <c r="B14991" i="1"/>
  <c r="C14991" i="1"/>
  <c r="D14991" i="1"/>
  <c r="A14992" i="1"/>
  <c r="B14992" i="1"/>
  <c r="C14992" i="1"/>
  <c r="D14992" i="1"/>
  <c r="A14993" i="1"/>
  <c r="B14993" i="1"/>
  <c r="C14993" i="1"/>
  <c r="D14993" i="1"/>
  <c r="A14994" i="1"/>
  <c r="B14994" i="1"/>
  <c r="C14994" i="1"/>
  <c r="D14994" i="1"/>
  <c r="A14995" i="1"/>
  <c r="B14995" i="1"/>
  <c r="C14995" i="1"/>
  <c r="D14995" i="1"/>
  <c r="A14996" i="1"/>
  <c r="B14996" i="1"/>
  <c r="C14996" i="1"/>
  <c r="D14996" i="1"/>
  <c r="A14997" i="1"/>
  <c r="B14997" i="1"/>
  <c r="C14997" i="1"/>
  <c r="D14997" i="1"/>
  <c r="A14998" i="1"/>
  <c r="B14998" i="1"/>
  <c r="C14998" i="1"/>
  <c r="D14998" i="1"/>
  <c r="A14999" i="1"/>
  <c r="B14999" i="1"/>
  <c r="C14999" i="1"/>
  <c r="D14999" i="1"/>
  <c r="A15000" i="1"/>
  <c r="B15000" i="1"/>
  <c r="C15000" i="1"/>
  <c r="D15000" i="1"/>
  <c r="A15001" i="1"/>
  <c r="B15001" i="1"/>
  <c r="C15001" i="1"/>
  <c r="D15001" i="1"/>
  <c r="A15002" i="1"/>
  <c r="B15002" i="1"/>
  <c r="C15002" i="1"/>
  <c r="D15002" i="1"/>
  <c r="A15003" i="1"/>
  <c r="B15003" i="1"/>
  <c r="C15003" i="1"/>
  <c r="D15003" i="1"/>
  <c r="A15004" i="1"/>
  <c r="B15004" i="1"/>
  <c r="C15004" i="1"/>
  <c r="D15004" i="1"/>
  <c r="A15005" i="1"/>
  <c r="B15005" i="1"/>
  <c r="C15005" i="1"/>
  <c r="D15005" i="1"/>
  <c r="A15006" i="1"/>
  <c r="B15006" i="1"/>
  <c r="C15006" i="1"/>
  <c r="D15006" i="1"/>
  <c r="A15007" i="1"/>
  <c r="B15007" i="1"/>
  <c r="C15007" i="1"/>
  <c r="D15007" i="1"/>
  <c r="A15008" i="1"/>
  <c r="B15008" i="1"/>
  <c r="C15008" i="1"/>
  <c r="D15008" i="1"/>
  <c r="A15009" i="1"/>
  <c r="B15009" i="1"/>
  <c r="C15009" i="1"/>
  <c r="D15009" i="1"/>
  <c r="A15010" i="1"/>
  <c r="B15010" i="1"/>
  <c r="C15010" i="1"/>
  <c r="D15010" i="1"/>
  <c r="A15011" i="1"/>
  <c r="B15011" i="1"/>
  <c r="C15011" i="1"/>
  <c r="D15011" i="1"/>
  <c r="A15012" i="1"/>
  <c r="B15012" i="1"/>
  <c r="C15012" i="1"/>
  <c r="D15012" i="1"/>
  <c r="A15013" i="1"/>
  <c r="B15013" i="1"/>
  <c r="C15013" i="1"/>
  <c r="D15013" i="1"/>
  <c r="A15014" i="1"/>
  <c r="B15014" i="1"/>
  <c r="C15014" i="1"/>
  <c r="D15014" i="1"/>
  <c r="A15015" i="1"/>
  <c r="B15015" i="1"/>
  <c r="C15015" i="1"/>
  <c r="D15015" i="1"/>
  <c r="A15016" i="1"/>
  <c r="B15016" i="1"/>
  <c r="C15016" i="1"/>
  <c r="D15016" i="1"/>
  <c r="A15017" i="1"/>
  <c r="B15017" i="1"/>
  <c r="C15017" i="1"/>
  <c r="D15017" i="1"/>
  <c r="A15018" i="1"/>
  <c r="B15018" i="1"/>
  <c r="C15018" i="1"/>
  <c r="D15018" i="1"/>
  <c r="A15019" i="1"/>
  <c r="B15019" i="1"/>
  <c r="C15019" i="1"/>
  <c r="D15019" i="1"/>
  <c r="A15020" i="1"/>
  <c r="B15020" i="1"/>
  <c r="C15020" i="1"/>
  <c r="D15020" i="1"/>
  <c r="A15021" i="1"/>
  <c r="B15021" i="1"/>
  <c r="C15021" i="1"/>
  <c r="D15021" i="1"/>
  <c r="A15022" i="1"/>
  <c r="B15022" i="1"/>
  <c r="C15022" i="1"/>
  <c r="D15022" i="1"/>
  <c r="A15023" i="1"/>
  <c r="B15023" i="1"/>
  <c r="C15023" i="1"/>
  <c r="D15023" i="1"/>
  <c r="A15024" i="1"/>
  <c r="B15024" i="1"/>
  <c r="C15024" i="1"/>
  <c r="D15024" i="1"/>
  <c r="A15025" i="1"/>
  <c r="B15025" i="1"/>
  <c r="C15025" i="1"/>
  <c r="D15025" i="1"/>
  <c r="A15026" i="1"/>
  <c r="B15026" i="1"/>
  <c r="C15026" i="1"/>
  <c r="D15026" i="1"/>
  <c r="A15027" i="1"/>
  <c r="B15027" i="1"/>
  <c r="C15027" i="1"/>
  <c r="D15027" i="1"/>
  <c r="A15028" i="1"/>
  <c r="B15028" i="1"/>
  <c r="C15028" i="1"/>
  <c r="D15028" i="1"/>
  <c r="A15029" i="1"/>
  <c r="B15029" i="1"/>
  <c r="C15029" i="1"/>
  <c r="D15029" i="1"/>
  <c r="A15030" i="1"/>
  <c r="B15030" i="1"/>
  <c r="C15030" i="1"/>
  <c r="D15030" i="1"/>
  <c r="A15031" i="1"/>
  <c r="B15031" i="1"/>
  <c r="C15031" i="1"/>
  <c r="D15031" i="1"/>
  <c r="A15032" i="1"/>
  <c r="B15032" i="1"/>
  <c r="C15032" i="1"/>
  <c r="D15032" i="1"/>
  <c r="A15033" i="1"/>
  <c r="B15033" i="1"/>
  <c r="C15033" i="1"/>
  <c r="D15033" i="1"/>
  <c r="A15034" i="1"/>
  <c r="B15034" i="1"/>
  <c r="C15034" i="1"/>
  <c r="D15034" i="1"/>
  <c r="A15035" i="1"/>
  <c r="B15035" i="1"/>
  <c r="C15035" i="1"/>
  <c r="D15035" i="1"/>
  <c r="A15036" i="1"/>
  <c r="B15036" i="1"/>
  <c r="C15036" i="1"/>
  <c r="A15037" i="1"/>
  <c r="B15037" i="1"/>
  <c r="C15037" i="1"/>
  <c r="D15037" i="1"/>
  <c r="A15038" i="1"/>
  <c r="B15038" i="1"/>
  <c r="C15038" i="1"/>
  <c r="D15038" i="1"/>
  <c r="A15039" i="1"/>
  <c r="B15039" i="1"/>
  <c r="C15039" i="1"/>
  <c r="A15040" i="1"/>
  <c r="B15040" i="1"/>
  <c r="C15040" i="1"/>
  <c r="D15040" i="1"/>
  <c r="A15041" i="1"/>
  <c r="B15041" i="1"/>
  <c r="C15041" i="1"/>
  <c r="D15041" i="1"/>
  <c r="A15042" i="1"/>
  <c r="B15042" i="1"/>
  <c r="C15042" i="1"/>
  <c r="D15042" i="1"/>
  <c r="A15043" i="1"/>
  <c r="B15043" i="1"/>
  <c r="C15043" i="1"/>
  <c r="D15043" i="1"/>
  <c r="A15044" i="1"/>
  <c r="B15044" i="1"/>
  <c r="C15044" i="1"/>
  <c r="D15044" i="1"/>
  <c r="A15045" i="1"/>
  <c r="B15045" i="1"/>
  <c r="C15045" i="1"/>
  <c r="D15045" i="1"/>
  <c r="A15046" i="1"/>
  <c r="B15046" i="1"/>
  <c r="C15046" i="1"/>
  <c r="D15046" i="1"/>
  <c r="A15047" i="1"/>
  <c r="B15047" i="1"/>
  <c r="C15047" i="1"/>
  <c r="D15047" i="1"/>
  <c r="A15048" i="1"/>
  <c r="B15048" i="1"/>
  <c r="C15048" i="1"/>
  <c r="D15048" i="1"/>
  <c r="A15049" i="1"/>
  <c r="B15049" i="1"/>
  <c r="C15049" i="1"/>
  <c r="D15049" i="1"/>
  <c r="A15050" i="1"/>
  <c r="B15050" i="1"/>
  <c r="C15050" i="1"/>
  <c r="A15051" i="1"/>
  <c r="B15051" i="1"/>
  <c r="C15051" i="1"/>
  <c r="D15051" i="1"/>
  <c r="A15052" i="1"/>
  <c r="B15052" i="1"/>
  <c r="C15052" i="1"/>
  <c r="D15052" i="1"/>
  <c r="A15053" i="1"/>
  <c r="B15053" i="1"/>
  <c r="C15053" i="1"/>
  <c r="D15053" i="1"/>
  <c r="A15054" i="1"/>
  <c r="B15054" i="1"/>
  <c r="C15054" i="1"/>
  <c r="D15054" i="1"/>
  <c r="A15055" i="1"/>
  <c r="B15055" i="1"/>
  <c r="C15055" i="1"/>
  <c r="D15055" i="1"/>
  <c r="A15056" i="1"/>
  <c r="B15056" i="1"/>
  <c r="C15056" i="1"/>
  <c r="D15056" i="1"/>
  <c r="A15057" i="1"/>
  <c r="B15057" i="1"/>
  <c r="C15057" i="1"/>
  <c r="A15058" i="1"/>
  <c r="B15058" i="1"/>
  <c r="C15058" i="1"/>
  <c r="D15058" i="1"/>
  <c r="A15059" i="1"/>
  <c r="B15059" i="1"/>
  <c r="C15059" i="1"/>
  <c r="D15059" i="1"/>
  <c r="A15060" i="1"/>
  <c r="B15060" i="1"/>
  <c r="C15060" i="1"/>
  <c r="D15060" i="1"/>
  <c r="A15061" i="1"/>
  <c r="B15061" i="1"/>
  <c r="C15061" i="1"/>
  <c r="D15061" i="1"/>
  <c r="A15062" i="1"/>
  <c r="B15062" i="1"/>
  <c r="C15062" i="1"/>
  <c r="D15062" i="1"/>
  <c r="A15063" i="1"/>
  <c r="B15063" i="1"/>
  <c r="C15063" i="1"/>
  <c r="D15063" i="1"/>
  <c r="A15064" i="1"/>
  <c r="B15064" i="1"/>
  <c r="C15064" i="1"/>
  <c r="D15064" i="1"/>
  <c r="A15065" i="1"/>
  <c r="B15065" i="1"/>
  <c r="C15065" i="1"/>
  <c r="D15065" i="1"/>
  <c r="A15066" i="1"/>
  <c r="B15066" i="1"/>
  <c r="C15066" i="1"/>
  <c r="D15066" i="1"/>
  <c r="A15067" i="1"/>
  <c r="B15067" i="1"/>
  <c r="C15067" i="1"/>
  <c r="D15067" i="1"/>
  <c r="A15068" i="1"/>
  <c r="B15068" i="1"/>
  <c r="C15068" i="1"/>
  <c r="D15068" i="1"/>
  <c r="A15069" i="1"/>
  <c r="B15069" i="1"/>
  <c r="C15069" i="1"/>
  <c r="D15069" i="1"/>
  <c r="A15070" i="1"/>
  <c r="B15070" i="1"/>
  <c r="C15070" i="1"/>
  <c r="D15070" i="1"/>
  <c r="A15071" i="1"/>
  <c r="B15071" i="1"/>
  <c r="C15071" i="1"/>
  <c r="D15071" i="1"/>
  <c r="A15072" i="1"/>
  <c r="B15072" i="1"/>
  <c r="C15072" i="1"/>
  <c r="D15072" i="1"/>
  <c r="A15073" i="1"/>
  <c r="B15073" i="1"/>
  <c r="C15073" i="1"/>
  <c r="D15073" i="1"/>
  <c r="A15074" i="1"/>
  <c r="B15074" i="1"/>
  <c r="C15074" i="1"/>
  <c r="D15074" i="1"/>
  <c r="A15075" i="1"/>
  <c r="B15075" i="1"/>
  <c r="C15075" i="1"/>
  <c r="D15075" i="1"/>
  <c r="A15076" i="1"/>
  <c r="B15076" i="1"/>
  <c r="C15076" i="1"/>
  <c r="D15076" i="1"/>
  <c r="A15077" i="1"/>
  <c r="B15077" i="1"/>
  <c r="C15077" i="1"/>
  <c r="D15077" i="1"/>
  <c r="A15078" i="1"/>
  <c r="B15078" i="1"/>
  <c r="C15078" i="1"/>
  <c r="D15078" i="1"/>
  <c r="A15079" i="1"/>
  <c r="B15079" i="1"/>
  <c r="C15079" i="1"/>
  <c r="D15079" i="1"/>
  <c r="A15080" i="1"/>
  <c r="B15080" i="1"/>
  <c r="C15080" i="1"/>
  <c r="D15080" i="1"/>
  <c r="A15081" i="1"/>
  <c r="B15081" i="1"/>
  <c r="C15081" i="1"/>
  <c r="D15081" i="1"/>
  <c r="A15082" i="1"/>
  <c r="B15082" i="1"/>
  <c r="C15082" i="1"/>
  <c r="D15082" i="1"/>
  <c r="A15083" i="1"/>
  <c r="B15083" i="1"/>
  <c r="C15083" i="1"/>
  <c r="D15083" i="1"/>
  <c r="A15084" i="1"/>
  <c r="B15084" i="1"/>
  <c r="C15084" i="1"/>
  <c r="D15084" i="1"/>
  <c r="A15085" i="1"/>
  <c r="B15085" i="1"/>
  <c r="C15085" i="1"/>
  <c r="D15085" i="1"/>
  <c r="A15086" i="1"/>
  <c r="B15086" i="1"/>
  <c r="C15086" i="1"/>
  <c r="D15086" i="1"/>
  <c r="A15087" i="1"/>
  <c r="B15087" i="1"/>
  <c r="C15087" i="1"/>
  <c r="D15087" i="1"/>
  <c r="A15088" i="1"/>
  <c r="B15088" i="1"/>
  <c r="C15088" i="1"/>
  <c r="D15088" i="1"/>
  <c r="A15089" i="1"/>
  <c r="B15089" i="1"/>
  <c r="C15089" i="1"/>
  <c r="D15089" i="1"/>
  <c r="A15090" i="1"/>
  <c r="B15090" i="1"/>
  <c r="C15090" i="1"/>
  <c r="D15090" i="1"/>
  <c r="A15091" i="1"/>
  <c r="B15091" i="1"/>
  <c r="C15091" i="1"/>
  <c r="D15091" i="1"/>
  <c r="A15092" i="1"/>
  <c r="B15092" i="1"/>
  <c r="C15092" i="1"/>
  <c r="D15092" i="1"/>
  <c r="A15093" i="1"/>
  <c r="B15093" i="1"/>
  <c r="C15093" i="1"/>
  <c r="D15093" i="1"/>
  <c r="A15094" i="1"/>
  <c r="B15094" i="1"/>
  <c r="C15094" i="1"/>
  <c r="D15094" i="1"/>
  <c r="A15095" i="1"/>
  <c r="B15095" i="1"/>
  <c r="C15095" i="1"/>
  <c r="D15095" i="1"/>
  <c r="A15096" i="1"/>
  <c r="B15096" i="1"/>
  <c r="C15096" i="1"/>
  <c r="D15096" i="1"/>
  <c r="A15097" i="1"/>
  <c r="B15097" i="1"/>
  <c r="C15097" i="1"/>
  <c r="D15097" i="1"/>
  <c r="A15098" i="1"/>
  <c r="B15098" i="1"/>
  <c r="C15098" i="1"/>
  <c r="D15098" i="1"/>
  <c r="A15099" i="1"/>
  <c r="B15099" i="1"/>
  <c r="C15099" i="1"/>
  <c r="D15099" i="1"/>
  <c r="A15100" i="1"/>
  <c r="B15100" i="1"/>
  <c r="C15100" i="1"/>
  <c r="D15100" i="1"/>
  <c r="A15101" i="1"/>
  <c r="B15101" i="1"/>
  <c r="C15101" i="1"/>
  <c r="D15101" i="1"/>
  <c r="A15102" i="1"/>
  <c r="B15102" i="1"/>
  <c r="C15102" i="1"/>
  <c r="D15102" i="1"/>
  <c r="A15103" i="1"/>
  <c r="B15103" i="1"/>
  <c r="C15103" i="1"/>
  <c r="D15103" i="1"/>
  <c r="A15104" i="1"/>
  <c r="B15104" i="1"/>
  <c r="C15104" i="1"/>
  <c r="D15104" i="1"/>
  <c r="A15105" i="1"/>
  <c r="B15105" i="1"/>
  <c r="C15105" i="1"/>
  <c r="D15105" i="1"/>
  <c r="A15106" i="1"/>
  <c r="B15106" i="1"/>
  <c r="C15106" i="1"/>
  <c r="D15106" i="1"/>
  <c r="A15107" i="1"/>
  <c r="B15107" i="1"/>
  <c r="C15107" i="1"/>
  <c r="D15107" i="1"/>
  <c r="A15108" i="1"/>
  <c r="B15108" i="1"/>
  <c r="C15108" i="1"/>
  <c r="D15108" i="1"/>
  <c r="A15109" i="1"/>
  <c r="B15109" i="1"/>
  <c r="C15109" i="1"/>
  <c r="D15109" i="1"/>
  <c r="A15110" i="1"/>
  <c r="B15110" i="1"/>
  <c r="C15110" i="1"/>
  <c r="D15110" i="1"/>
  <c r="A15111" i="1"/>
  <c r="B15111" i="1"/>
  <c r="C15111" i="1"/>
  <c r="D15111" i="1"/>
  <c r="A15112" i="1"/>
  <c r="B15112" i="1"/>
  <c r="C15112" i="1"/>
  <c r="D15112" i="1"/>
  <c r="A15113" i="1"/>
  <c r="B15113" i="1"/>
  <c r="C15113" i="1"/>
  <c r="D15113" i="1"/>
  <c r="A15114" i="1"/>
  <c r="B15114" i="1"/>
  <c r="C15114" i="1"/>
  <c r="A15115" i="1"/>
  <c r="B15115" i="1"/>
  <c r="C15115" i="1"/>
  <c r="D15115" i="1"/>
  <c r="A15116" i="1"/>
  <c r="B15116" i="1"/>
  <c r="C15116" i="1"/>
  <c r="D15116" i="1"/>
  <c r="A15117" i="1"/>
  <c r="B15117" i="1"/>
  <c r="C15117" i="1"/>
  <c r="D15117" i="1"/>
  <c r="A15118" i="1"/>
  <c r="B15118" i="1"/>
  <c r="C15118" i="1"/>
  <c r="D15118" i="1"/>
  <c r="A15119" i="1"/>
  <c r="B15119" i="1"/>
  <c r="C15119" i="1"/>
  <c r="D15119" i="1"/>
  <c r="A15120" i="1"/>
  <c r="B15120" i="1"/>
  <c r="C15120" i="1"/>
  <c r="D15120" i="1"/>
  <c r="A15121" i="1"/>
  <c r="B15121" i="1"/>
  <c r="C15121" i="1"/>
  <c r="D15121" i="1"/>
  <c r="A15122" i="1"/>
  <c r="B15122" i="1"/>
  <c r="C15122" i="1"/>
  <c r="D15122" i="1"/>
  <c r="A15123" i="1"/>
  <c r="B15123" i="1"/>
  <c r="C15123" i="1"/>
  <c r="D15123" i="1"/>
  <c r="A15124" i="1"/>
  <c r="B15124" i="1"/>
  <c r="C15124" i="1"/>
  <c r="A15125" i="1"/>
  <c r="B15125" i="1"/>
  <c r="C15125" i="1"/>
  <c r="D15125" i="1"/>
  <c r="A15126" i="1"/>
  <c r="B15126" i="1"/>
  <c r="C15126" i="1"/>
  <c r="D15126" i="1"/>
  <c r="A15127" i="1"/>
  <c r="B15127" i="1"/>
  <c r="C15127" i="1"/>
  <c r="A15128" i="1"/>
  <c r="B15128" i="1"/>
  <c r="C15128" i="1"/>
  <c r="D15128" i="1"/>
  <c r="A15129" i="1"/>
  <c r="B15129" i="1"/>
  <c r="C15129" i="1"/>
  <c r="D15129" i="1"/>
  <c r="A15130" i="1"/>
  <c r="B15130" i="1"/>
  <c r="C15130" i="1"/>
  <c r="D15130" i="1"/>
  <c r="A15131" i="1"/>
  <c r="B15131" i="1"/>
  <c r="C15131" i="1"/>
  <c r="D15131" i="1"/>
  <c r="A15132" i="1"/>
  <c r="B15132" i="1"/>
  <c r="C15132" i="1"/>
  <c r="D15132" i="1"/>
  <c r="A15133" i="1"/>
  <c r="B15133" i="1"/>
  <c r="C15133" i="1"/>
  <c r="D15133" i="1"/>
  <c r="A15134" i="1"/>
  <c r="B15134" i="1"/>
  <c r="C15134" i="1"/>
  <c r="D15134" i="1"/>
  <c r="A15135" i="1"/>
  <c r="B15135" i="1"/>
  <c r="C15135" i="1"/>
  <c r="D15135" i="1"/>
  <c r="A15136" i="1"/>
  <c r="B15136" i="1"/>
  <c r="C15136" i="1"/>
  <c r="D15136" i="1"/>
  <c r="A15137" i="1"/>
  <c r="B15137" i="1"/>
  <c r="C15137" i="1"/>
  <c r="D15137" i="1"/>
  <c r="A15138" i="1"/>
  <c r="B15138" i="1"/>
  <c r="C15138" i="1"/>
  <c r="D15138" i="1"/>
  <c r="A15139" i="1"/>
  <c r="B15139" i="1"/>
  <c r="C15139" i="1"/>
  <c r="D15139" i="1"/>
  <c r="A15140" i="1"/>
  <c r="B15140" i="1"/>
  <c r="C15140" i="1"/>
  <c r="D15140" i="1"/>
  <c r="A15141" i="1"/>
  <c r="B15141" i="1"/>
  <c r="C15141" i="1"/>
  <c r="D15141" i="1"/>
  <c r="A15142" i="1"/>
  <c r="B15142" i="1"/>
  <c r="C15142" i="1"/>
  <c r="D15142" i="1"/>
  <c r="A15143" i="1"/>
  <c r="B15143" i="1"/>
  <c r="C15143" i="1"/>
  <c r="D15143" i="1"/>
  <c r="A15144" i="1"/>
  <c r="B15144" i="1"/>
  <c r="C15144" i="1"/>
  <c r="D15144" i="1"/>
  <c r="A15145" i="1"/>
  <c r="B15145" i="1"/>
  <c r="C15145" i="1"/>
  <c r="D15145" i="1"/>
  <c r="A15146" i="1"/>
  <c r="B15146" i="1"/>
  <c r="C15146" i="1"/>
  <c r="D15146" i="1"/>
  <c r="A15147" i="1"/>
  <c r="B15147" i="1"/>
  <c r="C15147" i="1"/>
  <c r="D15147" i="1"/>
  <c r="A15148" i="1"/>
  <c r="B15148" i="1"/>
  <c r="C15148" i="1"/>
  <c r="D15148" i="1"/>
  <c r="A15149" i="1"/>
  <c r="B15149" i="1"/>
  <c r="C15149" i="1"/>
  <c r="D15149" i="1"/>
  <c r="A15150" i="1"/>
  <c r="B15150" i="1"/>
  <c r="C15150" i="1"/>
  <c r="D15150" i="1"/>
  <c r="A15151" i="1"/>
  <c r="B15151" i="1"/>
  <c r="C15151" i="1"/>
  <c r="D15151" i="1"/>
  <c r="A15152" i="1"/>
  <c r="B15152" i="1"/>
  <c r="C15152" i="1"/>
  <c r="D15152" i="1"/>
  <c r="A15153" i="1"/>
  <c r="B15153" i="1"/>
  <c r="C15153" i="1"/>
  <c r="D15153" i="1"/>
  <c r="A15154" i="1"/>
  <c r="B15154" i="1"/>
  <c r="C15154" i="1"/>
  <c r="D15154" i="1"/>
  <c r="A15155" i="1"/>
  <c r="B15155" i="1"/>
  <c r="C15155" i="1"/>
  <c r="D15155" i="1"/>
  <c r="A15156" i="1"/>
  <c r="B15156" i="1"/>
  <c r="C15156" i="1"/>
  <c r="D15156" i="1"/>
  <c r="A15157" i="1"/>
  <c r="B15157" i="1"/>
  <c r="C15157" i="1"/>
  <c r="D15157" i="1"/>
  <c r="A15158" i="1"/>
  <c r="B15158" i="1"/>
  <c r="C15158" i="1"/>
  <c r="D15158" i="1"/>
  <c r="A15159" i="1"/>
  <c r="B15159" i="1"/>
  <c r="C15159" i="1"/>
  <c r="D15159" i="1"/>
  <c r="A15160" i="1"/>
  <c r="B15160" i="1"/>
  <c r="C15160" i="1"/>
  <c r="D15160" i="1"/>
  <c r="A15161" i="1"/>
  <c r="B15161" i="1"/>
  <c r="C15161" i="1"/>
  <c r="D15161" i="1"/>
  <c r="A15162" i="1"/>
  <c r="B15162" i="1"/>
  <c r="C15162" i="1"/>
  <c r="D15162" i="1"/>
  <c r="A15163" i="1"/>
  <c r="B15163" i="1"/>
  <c r="C15163" i="1"/>
  <c r="D15163" i="1"/>
  <c r="A15164" i="1"/>
  <c r="B15164" i="1"/>
  <c r="C15164" i="1"/>
  <c r="D15164" i="1"/>
  <c r="A15165" i="1"/>
  <c r="B15165" i="1"/>
  <c r="C15165" i="1"/>
  <c r="A15166" i="1"/>
  <c r="B15166" i="1"/>
  <c r="C15166" i="1"/>
  <c r="D15166" i="1"/>
  <c r="A15167" i="1"/>
  <c r="B15167" i="1"/>
  <c r="C15167" i="1"/>
  <c r="D15167" i="1"/>
  <c r="A15168" i="1"/>
  <c r="B15168" i="1"/>
  <c r="C15168" i="1"/>
  <c r="D15168" i="1"/>
  <c r="A15169" i="1"/>
  <c r="B15169" i="1"/>
  <c r="C15169" i="1"/>
  <c r="D15169" i="1"/>
  <c r="A15170" i="1"/>
  <c r="B15170" i="1"/>
  <c r="C15170" i="1"/>
  <c r="D15170" i="1"/>
  <c r="A15171" i="1"/>
  <c r="B15171" i="1"/>
  <c r="C15171" i="1"/>
  <c r="D15171" i="1"/>
  <c r="A15172" i="1"/>
  <c r="B15172" i="1"/>
  <c r="C15172" i="1"/>
  <c r="D15172" i="1"/>
  <c r="A15173" i="1"/>
  <c r="B15173" i="1"/>
  <c r="C15173" i="1"/>
  <c r="D15173" i="1"/>
  <c r="A15174" i="1"/>
  <c r="B15174" i="1"/>
  <c r="C15174" i="1"/>
  <c r="D15174" i="1"/>
  <c r="A15175" i="1"/>
  <c r="B15175" i="1"/>
  <c r="C15175" i="1"/>
  <c r="D15175" i="1"/>
  <c r="A15176" i="1"/>
  <c r="B15176" i="1"/>
  <c r="C15176" i="1"/>
  <c r="D15176" i="1"/>
  <c r="A15177" i="1"/>
  <c r="B15177" i="1"/>
  <c r="C15177" i="1"/>
  <c r="D15177" i="1"/>
  <c r="A15178" i="1"/>
  <c r="B15178" i="1"/>
  <c r="C15178" i="1"/>
  <c r="D15178" i="1"/>
  <c r="A15179" i="1"/>
  <c r="B15179" i="1"/>
  <c r="C15179" i="1"/>
  <c r="D15179" i="1"/>
  <c r="A15180" i="1"/>
  <c r="B15180" i="1"/>
  <c r="C15180" i="1"/>
  <c r="D15180" i="1"/>
  <c r="A15181" i="1"/>
  <c r="B15181" i="1"/>
  <c r="C15181" i="1"/>
  <c r="D15181" i="1"/>
  <c r="A15182" i="1"/>
  <c r="B15182" i="1"/>
  <c r="C15182" i="1"/>
  <c r="D15182" i="1"/>
  <c r="A15183" i="1"/>
  <c r="B15183" i="1"/>
  <c r="C15183" i="1"/>
  <c r="D15183" i="1"/>
  <c r="A15184" i="1"/>
  <c r="B15184" i="1"/>
  <c r="C15184" i="1"/>
  <c r="D15184" i="1"/>
  <c r="A15185" i="1"/>
  <c r="B15185" i="1"/>
  <c r="C15185" i="1"/>
  <c r="D15185" i="1"/>
  <c r="A15186" i="1"/>
  <c r="B15186" i="1"/>
  <c r="C15186" i="1"/>
  <c r="D15186" i="1"/>
  <c r="A15187" i="1"/>
  <c r="B15187" i="1"/>
  <c r="C15187" i="1"/>
  <c r="D15187" i="1"/>
  <c r="A15188" i="1"/>
  <c r="B15188" i="1"/>
  <c r="C15188" i="1"/>
  <c r="D15188" i="1"/>
  <c r="A15189" i="1"/>
  <c r="B15189" i="1"/>
  <c r="C15189" i="1"/>
  <c r="D15189" i="1"/>
  <c r="A15190" i="1"/>
  <c r="B15190" i="1"/>
  <c r="C15190" i="1"/>
  <c r="D15190" i="1"/>
  <c r="A15191" i="1"/>
  <c r="B15191" i="1"/>
  <c r="C15191" i="1"/>
  <c r="D15191" i="1"/>
  <c r="A15192" i="1"/>
  <c r="B15192" i="1"/>
  <c r="C15192" i="1"/>
  <c r="D15192" i="1"/>
  <c r="A15193" i="1"/>
  <c r="B15193" i="1"/>
  <c r="C15193" i="1"/>
  <c r="D15193" i="1"/>
  <c r="A15194" i="1"/>
  <c r="B15194" i="1"/>
  <c r="C15194" i="1"/>
  <c r="D15194" i="1"/>
  <c r="A15195" i="1"/>
  <c r="B15195" i="1"/>
  <c r="C15195" i="1"/>
  <c r="D15195" i="1"/>
  <c r="A15196" i="1"/>
  <c r="B15196" i="1"/>
  <c r="C15196" i="1"/>
  <c r="D15196" i="1"/>
  <c r="A15197" i="1"/>
  <c r="B15197" i="1"/>
  <c r="C15197" i="1"/>
  <c r="D15197" i="1"/>
  <c r="A15198" i="1"/>
  <c r="B15198" i="1"/>
  <c r="C15198" i="1"/>
  <c r="D15198" i="1"/>
  <c r="A15199" i="1"/>
  <c r="B15199" i="1"/>
  <c r="C15199" i="1"/>
  <c r="A15200" i="1"/>
  <c r="B15200" i="1"/>
  <c r="C15200" i="1"/>
  <c r="D15200" i="1"/>
  <c r="A15201" i="1"/>
  <c r="B15201" i="1"/>
  <c r="C15201" i="1"/>
  <c r="D15201" i="1"/>
  <c r="A15202" i="1"/>
  <c r="B15202" i="1"/>
  <c r="C15202" i="1"/>
  <c r="D15202" i="1"/>
  <c r="A15203" i="1"/>
  <c r="B15203" i="1"/>
  <c r="C15203" i="1"/>
  <c r="D15203" i="1"/>
  <c r="A15204" i="1"/>
  <c r="B15204" i="1"/>
  <c r="C15204" i="1"/>
  <c r="D15204" i="1"/>
  <c r="A15205" i="1"/>
  <c r="B15205" i="1"/>
  <c r="C15205" i="1"/>
  <c r="D15205" i="1"/>
  <c r="A15206" i="1"/>
  <c r="B15206" i="1"/>
  <c r="C15206" i="1"/>
  <c r="D15206" i="1"/>
  <c r="A15207" i="1"/>
  <c r="B15207" i="1"/>
  <c r="C15207" i="1"/>
  <c r="D15207" i="1"/>
  <c r="A15208" i="1"/>
  <c r="B15208" i="1"/>
  <c r="C15208" i="1"/>
  <c r="D15208" i="1"/>
  <c r="A15209" i="1"/>
  <c r="B15209" i="1"/>
  <c r="C15209" i="1"/>
  <c r="D15209" i="1"/>
  <c r="A15210" i="1"/>
  <c r="B15210" i="1"/>
  <c r="C15210" i="1"/>
  <c r="D15210" i="1"/>
  <c r="A15211" i="1"/>
  <c r="B15211" i="1"/>
  <c r="C15211" i="1"/>
  <c r="D15211" i="1"/>
  <c r="A15212" i="1"/>
  <c r="B15212" i="1"/>
  <c r="C15212" i="1"/>
  <c r="A15213" i="1"/>
  <c r="B15213" i="1"/>
  <c r="C15213" i="1"/>
  <c r="D15213" i="1"/>
  <c r="A15214" i="1"/>
  <c r="B15214" i="1"/>
  <c r="C15214" i="1"/>
  <c r="D15214" i="1"/>
  <c r="A15215" i="1"/>
  <c r="B15215" i="1"/>
  <c r="C15215" i="1"/>
  <c r="D15215" i="1"/>
  <c r="A15216" i="1"/>
  <c r="B15216" i="1"/>
  <c r="C15216" i="1"/>
  <c r="A15217" i="1"/>
  <c r="B15217" i="1"/>
  <c r="C15217" i="1"/>
  <c r="D15217" i="1"/>
  <c r="A15218" i="1"/>
  <c r="B15218" i="1"/>
  <c r="C15218" i="1"/>
  <c r="D15218" i="1"/>
  <c r="A15219" i="1"/>
  <c r="B15219" i="1"/>
  <c r="C15219" i="1"/>
  <c r="D15219" i="1"/>
  <c r="A15220" i="1"/>
  <c r="B15220" i="1"/>
  <c r="C15220" i="1"/>
  <c r="D15220" i="1"/>
  <c r="A15221" i="1"/>
  <c r="B15221" i="1"/>
  <c r="C15221" i="1"/>
  <c r="D15221" i="1"/>
  <c r="A15222" i="1"/>
  <c r="B15222" i="1"/>
  <c r="C15222" i="1"/>
  <c r="D15222" i="1"/>
  <c r="A15223" i="1"/>
  <c r="B15223" i="1"/>
  <c r="C15223" i="1"/>
  <c r="D15223" i="1"/>
  <c r="A15224" i="1"/>
  <c r="B15224" i="1"/>
  <c r="C15224" i="1"/>
  <c r="D15224" i="1"/>
  <c r="A15225" i="1"/>
  <c r="B15225" i="1"/>
  <c r="C15225" i="1"/>
  <c r="D15225" i="1"/>
  <c r="A15226" i="1"/>
  <c r="B15226" i="1"/>
  <c r="C15226" i="1"/>
  <c r="D15226" i="1"/>
  <c r="A15227" i="1"/>
  <c r="B15227" i="1"/>
  <c r="C15227" i="1"/>
  <c r="D15227" i="1"/>
  <c r="A15228" i="1"/>
  <c r="B15228" i="1"/>
  <c r="C15228" i="1"/>
  <c r="D15228" i="1"/>
  <c r="A15229" i="1"/>
  <c r="B15229" i="1"/>
  <c r="C15229" i="1"/>
  <c r="D15229" i="1"/>
  <c r="A15230" i="1"/>
  <c r="B15230" i="1"/>
  <c r="C15230" i="1"/>
  <c r="D15230" i="1"/>
  <c r="A15231" i="1"/>
  <c r="B15231" i="1"/>
  <c r="C15231" i="1"/>
  <c r="D15231" i="1"/>
  <c r="A15232" i="1"/>
  <c r="B15232" i="1"/>
  <c r="C15232" i="1"/>
  <c r="D15232" i="1"/>
  <c r="A15233" i="1"/>
  <c r="B15233" i="1"/>
  <c r="C15233" i="1"/>
  <c r="D15233" i="1"/>
  <c r="A15234" i="1"/>
  <c r="B15234" i="1"/>
  <c r="C15234" i="1"/>
  <c r="A15235" i="1"/>
  <c r="B15235" i="1"/>
  <c r="C15235" i="1"/>
  <c r="D15235" i="1"/>
  <c r="A15236" i="1"/>
  <c r="B15236" i="1"/>
  <c r="C15236" i="1"/>
  <c r="D15236" i="1"/>
  <c r="A15237" i="1"/>
  <c r="B15237" i="1"/>
  <c r="C15237" i="1"/>
  <c r="A15238" i="1"/>
  <c r="B15238" i="1"/>
  <c r="C15238" i="1"/>
  <c r="D15238" i="1"/>
  <c r="A15239" i="1"/>
  <c r="B15239" i="1"/>
  <c r="C15239" i="1"/>
  <c r="D15239" i="1"/>
  <c r="A15240" i="1"/>
  <c r="B15240" i="1"/>
  <c r="C15240" i="1"/>
  <c r="D15240" i="1"/>
  <c r="A15241" i="1"/>
  <c r="B15241" i="1"/>
  <c r="C15241" i="1"/>
  <c r="D15241" i="1"/>
  <c r="A15242" i="1"/>
  <c r="B15242" i="1"/>
  <c r="C15242" i="1"/>
  <c r="D15242" i="1"/>
  <c r="A15243" i="1"/>
  <c r="B15243" i="1"/>
  <c r="C15243" i="1"/>
  <c r="A15244" i="1"/>
  <c r="B15244" i="1"/>
  <c r="C15244" i="1"/>
  <c r="D15244" i="1"/>
  <c r="A15245" i="1"/>
  <c r="B15245" i="1"/>
  <c r="C15245" i="1"/>
  <c r="D15245" i="1"/>
  <c r="A15246" i="1"/>
  <c r="B15246" i="1"/>
  <c r="C15246" i="1"/>
  <c r="A15247" i="1"/>
  <c r="B15247" i="1"/>
  <c r="C15247" i="1"/>
  <c r="D15247" i="1"/>
  <c r="A15248" i="1"/>
  <c r="B15248" i="1"/>
  <c r="C15248" i="1"/>
  <c r="D15248" i="1"/>
  <c r="A15249" i="1"/>
  <c r="B15249" i="1"/>
  <c r="C15249" i="1"/>
  <c r="D15249" i="1"/>
  <c r="A15250" i="1"/>
  <c r="B15250" i="1"/>
  <c r="C15250" i="1"/>
  <c r="D15250" i="1"/>
  <c r="A15251" i="1"/>
  <c r="B15251" i="1"/>
  <c r="C15251" i="1"/>
  <c r="D15251" i="1"/>
  <c r="A15252" i="1"/>
  <c r="B15252" i="1"/>
  <c r="C15252" i="1"/>
  <c r="D15252" i="1"/>
  <c r="A15253" i="1"/>
  <c r="B15253" i="1"/>
  <c r="C15253" i="1"/>
  <c r="D15253" i="1"/>
  <c r="A15254" i="1"/>
  <c r="B15254" i="1"/>
  <c r="C15254" i="1"/>
  <c r="D15254" i="1"/>
  <c r="A15255" i="1"/>
  <c r="B15255" i="1"/>
  <c r="C15255" i="1"/>
  <c r="D15255" i="1"/>
  <c r="A15256" i="1"/>
  <c r="B15256" i="1"/>
  <c r="C15256" i="1"/>
  <c r="D15256" i="1"/>
  <c r="A15257" i="1"/>
  <c r="B15257" i="1"/>
  <c r="C15257" i="1"/>
  <c r="D15257" i="1"/>
  <c r="A15258" i="1"/>
  <c r="B15258" i="1"/>
  <c r="C15258" i="1"/>
  <c r="D15258" i="1"/>
  <c r="A15259" i="1"/>
  <c r="B15259" i="1"/>
  <c r="C15259" i="1"/>
  <c r="D15259" i="1"/>
  <c r="A15260" i="1"/>
  <c r="B15260" i="1"/>
  <c r="C15260" i="1"/>
  <c r="D15260" i="1"/>
  <c r="A15261" i="1"/>
  <c r="B15261" i="1"/>
  <c r="C15261" i="1"/>
  <c r="D15261" i="1"/>
  <c r="A15262" i="1"/>
  <c r="B15262" i="1"/>
  <c r="C15262" i="1"/>
  <c r="D15262" i="1"/>
  <c r="A15263" i="1"/>
  <c r="B15263" i="1"/>
  <c r="C15263" i="1"/>
  <c r="D15263" i="1"/>
  <c r="A15264" i="1"/>
  <c r="B15264" i="1"/>
  <c r="C15264" i="1"/>
  <c r="D15264" i="1"/>
  <c r="A15265" i="1"/>
  <c r="B15265" i="1"/>
  <c r="C15265" i="1"/>
  <c r="D15265" i="1"/>
  <c r="A15266" i="1"/>
  <c r="B15266" i="1"/>
  <c r="C15266" i="1"/>
  <c r="D15266" i="1"/>
  <c r="A15267" i="1"/>
  <c r="B15267" i="1"/>
  <c r="C15267" i="1"/>
  <c r="D15267" i="1"/>
  <c r="A15268" i="1"/>
  <c r="B15268" i="1"/>
  <c r="C15268" i="1"/>
  <c r="D15268" i="1"/>
  <c r="A15269" i="1"/>
  <c r="B15269" i="1"/>
  <c r="C15269" i="1"/>
  <c r="D15269" i="1"/>
  <c r="A15270" i="1"/>
  <c r="B15270" i="1"/>
  <c r="C15270" i="1"/>
  <c r="D15270" i="1"/>
  <c r="A15271" i="1"/>
  <c r="B15271" i="1"/>
  <c r="C15271" i="1"/>
  <c r="D15271" i="1"/>
  <c r="A15272" i="1"/>
  <c r="B15272" i="1"/>
  <c r="C15272" i="1"/>
  <c r="D15272" i="1"/>
  <c r="A15273" i="1"/>
  <c r="B15273" i="1"/>
  <c r="C15273" i="1"/>
  <c r="D15273" i="1"/>
  <c r="A15274" i="1"/>
  <c r="B15274" i="1"/>
  <c r="C15274" i="1"/>
  <c r="D15274" i="1"/>
  <c r="A15275" i="1"/>
  <c r="B15275" i="1"/>
  <c r="C15275" i="1"/>
  <c r="D15275" i="1"/>
  <c r="A15276" i="1"/>
  <c r="B15276" i="1"/>
  <c r="C15276" i="1"/>
  <c r="D15276" i="1"/>
  <c r="A15277" i="1"/>
  <c r="B15277" i="1"/>
  <c r="C15277" i="1"/>
  <c r="D15277" i="1"/>
  <c r="A15278" i="1"/>
  <c r="B15278" i="1"/>
  <c r="C15278" i="1"/>
  <c r="D15278" i="1"/>
  <c r="A15279" i="1"/>
  <c r="B15279" i="1"/>
  <c r="C15279" i="1"/>
  <c r="D15279" i="1"/>
  <c r="A15280" i="1"/>
  <c r="B15280" i="1"/>
  <c r="C15280" i="1"/>
  <c r="D15280" i="1"/>
  <c r="A15281" i="1"/>
  <c r="B15281" i="1"/>
  <c r="C15281" i="1"/>
  <c r="D15281" i="1"/>
  <c r="A15282" i="1"/>
  <c r="B15282" i="1"/>
  <c r="C15282" i="1"/>
  <c r="D15282" i="1"/>
  <c r="A15283" i="1"/>
  <c r="B15283" i="1"/>
  <c r="C15283" i="1"/>
  <c r="D15283" i="1"/>
  <c r="A15284" i="1"/>
  <c r="B15284" i="1"/>
  <c r="C15284" i="1"/>
  <c r="D15284" i="1"/>
  <c r="A15285" i="1"/>
  <c r="B15285" i="1"/>
  <c r="C15285" i="1"/>
  <c r="D15285" i="1"/>
  <c r="A15286" i="1"/>
  <c r="B15286" i="1"/>
  <c r="C15286" i="1"/>
  <c r="A15287" i="1"/>
  <c r="B15287" i="1"/>
  <c r="C15287" i="1"/>
  <c r="D15287" i="1"/>
  <c r="A15288" i="1"/>
  <c r="B15288" i="1"/>
  <c r="C15288" i="1"/>
  <c r="D15288" i="1"/>
  <c r="A15289" i="1"/>
  <c r="B15289" i="1"/>
  <c r="C15289" i="1"/>
  <c r="D15289" i="1"/>
  <c r="A15290" i="1"/>
  <c r="B15290" i="1"/>
  <c r="C15290" i="1"/>
  <c r="D15290" i="1"/>
  <c r="A15291" i="1"/>
  <c r="B15291" i="1"/>
  <c r="C15291" i="1"/>
  <c r="A15292" i="1"/>
  <c r="B15292" i="1"/>
  <c r="C15292" i="1"/>
  <c r="D15292" i="1"/>
  <c r="A15293" i="1"/>
  <c r="B15293" i="1"/>
  <c r="C15293" i="1"/>
  <c r="D15293" i="1"/>
  <c r="A15294" i="1"/>
  <c r="B15294" i="1"/>
  <c r="C15294" i="1"/>
  <c r="D15294" i="1"/>
  <c r="A15295" i="1"/>
  <c r="B15295" i="1"/>
  <c r="C15295" i="1"/>
  <c r="D15295" i="1"/>
  <c r="A15296" i="1"/>
  <c r="B15296" i="1"/>
  <c r="C15296" i="1"/>
  <c r="D15296" i="1"/>
  <c r="A15297" i="1"/>
  <c r="B15297" i="1"/>
  <c r="C15297" i="1"/>
  <c r="D15297" i="1"/>
  <c r="A15298" i="1"/>
  <c r="B15298" i="1"/>
  <c r="C15298" i="1"/>
  <c r="D15298" i="1"/>
  <c r="A15299" i="1"/>
  <c r="B15299" i="1"/>
  <c r="C15299" i="1"/>
  <c r="D15299" i="1"/>
  <c r="A15300" i="1"/>
  <c r="B15300" i="1"/>
  <c r="C15300" i="1"/>
  <c r="D15300" i="1"/>
  <c r="A15301" i="1"/>
  <c r="B15301" i="1"/>
  <c r="C15301" i="1"/>
  <c r="D15301" i="1"/>
  <c r="A15302" i="1"/>
  <c r="B15302" i="1"/>
  <c r="C15302" i="1"/>
  <c r="D15302" i="1"/>
  <c r="A15303" i="1"/>
  <c r="B15303" i="1"/>
  <c r="C15303" i="1"/>
  <c r="D15303" i="1"/>
  <c r="A15304" i="1"/>
  <c r="B15304" i="1"/>
  <c r="C15304" i="1"/>
  <c r="D15304" i="1"/>
  <c r="A15305" i="1"/>
  <c r="B15305" i="1"/>
  <c r="C15305" i="1"/>
  <c r="D15305" i="1"/>
  <c r="A15306" i="1"/>
  <c r="B15306" i="1"/>
  <c r="C15306" i="1"/>
  <c r="D15306" i="1"/>
  <c r="A15307" i="1"/>
  <c r="B15307" i="1"/>
  <c r="C15307" i="1"/>
  <c r="D15307" i="1"/>
  <c r="A15308" i="1"/>
  <c r="B15308" i="1"/>
  <c r="C15308" i="1"/>
  <c r="D15308" i="1"/>
  <c r="A15309" i="1"/>
  <c r="B15309" i="1"/>
  <c r="C15309" i="1"/>
  <c r="D15309" i="1"/>
  <c r="A15310" i="1"/>
  <c r="B15310" i="1"/>
  <c r="C15310" i="1"/>
  <c r="D15310" i="1"/>
  <c r="A15311" i="1"/>
  <c r="B15311" i="1"/>
  <c r="C15311" i="1"/>
  <c r="D15311" i="1"/>
  <c r="A15312" i="1"/>
  <c r="B15312" i="1"/>
  <c r="C15312" i="1"/>
  <c r="D15312" i="1"/>
  <c r="A15313" i="1"/>
  <c r="B15313" i="1"/>
  <c r="C15313" i="1"/>
  <c r="D15313" i="1"/>
  <c r="A15314" i="1"/>
  <c r="B15314" i="1"/>
  <c r="C15314" i="1"/>
  <c r="D15314" i="1"/>
  <c r="A15315" i="1"/>
  <c r="B15315" i="1"/>
  <c r="C15315" i="1"/>
  <c r="D15315" i="1"/>
  <c r="A15316" i="1"/>
  <c r="B15316" i="1"/>
  <c r="C15316" i="1"/>
  <c r="D15316" i="1"/>
  <c r="A15317" i="1"/>
  <c r="B15317" i="1"/>
  <c r="C15317" i="1"/>
  <c r="D15317" i="1"/>
  <c r="A15318" i="1"/>
  <c r="B15318" i="1"/>
  <c r="C15318" i="1"/>
  <c r="D15318" i="1"/>
  <c r="A15319" i="1"/>
  <c r="B15319" i="1"/>
  <c r="C15319" i="1"/>
  <c r="D15319" i="1"/>
  <c r="A15320" i="1"/>
  <c r="B15320" i="1"/>
  <c r="C15320" i="1"/>
  <c r="D15320" i="1"/>
  <c r="A15321" i="1"/>
  <c r="B15321" i="1"/>
  <c r="C15321" i="1"/>
  <c r="D15321" i="1"/>
  <c r="A15322" i="1"/>
  <c r="B15322" i="1"/>
  <c r="C15322" i="1"/>
  <c r="D15322" i="1"/>
  <c r="A15323" i="1"/>
  <c r="B15323" i="1"/>
  <c r="C15323" i="1"/>
  <c r="D15323" i="1"/>
  <c r="A15324" i="1"/>
  <c r="B15324" i="1"/>
  <c r="C15324" i="1"/>
  <c r="D15324" i="1"/>
  <c r="A15325" i="1"/>
  <c r="B15325" i="1"/>
  <c r="C15325" i="1"/>
  <c r="D15325" i="1"/>
  <c r="A15326" i="1"/>
  <c r="B15326" i="1"/>
  <c r="C15326" i="1"/>
  <c r="D15326" i="1"/>
  <c r="A15327" i="1"/>
  <c r="B15327" i="1"/>
  <c r="C15327" i="1"/>
  <c r="D15327" i="1"/>
  <c r="A15328" i="1"/>
  <c r="B15328" i="1"/>
  <c r="C15328" i="1"/>
  <c r="D15328" i="1"/>
  <c r="A15329" i="1"/>
  <c r="B15329" i="1"/>
  <c r="C15329" i="1"/>
  <c r="D15329" i="1"/>
  <c r="A15330" i="1"/>
  <c r="B15330" i="1"/>
  <c r="C15330" i="1"/>
  <c r="D15330" i="1"/>
  <c r="A15331" i="1"/>
  <c r="B15331" i="1"/>
  <c r="C15331" i="1"/>
  <c r="D15331" i="1"/>
  <c r="A15332" i="1"/>
  <c r="B15332" i="1"/>
  <c r="C15332" i="1"/>
  <c r="A15333" i="1"/>
  <c r="B15333" i="1"/>
  <c r="C15333" i="1"/>
  <c r="D15333" i="1"/>
  <c r="A15334" i="1"/>
  <c r="B15334" i="1"/>
  <c r="C15334" i="1"/>
  <c r="D15334" i="1"/>
  <c r="A15335" i="1"/>
  <c r="B15335" i="1"/>
  <c r="C15335" i="1"/>
  <c r="D15335" i="1"/>
  <c r="A15336" i="1"/>
  <c r="B15336" i="1"/>
  <c r="C15336" i="1"/>
  <c r="D15336" i="1"/>
  <c r="A15337" i="1"/>
  <c r="B15337" i="1"/>
  <c r="C15337" i="1"/>
  <c r="D15337" i="1"/>
  <c r="A15338" i="1"/>
  <c r="B15338" i="1"/>
  <c r="C15338" i="1"/>
  <c r="D15338" i="1"/>
  <c r="A15339" i="1"/>
  <c r="B15339" i="1"/>
  <c r="C15339" i="1"/>
  <c r="D15339" i="1"/>
  <c r="A15340" i="1"/>
  <c r="B15340" i="1"/>
  <c r="C15340" i="1"/>
  <c r="D15340" i="1"/>
  <c r="A15341" i="1"/>
  <c r="B15341" i="1"/>
  <c r="C15341" i="1"/>
  <c r="D15341" i="1"/>
  <c r="A15342" i="1"/>
  <c r="B15342" i="1"/>
  <c r="C15342" i="1"/>
  <c r="D15342" i="1"/>
  <c r="A15343" i="1"/>
  <c r="B15343" i="1"/>
  <c r="C15343" i="1"/>
  <c r="D15343" i="1"/>
  <c r="A15344" i="1"/>
  <c r="B15344" i="1"/>
  <c r="C15344" i="1"/>
  <c r="D15344" i="1"/>
  <c r="A15345" i="1"/>
  <c r="B15345" i="1"/>
  <c r="C15345" i="1"/>
  <c r="D15345" i="1"/>
  <c r="A15346" i="1"/>
  <c r="B15346" i="1"/>
  <c r="C15346" i="1"/>
  <c r="D15346" i="1"/>
  <c r="A15347" i="1"/>
  <c r="B15347" i="1"/>
  <c r="C15347" i="1"/>
  <c r="D15347" i="1"/>
  <c r="A15348" i="1"/>
  <c r="B15348" i="1"/>
  <c r="C15348" i="1"/>
  <c r="D15348" i="1"/>
  <c r="A15349" i="1"/>
  <c r="B15349" i="1"/>
  <c r="C15349" i="1"/>
  <c r="D15349" i="1"/>
  <c r="A15350" i="1"/>
  <c r="B15350" i="1"/>
  <c r="C15350" i="1"/>
  <c r="D15350" i="1"/>
  <c r="A15351" i="1"/>
  <c r="B15351" i="1"/>
  <c r="C15351" i="1"/>
  <c r="A15352" i="1"/>
  <c r="B15352" i="1"/>
  <c r="C15352" i="1"/>
  <c r="D15352" i="1"/>
  <c r="A15353" i="1"/>
  <c r="B15353" i="1"/>
  <c r="C15353" i="1"/>
  <c r="D15353" i="1"/>
  <c r="A15354" i="1"/>
  <c r="B15354" i="1"/>
  <c r="C15354" i="1"/>
  <c r="D15354" i="1"/>
  <c r="A15355" i="1"/>
  <c r="B15355" i="1"/>
  <c r="C15355" i="1"/>
  <c r="D15355" i="1"/>
  <c r="A15356" i="1"/>
  <c r="B15356" i="1"/>
  <c r="C15356" i="1"/>
  <c r="D15356" i="1"/>
  <c r="A15357" i="1"/>
  <c r="B15357" i="1"/>
  <c r="C15357" i="1"/>
  <c r="A15358" i="1"/>
  <c r="B15358" i="1"/>
  <c r="C15358" i="1"/>
  <c r="D15358" i="1"/>
  <c r="A15359" i="1"/>
  <c r="B15359" i="1"/>
  <c r="C15359" i="1"/>
  <c r="D15359" i="1"/>
  <c r="A15360" i="1"/>
  <c r="B15360" i="1"/>
  <c r="C15360" i="1"/>
  <c r="D15360" i="1"/>
  <c r="A15361" i="1"/>
  <c r="B15361" i="1"/>
  <c r="C15361" i="1"/>
  <c r="A15362" i="1"/>
  <c r="B15362" i="1"/>
  <c r="C15362" i="1"/>
  <c r="D15362" i="1"/>
  <c r="A15363" i="1"/>
  <c r="B15363" i="1"/>
  <c r="C15363" i="1"/>
  <c r="D15363" i="1"/>
  <c r="A15364" i="1"/>
  <c r="B15364" i="1"/>
  <c r="C15364" i="1"/>
  <c r="D15364" i="1"/>
  <c r="A15365" i="1"/>
  <c r="B15365" i="1"/>
  <c r="C15365" i="1"/>
  <c r="D15365" i="1"/>
  <c r="A15366" i="1"/>
  <c r="B15366" i="1"/>
  <c r="C15366" i="1"/>
  <c r="D15366" i="1"/>
  <c r="A15367" i="1"/>
  <c r="B15367" i="1"/>
  <c r="C15367" i="1"/>
  <c r="D15367" i="1"/>
  <c r="A15368" i="1"/>
  <c r="B15368" i="1"/>
  <c r="C15368" i="1"/>
  <c r="D15368" i="1"/>
  <c r="A15369" i="1"/>
  <c r="B15369" i="1"/>
  <c r="C15369" i="1"/>
  <c r="D15369" i="1"/>
  <c r="A15370" i="1"/>
  <c r="B15370" i="1"/>
  <c r="C15370" i="1"/>
  <c r="D15370" i="1"/>
  <c r="A15371" i="1"/>
  <c r="B15371" i="1"/>
  <c r="C15371" i="1"/>
  <c r="D15371" i="1"/>
  <c r="A15372" i="1"/>
  <c r="B15372" i="1"/>
  <c r="C15372" i="1"/>
  <c r="D15372" i="1"/>
  <c r="A15373" i="1"/>
  <c r="B15373" i="1"/>
  <c r="C15373" i="1"/>
  <c r="D15373" i="1"/>
  <c r="A15374" i="1"/>
  <c r="B15374" i="1"/>
  <c r="C15374" i="1"/>
  <c r="A15375" i="1"/>
  <c r="B15375" i="1"/>
  <c r="C15375" i="1"/>
  <c r="D15375" i="1"/>
  <c r="A15376" i="1"/>
  <c r="B15376" i="1"/>
  <c r="C15376" i="1"/>
  <c r="D15376" i="1"/>
  <c r="A15377" i="1"/>
  <c r="B15377" i="1"/>
  <c r="C15377" i="1"/>
  <c r="D15377" i="1"/>
  <c r="A15378" i="1"/>
  <c r="B15378" i="1"/>
  <c r="C15378" i="1"/>
  <c r="D15378" i="1"/>
  <c r="A15379" i="1"/>
  <c r="B15379" i="1"/>
  <c r="C15379" i="1"/>
  <c r="D15379" i="1"/>
  <c r="A15380" i="1"/>
  <c r="B15380" i="1"/>
  <c r="C15380" i="1"/>
  <c r="D15380" i="1"/>
  <c r="A15381" i="1"/>
  <c r="B15381" i="1"/>
  <c r="C15381" i="1"/>
  <c r="D15381" i="1"/>
  <c r="A15382" i="1"/>
  <c r="B15382" i="1"/>
  <c r="C15382" i="1"/>
  <c r="D15382" i="1"/>
  <c r="A15383" i="1"/>
  <c r="B15383" i="1"/>
  <c r="C15383" i="1"/>
  <c r="A15384" i="1"/>
  <c r="B15384" i="1"/>
  <c r="C15384" i="1"/>
  <c r="D15384" i="1"/>
  <c r="A15385" i="1"/>
  <c r="B15385" i="1"/>
  <c r="C15385" i="1"/>
  <c r="D15385" i="1"/>
  <c r="A15386" i="1"/>
  <c r="B15386" i="1"/>
  <c r="C15386" i="1"/>
  <c r="D15386" i="1"/>
  <c r="A15387" i="1"/>
  <c r="B15387" i="1"/>
  <c r="C15387" i="1"/>
  <c r="D15387" i="1"/>
  <c r="A15388" i="1"/>
  <c r="B15388" i="1"/>
  <c r="C15388" i="1"/>
  <c r="D15388" i="1"/>
  <c r="A15389" i="1"/>
  <c r="B15389" i="1"/>
  <c r="C15389" i="1"/>
  <c r="A15390" i="1"/>
  <c r="B15390" i="1"/>
  <c r="C15390" i="1"/>
  <c r="D15390" i="1"/>
  <c r="A15391" i="1"/>
  <c r="B15391" i="1"/>
  <c r="C15391" i="1"/>
  <c r="D15391" i="1"/>
  <c r="A15392" i="1"/>
  <c r="B15392" i="1"/>
  <c r="C15392" i="1"/>
  <c r="D15392" i="1"/>
  <c r="A15393" i="1"/>
  <c r="B15393" i="1"/>
  <c r="C15393" i="1"/>
  <c r="D15393" i="1"/>
  <c r="A15394" i="1"/>
  <c r="B15394" i="1"/>
  <c r="C15394" i="1"/>
  <c r="D15394" i="1"/>
  <c r="A15395" i="1"/>
  <c r="B15395" i="1"/>
  <c r="C15395" i="1"/>
  <c r="D15395" i="1"/>
  <c r="A15396" i="1"/>
  <c r="B15396" i="1"/>
  <c r="C15396" i="1"/>
  <c r="D15396" i="1"/>
  <c r="A15397" i="1"/>
  <c r="B15397" i="1"/>
  <c r="C15397" i="1"/>
  <c r="D15397" i="1"/>
  <c r="A15398" i="1"/>
  <c r="B15398" i="1"/>
  <c r="C15398" i="1"/>
  <c r="D15398" i="1"/>
  <c r="A15399" i="1"/>
  <c r="B15399" i="1"/>
  <c r="C15399" i="1"/>
  <c r="D15399" i="1"/>
  <c r="A15400" i="1"/>
  <c r="B15400" i="1"/>
  <c r="C15400" i="1"/>
  <c r="D15400" i="1"/>
  <c r="A15401" i="1"/>
  <c r="B15401" i="1"/>
  <c r="C15401" i="1"/>
  <c r="D15401" i="1"/>
  <c r="A15402" i="1"/>
  <c r="B15402" i="1"/>
  <c r="C15402" i="1"/>
  <c r="D15402" i="1"/>
  <c r="A15403" i="1"/>
  <c r="B15403" i="1"/>
  <c r="C15403" i="1"/>
  <c r="D15403" i="1"/>
  <c r="A15404" i="1"/>
  <c r="B15404" i="1"/>
  <c r="C15404" i="1"/>
  <c r="D15404" i="1"/>
  <c r="A15405" i="1"/>
  <c r="B15405" i="1"/>
  <c r="C15405" i="1"/>
  <c r="D15405" i="1"/>
  <c r="A15406" i="1"/>
  <c r="B15406" i="1"/>
  <c r="C15406" i="1"/>
  <c r="D15406" i="1"/>
  <c r="A15407" i="1"/>
  <c r="B15407" i="1"/>
  <c r="C15407" i="1"/>
  <c r="D15407" i="1"/>
  <c r="A15408" i="1"/>
  <c r="B15408" i="1"/>
  <c r="C15408" i="1"/>
  <c r="D15408" i="1"/>
  <c r="A15409" i="1"/>
  <c r="B15409" i="1"/>
  <c r="C15409" i="1"/>
  <c r="D15409" i="1"/>
  <c r="A15410" i="1"/>
  <c r="B15410" i="1"/>
  <c r="C15410" i="1"/>
  <c r="D15410" i="1"/>
  <c r="A15411" i="1"/>
  <c r="B15411" i="1"/>
  <c r="C15411" i="1"/>
  <c r="D15411" i="1"/>
  <c r="A15412" i="1"/>
  <c r="B15412" i="1"/>
  <c r="C15412" i="1"/>
  <c r="D15412" i="1"/>
  <c r="A15413" i="1"/>
  <c r="B15413" i="1"/>
  <c r="C15413" i="1"/>
  <c r="D15413" i="1"/>
  <c r="A15414" i="1"/>
  <c r="B15414" i="1"/>
  <c r="C15414" i="1"/>
  <c r="D15414" i="1"/>
  <c r="A15415" i="1"/>
  <c r="B15415" i="1"/>
  <c r="C15415" i="1"/>
  <c r="D15415" i="1"/>
  <c r="A15416" i="1"/>
  <c r="B15416" i="1"/>
  <c r="C15416" i="1"/>
  <c r="D15416" i="1"/>
  <c r="A15417" i="1"/>
  <c r="B15417" i="1"/>
  <c r="C15417" i="1"/>
  <c r="A15418" i="1"/>
  <c r="B15418" i="1"/>
  <c r="C15418" i="1"/>
  <c r="D15418" i="1"/>
  <c r="A15419" i="1"/>
  <c r="B15419" i="1"/>
  <c r="C15419" i="1"/>
  <c r="D15419" i="1"/>
  <c r="A15420" i="1"/>
  <c r="B15420" i="1"/>
  <c r="C15420" i="1"/>
  <c r="D15420" i="1"/>
  <c r="A15421" i="1"/>
  <c r="B15421" i="1"/>
  <c r="C15421" i="1"/>
  <c r="D15421" i="1"/>
  <c r="A15422" i="1"/>
  <c r="B15422" i="1"/>
  <c r="C15422" i="1"/>
  <c r="D15422" i="1"/>
  <c r="A15423" i="1"/>
  <c r="B15423" i="1"/>
  <c r="C15423" i="1"/>
  <c r="D15423" i="1"/>
  <c r="A15424" i="1"/>
  <c r="B15424" i="1"/>
  <c r="C15424" i="1"/>
  <c r="D15424" i="1"/>
  <c r="A15425" i="1"/>
  <c r="B15425" i="1"/>
  <c r="C15425" i="1"/>
  <c r="D15425" i="1"/>
  <c r="A15426" i="1"/>
  <c r="B15426" i="1"/>
  <c r="C15426" i="1"/>
  <c r="D15426" i="1"/>
  <c r="A15427" i="1"/>
  <c r="B15427" i="1"/>
  <c r="C15427" i="1"/>
  <c r="D15427" i="1"/>
  <c r="A15428" i="1"/>
  <c r="B15428" i="1"/>
  <c r="C15428" i="1"/>
  <c r="D15428" i="1"/>
  <c r="A15429" i="1"/>
  <c r="B15429" i="1"/>
  <c r="C15429" i="1"/>
  <c r="D15429" i="1"/>
  <c r="A15430" i="1"/>
  <c r="B15430" i="1"/>
  <c r="C15430" i="1"/>
  <c r="D15430" i="1"/>
  <c r="A15431" i="1"/>
  <c r="B15431" i="1"/>
  <c r="C15431" i="1"/>
  <c r="D15431" i="1"/>
  <c r="A15432" i="1"/>
  <c r="B15432" i="1"/>
  <c r="C15432" i="1"/>
  <c r="D15432" i="1"/>
  <c r="A15433" i="1"/>
  <c r="B15433" i="1"/>
  <c r="C15433" i="1"/>
  <c r="D15433" i="1"/>
  <c r="A15434" i="1"/>
  <c r="B15434" i="1"/>
  <c r="C15434" i="1"/>
  <c r="D15434" i="1"/>
  <c r="A15435" i="1"/>
  <c r="B15435" i="1"/>
  <c r="C15435" i="1"/>
  <c r="D15435" i="1"/>
  <c r="A15436" i="1"/>
  <c r="B15436" i="1"/>
  <c r="C15436" i="1"/>
  <c r="D15436" i="1"/>
  <c r="A15437" i="1"/>
  <c r="B15437" i="1"/>
  <c r="C15437" i="1"/>
  <c r="D15437" i="1"/>
  <c r="A15438" i="1"/>
  <c r="B15438" i="1"/>
  <c r="C15438" i="1"/>
  <c r="D15438" i="1"/>
  <c r="A15439" i="1"/>
  <c r="B15439" i="1"/>
  <c r="C15439" i="1"/>
  <c r="D15439" i="1"/>
  <c r="A15440" i="1"/>
  <c r="B15440" i="1"/>
  <c r="C15440" i="1"/>
  <c r="D15440" i="1"/>
  <c r="A15441" i="1"/>
  <c r="B15441" i="1"/>
  <c r="C15441" i="1"/>
  <c r="D15441" i="1"/>
  <c r="A15442" i="1"/>
  <c r="B15442" i="1"/>
  <c r="C15442" i="1"/>
  <c r="D15442" i="1"/>
  <c r="A15443" i="1"/>
  <c r="B15443" i="1"/>
  <c r="C15443" i="1"/>
  <c r="D15443" i="1"/>
  <c r="A15444" i="1"/>
  <c r="B15444" i="1"/>
  <c r="C15444" i="1"/>
  <c r="D15444" i="1"/>
  <c r="A15445" i="1"/>
  <c r="B15445" i="1"/>
  <c r="C15445" i="1"/>
  <c r="D15445" i="1"/>
  <c r="A15446" i="1"/>
  <c r="B15446" i="1"/>
  <c r="C15446" i="1"/>
  <c r="D15446" i="1"/>
  <c r="A15447" i="1"/>
  <c r="B15447" i="1"/>
  <c r="C15447" i="1"/>
  <c r="D15447" i="1"/>
  <c r="A15448" i="1"/>
  <c r="B15448" i="1"/>
  <c r="C15448" i="1"/>
  <c r="D15448" i="1"/>
  <c r="A15449" i="1"/>
  <c r="B15449" i="1"/>
  <c r="C15449" i="1"/>
  <c r="D15449" i="1"/>
  <c r="A15450" i="1"/>
  <c r="B15450" i="1"/>
  <c r="C15450" i="1"/>
  <c r="D15450" i="1"/>
  <c r="A15451" i="1"/>
  <c r="B15451" i="1"/>
  <c r="C15451" i="1"/>
  <c r="D15451" i="1"/>
  <c r="A15452" i="1"/>
  <c r="B15452" i="1"/>
  <c r="C15452" i="1"/>
  <c r="D15452" i="1"/>
  <c r="A15453" i="1"/>
  <c r="B15453" i="1"/>
  <c r="C15453" i="1"/>
  <c r="D15453" i="1"/>
  <c r="A15454" i="1"/>
  <c r="B15454" i="1"/>
  <c r="C15454" i="1"/>
  <c r="D15454" i="1"/>
  <c r="A15455" i="1"/>
  <c r="B15455" i="1"/>
  <c r="C15455" i="1"/>
  <c r="D15455" i="1"/>
  <c r="A15456" i="1"/>
  <c r="B15456" i="1"/>
  <c r="C15456" i="1"/>
  <c r="D15456" i="1"/>
  <c r="A15457" i="1"/>
  <c r="B15457" i="1"/>
  <c r="C15457" i="1"/>
  <c r="D15457" i="1"/>
  <c r="A15458" i="1"/>
  <c r="B15458" i="1"/>
  <c r="C15458" i="1"/>
  <c r="D15458" i="1"/>
  <c r="A15459" i="1"/>
  <c r="B15459" i="1"/>
  <c r="C15459" i="1"/>
  <c r="D15459" i="1"/>
  <c r="A15460" i="1"/>
  <c r="B15460" i="1"/>
  <c r="C15460" i="1"/>
  <c r="D15460" i="1"/>
  <c r="A15461" i="1"/>
  <c r="B15461" i="1"/>
  <c r="C15461" i="1"/>
  <c r="D15461" i="1"/>
  <c r="A15462" i="1"/>
  <c r="B15462" i="1"/>
  <c r="C15462" i="1"/>
  <c r="D15462" i="1"/>
  <c r="A15463" i="1"/>
  <c r="B15463" i="1"/>
  <c r="C15463" i="1"/>
  <c r="D15463" i="1"/>
  <c r="A15464" i="1"/>
  <c r="B15464" i="1"/>
  <c r="C15464" i="1"/>
  <c r="D15464" i="1"/>
  <c r="A15465" i="1"/>
  <c r="B15465" i="1"/>
  <c r="C15465" i="1"/>
  <c r="D15465" i="1"/>
  <c r="A15466" i="1"/>
  <c r="B15466" i="1"/>
  <c r="C15466" i="1"/>
  <c r="D15466" i="1"/>
  <c r="A15467" i="1"/>
  <c r="B15467" i="1"/>
  <c r="C15467" i="1"/>
  <c r="D15467" i="1"/>
  <c r="A15468" i="1"/>
  <c r="B15468" i="1"/>
  <c r="C15468" i="1"/>
  <c r="D15468" i="1"/>
  <c r="A15469" i="1"/>
  <c r="B15469" i="1"/>
  <c r="C15469" i="1"/>
  <c r="D15469" i="1"/>
  <c r="A15470" i="1"/>
  <c r="B15470" i="1"/>
  <c r="C15470" i="1"/>
  <c r="D15470" i="1"/>
  <c r="A15471" i="1"/>
  <c r="B15471" i="1"/>
  <c r="C15471" i="1"/>
  <c r="D15471" i="1"/>
  <c r="A15472" i="1"/>
  <c r="B15472" i="1"/>
  <c r="C15472" i="1"/>
  <c r="D15472" i="1"/>
  <c r="A15473" i="1"/>
  <c r="B15473" i="1"/>
  <c r="C15473" i="1"/>
  <c r="D15473" i="1"/>
  <c r="A15474" i="1"/>
  <c r="B15474" i="1"/>
  <c r="C15474" i="1"/>
  <c r="D15474" i="1"/>
  <c r="A15475" i="1"/>
  <c r="B15475" i="1"/>
  <c r="C15475" i="1"/>
  <c r="D15475" i="1"/>
  <c r="A15476" i="1"/>
  <c r="B15476" i="1"/>
  <c r="C15476" i="1"/>
  <c r="D15476" i="1"/>
  <c r="A15477" i="1"/>
  <c r="B15477" i="1"/>
  <c r="C15477" i="1"/>
  <c r="D15477" i="1"/>
  <c r="A15478" i="1"/>
  <c r="B15478" i="1"/>
  <c r="C15478" i="1"/>
  <c r="A15479" i="1"/>
  <c r="B15479" i="1"/>
  <c r="C15479" i="1"/>
  <c r="D15479" i="1"/>
  <c r="A15480" i="1"/>
  <c r="B15480" i="1"/>
  <c r="C15480" i="1"/>
  <c r="D15480" i="1"/>
  <c r="A15481" i="1"/>
  <c r="B15481" i="1"/>
  <c r="C15481" i="1"/>
  <c r="A15482" i="1"/>
  <c r="B15482" i="1"/>
  <c r="C15482" i="1"/>
  <c r="D15482" i="1"/>
  <c r="A15483" i="1"/>
  <c r="B15483" i="1"/>
  <c r="C15483" i="1"/>
  <c r="D15483" i="1"/>
  <c r="A15484" i="1"/>
  <c r="B15484" i="1"/>
  <c r="C15484" i="1"/>
  <c r="D15484" i="1"/>
  <c r="A15485" i="1"/>
  <c r="B15485" i="1"/>
  <c r="C15485" i="1"/>
  <c r="D15485" i="1"/>
  <c r="A15486" i="1"/>
  <c r="B15486" i="1"/>
  <c r="C15486" i="1"/>
  <c r="D15486" i="1"/>
  <c r="A15487" i="1"/>
  <c r="B15487" i="1"/>
  <c r="C15487" i="1"/>
  <c r="D15487" i="1"/>
  <c r="A15488" i="1"/>
  <c r="B15488" i="1"/>
  <c r="C15488" i="1"/>
  <c r="D15488" i="1"/>
  <c r="A15489" i="1"/>
  <c r="B15489" i="1"/>
  <c r="C15489" i="1"/>
  <c r="D15489" i="1"/>
  <c r="A15490" i="1"/>
  <c r="B15490" i="1"/>
  <c r="C15490" i="1"/>
  <c r="D15490" i="1"/>
  <c r="A15491" i="1"/>
  <c r="B15491" i="1"/>
  <c r="C15491" i="1"/>
  <c r="D15491" i="1"/>
  <c r="A15492" i="1"/>
  <c r="B15492" i="1"/>
  <c r="C15492" i="1"/>
  <c r="D15492" i="1"/>
  <c r="A15493" i="1"/>
  <c r="B15493" i="1"/>
  <c r="C15493" i="1"/>
  <c r="D15493" i="1"/>
  <c r="A15494" i="1"/>
  <c r="B15494" i="1"/>
  <c r="C15494" i="1"/>
  <c r="D15494" i="1"/>
  <c r="A15495" i="1"/>
  <c r="B15495" i="1"/>
  <c r="C15495" i="1"/>
  <c r="D15495" i="1"/>
  <c r="A15496" i="1"/>
  <c r="B15496" i="1"/>
  <c r="C15496" i="1"/>
  <c r="D15496" i="1"/>
  <c r="A15497" i="1"/>
  <c r="B15497" i="1"/>
  <c r="C15497" i="1"/>
  <c r="D15497" i="1"/>
  <c r="A15498" i="1"/>
  <c r="B15498" i="1"/>
  <c r="C15498" i="1"/>
  <c r="D15498" i="1"/>
  <c r="A15499" i="1"/>
  <c r="B15499" i="1"/>
  <c r="C15499" i="1"/>
  <c r="D15499" i="1"/>
  <c r="A15500" i="1"/>
  <c r="B15500" i="1"/>
  <c r="C15500" i="1"/>
  <c r="D15500" i="1"/>
  <c r="A15501" i="1"/>
  <c r="B15501" i="1"/>
  <c r="C15501" i="1"/>
  <c r="D15501" i="1"/>
  <c r="A15502" i="1"/>
  <c r="B15502" i="1"/>
  <c r="C15502" i="1"/>
  <c r="D15502" i="1"/>
  <c r="A15503" i="1"/>
  <c r="B15503" i="1"/>
  <c r="C15503" i="1"/>
  <c r="D15503" i="1"/>
  <c r="A15504" i="1"/>
  <c r="B15504" i="1"/>
  <c r="C15504" i="1"/>
  <c r="D15504" i="1"/>
  <c r="A15505" i="1"/>
  <c r="B15505" i="1"/>
  <c r="C15505" i="1"/>
  <c r="D15505" i="1"/>
  <c r="A15506" i="1"/>
  <c r="B15506" i="1"/>
  <c r="C15506" i="1"/>
  <c r="D15506" i="1"/>
  <c r="A15507" i="1"/>
  <c r="B15507" i="1"/>
  <c r="C15507" i="1"/>
  <c r="D15507" i="1"/>
  <c r="A15508" i="1"/>
  <c r="B15508" i="1"/>
  <c r="C15508" i="1"/>
  <c r="D15508" i="1"/>
  <c r="A15509" i="1"/>
  <c r="B15509" i="1"/>
  <c r="C15509" i="1"/>
  <c r="D15509" i="1"/>
  <c r="A15510" i="1"/>
  <c r="B15510" i="1"/>
  <c r="C15510" i="1"/>
  <c r="D15510" i="1"/>
  <c r="A15511" i="1"/>
  <c r="B15511" i="1"/>
  <c r="C15511" i="1"/>
  <c r="D15511" i="1"/>
  <c r="A15512" i="1"/>
  <c r="B15512" i="1"/>
  <c r="C15512" i="1"/>
  <c r="D15512" i="1"/>
  <c r="A15513" i="1"/>
  <c r="B15513" i="1"/>
  <c r="C15513" i="1"/>
  <c r="D15513" i="1"/>
  <c r="A15514" i="1"/>
  <c r="B15514" i="1"/>
  <c r="C15514" i="1"/>
  <c r="D15514" i="1"/>
  <c r="A15515" i="1"/>
  <c r="B15515" i="1"/>
  <c r="C15515" i="1"/>
  <c r="D15515" i="1"/>
  <c r="A15516" i="1"/>
  <c r="B15516" i="1"/>
  <c r="C15516" i="1"/>
  <c r="D15516" i="1"/>
  <c r="A15517" i="1"/>
  <c r="B15517" i="1"/>
  <c r="C15517" i="1"/>
  <c r="D15517" i="1"/>
  <c r="A15518" i="1"/>
  <c r="B15518" i="1"/>
  <c r="C15518" i="1"/>
  <c r="D15518" i="1"/>
  <c r="A15519" i="1"/>
  <c r="B15519" i="1"/>
  <c r="C15519" i="1"/>
  <c r="D15519" i="1"/>
  <c r="A15520" i="1"/>
  <c r="B15520" i="1"/>
  <c r="C15520" i="1"/>
  <c r="D15520" i="1"/>
  <c r="A15521" i="1"/>
  <c r="B15521" i="1"/>
  <c r="C15521" i="1"/>
  <c r="D15521" i="1"/>
  <c r="A15522" i="1"/>
  <c r="B15522" i="1"/>
  <c r="C15522" i="1"/>
  <c r="D15522" i="1"/>
  <c r="A15523" i="1"/>
  <c r="B15523" i="1"/>
  <c r="C15523" i="1"/>
  <c r="D15523" i="1"/>
  <c r="A15524" i="1"/>
  <c r="B15524" i="1"/>
  <c r="C15524" i="1"/>
  <c r="D15524" i="1"/>
  <c r="A15525" i="1"/>
  <c r="B15525" i="1"/>
  <c r="C15525" i="1"/>
  <c r="D15525" i="1"/>
  <c r="A15526" i="1"/>
  <c r="B15526" i="1"/>
  <c r="C15526" i="1"/>
  <c r="D15526" i="1"/>
  <c r="A15527" i="1"/>
  <c r="B15527" i="1"/>
  <c r="C15527" i="1"/>
  <c r="D15527" i="1"/>
  <c r="A15528" i="1"/>
  <c r="B15528" i="1"/>
  <c r="C15528" i="1"/>
  <c r="D15528" i="1"/>
  <c r="A15529" i="1"/>
  <c r="B15529" i="1"/>
  <c r="C15529" i="1"/>
  <c r="D15529" i="1"/>
  <c r="A15530" i="1"/>
  <c r="B15530" i="1"/>
  <c r="C15530" i="1"/>
  <c r="D15530" i="1"/>
  <c r="A15531" i="1"/>
  <c r="B15531" i="1"/>
  <c r="C15531" i="1"/>
  <c r="D15531" i="1"/>
  <c r="A15532" i="1"/>
  <c r="B15532" i="1"/>
  <c r="C15532" i="1"/>
  <c r="D15532" i="1"/>
  <c r="A15533" i="1"/>
  <c r="B15533" i="1"/>
  <c r="C15533" i="1"/>
  <c r="A15534" i="1"/>
  <c r="B15534" i="1"/>
  <c r="C15534" i="1"/>
  <c r="D15534" i="1"/>
  <c r="A15535" i="1"/>
  <c r="B15535" i="1"/>
  <c r="C15535" i="1"/>
  <c r="D15535" i="1"/>
  <c r="A15536" i="1"/>
  <c r="B15536" i="1"/>
  <c r="C15536" i="1"/>
  <c r="D15536" i="1"/>
  <c r="A15537" i="1"/>
  <c r="B15537" i="1"/>
  <c r="C15537" i="1"/>
  <c r="D15537" i="1"/>
  <c r="A15538" i="1"/>
  <c r="B15538" i="1"/>
  <c r="C15538" i="1"/>
  <c r="D15538" i="1"/>
  <c r="A15539" i="1"/>
  <c r="B15539" i="1"/>
  <c r="C15539" i="1"/>
  <c r="D15539" i="1"/>
  <c r="A15540" i="1"/>
  <c r="B15540" i="1"/>
  <c r="C15540" i="1"/>
  <c r="D15540" i="1"/>
  <c r="A15541" i="1"/>
  <c r="B15541" i="1"/>
  <c r="C15541" i="1"/>
  <c r="D15541" i="1"/>
  <c r="A15542" i="1"/>
  <c r="B15542" i="1"/>
  <c r="C15542" i="1"/>
  <c r="D15542" i="1"/>
  <c r="A15543" i="1"/>
  <c r="B15543" i="1"/>
  <c r="C15543" i="1"/>
  <c r="D15543" i="1"/>
  <c r="A15544" i="1"/>
  <c r="B15544" i="1"/>
  <c r="C15544" i="1"/>
  <c r="D15544" i="1"/>
  <c r="A15545" i="1"/>
  <c r="B15545" i="1"/>
  <c r="C15545" i="1"/>
  <c r="D15545" i="1"/>
  <c r="A15546" i="1"/>
  <c r="B15546" i="1"/>
  <c r="C15546" i="1"/>
  <c r="D15546" i="1"/>
  <c r="A15547" i="1"/>
  <c r="B15547" i="1"/>
  <c r="C15547" i="1"/>
  <c r="D15547" i="1"/>
  <c r="A15548" i="1"/>
  <c r="B15548" i="1"/>
  <c r="C15548" i="1"/>
  <c r="D15548" i="1"/>
  <c r="A15549" i="1"/>
  <c r="B15549" i="1"/>
  <c r="C15549" i="1"/>
  <c r="D15549" i="1"/>
  <c r="A15550" i="1"/>
  <c r="B15550" i="1"/>
  <c r="C15550" i="1"/>
  <c r="D15550" i="1"/>
  <c r="A15551" i="1"/>
  <c r="B15551" i="1"/>
  <c r="C15551" i="1"/>
  <c r="D15551" i="1"/>
  <c r="A15552" i="1"/>
  <c r="B15552" i="1"/>
  <c r="C15552" i="1"/>
  <c r="D15552" i="1"/>
  <c r="A15553" i="1"/>
  <c r="B15553" i="1"/>
  <c r="C15553" i="1"/>
  <c r="D15553" i="1"/>
  <c r="A15554" i="1"/>
  <c r="B15554" i="1"/>
  <c r="C15554" i="1"/>
  <c r="D15554" i="1"/>
  <c r="A15555" i="1"/>
  <c r="B15555" i="1"/>
  <c r="C15555" i="1"/>
  <c r="D15555" i="1"/>
  <c r="A15556" i="1"/>
  <c r="B15556" i="1"/>
  <c r="C15556" i="1"/>
  <c r="D15556" i="1"/>
  <c r="A15557" i="1"/>
  <c r="B15557" i="1"/>
  <c r="C15557" i="1"/>
  <c r="D15557" i="1"/>
  <c r="A15558" i="1"/>
  <c r="B15558" i="1"/>
  <c r="C15558" i="1"/>
  <c r="D15558" i="1"/>
  <c r="A15559" i="1"/>
  <c r="B15559" i="1"/>
  <c r="C15559" i="1"/>
  <c r="D15559" i="1"/>
  <c r="A15560" i="1"/>
  <c r="B15560" i="1"/>
  <c r="C15560" i="1"/>
  <c r="D15560" i="1"/>
  <c r="A15561" i="1"/>
  <c r="B15561" i="1"/>
  <c r="C15561" i="1"/>
  <c r="D15561" i="1"/>
  <c r="A15562" i="1"/>
  <c r="B15562" i="1"/>
  <c r="C15562" i="1"/>
  <c r="D15562" i="1"/>
  <c r="A15563" i="1"/>
  <c r="B15563" i="1"/>
  <c r="C15563" i="1"/>
  <c r="D15563" i="1"/>
  <c r="A15564" i="1"/>
  <c r="B15564" i="1"/>
  <c r="C15564" i="1"/>
  <c r="D15564" i="1"/>
  <c r="A15565" i="1"/>
  <c r="B15565" i="1"/>
  <c r="C15565" i="1"/>
  <c r="D15565" i="1"/>
  <c r="A15566" i="1"/>
  <c r="B15566" i="1"/>
  <c r="C15566" i="1"/>
  <c r="D15566" i="1"/>
  <c r="A15567" i="1"/>
  <c r="B15567" i="1"/>
  <c r="C15567" i="1"/>
  <c r="D15567" i="1"/>
  <c r="A15568" i="1"/>
  <c r="B15568" i="1"/>
  <c r="C15568" i="1"/>
  <c r="D15568" i="1"/>
  <c r="A15569" i="1"/>
  <c r="B15569" i="1"/>
  <c r="C15569" i="1"/>
  <c r="D15569" i="1"/>
  <c r="A15570" i="1"/>
  <c r="B15570" i="1"/>
  <c r="C15570" i="1"/>
  <c r="D15570" i="1"/>
  <c r="A15571" i="1"/>
  <c r="B15571" i="1"/>
  <c r="C15571" i="1"/>
  <c r="D15571" i="1"/>
  <c r="A15572" i="1"/>
  <c r="B15572" i="1"/>
  <c r="C15572" i="1"/>
  <c r="D15572" i="1"/>
  <c r="A15573" i="1"/>
  <c r="B15573" i="1"/>
  <c r="C15573" i="1"/>
  <c r="D15573" i="1"/>
  <c r="A15574" i="1"/>
  <c r="B15574" i="1"/>
  <c r="C15574" i="1"/>
  <c r="D15574" i="1"/>
  <c r="A15575" i="1"/>
  <c r="B15575" i="1"/>
  <c r="C15575" i="1"/>
  <c r="D15575" i="1"/>
  <c r="A15576" i="1"/>
  <c r="B15576" i="1"/>
  <c r="C15576" i="1"/>
  <c r="D15576" i="1"/>
  <c r="A15577" i="1"/>
  <c r="B15577" i="1"/>
  <c r="C15577" i="1"/>
  <c r="D15577" i="1"/>
  <c r="A15578" i="1"/>
  <c r="B15578" i="1"/>
  <c r="C15578" i="1"/>
  <c r="D15578" i="1"/>
  <c r="A15579" i="1"/>
  <c r="B15579" i="1"/>
  <c r="C15579" i="1"/>
  <c r="A15580" i="1"/>
  <c r="B15580" i="1"/>
  <c r="C15580" i="1"/>
  <c r="D15580" i="1"/>
  <c r="A15581" i="1"/>
  <c r="B15581" i="1"/>
  <c r="C15581" i="1"/>
  <c r="D15581" i="1"/>
  <c r="A15582" i="1"/>
  <c r="B15582" i="1"/>
  <c r="C15582" i="1"/>
  <c r="D15582" i="1"/>
  <c r="A15583" i="1"/>
  <c r="B15583" i="1"/>
  <c r="C15583" i="1"/>
  <c r="D15583" i="1"/>
  <c r="A15584" i="1"/>
  <c r="B15584" i="1"/>
  <c r="C15584" i="1"/>
  <c r="D15584" i="1"/>
  <c r="A15585" i="1"/>
  <c r="B15585" i="1"/>
  <c r="C15585" i="1"/>
  <c r="D15585" i="1"/>
  <c r="A15586" i="1"/>
  <c r="B15586" i="1"/>
  <c r="C15586" i="1"/>
  <c r="D15586" i="1"/>
  <c r="A15587" i="1"/>
  <c r="B15587" i="1"/>
  <c r="C15587" i="1"/>
  <c r="D15587" i="1"/>
  <c r="A15588" i="1"/>
  <c r="B15588" i="1"/>
  <c r="C15588" i="1"/>
  <c r="D15588" i="1"/>
  <c r="A15589" i="1"/>
  <c r="B15589" i="1"/>
  <c r="C15589" i="1"/>
  <c r="D15589" i="1"/>
  <c r="A15590" i="1"/>
  <c r="B15590" i="1"/>
  <c r="C15590" i="1"/>
  <c r="D15590" i="1"/>
  <c r="A15591" i="1"/>
  <c r="B15591" i="1"/>
  <c r="C15591" i="1"/>
  <c r="D15591" i="1"/>
  <c r="A15592" i="1"/>
  <c r="B15592" i="1"/>
  <c r="C15592" i="1"/>
  <c r="D15592" i="1"/>
  <c r="A15593" i="1"/>
  <c r="B15593" i="1"/>
  <c r="C15593" i="1"/>
  <c r="D15593" i="1"/>
  <c r="A15594" i="1"/>
  <c r="B15594" i="1"/>
  <c r="C15594" i="1"/>
  <c r="D15594" i="1"/>
  <c r="A15595" i="1"/>
  <c r="B15595" i="1"/>
  <c r="C15595" i="1"/>
  <c r="D15595" i="1"/>
  <c r="A15596" i="1"/>
  <c r="B15596" i="1"/>
  <c r="C15596" i="1"/>
  <c r="D15596" i="1"/>
  <c r="A15597" i="1"/>
  <c r="B15597" i="1"/>
  <c r="C15597" i="1"/>
  <c r="D15597" i="1"/>
  <c r="A15598" i="1"/>
  <c r="B15598" i="1"/>
  <c r="C15598" i="1"/>
  <c r="D15598" i="1"/>
  <c r="A15599" i="1"/>
  <c r="B15599" i="1"/>
  <c r="C15599" i="1"/>
  <c r="D15599" i="1"/>
  <c r="A15600" i="1"/>
  <c r="B15600" i="1"/>
  <c r="C15600" i="1"/>
  <c r="D15600" i="1"/>
  <c r="A15601" i="1"/>
  <c r="B15601" i="1"/>
  <c r="C15601" i="1"/>
  <c r="D15601" i="1"/>
  <c r="A15602" i="1"/>
  <c r="B15602" i="1"/>
  <c r="C15602" i="1"/>
  <c r="D15602" i="1"/>
  <c r="A15603" i="1"/>
  <c r="B15603" i="1"/>
  <c r="C15603" i="1"/>
  <c r="D15603" i="1"/>
  <c r="A15604" i="1"/>
  <c r="B15604" i="1"/>
  <c r="C15604" i="1"/>
  <c r="D15604" i="1"/>
  <c r="A15605" i="1"/>
  <c r="B15605" i="1"/>
  <c r="C15605" i="1"/>
  <c r="D15605" i="1"/>
  <c r="A15606" i="1"/>
  <c r="B15606" i="1"/>
  <c r="C15606" i="1"/>
  <c r="D15606" i="1"/>
  <c r="A15607" i="1"/>
  <c r="B15607" i="1"/>
  <c r="C15607" i="1"/>
  <c r="D15607" i="1"/>
  <c r="A15608" i="1"/>
  <c r="B15608" i="1"/>
  <c r="C15608" i="1"/>
  <c r="D15608" i="1"/>
  <c r="A15609" i="1"/>
  <c r="B15609" i="1"/>
  <c r="C15609" i="1"/>
  <c r="D15609" i="1"/>
  <c r="A15610" i="1"/>
  <c r="B15610" i="1"/>
  <c r="C15610" i="1"/>
  <c r="D15610" i="1"/>
  <c r="A15611" i="1"/>
  <c r="B15611" i="1"/>
  <c r="C15611" i="1"/>
  <c r="D15611" i="1"/>
  <c r="A15612" i="1"/>
  <c r="B15612" i="1"/>
  <c r="C15612" i="1"/>
  <c r="D15612" i="1"/>
  <c r="A15613" i="1"/>
  <c r="B15613" i="1"/>
  <c r="C15613" i="1"/>
  <c r="D15613" i="1"/>
  <c r="A15614" i="1"/>
  <c r="B15614" i="1"/>
  <c r="C15614" i="1"/>
  <c r="D15614" i="1"/>
  <c r="A15615" i="1"/>
  <c r="B15615" i="1"/>
  <c r="C15615" i="1"/>
  <c r="D15615" i="1"/>
  <c r="A15616" i="1"/>
  <c r="B15616" i="1"/>
  <c r="C15616" i="1"/>
  <c r="D15616" i="1"/>
  <c r="A15617" i="1"/>
  <c r="B15617" i="1"/>
  <c r="C15617" i="1"/>
  <c r="D15617" i="1"/>
  <c r="A15618" i="1"/>
  <c r="B15618" i="1"/>
  <c r="C15618" i="1"/>
  <c r="D15618" i="1"/>
  <c r="A15619" i="1"/>
  <c r="B15619" i="1"/>
  <c r="C15619" i="1"/>
  <c r="D15619" i="1"/>
  <c r="A15620" i="1"/>
  <c r="B15620" i="1"/>
  <c r="C15620" i="1"/>
  <c r="D15620" i="1"/>
  <c r="A15621" i="1"/>
  <c r="B15621" i="1"/>
  <c r="C15621" i="1"/>
  <c r="D15621" i="1"/>
  <c r="A15622" i="1"/>
  <c r="B15622" i="1"/>
  <c r="C15622" i="1"/>
  <c r="D15622" i="1"/>
  <c r="A15623" i="1"/>
  <c r="B15623" i="1"/>
  <c r="C15623" i="1"/>
  <c r="D15623" i="1"/>
  <c r="A15624" i="1"/>
  <c r="B15624" i="1"/>
  <c r="C15624" i="1"/>
  <c r="D15624" i="1"/>
  <c r="A15625" i="1"/>
  <c r="B15625" i="1"/>
  <c r="C15625" i="1"/>
  <c r="D15625" i="1"/>
  <c r="A15626" i="1"/>
  <c r="B15626" i="1"/>
  <c r="C15626" i="1"/>
  <c r="D15626" i="1"/>
  <c r="A15627" i="1"/>
  <c r="B15627" i="1"/>
  <c r="C15627" i="1"/>
  <c r="D15627" i="1"/>
  <c r="A15628" i="1"/>
  <c r="B15628" i="1"/>
  <c r="C15628" i="1"/>
  <c r="D15628" i="1"/>
  <c r="A15629" i="1"/>
  <c r="B15629" i="1"/>
  <c r="C15629" i="1"/>
  <c r="D15629" i="1"/>
  <c r="A15630" i="1"/>
  <c r="B15630" i="1"/>
  <c r="C15630" i="1"/>
  <c r="D15630" i="1"/>
  <c r="A15631" i="1"/>
  <c r="B15631" i="1"/>
  <c r="C15631" i="1"/>
  <c r="D15631" i="1"/>
  <c r="A15632" i="1"/>
  <c r="B15632" i="1"/>
  <c r="C15632" i="1"/>
  <c r="D15632" i="1"/>
  <c r="A15633" i="1"/>
  <c r="B15633" i="1"/>
  <c r="C15633" i="1"/>
  <c r="A15634" i="1"/>
  <c r="B15634" i="1"/>
  <c r="C15634" i="1"/>
  <c r="D15634" i="1"/>
  <c r="A15635" i="1"/>
  <c r="B15635" i="1"/>
  <c r="C15635" i="1"/>
  <c r="D15635" i="1"/>
  <c r="A15636" i="1"/>
  <c r="B15636" i="1"/>
  <c r="C15636" i="1"/>
  <c r="D15636" i="1"/>
  <c r="A15637" i="1"/>
  <c r="B15637" i="1"/>
  <c r="C15637" i="1"/>
  <c r="D15637" i="1"/>
  <c r="A15638" i="1"/>
  <c r="B15638" i="1"/>
  <c r="C15638" i="1"/>
  <c r="D15638" i="1"/>
  <c r="A15639" i="1"/>
  <c r="B15639" i="1"/>
  <c r="C15639" i="1"/>
  <c r="D15639" i="1"/>
  <c r="A15640" i="1"/>
  <c r="B15640" i="1"/>
  <c r="C15640" i="1"/>
  <c r="D15640" i="1"/>
  <c r="A15641" i="1"/>
  <c r="B15641" i="1"/>
  <c r="C15641" i="1"/>
  <c r="D15641" i="1"/>
  <c r="A15642" i="1"/>
  <c r="B15642" i="1"/>
  <c r="C15642" i="1"/>
  <c r="D15642" i="1"/>
  <c r="A15643" i="1"/>
  <c r="B15643" i="1"/>
  <c r="C15643" i="1"/>
  <c r="A15644" i="1"/>
  <c r="B15644" i="1"/>
  <c r="C15644" i="1"/>
  <c r="D15644" i="1"/>
  <c r="A15645" i="1"/>
  <c r="B15645" i="1"/>
  <c r="C15645" i="1"/>
  <c r="D15645" i="1"/>
  <c r="A15646" i="1"/>
  <c r="B15646" i="1"/>
  <c r="C15646" i="1"/>
  <c r="D15646" i="1"/>
  <c r="A15647" i="1"/>
  <c r="B15647" i="1"/>
  <c r="C15647" i="1"/>
  <c r="D15647" i="1"/>
  <c r="A15648" i="1"/>
  <c r="B15648" i="1"/>
  <c r="C15648" i="1"/>
  <c r="D15648" i="1"/>
  <c r="A15649" i="1"/>
  <c r="B15649" i="1"/>
  <c r="C15649" i="1"/>
  <c r="D15649" i="1"/>
  <c r="A15650" i="1"/>
  <c r="B15650" i="1"/>
  <c r="C15650" i="1"/>
  <c r="D15650" i="1"/>
  <c r="A15651" i="1"/>
  <c r="B15651" i="1"/>
  <c r="C15651" i="1"/>
  <c r="D15651" i="1"/>
  <c r="A15652" i="1"/>
  <c r="B15652" i="1"/>
  <c r="C15652" i="1"/>
  <c r="D15652" i="1"/>
  <c r="A15653" i="1"/>
  <c r="B15653" i="1"/>
  <c r="C15653" i="1"/>
  <c r="D15653" i="1"/>
  <c r="A15654" i="1"/>
  <c r="B15654" i="1"/>
  <c r="C15654" i="1"/>
  <c r="D15654" i="1"/>
  <c r="A15655" i="1"/>
  <c r="B15655" i="1"/>
  <c r="C15655" i="1"/>
  <c r="D15655" i="1"/>
  <c r="A15656" i="1"/>
  <c r="B15656" i="1"/>
  <c r="C15656" i="1"/>
  <c r="D15656" i="1"/>
  <c r="A15657" i="1"/>
  <c r="B15657" i="1"/>
  <c r="C15657" i="1"/>
  <c r="D15657" i="1"/>
  <c r="A15658" i="1"/>
  <c r="B15658" i="1"/>
  <c r="C15658" i="1"/>
  <c r="D15658" i="1"/>
  <c r="A15659" i="1"/>
  <c r="B15659" i="1"/>
  <c r="C15659" i="1"/>
  <c r="D15659" i="1"/>
  <c r="A15660" i="1"/>
  <c r="B15660" i="1"/>
  <c r="C15660" i="1"/>
  <c r="D15660" i="1"/>
  <c r="A15661" i="1"/>
  <c r="B15661" i="1"/>
  <c r="C15661" i="1"/>
  <c r="D15661" i="1"/>
  <c r="A15662" i="1"/>
  <c r="B15662" i="1"/>
  <c r="C15662" i="1"/>
  <c r="D15662" i="1"/>
  <c r="A15663" i="1"/>
  <c r="B15663" i="1"/>
  <c r="C15663" i="1"/>
  <c r="D15663" i="1"/>
  <c r="A15664" i="1"/>
  <c r="B15664" i="1"/>
  <c r="C15664" i="1"/>
  <c r="A15665" i="1"/>
  <c r="B15665" i="1"/>
  <c r="C15665" i="1"/>
  <c r="D15665" i="1"/>
  <c r="A15666" i="1"/>
  <c r="B15666" i="1"/>
  <c r="C15666" i="1"/>
  <c r="D15666" i="1"/>
  <c r="A15667" i="1"/>
  <c r="B15667" i="1"/>
  <c r="C15667" i="1"/>
  <c r="D15667" i="1"/>
  <c r="A15668" i="1"/>
  <c r="B15668" i="1"/>
  <c r="C15668" i="1"/>
  <c r="D15668" i="1"/>
  <c r="A15669" i="1"/>
  <c r="B15669" i="1"/>
  <c r="C15669" i="1"/>
  <c r="D15669" i="1"/>
  <c r="A15670" i="1"/>
  <c r="B15670" i="1"/>
  <c r="C15670" i="1"/>
  <c r="D15670" i="1"/>
  <c r="A15671" i="1"/>
  <c r="B15671" i="1"/>
  <c r="C15671" i="1"/>
  <c r="D15671" i="1"/>
  <c r="A15672" i="1"/>
  <c r="B15672" i="1"/>
  <c r="C15672" i="1"/>
  <c r="D15672" i="1"/>
  <c r="A15673" i="1"/>
  <c r="B15673" i="1"/>
  <c r="C15673" i="1"/>
  <c r="D15673" i="1"/>
  <c r="A15674" i="1"/>
  <c r="B15674" i="1"/>
  <c r="C15674" i="1"/>
  <c r="D15674" i="1"/>
  <c r="A15675" i="1"/>
  <c r="B15675" i="1"/>
  <c r="C15675" i="1"/>
  <c r="D15675" i="1"/>
  <c r="A15676" i="1"/>
  <c r="B15676" i="1"/>
  <c r="C15676" i="1"/>
  <c r="D15676" i="1"/>
  <c r="A15677" i="1"/>
  <c r="B15677" i="1"/>
  <c r="C15677" i="1"/>
  <c r="D15677" i="1"/>
  <c r="A15678" i="1"/>
  <c r="B15678" i="1"/>
  <c r="C15678" i="1"/>
  <c r="D15678" i="1"/>
  <c r="A15679" i="1"/>
  <c r="B15679" i="1"/>
  <c r="C15679" i="1"/>
  <c r="D15679" i="1"/>
  <c r="A15680" i="1"/>
  <c r="B15680" i="1"/>
  <c r="C15680" i="1"/>
  <c r="D15680" i="1"/>
  <c r="A15681" i="1"/>
  <c r="B15681" i="1"/>
  <c r="C15681" i="1"/>
  <c r="D15681" i="1"/>
  <c r="A15682" i="1"/>
  <c r="B15682" i="1"/>
  <c r="C15682" i="1"/>
  <c r="D15682" i="1"/>
  <c r="A15683" i="1"/>
  <c r="B15683" i="1"/>
  <c r="C15683" i="1"/>
  <c r="D15683" i="1"/>
  <c r="A15684" i="1"/>
  <c r="B15684" i="1"/>
  <c r="C15684" i="1"/>
  <c r="D15684" i="1"/>
  <c r="A15685" i="1"/>
  <c r="B15685" i="1"/>
  <c r="C15685" i="1"/>
  <c r="D15685" i="1"/>
  <c r="A15686" i="1"/>
  <c r="B15686" i="1"/>
  <c r="C15686" i="1"/>
  <c r="D15686" i="1"/>
  <c r="A15687" i="1"/>
  <c r="B15687" i="1"/>
  <c r="C15687" i="1"/>
  <c r="A15688" i="1"/>
  <c r="B15688" i="1"/>
  <c r="C15688" i="1"/>
  <c r="D15688" i="1"/>
  <c r="A15689" i="1"/>
  <c r="B15689" i="1"/>
  <c r="C15689" i="1"/>
  <c r="D15689" i="1"/>
  <c r="A15690" i="1"/>
  <c r="B15690" i="1"/>
  <c r="C15690" i="1"/>
  <c r="D15690" i="1"/>
  <c r="A15691" i="1"/>
  <c r="B15691" i="1"/>
  <c r="C15691" i="1"/>
  <c r="D15691" i="1"/>
  <c r="A15692" i="1"/>
  <c r="B15692" i="1"/>
  <c r="C15692" i="1"/>
  <c r="D15692" i="1"/>
  <c r="A15693" i="1"/>
  <c r="B15693" i="1"/>
  <c r="C15693" i="1"/>
  <c r="D15693" i="1"/>
  <c r="A15694" i="1"/>
  <c r="B15694" i="1"/>
  <c r="C15694" i="1"/>
  <c r="D15694" i="1"/>
  <c r="A15695" i="1"/>
  <c r="B15695" i="1"/>
  <c r="C15695" i="1"/>
  <c r="D15695" i="1"/>
  <c r="A15696" i="1"/>
  <c r="B15696" i="1"/>
  <c r="C15696" i="1"/>
  <c r="D15696" i="1"/>
  <c r="A15697" i="1"/>
  <c r="B15697" i="1"/>
  <c r="C15697" i="1"/>
  <c r="D15697" i="1"/>
  <c r="A15698" i="1"/>
  <c r="B15698" i="1"/>
  <c r="C15698" i="1"/>
  <c r="D15698" i="1"/>
  <c r="A15699" i="1"/>
  <c r="B15699" i="1"/>
  <c r="C15699" i="1"/>
  <c r="D15699" i="1"/>
  <c r="A15700" i="1"/>
  <c r="B15700" i="1"/>
  <c r="C15700" i="1"/>
  <c r="D15700" i="1"/>
  <c r="A15701" i="1"/>
  <c r="B15701" i="1"/>
  <c r="C15701" i="1"/>
  <c r="D15701" i="1"/>
  <c r="A15702" i="1"/>
  <c r="B15702" i="1"/>
  <c r="C15702" i="1"/>
  <c r="D15702" i="1"/>
  <c r="A15703" i="1"/>
  <c r="B15703" i="1"/>
  <c r="C15703" i="1"/>
  <c r="D15703" i="1"/>
  <c r="A15704" i="1"/>
  <c r="B15704" i="1"/>
  <c r="C15704" i="1"/>
  <c r="A15705" i="1"/>
  <c r="B15705" i="1"/>
  <c r="C15705" i="1"/>
  <c r="A15706" i="1"/>
  <c r="B15706" i="1"/>
  <c r="C15706" i="1"/>
  <c r="D15706" i="1"/>
  <c r="A15707" i="1"/>
  <c r="B15707" i="1"/>
  <c r="C15707" i="1"/>
  <c r="D15707" i="1"/>
  <c r="A15708" i="1"/>
  <c r="B15708" i="1"/>
  <c r="C15708" i="1"/>
  <c r="D15708" i="1"/>
  <c r="A15709" i="1"/>
  <c r="B15709" i="1"/>
  <c r="C15709" i="1"/>
  <c r="D15709" i="1"/>
  <c r="A15710" i="1"/>
  <c r="B15710" i="1"/>
  <c r="C15710" i="1"/>
  <c r="D15710" i="1"/>
  <c r="A15711" i="1"/>
  <c r="B15711" i="1"/>
  <c r="C15711" i="1"/>
  <c r="D15711" i="1"/>
  <c r="A15712" i="1"/>
  <c r="B15712" i="1"/>
  <c r="C15712" i="1"/>
  <c r="D15712" i="1"/>
  <c r="A15713" i="1"/>
  <c r="B15713" i="1"/>
  <c r="C15713" i="1"/>
  <c r="D15713" i="1"/>
  <c r="A15714" i="1"/>
  <c r="B15714" i="1"/>
  <c r="C15714" i="1"/>
  <c r="D15714" i="1"/>
  <c r="A15715" i="1"/>
  <c r="B15715" i="1"/>
  <c r="C15715" i="1"/>
  <c r="D15715" i="1"/>
  <c r="A15716" i="1"/>
  <c r="B15716" i="1"/>
  <c r="C15716" i="1"/>
  <c r="D15716" i="1"/>
  <c r="A15717" i="1"/>
  <c r="B15717" i="1"/>
  <c r="C15717" i="1"/>
  <c r="D15717" i="1"/>
  <c r="A15718" i="1"/>
  <c r="B15718" i="1"/>
  <c r="C15718" i="1"/>
  <c r="D15718" i="1"/>
  <c r="A15719" i="1"/>
  <c r="B15719" i="1"/>
  <c r="C15719" i="1"/>
  <c r="D15719" i="1"/>
  <c r="A15720" i="1"/>
  <c r="B15720" i="1"/>
  <c r="C15720" i="1"/>
  <c r="D15720" i="1"/>
  <c r="A15721" i="1"/>
  <c r="B15721" i="1"/>
  <c r="C15721" i="1"/>
  <c r="D15721" i="1"/>
  <c r="A15722" i="1"/>
  <c r="B15722" i="1"/>
  <c r="C15722" i="1"/>
  <c r="D15722" i="1"/>
  <c r="A15723" i="1"/>
  <c r="B15723" i="1"/>
  <c r="C15723" i="1"/>
  <c r="D15723" i="1"/>
  <c r="A15724" i="1"/>
  <c r="B15724" i="1"/>
  <c r="C15724" i="1"/>
  <c r="D15724" i="1"/>
  <c r="A15725" i="1"/>
  <c r="B15725" i="1"/>
  <c r="C15725" i="1"/>
  <c r="D15725" i="1"/>
  <c r="A15726" i="1"/>
  <c r="B15726" i="1"/>
  <c r="C15726" i="1"/>
  <c r="D15726" i="1"/>
  <c r="A15727" i="1"/>
  <c r="B15727" i="1"/>
  <c r="C15727" i="1"/>
  <c r="D15727" i="1"/>
  <c r="A15728" i="1"/>
  <c r="B15728" i="1"/>
  <c r="C15728" i="1"/>
  <c r="D15728" i="1"/>
  <c r="A15729" i="1"/>
  <c r="B15729" i="1"/>
  <c r="C15729" i="1"/>
  <c r="D15729" i="1"/>
  <c r="A15730" i="1"/>
  <c r="B15730" i="1"/>
  <c r="C15730" i="1"/>
  <c r="D15730" i="1"/>
  <c r="A15731" i="1"/>
  <c r="B15731" i="1"/>
  <c r="C15731" i="1"/>
  <c r="D15731" i="1"/>
  <c r="A15732" i="1"/>
  <c r="B15732" i="1"/>
  <c r="C15732" i="1"/>
  <c r="D15732" i="1"/>
  <c r="A15733" i="1"/>
  <c r="B15733" i="1"/>
  <c r="C15733" i="1"/>
  <c r="A15734" i="1"/>
  <c r="B15734" i="1"/>
  <c r="C15734" i="1"/>
  <c r="A15735" i="1"/>
  <c r="B15735" i="1"/>
  <c r="C15735" i="1"/>
  <c r="D15735" i="1"/>
  <c r="A15736" i="1"/>
  <c r="B15736" i="1"/>
  <c r="C15736" i="1"/>
  <c r="D15736" i="1"/>
  <c r="A15737" i="1"/>
  <c r="B15737" i="1"/>
  <c r="C15737" i="1"/>
  <c r="D15737" i="1"/>
  <c r="A15738" i="1"/>
  <c r="B15738" i="1"/>
  <c r="C15738" i="1"/>
  <c r="A15739" i="1"/>
  <c r="B15739" i="1"/>
  <c r="C15739" i="1"/>
  <c r="D15739" i="1"/>
  <c r="A15740" i="1"/>
  <c r="B15740" i="1"/>
  <c r="C15740" i="1"/>
  <c r="D15740" i="1"/>
  <c r="A15741" i="1"/>
  <c r="B15741" i="1"/>
  <c r="C15741" i="1"/>
  <c r="D15741" i="1"/>
  <c r="A15742" i="1"/>
  <c r="B15742" i="1"/>
  <c r="C15742" i="1"/>
  <c r="D15742" i="1"/>
  <c r="A15743" i="1"/>
  <c r="B15743" i="1"/>
  <c r="C15743" i="1"/>
  <c r="D15743" i="1"/>
  <c r="A15744" i="1"/>
  <c r="B15744" i="1"/>
  <c r="C15744" i="1"/>
  <c r="D15744" i="1"/>
  <c r="A15745" i="1"/>
  <c r="B15745" i="1"/>
  <c r="C15745" i="1"/>
  <c r="D15745" i="1"/>
  <c r="A15746" i="1"/>
  <c r="B15746" i="1"/>
  <c r="C15746" i="1"/>
  <c r="D15746" i="1"/>
  <c r="A15747" i="1"/>
  <c r="B15747" i="1"/>
  <c r="C15747" i="1"/>
  <c r="D15747" i="1"/>
  <c r="A15748" i="1"/>
  <c r="B15748" i="1"/>
  <c r="C15748" i="1"/>
  <c r="D15748" i="1"/>
  <c r="A15749" i="1"/>
  <c r="B15749" i="1"/>
  <c r="C15749" i="1"/>
  <c r="D15749" i="1"/>
  <c r="A15750" i="1"/>
  <c r="B15750" i="1"/>
  <c r="C15750" i="1"/>
  <c r="D15750" i="1"/>
  <c r="A15751" i="1"/>
  <c r="B15751" i="1"/>
  <c r="C15751" i="1"/>
  <c r="D15751" i="1"/>
  <c r="A15752" i="1"/>
  <c r="B15752" i="1"/>
  <c r="C15752" i="1"/>
  <c r="D15752" i="1"/>
  <c r="A15753" i="1"/>
  <c r="B15753" i="1"/>
  <c r="C15753" i="1"/>
  <c r="D15753" i="1"/>
  <c r="A15754" i="1"/>
  <c r="B15754" i="1"/>
  <c r="C15754" i="1"/>
  <c r="D15754" i="1"/>
  <c r="A15755" i="1"/>
  <c r="B15755" i="1"/>
  <c r="C15755" i="1"/>
  <c r="D15755" i="1"/>
  <c r="A15756" i="1"/>
  <c r="B15756" i="1"/>
  <c r="C15756" i="1"/>
  <c r="D15756" i="1"/>
  <c r="A15757" i="1"/>
  <c r="B15757" i="1"/>
  <c r="C15757" i="1"/>
  <c r="D15757" i="1"/>
  <c r="A15758" i="1"/>
  <c r="B15758" i="1"/>
  <c r="C15758" i="1"/>
  <c r="D15758" i="1"/>
  <c r="A15759" i="1"/>
  <c r="B15759" i="1"/>
  <c r="C15759" i="1"/>
  <c r="D15759" i="1"/>
  <c r="A15760" i="1"/>
  <c r="B15760" i="1"/>
  <c r="C15760" i="1"/>
  <c r="D15760" i="1"/>
  <c r="A15761" i="1"/>
  <c r="B15761" i="1"/>
  <c r="C15761" i="1"/>
  <c r="D15761" i="1"/>
  <c r="A15762" i="1"/>
  <c r="B15762" i="1"/>
  <c r="C15762" i="1"/>
  <c r="D15762" i="1"/>
  <c r="A15763" i="1"/>
  <c r="B15763" i="1"/>
  <c r="C15763" i="1"/>
  <c r="D15763" i="1"/>
  <c r="A15764" i="1"/>
  <c r="B15764" i="1"/>
  <c r="C15764" i="1"/>
  <c r="D15764" i="1"/>
  <c r="A15765" i="1"/>
  <c r="B15765" i="1"/>
  <c r="C15765" i="1"/>
  <c r="D15765" i="1"/>
  <c r="A15766" i="1"/>
  <c r="B15766" i="1"/>
  <c r="C15766" i="1"/>
  <c r="D15766" i="1"/>
  <c r="A15767" i="1"/>
  <c r="B15767" i="1"/>
  <c r="C15767" i="1"/>
  <c r="D15767" i="1"/>
  <c r="A15768" i="1"/>
  <c r="B15768" i="1"/>
  <c r="C15768" i="1"/>
  <c r="D15768" i="1"/>
  <c r="A15769" i="1"/>
  <c r="B15769" i="1"/>
  <c r="C15769" i="1"/>
  <c r="D15769" i="1"/>
  <c r="A15770" i="1"/>
  <c r="B15770" i="1"/>
  <c r="C15770" i="1"/>
  <c r="D15770" i="1"/>
  <c r="A15771" i="1"/>
  <c r="B15771" i="1"/>
  <c r="C15771" i="1"/>
  <c r="D15771" i="1"/>
  <c r="A15772" i="1"/>
  <c r="B15772" i="1"/>
  <c r="C15772" i="1"/>
  <c r="D15772" i="1"/>
  <c r="A15773" i="1"/>
  <c r="B15773" i="1"/>
  <c r="C15773" i="1"/>
  <c r="D15773" i="1"/>
  <c r="A15774" i="1"/>
  <c r="B15774" i="1"/>
  <c r="C15774" i="1"/>
  <c r="D15774" i="1"/>
  <c r="A15775" i="1"/>
  <c r="B15775" i="1"/>
  <c r="C15775" i="1"/>
  <c r="D15775" i="1"/>
  <c r="A15776" i="1"/>
  <c r="B15776" i="1"/>
  <c r="C15776" i="1"/>
  <c r="D15776" i="1"/>
  <c r="A15777" i="1"/>
  <c r="B15777" i="1"/>
  <c r="C15777" i="1"/>
  <c r="D15777" i="1"/>
  <c r="A15778" i="1"/>
  <c r="B15778" i="1"/>
  <c r="C15778" i="1"/>
  <c r="D15778" i="1"/>
  <c r="A15779" i="1"/>
  <c r="B15779" i="1"/>
  <c r="C15779" i="1"/>
  <c r="D15779" i="1"/>
  <c r="A15780" i="1"/>
  <c r="B15780" i="1"/>
  <c r="C15780" i="1"/>
  <c r="D15780" i="1"/>
  <c r="A15781" i="1"/>
  <c r="B15781" i="1"/>
  <c r="C15781" i="1"/>
  <c r="D15781" i="1"/>
  <c r="A15782" i="1"/>
  <c r="B15782" i="1"/>
  <c r="C15782" i="1"/>
  <c r="D15782" i="1"/>
  <c r="A15783" i="1"/>
  <c r="B15783" i="1"/>
  <c r="C15783" i="1"/>
  <c r="D15783" i="1"/>
  <c r="A15784" i="1"/>
  <c r="B15784" i="1"/>
  <c r="C15784" i="1"/>
  <c r="D15784" i="1"/>
  <c r="A15785" i="1"/>
  <c r="B15785" i="1"/>
  <c r="C15785" i="1"/>
  <c r="D15785" i="1"/>
  <c r="A15786" i="1"/>
  <c r="B15786" i="1"/>
  <c r="C15786" i="1"/>
  <c r="A15787" i="1"/>
  <c r="B15787" i="1"/>
  <c r="C15787" i="1"/>
  <c r="D15787" i="1"/>
  <c r="A15788" i="1"/>
  <c r="B15788" i="1"/>
  <c r="C15788" i="1"/>
  <c r="D15788" i="1"/>
  <c r="A15789" i="1"/>
  <c r="B15789" i="1"/>
  <c r="C15789" i="1"/>
  <c r="D15789" i="1"/>
  <c r="A15790" i="1"/>
  <c r="B15790" i="1"/>
  <c r="C15790" i="1"/>
  <c r="D15790" i="1"/>
  <c r="A15791" i="1"/>
  <c r="B15791" i="1"/>
  <c r="C15791" i="1"/>
  <c r="D15791" i="1"/>
  <c r="A15792" i="1"/>
  <c r="B15792" i="1"/>
  <c r="C15792" i="1"/>
  <c r="D15792" i="1"/>
  <c r="A15793" i="1"/>
  <c r="B15793" i="1"/>
  <c r="C15793" i="1"/>
  <c r="D15793" i="1"/>
  <c r="A15794" i="1"/>
  <c r="B15794" i="1"/>
  <c r="C15794" i="1"/>
  <c r="D15794" i="1"/>
  <c r="A15795" i="1"/>
  <c r="B15795" i="1"/>
  <c r="C15795" i="1"/>
  <c r="D15795" i="1"/>
  <c r="A15796" i="1"/>
  <c r="B15796" i="1"/>
  <c r="C15796" i="1"/>
  <c r="D15796" i="1"/>
  <c r="A15797" i="1"/>
  <c r="B15797" i="1"/>
  <c r="C15797" i="1"/>
  <c r="D15797" i="1"/>
  <c r="A15798" i="1"/>
  <c r="B15798" i="1"/>
  <c r="C15798" i="1"/>
  <c r="D15798" i="1"/>
  <c r="A15799" i="1"/>
  <c r="B15799" i="1"/>
  <c r="C15799" i="1"/>
  <c r="D15799" i="1"/>
  <c r="A15800" i="1"/>
  <c r="B15800" i="1"/>
  <c r="C15800" i="1"/>
  <c r="D15800" i="1"/>
  <c r="A15801" i="1"/>
  <c r="B15801" i="1"/>
  <c r="C15801" i="1"/>
  <c r="D15801" i="1"/>
  <c r="A15802" i="1"/>
  <c r="B15802" i="1"/>
  <c r="C15802" i="1"/>
  <c r="D15802" i="1"/>
  <c r="A15803" i="1"/>
  <c r="B15803" i="1"/>
  <c r="C15803" i="1"/>
  <c r="D15803" i="1"/>
  <c r="A15804" i="1"/>
  <c r="B15804" i="1"/>
  <c r="C15804" i="1"/>
  <c r="D15804" i="1"/>
  <c r="A15805" i="1"/>
  <c r="B15805" i="1"/>
  <c r="C15805" i="1"/>
  <c r="D15805" i="1"/>
  <c r="A15806" i="1"/>
  <c r="B15806" i="1"/>
  <c r="C15806" i="1"/>
  <c r="D15806" i="1"/>
  <c r="A15807" i="1"/>
  <c r="B15807" i="1"/>
  <c r="C15807" i="1"/>
  <c r="D15807" i="1"/>
  <c r="A15808" i="1"/>
  <c r="B15808" i="1"/>
  <c r="C15808" i="1"/>
  <c r="D15808" i="1"/>
  <c r="A15809" i="1"/>
  <c r="B15809" i="1"/>
  <c r="C15809" i="1"/>
  <c r="D15809" i="1"/>
  <c r="A15810" i="1"/>
  <c r="B15810" i="1"/>
  <c r="C15810" i="1"/>
  <c r="D15810" i="1"/>
  <c r="A15811" i="1"/>
  <c r="B15811" i="1"/>
  <c r="C15811" i="1"/>
  <c r="D15811" i="1"/>
  <c r="A15812" i="1"/>
  <c r="B15812" i="1"/>
  <c r="C15812" i="1"/>
  <c r="D15812" i="1"/>
  <c r="A15813" i="1"/>
  <c r="B15813" i="1"/>
  <c r="C15813" i="1"/>
  <c r="D15813" i="1"/>
  <c r="A15814" i="1"/>
  <c r="B15814" i="1"/>
  <c r="C15814" i="1"/>
  <c r="D15814" i="1"/>
  <c r="A15815" i="1"/>
  <c r="B15815" i="1"/>
  <c r="C15815" i="1"/>
  <c r="D15815" i="1"/>
  <c r="A15816" i="1"/>
  <c r="B15816" i="1"/>
  <c r="C15816" i="1"/>
  <c r="D15816" i="1"/>
  <c r="A15817" i="1"/>
  <c r="B15817" i="1"/>
  <c r="C15817" i="1"/>
  <c r="D15817" i="1"/>
  <c r="A15818" i="1"/>
  <c r="B15818" i="1"/>
  <c r="C15818" i="1"/>
  <c r="D15818" i="1"/>
  <c r="A15819" i="1"/>
  <c r="B15819" i="1"/>
  <c r="C15819" i="1"/>
  <c r="D15819" i="1"/>
  <c r="A15820" i="1"/>
  <c r="B15820" i="1"/>
  <c r="C15820" i="1"/>
  <c r="D15820" i="1"/>
  <c r="A15821" i="1"/>
  <c r="B15821" i="1"/>
  <c r="C15821" i="1"/>
  <c r="D15821" i="1"/>
  <c r="A15822" i="1"/>
  <c r="B15822" i="1"/>
  <c r="C15822" i="1"/>
  <c r="D15822" i="1"/>
  <c r="A15823" i="1"/>
  <c r="B15823" i="1"/>
  <c r="C15823" i="1"/>
  <c r="D15823" i="1"/>
  <c r="A15824" i="1"/>
  <c r="B15824" i="1"/>
  <c r="C15824" i="1"/>
  <c r="D15824" i="1"/>
  <c r="A15825" i="1"/>
  <c r="B15825" i="1"/>
  <c r="C15825" i="1"/>
  <c r="D15825" i="1"/>
  <c r="A15826" i="1"/>
  <c r="B15826" i="1"/>
  <c r="C15826" i="1"/>
  <c r="D15826" i="1"/>
  <c r="A15827" i="1"/>
  <c r="B15827" i="1"/>
  <c r="C15827" i="1"/>
  <c r="D15827" i="1"/>
  <c r="A15828" i="1"/>
  <c r="B15828" i="1"/>
  <c r="C15828" i="1"/>
  <c r="D15828" i="1"/>
  <c r="A15829" i="1"/>
  <c r="B15829" i="1"/>
  <c r="C15829" i="1"/>
  <c r="D15829" i="1"/>
  <c r="A15830" i="1"/>
  <c r="B15830" i="1"/>
  <c r="C15830" i="1"/>
  <c r="D15830" i="1"/>
  <c r="A15831" i="1"/>
  <c r="B15831" i="1"/>
  <c r="C15831" i="1"/>
  <c r="D15831" i="1"/>
  <c r="A15832" i="1"/>
  <c r="B15832" i="1"/>
  <c r="C15832" i="1"/>
  <c r="D15832" i="1"/>
  <c r="A15833" i="1"/>
  <c r="B15833" i="1"/>
  <c r="C15833" i="1"/>
  <c r="D15833" i="1"/>
  <c r="A15834" i="1"/>
  <c r="B15834" i="1"/>
  <c r="C15834" i="1"/>
  <c r="D15834" i="1"/>
  <c r="A15835" i="1"/>
  <c r="B15835" i="1"/>
  <c r="C15835" i="1"/>
  <c r="D15835" i="1"/>
  <c r="A15836" i="1"/>
  <c r="B15836" i="1"/>
  <c r="C15836" i="1"/>
  <c r="D15836" i="1"/>
  <c r="A15837" i="1"/>
  <c r="B15837" i="1"/>
  <c r="C15837" i="1"/>
  <c r="D15837" i="1"/>
  <c r="A15838" i="1"/>
  <c r="B15838" i="1"/>
  <c r="C15838" i="1"/>
  <c r="D15838" i="1"/>
  <c r="A15839" i="1"/>
  <c r="B15839" i="1"/>
  <c r="C15839" i="1"/>
  <c r="D15839" i="1"/>
  <c r="A15840" i="1"/>
  <c r="B15840" i="1"/>
  <c r="C15840" i="1"/>
  <c r="D15840" i="1"/>
  <c r="A15841" i="1"/>
  <c r="B15841" i="1"/>
  <c r="C15841" i="1"/>
  <c r="D15841" i="1"/>
  <c r="A15842" i="1"/>
  <c r="B15842" i="1"/>
  <c r="C15842" i="1"/>
  <c r="D15842" i="1"/>
  <c r="A15843" i="1"/>
  <c r="B15843" i="1"/>
  <c r="C15843" i="1"/>
  <c r="D15843" i="1"/>
  <c r="A15844" i="1"/>
  <c r="B15844" i="1"/>
  <c r="C15844" i="1"/>
  <c r="D15844" i="1"/>
  <c r="A15845" i="1"/>
  <c r="B15845" i="1"/>
  <c r="C15845" i="1"/>
  <c r="D15845" i="1"/>
  <c r="A15846" i="1"/>
  <c r="B15846" i="1"/>
  <c r="C15846" i="1"/>
  <c r="D15846" i="1"/>
  <c r="A15847" i="1"/>
  <c r="B15847" i="1"/>
  <c r="C15847" i="1"/>
  <c r="A15848" i="1"/>
  <c r="B15848" i="1"/>
  <c r="C15848" i="1"/>
  <c r="D15848" i="1"/>
  <c r="A15849" i="1"/>
  <c r="B15849" i="1"/>
  <c r="C15849" i="1"/>
  <c r="D15849" i="1"/>
  <c r="A15850" i="1"/>
  <c r="B15850" i="1"/>
  <c r="C15850" i="1"/>
  <c r="D15850" i="1"/>
  <c r="A15851" i="1"/>
  <c r="B15851" i="1"/>
  <c r="C15851" i="1"/>
  <c r="D15851" i="1"/>
  <c r="A15852" i="1"/>
  <c r="B15852" i="1"/>
  <c r="C15852" i="1"/>
  <c r="D15852" i="1"/>
  <c r="A15853" i="1"/>
  <c r="B15853" i="1"/>
  <c r="C15853" i="1"/>
  <c r="D15853" i="1"/>
  <c r="A15854" i="1"/>
  <c r="B15854" i="1"/>
  <c r="C15854" i="1"/>
  <c r="D15854" i="1"/>
  <c r="A15855" i="1"/>
  <c r="B15855" i="1"/>
  <c r="C15855" i="1"/>
  <c r="D15855" i="1"/>
  <c r="A15856" i="1"/>
  <c r="B15856" i="1"/>
  <c r="C15856" i="1"/>
  <c r="D15856" i="1"/>
  <c r="A15857" i="1"/>
  <c r="B15857" i="1"/>
  <c r="C15857" i="1"/>
  <c r="D15857" i="1"/>
  <c r="A15858" i="1"/>
  <c r="B15858" i="1"/>
  <c r="C15858" i="1"/>
  <c r="D15858" i="1"/>
  <c r="A15859" i="1"/>
  <c r="B15859" i="1"/>
  <c r="C15859" i="1"/>
  <c r="D15859" i="1"/>
  <c r="A15860" i="1"/>
  <c r="B15860" i="1"/>
  <c r="C15860" i="1"/>
  <c r="D15860" i="1"/>
  <c r="A15861" i="1"/>
  <c r="B15861" i="1"/>
  <c r="C15861" i="1"/>
  <c r="D15861" i="1"/>
  <c r="A15862" i="1"/>
  <c r="B15862" i="1"/>
  <c r="C15862" i="1"/>
  <c r="D15862" i="1"/>
  <c r="A15863" i="1"/>
  <c r="B15863" i="1"/>
  <c r="C15863" i="1"/>
  <c r="D15863" i="1"/>
  <c r="A15864" i="1"/>
  <c r="B15864" i="1"/>
  <c r="C15864" i="1"/>
  <c r="D15864" i="1"/>
  <c r="A15865" i="1"/>
  <c r="B15865" i="1"/>
  <c r="C15865" i="1"/>
  <c r="D15865" i="1"/>
  <c r="A15866" i="1"/>
  <c r="B15866" i="1"/>
  <c r="C15866" i="1"/>
  <c r="D15866" i="1"/>
  <c r="A15867" i="1"/>
  <c r="B15867" i="1"/>
  <c r="C15867" i="1"/>
  <c r="D15867" i="1"/>
  <c r="A15868" i="1"/>
  <c r="B15868" i="1"/>
  <c r="C15868" i="1"/>
  <c r="A15869" i="1"/>
  <c r="B15869" i="1"/>
  <c r="C15869" i="1"/>
  <c r="D15869" i="1"/>
  <c r="A15870" i="1"/>
  <c r="B15870" i="1"/>
  <c r="C15870" i="1"/>
  <c r="D15870" i="1"/>
  <c r="A15871" i="1"/>
  <c r="B15871" i="1"/>
  <c r="C15871" i="1"/>
  <c r="A15872" i="1"/>
  <c r="B15872" i="1"/>
  <c r="C15872" i="1"/>
  <c r="D15872" i="1"/>
  <c r="A15873" i="1"/>
  <c r="B15873" i="1"/>
  <c r="C15873" i="1"/>
  <c r="D15873" i="1"/>
  <c r="A15874" i="1"/>
  <c r="B15874" i="1"/>
  <c r="C15874" i="1"/>
  <c r="D15874" i="1"/>
  <c r="A15875" i="1"/>
  <c r="B15875" i="1"/>
  <c r="C15875" i="1"/>
  <c r="D15875" i="1"/>
  <c r="A15876" i="1"/>
  <c r="B15876" i="1"/>
  <c r="C15876" i="1"/>
  <c r="D15876" i="1"/>
  <c r="A15877" i="1"/>
  <c r="B15877" i="1"/>
  <c r="C15877" i="1"/>
  <c r="D15877" i="1"/>
  <c r="A15878" i="1"/>
  <c r="B15878" i="1"/>
  <c r="C15878" i="1"/>
  <c r="D15878" i="1"/>
  <c r="A15879" i="1"/>
  <c r="B15879" i="1"/>
  <c r="C15879" i="1"/>
  <c r="D15879" i="1"/>
  <c r="A15880" i="1"/>
  <c r="B15880" i="1"/>
  <c r="C15880" i="1"/>
  <c r="D15880" i="1"/>
  <c r="A15881" i="1"/>
  <c r="B15881" i="1"/>
  <c r="C15881" i="1"/>
  <c r="D15881" i="1"/>
  <c r="A15882" i="1"/>
  <c r="B15882" i="1"/>
  <c r="C15882" i="1"/>
  <c r="D15882" i="1"/>
  <c r="A15883" i="1"/>
  <c r="B15883" i="1"/>
  <c r="C15883" i="1"/>
  <c r="D15883" i="1"/>
  <c r="A15884" i="1"/>
  <c r="B15884" i="1"/>
  <c r="C15884" i="1"/>
  <c r="D15884" i="1"/>
  <c r="A15885" i="1"/>
  <c r="B15885" i="1"/>
  <c r="C15885" i="1"/>
  <c r="D15885" i="1"/>
  <c r="A15886" i="1"/>
  <c r="B15886" i="1"/>
  <c r="C15886" i="1"/>
  <c r="D15886" i="1"/>
  <c r="A15887" i="1"/>
  <c r="B15887" i="1"/>
  <c r="C15887" i="1"/>
  <c r="D15887" i="1"/>
  <c r="A15888" i="1"/>
  <c r="B15888" i="1"/>
  <c r="C15888" i="1"/>
  <c r="D15888" i="1"/>
  <c r="A15889" i="1"/>
  <c r="B15889" i="1"/>
  <c r="C15889" i="1"/>
  <c r="D15889" i="1"/>
  <c r="A15890" i="1"/>
  <c r="B15890" i="1"/>
  <c r="C15890" i="1"/>
  <c r="D15890" i="1"/>
  <c r="A15891" i="1"/>
  <c r="B15891" i="1"/>
  <c r="C15891" i="1"/>
  <c r="D15891" i="1"/>
  <c r="A15892" i="1"/>
  <c r="B15892" i="1"/>
  <c r="C15892" i="1"/>
  <c r="D15892" i="1"/>
  <c r="A15893" i="1"/>
  <c r="B15893" i="1"/>
  <c r="C15893" i="1"/>
  <c r="D15893" i="1"/>
  <c r="A15894" i="1"/>
  <c r="B15894" i="1"/>
  <c r="C15894" i="1"/>
  <c r="D15894" i="1"/>
  <c r="A15895" i="1"/>
  <c r="B15895" i="1"/>
  <c r="C15895" i="1"/>
  <c r="D15895" i="1"/>
  <c r="A15896" i="1"/>
  <c r="B15896" i="1"/>
  <c r="C15896" i="1"/>
  <c r="A15897" i="1"/>
  <c r="B15897" i="1"/>
  <c r="C15897" i="1"/>
  <c r="D15897" i="1"/>
  <c r="A15898" i="1"/>
  <c r="B15898" i="1"/>
  <c r="C15898" i="1"/>
  <c r="D15898" i="1"/>
  <c r="A15899" i="1"/>
  <c r="B15899" i="1"/>
  <c r="C15899" i="1"/>
  <c r="D15899" i="1"/>
  <c r="A15900" i="1"/>
  <c r="B15900" i="1"/>
  <c r="C15900" i="1"/>
  <c r="D15900" i="1"/>
  <c r="A15901" i="1"/>
  <c r="B15901" i="1"/>
  <c r="C15901" i="1"/>
  <c r="D15901" i="1"/>
  <c r="A15902" i="1"/>
  <c r="B15902" i="1"/>
  <c r="C15902" i="1"/>
  <c r="D15902" i="1"/>
  <c r="A15903" i="1"/>
  <c r="B15903" i="1"/>
  <c r="C15903" i="1"/>
  <c r="D15903" i="1"/>
  <c r="A15904" i="1"/>
  <c r="B15904" i="1"/>
  <c r="C15904" i="1"/>
  <c r="D15904" i="1"/>
  <c r="A15905" i="1"/>
  <c r="B15905" i="1"/>
  <c r="C15905" i="1"/>
  <c r="D15905" i="1"/>
  <c r="A15906" i="1"/>
  <c r="B15906" i="1"/>
  <c r="C15906" i="1"/>
  <c r="D15906" i="1"/>
  <c r="A15907" i="1"/>
  <c r="B15907" i="1"/>
  <c r="C15907" i="1"/>
  <c r="A15908" i="1"/>
  <c r="B15908" i="1"/>
  <c r="C15908" i="1"/>
  <c r="D15908" i="1"/>
  <c r="A15909" i="1"/>
  <c r="B15909" i="1"/>
  <c r="C15909" i="1"/>
  <c r="D15909" i="1"/>
  <c r="A15910" i="1"/>
  <c r="B15910" i="1"/>
  <c r="C15910" i="1"/>
  <c r="D15910" i="1"/>
  <c r="A15911" i="1"/>
  <c r="B15911" i="1"/>
  <c r="C15911" i="1"/>
  <c r="D15911" i="1"/>
  <c r="A15912" i="1"/>
  <c r="B15912" i="1"/>
  <c r="C15912" i="1"/>
  <c r="D15912" i="1"/>
  <c r="A15913" i="1"/>
  <c r="B15913" i="1"/>
  <c r="C15913" i="1"/>
  <c r="D15913" i="1"/>
  <c r="A15914" i="1"/>
  <c r="B15914" i="1"/>
  <c r="C15914" i="1"/>
  <c r="D15914" i="1"/>
  <c r="A15915" i="1"/>
  <c r="B15915" i="1"/>
  <c r="C15915" i="1"/>
  <c r="D15915" i="1"/>
  <c r="A15916" i="1"/>
  <c r="B15916" i="1"/>
  <c r="C15916" i="1"/>
  <c r="D15916" i="1"/>
  <c r="A15917" i="1"/>
  <c r="B15917" i="1"/>
  <c r="C15917" i="1"/>
  <c r="D15917" i="1"/>
  <c r="A15918" i="1"/>
  <c r="B15918" i="1"/>
  <c r="C15918" i="1"/>
  <c r="D15918" i="1"/>
  <c r="A15919" i="1"/>
  <c r="B15919" i="1"/>
  <c r="C15919" i="1"/>
  <c r="D15919" i="1"/>
  <c r="A15920" i="1"/>
  <c r="B15920" i="1"/>
  <c r="C15920" i="1"/>
  <c r="D15920" i="1"/>
  <c r="A15921" i="1"/>
  <c r="B15921" i="1"/>
  <c r="C15921" i="1"/>
  <c r="D15921" i="1"/>
  <c r="A15922" i="1"/>
  <c r="B15922" i="1"/>
  <c r="C15922" i="1"/>
  <c r="D15922" i="1"/>
  <c r="A15923" i="1"/>
  <c r="B15923" i="1"/>
  <c r="C15923" i="1"/>
  <c r="D15923" i="1"/>
  <c r="A15924" i="1"/>
  <c r="B15924" i="1"/>
  <c r="C15924" i="1"/>
  <c r="D15924" i="1"/>
  <c r="A15925" i="1"/>
  <c r="B15925" i="1"/>
  <c r="C15925" i="1"/>
  <c r="D15925" i="1"/>
  <c r="A15926" i="1"/>
  <c r="B15926" i="1"/>
  <c r="C15926" i="1"/>
  <c r="A15927" i="1"/>
  <c r="B15927" i="1"/>
  <c r="C15927" i="1"/>
  <c r="D15927" i="1"/>
  <c r="A15928" i="1"/>
  <c r="B15928" i="1"/>
  <c r="C15928" i="1"/>
  <c r="D15928" i="1"/>
  <c r="A15929" i="1"/>
  <c r="B15929" i="1"/>
  <c r="C15929" i="1"/>
  <c r="D15929" i="1"/>
  <c r="A15930" i="1"/>
  <c r="B15930" i="1"/>
  <c r="C15930" i="1"/>
  <c r="D15930" i="1"/>
  <c r="A15931" i="1"/>
  <c r="B15931" i="1"/>
  <c r="C15931" i="1"/>
  <c r="D15931" i="1"/>
  <c r="A15932" i="1"/>
  <c r="B15932" i="1"/>
  <c r="C15932" i="1"/>
  <c r="D15932" i="1"/>
  <c r="A15933" i="1"/>
  <c r="B15933" i="1"/>
  <c r="C15933" i="1"/>
  <c r="D15933" i="1"/>
  <c r="A15934" i="1"/>
  <c r="B15934" i="1"/>
  <c r="C15934" i="1"/>
  <c r="D15934" i="1"/>
  <c r="A15935" i="1"/>
  <c r="B15935" i="1"/>
  <c r="C15935" i="1"/>
  <c r="D15935" i="1"/>
  <c r="A15936" i="1"/>
  <c r="B15936" i="1"/>
  <c r="C15936" i="1"/>
  <c r="D15936" i="1"/>
  <c r="A15937" i="1"/>
  <c r="B15937" i="1"/>
  <c r="C15937" i="1"/>
  <c r="D15937" i="1"/>
  <c r="A15938" i="1"/>
  <c r="B15938" i="1"/>
  <c r="C15938" i="1"/>
  <c r="D15938" i="1"/>
  <c r="A15939" i="1"/>
  <c r="B15939" i="1"/>
  <c r="C15939" i="1"/>
  <c r="D15939" i="1"/>
  <c r="A15940" i="1"/>
  <c r="B15940" i="1"/>
  <c r="C15940" i="1"/>
  <c r="D15940" i="1"/>
  <c r="A15941" i="1"/>
  <c r="B15941" i="1"/>
  <c r="C15941" i="1"/>
  <c r="D15941" i="1"/>
  <c r="A15942" i="1"/>
  <c r="B15942" i="1"/>
  <c r="C15942" i="1"/>
  <c r="D15942" i="1"/>
  <c r="A15943" i="1"/>
  <c r="B15943" i="1"/>
  <c r="C15943" i="1"/>
  <c r="D15943" i="1"/>
  <c r="A15944" i="1"/>
  <c r="B15944" i="1"/>
  <c r="C15944" i="1"/>
  <c r="D15944" i="1"/>
  <c r="A15945" i="1"/>
  <c r="B15945" i="1"/>
  <c r="C15945" i="1"/>
  <c r="D15945" i="1"/>
  <c r="A15946" i="1"/>
  <c r="B15946" i="1"/>
  <c r="C15946" i="1"/>
  <c r="D15946" i="1"/>
  <c r="A15947" i="1"/>
  <c r="B15947" i="1"/>
  <c r="C15947" i="1"/>
  <c r="D15947" i="1"/>
  <c r="A15948" i="1"/>
  <c r="B15948" i="1"/>
  <c r="C15948" i="1"/>
  <c r="D15948" i="1"/>
  <c r="A15949" i="1"/>
  <c r="B15949" i="1"/>
  <c r="C15949" i="1"/>
  <c r="D15949" i="1"/>
  <c r="A15950" i="1"/>
  <c r="B15950" i="1"/>
  <c r="C15950" i="1"/>
  <c r="D15950" i="1"/>
  <c r="A15951" i="1"/>
  <c r="B15951" i="1"/>
  <c r="C15951" i="1"/>
  <c r="D15951" i="1"/>
  <c r="A15952" i="1"/>
  <c r="B15952" i="1"/>
  <c r="C15952" i="1"/>
  <c r="D15952" i="1"/>
  <c r="A15953" i="1"/>
  <c r="B15953" i="1"/>
  <c r="C15953" i="1"/>
  <c r="D15953" i="1"/>
  <c r="A15954" i="1"/>
  <c r="B15954" i="1"/>
  <c r="C15954" i="1"/>
  <c r="D15954" i="1"/>
  <c r="A15955" i="1"/>
  <c r="B15955" i="1"/>
  <c r="C15955" i="1"/>
  <c r="D15955" i="1"/>
  <c r="A15956" i="1"/>
  <c r="B15956" i="1"/>
  <c r="C15956" i="1"/>
  <c r="D15956" i="1"/>
  <c r="A15957" i="1"/>
  <c r="B15957" i="1"/>
  <c r="C15957" i="1"/>
  <c r="D15957" i="1"/>
  <c r="A15958" i="1"/>
  <c r="B15958" i="1"/>
  <c r="C15958" i="1"/>
  <c r="D15958" i="1"/>
  <c r="A15959" i="1"/>
  <c r="B15959" i="1"/>
  <c r="C15959" i="1"/>
  <c r="D15959" i="1"/>
  <c r="A15960" i="1"/>
  <c r="B15960" i="1"/>
  <c r="C15960" i="1"/>
  <c r="D15960" i="1"/>
  <c r="A15961" i="1"/>
  <c r="B15961" i="1"/>
  <c r="C15961" i="1"/>
  <c r="D15961" i="1"/>
  <c r="A15962" i="1"/>
  <c r="B15962" i="1"/>
  <c r="C15962" i="1"/>
  <c r="D15962" i="1"/>
  <c r="A15963" i="1"/>
  <c r="B15963" i="1"/>
  <c r="C15963" i="1"/>
  <c r="D15963" i="1"/>
  <c r="A15964" i="1"/>
  <c r="B15964" i="1"/>
  <c r="C15964" i="1"/>
  <c r="D15964" i="1"/>
  <c r="A15965" i="1"/>
  <c r="B15965" i="1"/>
  <c r="C15965" i="1"/>
  <c r="D15965" i="1"/>
  <c r="A15966" i="1"/>
  <c r="B15966" i="1"/>
  <c r="C15966" i="1"/>
  <c r="D15966" i="1"/>
  <c r="A15967" i="1"/>
  <c r="B15967" i="1"/>
  <c r="C15967" i="1"/>
  <c r="D15967" i="1"/>
  <c r="A15968" i="1"/>
  <c r="B15968" i="1"/>
  <c r="C15968" i="1"/>
  <c r="D15968" i="1"/>
  <c r="A15969" i="1"/>
  <c r="B15969" i="1"/>
  <c r="C15969" i="1"/>
  <c r="D15969" i="1"/>
  <c r="A15970" i="1"/>
  <c r="B15970" i="1"/>
  <c r="C15970" i="1"/>
  <c r="D15970" i="1"/>
  <c r="A15971" i="1"/>
  <c r="B15971" i="1"/>
  <c r="C15971" i="1"/>
  <c r="D15971" i="1"/>
  <c r="A15972" i="1"/>
  <c r="B15972" i="1"/>
  <c r="C15972" i="1"/>
  <c r="D15972" i="1"/>
  <c r="A15973" i="1"/>
  <c r="B15973" i="1"/>
  <c r="C15973" i="1"/>
  <c r="D15973" i="1"/>
  <c r="A15974" i="1"/>
  <c r="B15974" i="1"/>
  <c r="C15974" i="1"/>
  <c r="D15974" i="1"/>
  <c r="A15975" i="1"/>
  <c r="B15975" i="1"/>
  <c r="C15975" i="1"/>
  <c r="D15975" i="1"/>
  <c r="A15976" i="1"/>
  <c r="B15976" i="1"/>
  <c r="C15976" i="1"/>
  <c r="D15976" i="1"/>
  <c r="A15977" i="1"/>
  <c r="B15977" i="1"/>
  <c r="C15977" i="1"/>
  <c r="D15977" i="1"/>
  <c r="A15978" i="1"/>
  <c r="B15978" i="1"/>
  <c r="C15978" i="1"/>
  <c r="D15978" i="1"/>
  <c r="A15979" i="1"/>
  <c r="B15979" i="1"/>
  <c r="C15979" i="1"/>
  <c r="D15979" i="1"/>
  <c r="A15980" i="1"/>
  <c r="B15980" i="1"/>
  <c r="C15980" i="1"/>
  <c r="D15980" i="1"/>
  <c r="A15981" i="1"/>
  <c r="B15981" i="1"/>
  <c r="C15981" i="1"/>
  <c r="D15981" i="1"/>
  <c r="A15982" i="1"/>
  <c r="B15982" i="1"/>
  <c r="C15982" i="1"/>
  <c r="D15982" i="1"/>
  <c r="A15983" i="1"/>
  <c r="B15983" i="1"/>
  <c r="C15983" i="1"/>
  <c r="D15983" i="1"/>
  <c r="A15984" i="1"/>
  <c r="B15984" i="1"/>
  <c r="C15984" i="1"/>
  <c r="D15984" i="1"/>
  <c r="A15985" i="1"/>
  <c r="B15985" i="1"/>
  <c r="C15985" i="1"/>
  <c r="D15985" i="1"/>
  <c r="A15986" i="1"/>
  <c r="B15986" i="1"/>
  <c r="C15986" i="1"/>
  <c r="D15986" i="1"/>
  <c r="A15987" i="1"/>
  <c r="B15987" i="1"/>
  <c r="C15987" i="1"/>
  <c r="D15987" i="1"/>
  <c r="A15988" i="1"/>
  <c r="B15988" i="1"/>
  <c r="C15988" i="1"/>
  <c r="D15988" i="1"/>
  <c r="A15989" i="1"/>
  <c r="B15989" i="1"/>
  <c r="C15989" i="1"/>
  <c r="D15989" i="1"/>
  <c r="A15990" i="1"/>
  <c r="B15990" i="1"/>
  <c r="C15990" i="1"/>
  <c r="D15990" i="1"/>
  <c r="A15991" i="1"/>
  <c r="B15991" i="1"/>
  <c r="C15991" i="1"/>
  <c r="D15991" i="1"/>
  <c r="A15992" i="1"/>
  <c r="B15992" i="1"/>
  <c r="C15992" i="1"/>
  <c r="D15992" i="1"/>
  <c r="A15993" i="1"/>
  <c r="B15993" i="1"/>
  <c r="C15993" i="1"/>
  <c r="D15993" i="1"/>
  <c r="A15994" i="1"/>
  <c r="B15994" i="1"/>
  <c r="C15994" i="1"/>
  <c r="D15994" i="1"/>
  <c r="A15995" i="1"/>
  <c r="B15995" i="1"/>
  <c r="C15995" i="1"/>
  <c r="D15995" i="1"/>
  <c r="A15996" i="1"/>
  <c r="B15996" i="1"/>
  <c r="C15996" i="1"/>
  <c r="D15996" i="1"/>
  <c r="A15997" i="1"/>
  <c r="B15997" i="1"/>
  <c r="C15997" i="1"/>
  <c r="D15997" i="1"/>
  <c r="A15998" i="1"/>
  <c r="B15998" i="1"/>
  <c r="C15998" i="1"/>
  <c r="D15998" i="1"/>
  <c r="A15999" i="1"/>
  <c r="B15999" i="1"/>
  <c r="C15999" i="1"/>
  <c r="D15999" i="1"/>
  <c r="A16000" i="1"/>
  <c r="B16000" i="1"/>
  <c r="C16000" i="1"/>
  <c r="D16000" i="1"/>
  <c r="A16001" i="1"/>
  <c r="B16001" i="1"/>
  <c r="C16001" i="1"/>
  <c r="D16001" i="1"/>
  <c r="A16002" i="1"/>
  <c r="B16002" i="1"/>
  <c r="C16002" i="1"/>
  <c r="D16002" i="1"/>
  <c r="A16003" i="1"/>
  <c r="B16003" i="1"/>
  <c r="C16003" i="1"/>
  <c r="D16003" i="1"/>
  <c r="A16004" i="1"/>
  <c r="B16004" i="1"/>
  <c r="C16004" i="1"/>
  <c r="D16004" i="1"/>
  <c r="A16005" i="1"/>
  <c r="B16005" i="1"/>
  <c r="C16005" i="1"/>
  <c r="D16005" i="1"/>
  <c r="A16006" i="1"/>
  <c r="B16006" i="1"/>
  <c r="C16006" i="1"/>
  <c r="D16006" i="1"/>
  <c r="A16007" i="1"/>
  <c r="B16007" i="1"/>
  <c r="C16007" i="1"/>
  <c r="D16007" i="1"/>
  <c r="A16008" i="1"/>
  <c r="B16008" i="1"/>
  <c r="C16008" i="1"/>
  <c r="D16008" i="1"/>
  <c r="A16009" i="1"/>
  <c r="B16009" i="1"/>
  <c r="C16009" i="1"/>
  <c r="D16009" i="1"/>
  <c r="A16010" i="1"/>
  <c r="B16010" i="1"/>
  <c r="C16010" i="1"/>
  <c r="D16010" i="1"/>
  <c r="A16011" i="1"/>
  <c r="B16011" i="1"/>
  <c r="C16011" i="1"/>
  <c r="D16011" i="1"/>
  <c r="A16012" i="1"/>
  <c r="B16012" i="1"/>
  <c r="C16012" i="1"/>
  <c r="D16012" i="1"/>
  <c r="A16013" i="1"/>
  <c r="B16013" i="1"/>
  <c r="C16013" i="1"/>
  <c r="D16013" i="1"/>
  <c r="A16014" i="1"/>
  <c r="B16014" i="1"/>
  <c r="C16014" i="1"/>
  <c r="D16014" i="1"/>
  <c r="A16015" i="1"/>
  <c r="B16015" i="1"/>
  <c r="C16015" i="1"/>
  <c r="D16015" i="1"/>
  <c r="A16016" i="1"/>
  <c r="B16016" i="1"/>
  <c r="C16016" i="1"/>
  <c r="D16016" i="1"/>
  <c r="A16017" i="1"/>
  <c r="B16017" i="1"/>
  <c r="C16017" i="1"/>
  <c r="D16017" i="1"/>
  <c r="A16018" i="1"/>
  <c r="B16018" i="1"/>
  <c r="C16018" i="1"/>
  <c r="D16018" i="1"/>
  <c r="A16019" i="1"/>
  <c r="B16019" i="1"/>
  <c r="C16019" i="1"/>
  <c r="A16020" i="1"/>
  <c r="B16020" i="1"/>
  <c r="C16020" i="1"/>
  <c r="D16020" i="1"/>
  <c r="A16021" i="1"/>
  <c r="B16021" i="1"/>
  <c r="C16021" i="1"/>
  <c r="D16021" i="1"/>
  <c r="A16022" i="1"/>
  <c r="B16022" i="1"/>
  <c r="C16022" i="1"/>
  <c r="D16022" i="1"/>
  <c r="A16023" i="1"/>
  <c r="B16023" i="1"/>
  <c r="C16023" i="1"/>
  <c r="D16023" i="1"/>
  <c r="A16024" i="1"/>
  <c r="B16024" i="1"/>
  <c r="C16024" i="1"/>
  <c r="A16025" i="1"/>
  <c r="B16025" i="1"/>
  <c r="C16025" i="1"/>
  <c r="D16025" i="1"/>
  <c r="A16026" i="1"/>
  <c r="B16026" i="1"/>
  <c r="C16026" i="1"/>
  <c r="D16026" i="1"/>
  <c r="A16027" i="1"/>
  <c r="B16027" i="1"/>
  <c r="C16027" i="1"/>
  <c r="D16027" i="1"/>
  <c r="A16028" i="1"/>
  <c r="B16028" i="1"/>
  <c r="C16028" i="1"/>
  <c r="D16028" i="1"/>
  <c r="A16029" i="1"/>
  <c r="B16029" i="1"/>
  <c r="C16029" i="1"/>
  <c r="D16029" i="1"/>
  <c r="A16030" i="1"/>
  <c r="B16030" i="1"/>
  <c r="C16030" i="1"/>
  <c r="D16030" i="1"/>
  <c r="A16031" i="1"/>
  <c r="B16031" i="1"/>
  <c r="C16031" i="1"/>
  <c r="D16031" i="1"/>
  <c r="A16032" i="1"/>
  <c r="B16032" i="1"/>
  <c r="C16032" i="1"/>
  <c r="D16032" i="1"/>
  <c r="A16033" i="1"/>
  <c r="B16033" i="1"/>
  <c r="C16033" i="1"/>
  <c r="D16033" i="1"/>
  <c r="A16034" i="1"/>
  <c r="B16034" i="1"/>
  <c r="C16034" i="1"/>
  <c r="D16034" i="1"/>
  <c r="A16035" i="1"/>
  <c r="B16035" i="1"/>
  <c r="C16035" i="1"/>
  <c r="D16035" i="1"/>
  <c r="A16036" i="1"/>
  <c r="B16036" i="1"/>
  <c r="C16036" i="1"/>
  <c r="D16036" i="1"/>
  <c r="A16037" i="1"/>
  <c r="B16037" i="1"/>
  <c r="C16037" i="1"/>
  <c r="D16037" i="1"/>
  <c r="A16038" i="1"/>
  <c r="B16038" i="1"/>
  <c r="C16038" i="1"/>
  <c r="D16038" i="1"/>
  <c r="A16039" i="1"/>
  <c r="B16039" i="1"/>
  <c r="C16039" i="1"/>
  <c r="D16039" i="1"/>
  <c r="A16040" i="1"/>
  <c r="B16040" i="1"/>
  <c r="C16040" i="1"/>
  <c r="D16040" i="1"/>
  <c r="A16041" i="1"/>
  <c r="B16041" i="1"/>
  <c r="C16041" i="1"/>
  <c r="D16041" i="1"/>
  <c r="A16042" i="1"/>
  <c r="B16042" i="1"/>
  <c r="C16042" i="1"/>
  <c r="D16042" i="1"/>
  <c r="A16043" i="1"/>
  <c r="B16043" i="1"/>
  <c r="C16043" i="1"/>
  <c r="D16043" i="1"/>
  <c r="A16044" i="1"/>
  <c r="B16044" i="1"/>
  <c r="C16044" i="1"/>
  <c r="A16045" i="1"/>
  <c r="B16045" i="1"/>
  <c r="C16045" i="1"/>
  <c r="D16045" i="1"/>
  <c r="A16046" i="1"/>
  <c r="B16046" i="1"/>
  <c r="C16046" i="1"/>
  <c r="D16046" i="1"/>
  <c r="A16047" i="1"/>
  <c r="B16047" i="1"/>
  <c r="C16047" i="1"/>
  <c r="D16047" i="1"/>
  <c r="A16048" i="1"/>
  <c r="B16048" i="1"/>
  <c r="C16048" i="1"/>
  <c r="D16048" i="1"/>
  <c r="A16049" i="1"/>
  <c r="B16049" i="1"/>
  <c r="C16049" i="1"/>
  <c r="A16050" i="1"/>
  <c r="B16050" i="1"/>
  <c r="C16050" i="1"/>
  <c r="D16050" i="1"/>
  <c r="A16051" i="1"/>
  <c r="B16051" i="1"/>
  <c r="C16051" i="1"/>
  <c r="D16051" i="1"/>
  <c r="A16052" i="1"/>
  <c r="B16052" i="1"/>
  <c r="C16052" i="1"/>
  <c r="D16052" i="1"/>
  <c r="A16053" i="1"/>
  <c r="B16053" i="1"/>
  <c r="C16053" i="1"/>
  <c r="D16053" i="1"/>
  <c r="A16054" i="1"/>
  <c r="B16054" i="1"/>
  <c r="C16054" i="1"/>
  <c r="D16054" i="1"/>
  <c r="A16055" i="1"/>
  <c r="B16055" i="1"/>
  <c r="C16055" i="1"/>
  <c r="D16055" i="1"/>
  <c r="A16056" i="1"/>
  <c r="B16056" i="1"/>
  <c r="C16056" i="1"/>
  <c r="D16056" i="1"/>
  <c r="A16057" i="1"/>
  <c r="B16057" i="1"/>
  <c r="C16057" i="1"/>
  <c r="D16057" i="1"/>
  <c r="A16058" i="1"/>
  <c r="B16058" i="1"/>
  <c r="C16058" i="1"/>
  <c r="D16058" i="1"/>
  <c r="A16059" i="1"/>
  <c r="B16059" i="1"/>
  <c r="C16059" i="1"/>
  <c r="D16059" i="1"/>
  <c r="A16060" i="1"/>
  <c r="B16060" i="1"/>
  <c r="C16060" i="1"/>
  <c r="D16060" i="1"/>
  <c r="A16061" i="1"/>
  <c r="B16061" i="1"/>
  <c r="C16061" i="1"/>
  <c r="D16061" i="1"/>
  <c r="A16062" i="1"/>
  <c r="B16062" i="1"/>
  <c r="C16062" i="1"/>
  <c r="D16062" i="1"/>
  <c r="A16063" i="1"/>
  <c r="B16063" i="1"/>
  <c r="C16063" i="1"/>
  <c r="D16063" i="1"/>
  <c r="A16064" i="1"/>
  <c r="B16064" i="1"/>
  <c r="C16064" i="1"/>
  <c r="D16064" i="1"/>
  <c r="A16065" i="1"/>
  <c r="B16065" i="1"/>
  <c r="C16065" i="1"/>
  <c r="D16065" i="1"/>
  <c r="A16066" i="1"/>
  <c r="B16066" i="1"/>
  <c r="C16066" i="1"/>
  <c r="D16066" i="1"/>
  <c r="A16067" i="1"/>
  <c r="B16067" i="1"/>
  <c r="C16067" i="1"/>
  <c r="D16067" i="1"/>
  <c r="A16068" i="1"/>
  <c r="B16068" i="1"/>
  <c r="C16068" i="1"/>
  <c r="D16068" i="1"/>
  <c r="A16069" i="1"/>
  <c r="B16069" i="1"/>
  <c r="C16069" i="1"/>
  <c r="D16069" i="1"/>
  <c r="A16070" i="1"/>
  <c r="B16070" i="1"/>
  <c r="C16070" i="1"/>
  <c r="D16070" i="1"/>
  <c r="A16071" i="1"/>
  <c r="B16071" i="1"/>
  <c r="C16071" i="1"/>
  <c r="D16071" i="1"/>
  <c r="A16072" i="1"/>
  <c r="B16072" i="1"/>
  <c r="C16072" i="1"/>
  <c r="D16072" i="1"/>
  <c r="A16073" i="1"/>
  <c r="B16073" i="1"/>
  <c r="C16073" i="1"/>
  <c r="D16073" i="1"/>
  <c r="A16074" i="1"/>
  <c r="B16074" i="1"/>
  <c r="C16074" i="1"/>
  <c r="D16074" i="1"/>
  <c r="A16075" i="1"/>
  <c r="B16075" i="1"/>
  <c r="C16075" i="1"/>
  <c r="D16075" i="1"/>
  <c r="A16076" i="1"/>
  <c r="B16076" i="1"/>
  <c r="C16076" i="1"/>
  <c r="D16076" i="1"/>
  <c r="A16077" i="1"/>
  <c r="B16077" i="1"/>
  <c r="C16077" i="1"/>
  <c r="D16077" i="1"/>
  <c r="A16078" i="1"/>
  <c r="B16078" i="1"/>
  <c r="C16078" i="1"/>
  <c r="A16079" i="1"/>
  <c r="B16079" i="1"/>
  <c r="C16079" i="1"/>
  <c r="D16079" i="1"/>
  <c r="A16080" i="1"/>
  <c r="B16080" i="1"/>
  <c r="C16080" i="1"/>
  <c r="D16080" i="1"/>
  <c r="A16081" i="1"/>
  <c r="B16081" i="1"/>
  <c r="C16081" i="1"/>
  <c r="D16081" i="1"/>
  <c r="A16082" i="1"/>
  <c r="B16082" i="1"/>
  <c r="C16082" i="1"/>
  <c r="D16082" i="1"/>
  <c r="A16083" i="1"/>
  <c r="B16083" i="1"/>
  <c r="C16083" i="1"/>
  <c r="A16084" i="1"/>
  <c r="B16084" i="1"/>
  <c r="C16084" i="1"/>
  <c r="D16084" i="1"/>
  <c r="A16085" i="1"/>
  <c r="B16085" i="1"/>
  <c r="C16085" i="1"/>
  <c r="D16085" i="1"/>
  <c r="A16086" i="1"/>
  <c r="B16086" i="1"/>
  <c r="C16086" i="1"/>
  <c r="D16086" i="1"/>
  <c r="A16087" i="1"/>
  <c r="B16087" i="1"/>
  <c r="C16087" i="1"/>
  <c r="D16087" i="1"/>
  <c r="A16088" i="1"/>
  <c r="B16088" i="1"/>
  <c r="C16088" i="1"/>
  <c r="D16088" i="1"/>
  <c r="A16089" i="1"/>
  <c r="B16089" i="1"/>
  <c r="C16089" i="1"/>
  <c r="D16089" i="1"/>
  <c r="A16090" i="1"/>
  <c r="B16090" i="1"/>
  <c r="C16090" i="1"/>
  <c r="D16090" i="1"/>
  <c r="A16091" i="1"/>
  <c r="B16091" i="1"/>
  <c r="C16091" i="1"/>
  <c r="D16091" i="1"/>
  <c r="A16092" i="1"/>
  <c r="B16092" i="1"/>
  <c r="C16092" i="1"/>
  <c r="D16092" i="1"/>
  <c r="A16093" i="1"/>
  <c r="B16093" i="1"/>
  <c r="C16093" i="1"/>
  <c r="D16093" i="1"/>
  <c r="A16094" i="1"/>
  <c r="B16094" i="1"/>
  <c r="C16094" i="1"/>
  <c r="D16094" i="1"/>
  <c r="A16095" i="1"/>
  <c r="B16095" i="1"/>
  <c r="C16095" i="1"/>
  <c r="D16095" i="1"/>
  <c r="A16096" i="1"/>
  <c r="B16096" i="1"/>
  <c r="C16096" i="1"/>
  <c r="D16096" i="1"/>
  <c r="A16097" i="1"/>
  <c r="B16097" i="1"/>
  <c r="C16097" i="1"/>
  <c r="D16097" i="1"/>
  <c r="A16098" i="1"/>
  <c r="B16098" i="1"/>
  <c r="C16098" i="1"/>
  <c r="D16098" i="1"/>
  <c r="A16099" i="1"/>
  <c r="B16099" i="1"/>
  <c r="C16099" i="1"/>
  <c r="D16099" i="1"/>
  <c r="A16100" i="1"/>
  <c r="B16100" i="1"/>
  <c r="C16100" i="1"/>
  <c r="D16100" i="1"/>
  <c r="A16101" i="1"/>
  <c r="B16101" i="1"/>
  <c r="C16101" i="1"/>
  <c r="D16101" i="1"/>
  <c r="A16102" i="1"/>
  <c r="B16102" i="1"/>
  <c r="C16102" i="1"/>
  <c r="A16103" i="1"/>
  <c r="B16103" i="1"/>
  <c r="C16103" i="1"/>
  <c r="A16104" i="1"/>
  <c r="B16104" i="1"/>
  <c r="C16104" i="1"/>
  <c r="D16104" i="1"/>
  <c r="A16105" i="1"/>
  <c r="B16105" i="1"/>
  <c r="C16105" i="1"/>
  <c r="D16105" i="1"/>
  <c r="A16106" i="1"/>
  <c r="B16106" i="1"/>
  <c r="C16106" i="1"/>
  <c r="D16106" i="1"/>
  <c r="A16107" i="1"/>
  <c r="B16107" i="1"/>
  <c r="C16107" i="1"/>
  <c r="D16107" i="1"/>
  <c r="A16108" i="1"/>
  <c r="B16108" i="1"/>
  <c r="C16108" i="1"/>
  <c r="D16108" i="1"/>
  <c r="A16109" i="1"/>
  <c r="B16109" i="1"/>
  <c r="C16109" i="1"/>
  <c r="D16109" i="1"/>
  <c r="A16110" i="1"/>
  <c r="B16110" i="1"/>
  <c r="C16110" i="1"/>
  <c r="D16110" i="1"/>
  <c r="A16111" i="1"/>
  <c r="B16111" i="1"/>
  <c r="C16111" i="1"/>
  <c r="D16111" i="1"/>
  <c r="A16112" i="1"/>
  <c r="B16112" i="1"/>
  <c r="C16112" i="1"/>
  <c r="D16112" i="1"/>
  <c r="A16113" i="1"/>
  <c r="B16113" i="1"/>
  <c r="C16113" i="1"/>
  <c r="D16113" i="1"/>
  <c r="A16114" i="1"/>
  <c r="B16114" i="1"/>
  <c r="C16114" i="1"/>
  <c r="D16114" i="1"/>
  <c r="A16115" i="1"/>
  <c r="B16115" i="1"/>
  <c r="C16115" i="1"/>
  <c r="D16115" i="1"/>
  <c r="A16116" i="1"/>
  <c r="B16116" i="1"/>
  <c r="C16116" i="1"/>
  <c r="D16116" i="1"/>
  <c r="A16117" i="1"/>
  <c r="B16117" i="1"/>
  <c r="C16117" i="1"/>
  <c r="D16117" i="1"/>
  <c r="A16118" i="1"/>
  <c r="B16118" i="1"/>
  <c r="C16118" i="1"/>
  <c r="D16118" i="1"/>
  <c r="A16119" i="1"/>
  <c r="B16119" i="1"/>
  <c r="C16119" i="1"/>
  <c r="D16119" i="1"/>
  <c r="A16120" i="1"/>
  <c r="B16120" i="1"/>
  <c r="C16120" i="1"/>
  <c r="D16120" i="1"/>
  <c r="A16121" i="1"/>
  <c r="B16121" i="1"/>
  <c r="C16121" i="1"/>
  <c r="D16121" i="1"/>
  <c r="A16122" i="1"/>
  <c r="B16122" i="1"/>
  <c r="C16122" i="1"/>
  <c r="D16122" i="1"/>
  <c r="A16123" i="1"/>
  <c r="B16123" i="1"/>
  <c r="C16123" i="1"/>
  <c r="D16123" i="1"/>
  <c r="A16124" i="1"/>
  <c r="B16124" i="1"/>
  <c r="C16124" i="1"/>
  <c r="D16124" i="1"/>
  <c r="A16125" i="1"/>
  <c r="B16125" i="1"/>
  <c r="C16125" i="1"/>
  <c r="D16125" i="1"/>
  <c r="A16126" i="1"/>
  <c r="B16126" i="1"/>
  <c r="C16126" i="1"/>
  <c r="D16126" i="1"/>
  <c r="A16127" i="1"/>
  <c r="B16127" i="1"/>
  <c r="C16127" i="1"/>
  <c r="D16127" i="1"/>
  <c r="A16128" i="1"/>
  <c r="B16128" i="1"/>
  <c r="C16128" i="1"/>
  <c r="D16128" i="1"/>
  <c r="A16129" i="1"/>
  <c r="B16129" i="1"/>
  <c r="C16129" i="1"/>
  <c r="D16129" i="1"/>
  <c r="A16130" i="1"/>
  <c r="B16130" i="1"/>
  <c r="C16130" i="1"/>
  <c r="D16130" i="1"/>
  <c r="A16131" i="1"/>
  <c r="B16131" i="1"/>
  <c r="C16131" i="1"/>
  <c r="D16131" i="1"/>
  <c r="A16132" i="1"/>
  <c r="B16132" i="1"/>
  <c r="C16132" i="1"/>
  <c r="D16132" i="1"/>
  <c r="A16133" i="1"/>
  <c r="B16133" i="1"/>
  <c r="C16133" i="1"/>
  <c r="D16133" i="1"/>
  <c r="A16134" i="1"/>
  <c r="B16134" i="1"/>
  <c r="C16134" i="1"/>
  <c r="D16134" i="1"/>
  <c r="A16135" i="1"/>
  <c r="B16135" i="1"/>
  <c r="C16135" i="1"/>
  <c r="D16135" i="1"/>
  <c r="A16136" i="1"/>
  <c r="B16136" i="1"/>
  <c r="C16136" i="1"/>
  <c r="D16136" i="1"/>
  <c r="A16137" i="1"/>
  <c r="B16137" i="1"/>
  <c r="C16137" i="1"/>
  <c r="D16137" i="1"/>
  <c r="A16138" i="1"/>
  <c r="B16138" i="1"/>
  <c r="C16138" i="1"/>
  <c r="D16138" i="1"/>
  <c r="A16139" i="1"/>
  <c r="B16139" i="1"/>
  <c r="C16139" i="1"/>
  <c r="D16139" i="1"/>
  <c r="A16140" i="1"/>
  <c r="B16140" i="1"/>
  <c r="C16140" i="1"/>
  <c r="D16140" i="1"/>
  <c r="A16141" i="1"/>
  <c r="B16141" i="1"/>
  <c r="C16141" i="1"/>
  <c r="D16141" i="1"/>
  <c r="A16142" i="1"/>
  <c r="B16142" i="1"/>
  <c r="C16142" i="1"/>
  <c r="D16142" i="1"/>
  <c r="A16143" i="1"/>
  <c r="B16143" i="1"/>
  <c r="C16143" i="1"/>
  <c r="D16143" i="1"/>
  <c r="A16144" i="1"/>
  <c r="B16144" i="1"/>
  <c r="C16144" i="1"/>
  <c r="D16144" i="1"/>
  <c r="A16145" i="1"/>
  <c r="B16145" i="1"/>
  <c r="C16145" i="1"/>
  <c r="D16145" i="1"/>
  <c r="A16146" i="1"/>
  <c r="B16146" i="1"/>
  <c r="C16146" i="1"/>
  <c r="D16146" i="1"/>
  <c r="A16147" i="1"/>
  <c r="B16147" i="1"/>
  <c r="C16147" i="1"/>
  <c r="D16147" i="1"/>
  <c r="A16148" i="1"/>
  <c r="B16148" i="1"/>
  <c r="C16148" i="1"/>
  <c r="D16148" i="1"/>
  <c r="A16149" i="1"/>
  <c r="B16149" i="1"/>
  <c r="C16149" i="1"/>
  <c r="D16149" i="1"/>
  <c r="A16150" i="1"/>
  <c r="B16150" i="1"/>
  <c r="C16150" i="1"/>
  <c r="D16150" i="1"/>
  <c r="A16151" i="1"/>
  <c r="B16151" i="1"/>
  <c r="C16151" i="1"/>
  <c r="D16151" i="1"/>
  <c r="A16152" i="1"/>
  <c r="B16152" i="1"/>
  <c r="C16152" i="1"/>
  <c r="D16152" i="1"/>
  <c r="A16153" i="1"/>
  <c r="B16153" i="1"/>
  <c r="C16153" i="1"/>
  <c r="A16154" i="1"/>
  <c r="B16154" i="1"/>
  <c r="C16154" i="1"/>
  <c r="D16154" i="1"/>
  <c r="A16155" i="1"/>
  <c r="B16155" i="1"/>
  <c r="C16155" i="1"/>
  <c r="D16155" i="1"/>
  <c r="A16156" i="1"/>
  <c r="B16156" i="1"/>
  <c r="C16156" i="1"/>
  <c r="A16157" i="1"/>
  <c r="B16157" i="1"/>
  <c r="C16157" i="1"/>
  <c r="D16157" i="1"/>
  <c r="A16158" i="1"/>
  <c r="B16158" i="1"/>
  <c r="C16158" i="1"/>
  <c r="D16158" i="1"/>
  <c r="A16159" i="1"/>
  <c r="B16159" i="1"/>
  <c r="C16159" i="1"/>
  <c r="D16159" i="1"/>
  <c r="A16160" i="1"/>
  <c r="B16160" i="1"/>
  <c r="C16160" i="1"/>
  <c r="D16160" i="1"/>
  <c r="A16161" i="1"/>
  <c r="B16161" i="1"/>
  <c r="C16161" i="1"/>
  <c r="D16161" i="1"/>
  <c r="A16162" i="1"/>
  <c r="B16162" i="1"/>
  <c r="C16162" i="1"/>
  <c r="D16162" i="1"/>
  <c r="A16163" i="1"/>
  <c r="B16163" i="1"/>
  <c r="C16163" i="1"/>
  <c r="D16163" i="1"/>
  <c r="A16164" i="1"/>
  <c r="B16164" i="1"/>
  <c r="C16164" i="1"/>
  <c r="D16164" i="1"/>
  <c r="A16165" i="1"/>
  <c r="B16165" i="1"/>
  <c r="C16165" i="1"/>
  <c r="D16165" i="1"/>
  <c r="A16166" i="1"/>
  <c r="B16166" i="1"/>
  <c r="C16166" i="1"/>
  <c r="D16166" i="1"/>
  <c r="A16167" i="1"/>
  <c r="B16167" i="1"/>
  <c r="C16167" i="1"/>
  <c r="D16167" i="1"/>
  <c r="A16168" i="1"/>
  <c r="B16168" i="1"/>
  <c r="C16168" i="1"/>
  <c r="D16168" i="1"/>
  <c r="A16169" i="1"/>
  <c r="B16169" i="1"/>
  <c r="C16169" i="1"/>
  <c r="D16169" i="1"/>
  <c r="A16170" i="1"/>
  <c r="B16170" i="1"/>
  <c r="C16170" i="1"/>
  <c r="D16170" i="1"/>
  <c r="A16171" i="1"/>
  <c r="B16171" i="1"/>
  <c r="C16171" i="1"/>
  <c r="D16171" i="1"/>
  <c r="A16172" i="1"/>
  <c r="B16172" i="1"/>
  <c r="C16172" i="1"/>
  <c r="D16172" i="1"/>
  <c r="A16173" i="1"/>
  <c r="B16173" i="1"/>
  <c r="C16173" i="1"/>
  <c r="D16173" i="1"/>
  <c r="A16174" i="1"/>
  <c r="B16174" i="1"/>
  <c r="C16174" i="1"/>
  <c r="D16174" i="1"/>
  <c r="A16175" i="1"/>
  <c r="B16175" i="1"/>
  <c r="C16175" i="1"/>
  <c r="D16175" i="1"/>
  <c r="A16176" i="1"/>
  <c r="B16176" i="1"/>
  <c r="C16176" i="1"/>
  <c r="D16176" i="1"/>
  <c r="A16177" i="1"/>
  <c r="B16177" i="1"/>
  <c r="C16177" i="1"/>
  <c r="D16177" i="1"/>
  <c r="A16178" i="1"/>
  <c r="B16178" i="1"/>
  <c r="C16178" i="1"/>
  <c r="D16178" i="1"/>
  <c r="A16179" i="1"/>
  <c r="B16179" i="1"/>
  <c r="C16179" i="1"/>
  <c r="D16179" i="1"/>
  <c r="A16180" i="1"/>
  <c r="B16180" i="1"/>
  <c r="C16180" i="1"/>
  <c r="D16180" i="1"/>
  <c r="A16181" i="1"/>
  <c r="B16181" i="1"/>
  <c r="C16181" i="1"/>
  <c r="D16181" i="1"/>
  <c r="A16182" i="1"/>
  <c r="B16182" i="1"/>
  <c r="C16182" i="1"/>
  <c r="D16182" i="1"/>
  <c r="A16183" i="1"/>
  <c r="B16183" i="1"/>
  <c r="C16183" i="1"/>
  <c r="D16183" i="1"/>
  <c r="A16184" i="1"/>
  <c r="B16184" i="1"/>
  <c r="C16184" i="1"/>
  <c r="D16184" i="1"/>
  <c r="A16185" i="1"/>
  <c r="B16185" i="1"/>
  <c r="C16185" i="1"/>
  <c r="D16185" i="1"/>
  <c r="A16186" i="1"/>
  <c r="B16186" i="1"/>
  <c r="C16186" i="1"/>
  <c r="D16186" i="1"/>
  <c r="A16187" i="1"/>
  <c r="B16187" i="1"/>
  <c r="C16187" i="1"/>
  <c r="D16187" i="1"/>
  <c r="A16188" i="1"/>
  <c r="B16188" i="1"/>
  <c r="C16188" i="1"/>
  <c r="D16188" i="1"/>
  <c r="A16189" i="1"/>
  <c r="B16189" i="1"/>
  <c r="C16189" i="1"/>
  <c r="D16189" i="1"/>
  <c r="A16190" i="1"/>
  <c r="B16190" i="1"/>
  <c r="C16190" i="1"/>
  <c r="D16190" i="1"/>
  <c r="A16191" i="1"/>
  <c r="B16191" i="1"/>
  <c r="C16191" i="1"/>
  <c r="D16191" i="1"/>
  <c r="A16192" i="1"/>
  <c r="B16192" i="1"/>
  <c r="C16192" i="1"/>
  <c r="D16192" i="1"/>
  <c r="A16193" i="1"/>
  <c r="B16193" i="1"/>
  <c r="C16193" i="1"/>
  <c r="D16193" i="1"/>
  <c r="A16194" i="1"/>
  <c r="B16194" i="1"/>
  <c r="C16194" i="1"/>
  <c r="D16194" i="1"/>
  <c r="A16195" i="1"/>
  <c r="B16195" i="1"/>
  <c r="C16195" i="1"/>
  <c r="D16195" i="1"/>
  <c r="A16196" i="1"/>
  <c r="B16196" i="1"/>
  <c r="C16196" i="1"/>
  <c r="D16196" i="1"/>
  <c r="A16197" i="1"/>
  <c r="B16197" i="1"/>
  <c r="C16197" i="1"/>
  <c r="D16197" i="1"/>
  <c r="A16198" i="1"/>
  <c r="B16198" i="1"/>
  <c r="C16198" i="1"/>
  <c r="D16198" i="1"/>
  <c r="A16199" i="1"/>
  <c r="B16199" i="1"/>
  <c r="C16199" i="1"/>
  <c r="D16199" i="1"/>
  <c r="A16200" i="1"/>
  <c r="B16200" i="1"/>
  <c r="C16200" i="1"/>
  <c r="D16200" i="1"/>
  <c r="A16201" i="1"/>
  <c r="B16201" i="1"/>
  <c r="C16201" i="1"/>
  <c r="D16201" i="1"/>
  <c r="A16202" i="1"/>
  <c r="B16202" i="1"/>
  <c r="C16202" i="1"/>
  <c r="D16202" i="1"/>
  <c r="A16203" i="1"/>
  <c r="B16203" i="1"/>
  <c r="C16203" i="1"/>
  <c r="D16203" i="1"/>
  <c r="A16204" i="1"/>
  <c r="B16204" i="1"/>
  <c r="C16204" i="1"/>
  <c r="D16204" i="1"/>
  <c r="A16205" i="1"/>
  <c r="B16205" i="1"/>
  <c r="C16205" i="1"/>
  <c r="D16205" i="1"/>
  <c r="A16206" i="1"/>
  <c r="B16206" i="1"/>
  <c r="C16206" i="1"/>
  <c r="D16206" i="1"/>
  <c r="A16207" i="1"/>
  <c r="B16207" i="1"/>
  <c r="C16207" i="1"/>
  <c r="D16207" i="1"/>
  <c r="A16208" i="1"/>
  <c r="B16208" i="1"/>
  <c r="C16208" i="1"/>
  <c r="D16208" i="1"/>
  <c r="A16209" i="1"/>
  <c r="B16209" i="1"/>
  <c r="C16209" i="1"/>
  <c r="D16209" i="1"/>
  <c r="A16210" i="1"/>
  <c r="B16210" i="1"/>
  <c r="C16210" i="1"/>
  <c r="D16210" i="1"/>
  <c r="A16211" i="1"/>
  <c r="B16211" i="1"/>
  <c r="C16211" i="1"/>
  <c r="D16211" i="1"/>
  <c r="A16212" i="1"/>
  <c r="B16212" i="1"/>
  <c r="C16212" i="1"/>
  <c r="D16212" i="1"/>
  <c r="A16213" i="1"/>
  <c r="B16213" i="1"/>
  <c r="C16213" i="1"/>
  <c r="D16213" i="1"/>
  <c r="A16214" i="1"/>
  <c r="B16214" i="1"/>
  <c r="C16214" i="1"/>
  <c r="D16214" i="1"/>
  <c r="A16215" i="1"/>
  <c r="B16215" i="1"/>
  <c r="C16215" i="1"/>
  <c r="D16215" i="1"/>
  <c r="A16216" i="1"/>
  <c r="B16216" i="1"/>
  <c r="C16216" i="1"/>
  <c r="D16216" i="1"/>
  <c r="A16217" i="1"/>
  <c r="B16217" i="1"/>
  <c r="C16217" i="1"/>
  <c r="D16217" i="1"/>
  <c r="A16218" i="1"/>
  <c r="B16218" i="1"/>
  <c r="C16218" i="1"/>
  <c r="D16218" i="1"/>
  <c r="A16219" i="1"/>
  <c r="B16219" i="1"/>
  <c r="C16219" i="1"/>
  <c r="D16219" i="1"/>
  <c r="A16220" i="1"/>
  <c r="B16220" i="1"/>
  <c r="C16220" i="1"/>
  <c r="D16220" i="1"/>
  <c r="A16221" i="1"/>
  <c r="B16221" i="1"/>
  <c r="C16221" i="1"/>
  <c r="D16221" i="1"/>
  <c r="A16222" i="1"/>
  <c r="B16222" i="1"/>
  <c r="C16222" i="1"/>
  <c r="D16222" i="1"/>
  <c r="A16223" i="1"/>
  <c r="B16223" i="1"/>
  <c r="C16223" i="1"/>
  <c r="D16223" i="1"/>
  <c r="A16224" i="1"/>
  <c r="B16224" i="1"/>
  <c r="C16224" i="1"/>
  <c r="D16224" i="1"/>
  <c r="A16225" i="1"/>
  <c r="B16225" i="1"/>
  <c r="C16225" i="1"/>
  <c r="D16225" i="1"/>
  <c r="A16226" i="1"/>
  <c r="B16226" i="1"/>
  <c r="C16226" i="1"/>
  <c r="D16226" i="1"/>
  <c r="A16227" i="1"/>
  <c r="B16227" i="1"/>
  <c r="C16227" i="1"/>
  <c r="D16227" i="1"/>
  <c r="A16228" i="1"/>
  <c r="B16228" i="1"/>
  <c r="C16228" i="1"/>
  <c r="D16228" i="1"/>
  <c r="A16229" i="1"/>
  <c r="B16229" i="1"/>
  <c r="C16229" i="1"/>
  <c r="A16230" i="1"/>
  <c r="B16230" i="1"/>
  <c r="C16230" i="1"/>
  <c r="D16230" i="1"/>
  <c r="A16231" i="1"/>
  <c r="B16231" i="1"/>
  <c r="C16231" i="1"/>
  <c r="A16232" i="1"/>
  <c r="B16232" i="1"/>
  <c r="C16232" i="1"/>
  <c r="D16232" i="1"/>
  <c r="A16233" i="1"/>
  <c r="B16233" i="1"/>
  <c r="C16233" i="1"/>
  <c r="D16233" i="1"/>
  <c r="A16234" i="1"/>
  <c r="B16234" i="1"/>
  <c r="C16234" i="1"/>
  <c r="D16234" i="1"/>
  <c r="A16235" i="1"/>
  <c r="B16235" i="1"/>
  <c r="C16235" i="1"/>
  <c r="D16235" i="1"/>
  <c r="A16236" i="1"/>
  <c r="B16236" i="1"/>
  <c r="C16236" i="1"/>
  <c r="D16236" i="1"/>
  <c r="A16237" i="1"/>
  <c r="B16237" i="1"/>
  <c r="C16237" i="1"/>
  <c r="D16237" i="1"/>
  <c r="A16238" i="1"/>
  <c r="B16238" i="1"/>
  <c r="C16238" i="1"/>
  <c r="D16238" i="1"/>
  <c r="A16239" i="1"/>
  <c r="B16239" i="1"/>
  <c r="C16239" i="1"/>
  <c r="D16239" i="1"/>
  <c r="A16240" i="1"/>
  <c r="B16240" i="1"/>
  <c r="C16240" i="1"/>
  <c r="D16240" i="1"/>
  <c r="A16241" i="1"/>
  <c r="B16241" i="1"/>
  <c r="C16241" i="1"/>
  <c r="D16241" i="1"/>
  <c r="A16242" i="1"/>
  <c r="B16242" i="1"/>
  <c r="C16242" i="1"/>
  <c r="D16242" i="1"/>
  <c r="A16243" i="1"/>
  <c r="B16243" i="1"/>
  <c r="C16243" i="1"/>
  <c r="D16243" i="1"/>
  <c r="A16244" i="1"/>
  <c r="B16244" i="1"/>
  <c r="C16244" i="1"/>
  <c r="D16244" i="1"/>
  <c r="A16245" i="1"/>
  <c r="B16245" i="1"/>
  <c r="C16245" i="1"/>
  <c r="D16245" i="1"/>
  <c r="A16246" i="1"/>
  <c r="B16246" i="1"/>
  <c r="C16246" i="1"/>
  <c r="D16246" i="1"/>
  <c r="A16247" i="1"/>
  <c r="B16247" i="1"/>
  <c r="C16247" i="1"/>
  <c r="D16247" i="1"/>
  <c r="A16248" i="1"/>
  <c r="B16248" i="1"/>
  <c r="C16248" i="1"/>
  <c r="D16248" i="1"/>
  <c r="A16249" i="1"/>
  <c r="B16249" i="1"/>
  <c r="C16249" i="1"/>
  <c r="D16249" i="1"/>
  <c r="A16250" i="1"/>
  <c r="B16250" i="1"/>
  <c r="C16250" i="1"/>
  <c r="D16250" i="1"/>
  <c r="A16251" i="1"/>
  <c r="B16251" i="1"/>
  <c r="C16251" i="1"/>
  <c r="A16252" i="1"/>
  <c r="B16252" i="1"/>
  <c r="C16252" i="1"/>
  <c r="D16252" i="1"/>
  <c r="A16253" i="1"/>
  <c r="B16253" i="1"/>
  <c r="C16253" i="1"/>
  <c r="D16253" i="1"/>
  <c r="A16254" i="1"/>
  <c r="B16254" i="1"/>
  <c r="C16254" i="1"/>
  <c r="D16254" i="1"/>
  <c r="A16255" i="1"/>
  <c r="B16255" i="1"/>
  <c r="C16255" i="1"/>
  <c r="D16255" i="1"/>
  <c r="A16256" i="1"/>
  <c r="B16256" i="1"/>
  <c r="C16256" i="1"/>
  <c r="D16256" i="1"/>
  <c r="A16257" i="1"/>
  <c r="B16257" i="1"/>
  <c r="C16257" i="1"/>
  <c r="D16257" i="1"/>
  <c r="A16258" i="1"/>
  <c r="B16258" i="1"/>
  <c r="C16258" i="1"/>
  <c r="D16258" i="1"/>
  <c r="A16259" i="1"/>
  <c r="B16259" i="1"/>
  <c r="C16259" i="1"/>
  <c r="A16260" i="1"/>
  <c r="B16260" i="1"/>
  <c r="C16260" i="1"/>
  <c r="D16260" i="1"/>
  <c r="A16261" i="1"/>
  <c r="B16261" i="1"/>
  <c r="C16261" i="1"/>
  <c r="D16261" i="1"/>
  <c r="A16262" i="1"/>
  <c r="B16262" i="1"/>
  <c r="C16262" i="1"/>
  <c r="D16262" i="1"/>
  <c r="A16263" i="1"/>
  <c r="B16263" i="1"/>
  <c r="C16263" i="1"/>
  <c r="D16263" i="1"/>
  <c r="A16264" i="1"/>
  <c r="B16264" i="1"/>
  <c r="C16264" i="1"/>
  <c r="D16264" i="1"/>
  <c r="A16265" i="1"/>
  <c r="B16265" i="1"/>
  <c r="C16265" i="1"/>
  <c r="D16265" i="1"/>
  <c r="A16266" i="1"/>
  <c r="B16266" i="1"/>
  <c r="C16266" i="1"/>
  <c r="D16266" i="1"/>
  <c r="A16267" i="1"/>
  <c r="B16267" i="1"/>
  <c r="C16267" i="1"/>
  <c r="D16267" i="1"/>
  <c r="A16268" i="1"/>
  <c r="B16268" i="1"/>
  <c r="C16268" i="1"/>
  <c r="D16268" i="1"/>
  <c r="A16269" i="1"/>
  <c r="B16269" i="1"/>
  <c r="C16269" i="1"/>
  <c r="D16269" i="1"/>
  <c r="A16270" i="1"/>
  <c r="B16270" i="1"/>
  <c r="C16270" i="1"/>
  <c r="A16271" i="1"/>
  <c r="B16271" i="1"/>
  <c r="C16271" i="1"/>
  <c r="D16271" i="1"/>
  <c r="A16272" i="1"/>
  <c r="B16272" i="1"/>
  <c r="C16272" i="1"/>
  <c r="D16272" i="1"/>
  <c r="A16273" i="1"/>
  <c r="B16273" i="1"/>
  <c r="C16273" i="1"/>
  <c r="D16273" i="1"/>
  <c r="A16274" i="1"/>
  <c r="B16274" i="1"/>
  <c r="C16274" i="1"/>
  <c r="D16274" i="1"/>
  <c r="A16275" i="1"/>
  <c r="B16275" i="1"/>
  <c r="C16275" i="1"/>
  <c r="D16275" i="1"/>
  <c r="A16276" i="1"/>
  <c r="B16276" i="1"/>
  <c r="C16276" i="1"/>
  <c r="D16276" i="1"/>
  <c r="A16277" i="1"/>
  <c r="B16277" i="1"/>
  <c r="C16277" i="1"/>
  <c r="D16277" i="1"/>
  <c r="A16278" i="1"/>
  <c r="B16278" i="1"/>
  <c r="C16278" i="1"/>
  <c r="D16278" i="1"/>
  <c r="A16279" i="1"/>
  <c r="B16279" i="1"/>
  <c r="C16279" i="1"/>
  <c r="D16279" i="1"/>
  <c r="A16280" i="1"/>
  <c r="B16280" i="1"/>
  <c r="C16280" i="1"/>
  <c r="D16280" i="1"/>
  <c r="A16281" i="1"/>
  <c r="B16281" i="1"/>
  <c r="C16281" i="1"/>
  <c r="D16281" i="1"/>
  <c r="A16282" i="1"/>
  <c r="B16282" i="1"/>
  <c r="C16282" i="1"/>
  <c r="D16282" i="1"/>
  <c r="A16283" i="1"/>
  <c r="B16283" i="1"/>
  <c r="C16283" i="1"/>
  <c r="D16283" i="1"/>
  <c r="A16284" i="1"/>
  <c r="B16284" i="1"/>
  <c r="C16284" i="1"/>
  <c r="D16284" i="1"/>
  <c r="A16285" i="1"/>
  <c r="B16285" i="1"/>
  <c r="C16285" i="1"/>
  <c r="D16285" i="1"/>
  <c r="A16286" i="1"/>
  <c r="B16286" i="1"/>
  <c r="C16286" i="1"/>
  <c r="D16286" i="1"/>
  <c r="A16287" i="1"/>
  <c r="B16287" i="1"/>
  <c r="C16287" i="1"/>
  <c r="D16287" i="1"/>
  <c r="A16288" i="1"/>
  <c r="B16288" i="1"/>
  <c r="C16288" i="1"/>
  <c r="D16288" i="1"/>
  <c r="A16289" i="1"/>
  <c r="B16289" i="1"/>
  <c r="C16289" i="1"/>
  <c r="D16289" i="1"/>
  <c r="A16290" i="1"/>
  <c r="B16290" i="1"/>
  <c r="C16290" i="1"/>
  <c r="D16290" i="1"/>
  <c r="A16291" i="1"/>
  <c r="B16291" i="1"/>
  <c r="C16291" i="1"/>
  <c r="D16291" i="1"/>
  <c r="A16292" i="1"/>
  <c r="B16292" i="1"/>
  <c r="C16292" i="1"/>
  <c r="D16292" i="1"/>
  <c r="A16293" i="1"/>
  <c r="B16293" i="1"/>
  <c r="C16293" i="1"/>
  <c r="D16293" i="1"/>
  <c r="A16294" i="1"/>
  <c r="B16294" i="1"/>
  <c r="C16294" i="1"/>
  <c r="D16294" i="1"/>
  <c r="A16295" i="1"/>
  <c r="B16295" i="1"/>
  <c r="C16295" i="1"/>
  <c r="D16295" i="1"/>
  <c r="A16296" i="1"/>
  <c r="B16296" i="1"/>
  <c r="C16296" i="1"/>
  <c r="D16296" i="1"/>
  <c r="A16297" i="1"/>
  <c r="B16297" i="1"/>
  <c r="C16297" i="1"/>
  <c r="D16297" i="1"/>
  <c r="A16298" i="1"/>
  <c r="B16298" i="1"/>
  <c r="C16298" i="1"/>
  <c r="D16298" i="1"/>
  <c r="A16299" i="1"/>
  <c r="B16299" i="1"/>
  <c r="C16299" i="1"/>
  <c r="D16299" i="1"/>
  <c r="A16300" i="1"/>
  <c r="B16300" i="1"/>
  <c r="C16300" i="1"/>
  <c r="D16300" i="1"/>
  <c r="A16301" i="1"/>
  <c r="B16301" i="1"/>
  <c r="C16301" i="1"/>
  <c r="D16301" i="1"/>
  <c r="A16302" i="1"/>
  <c r="B16302" i="1"/>
  <c r="C16302" i="1"/>
  <c r="D16302" i="1"/>
  <c r="A16303" i="1"/>
  <c r="B16303" i="1"/>
  <c r="C16303" i="1"/>
  <c r="D16303" i="1"/>
  <c r="A16304" i="1"/>
  <c r="B16304" i="1"/>
  <c r="C16304" i="1"/>
  <c r="D16304" i="1"/>
  <c r="A16305" i="1"/>
  <c r="B16305" i="1"/>
  <c r="C16305" i="1"/>
  <c r="D16305" i="1"/>
  <c r="A16306" i="1"/>
  <c r="B16306" i="1"/>
  <c r="C16306" i="1"/>
  <c r="D16306" i="1"/>
  <c r="A16307" i="1"/>
  <c r="B16307" i="1"/>
  <c r="C16307" i="1"/>
  <c r="D16307" i="1"/>
  <c r="A16308" i="1"/>
  <c r="B16308" i="1"/>
  <c r="C16308" i="1"/>
  <c r="D16308" i="1"/>
  <c r="A16309" i="1"/>
  <c r="B16309" i="1"/>
  <c r="C16309" i="1"/>
  <c r="D16309" i="1"/>
  <c r="A16310" i="1"/>
  <c r="B16310" i="1"/>
  <c r="C16310" i="1"/>
  <c r="D16310" i="1"/>
  <c r="A16311" i="1"/>
  <c r="B16311" i="1"/>
  <c r="C16311" i="1"/>
  <c r="D16311" i="1"/>
  <c r="A16312" i="1"/>
  <c r="B16312" i="1"/>
  <c r="C16312" i="1"/>
  <c r="D16312" i="1"/>
  <c r="A16313" i="1"/>
  <c r="B16313" i="1"/>
  <c r="C16313" i="1"/>
  <c r="D16313" i="1"/>
  <c r="A16314" i="1"/>
  <c r="B16314" i="1"/>
  <c r="C16314" i="1"/>
  <c r="D16314" i="1"/>
  <c r="A16315" i="1"/>
  <c r="B16315" i="1"/>
  <c r="C16315" i="1"/>
  <c r="D16315" i="1"/>
  <c r="A16316" i="1"/>
  <c r="B16316" i="1"/>
  <c r="C16316" i="1"/>
  <c r="D16316" i="1"/>
  <c r="A16317" i="1"/>
  <c r="B16317" i="1"/>
  <c r="C16317" i="1"/>
  <c r="D16317" i="1"/>
  <c r="A16318" i="1"/>
  <c r="B16318" i="1"/>
  <c r="C16318" i="1"/>
  <c r="D16318" i="1"/>
  <c r="A16319" i="1"/>
  <c r="B16319" i="1"/>
  <c r="C16319" i="1"/>
  <c r="D16319" i="1"/>
  <c r="A16320" i="1"/>
  <c r="B16320" i="1"/>
  <c r="C16320" i="1"/>
  <c r="D16320" i="1"/>
  <c r="A16321" i="1"/>
  <c r="B16321" i="1"/>
  <c r="C16321" i="1"/>
  <c r="D16321" i="1"/>
  <c r="A16322" i="1"/>
  <c r="B16322" i="1"/>
  <c r="C16322" i="1"/>
  <c r="D16322" i="1"/>
  <c r="A16323" i="1"/>
  <c r="B16323" i="1"/>
  <c r="C16323" i="1"/>
  <c r="D16323" i="1"/>
  <c r="A16324" i="1"/>
  <c r="B16324" i="1"/>
  <c r="C16324" i="1"/>
  <c r="D16324" i="1"/>
  <c r="A16325" i="1"/>
  <c r="B16325" i="1"/>
  <c r="C16325" i="1"/>
  <c r="D16325" i="1"/>
  <c r="A16326" i="1"/>
  <c r="B16326" i="1"/>
  <c r="C16326" i="1"/>
  <c r="D16326" i="1"/>
  <c r="A16327" i="1"/>
  <c r="B16327" i="1"/>
  <c r="C16327" i="1"/>
  <c r="A16328" i="1"/>
  <c r="B16328" i="1"/>
  <c r="C16328" i="1"/>
  <c r="D16328" i="1"/>
  <c r="A16329" i="1"/>
  <c r="B16329" i="1"/>
  <c r="C16329" i="1"/>
  <c r="D16329" i="1"/>
  <c r="A16330" i="1"/>
  <c r="B16330" i="1"/>
  <c r="C16330" i="1"/>
  <c r="D16330" i="1"/>
  <c r="A16331" i="1"/>
  <c r="B16331" i="1"/>
  <c r="C16331" i="1"/>
  <c r="D16331" i="1"/>
  <c r="A16332" i="1"/>
  <c r="B16332" i="1"/>
  <c r="C16332" i="1"/>
  <c r="D16332" i="1"/>
  <c r="A16333" i="1"/>
  <c r="B16333" i="1"/>
  <c r="C16333" i="1"/>
  <c r="D16333" i="1"/>
  <c r="A16334" i="1"/>
  <c r="B16334" i="1"/>
  <c r="C16334" i="1"/>
  <c r="D16334" i="1"/>
  <c r="A16335" i="1"/>
  <c r="B16335" i="1"/>
  <c r="C16335" i="1"/>
  <c r="D16335" i="1"/>
  <c r="A16336" i="1"/>
  <c r="B16336" i="1"/>
  <c r="C16336" i="1"/>
  <c r="D16336" i="1"/>
  <c r="A16337" i="1"/>
  <c r="B16337" i="1"/>
  <c r="C16337" i="1"/>
  <c r="D16337" i="1"/>
  <c r="A16338" i="1"/>
  <c r="B16338" i="1"/>
  <c r="C16338" i="1"/>
  <c r="D16338" i="1"/>
  <c r="A16339" i="1"/>
  <c r="B16339" i="1"/>
  <c r="C16339" i="1"/>
  <c r="D16339" i="1"/>
  <c r="A16340" i="1"/>
  <c r="B16340" i="1"/>
  <c r="C16340" i="1"/>
  <c r="D16340" i="1"/>
  <c r="A16341" i="1"/>
  <c r="B16341" i="1"/>
  <c r="C16341" i="1"/>
  <c r="D16341" i="1"/>
  <c r="A16342" i="1"/>
  <c r="B16342" i="1"/>
  <c r="C16342" i="1"/>
  <c r="D16342" i="1"/>
  <c r="A16343" i="1"/>
  <c r="B16343" i="1"/>
  <c r="C16343" i="1"/>
  <c r="D16343" i="1"/>
  <c r="A16344" i="1"/>
  <c r="B16344" i="1"/>
  <c r="C16344" i="1"/>
  <c r="D16344" i="1"/>
  <c r="A16345" i="1"/>
  <c r="B16345" i="1"/>
  <c r="C16345" i="1"/>
  <c r="D16345" i="1"/>
  <c r="A16346" i="1"/>
  <c r="B16346" i="1"/>
  <c r="C16346" i="1"/>
  <c r="D16346" i="1"/>
  <c r="A16347" i="1"/>
  <c r="B16347" i="1"/>
  <c r="C16347" i="1"/>
  <c r="D16347" i="1"/>
  <c r="A16348" i="1"/>
  <c r="B16348" i="1"/>
  <c r="C16348" i="1"/>
  <c r="D16348" i="1"/>
  <c r="A16349" i="1"/>
  <c r="B16349" i="1"/>
  <c r="C16349" i="1"/>
  <c r="D16349" i="1"/>
  <c r="A16350" i="1"/>
  <c r="B16350" i="1"/>
  <c r="C16350" i="1"/>
  <c r="D16350" i="1"/>
  <c r="A16351" i="1"/>
  <c r="B16351" i="1"/>
  <c r="C16351" i="1"/>
  <c r="D16351" i="1"/>
  <c r="A16352" i="1"/>
  <c r="B16352" i="1"/>
  <c r="C16352" i="1"/>
  <c r="D16352" i="1"/>
  <c r="A16353" i="1"/>
  <c r="B16353" i="1"/>
  <c r="C16353" i="1"/>
  <c r="D16353" i="1"/>
  <c r="A16354" i="1"/>
  <c r="B16354" i="1"/>
  <c r="C16354" i="1"/>
  <c r="D16354" i="1"/>
  <c r="A16355" i="1"/>
  <c r="B16355" i="1"/>
  <c r="C16355" i="1"/>
  <c r="D16355" i="1"/>
  <c r="A16356" i="1"/>
  <c r="B16356" i="1"/>
  <c r="C16356" i="1"/>
  <c r="A16357" i="1"/>
  <c r="B16357" i="1"/>
  <c r="C16357" i="1"/>
  <c r="D16357" i="1"/>
  <c r="A16358" i="1"/>
  <c r="B16358" i="1"/>
  <c r="C16358" i="1"/>
  <c r="D16358" i="1"/>
  <c r="A16359" i="1"/>
  <c r="B16359" i="1"/>
  <c r="C16359" i="1"/>
  <c r="D16359" i="1"/>
  <c r="A16360" i="1"/>
  <c r="B16360" i="1"/>
  <c r="C16360" i="1"/>
  <c r="D16360" i="1"/>
  <c r="A16361" i="1"/>
  <c r="B16361" i="1"/>
  <c r="C16361" i="1"/>
  <c r="D16361" i="1"/>
  <c r="A16362" i="1"/>
  <c r="B16362" i="1"/>
  <c r="C16362" i="1"/>
  <c r="D16362" i="1"/>
  <c r="A16363" i="1"/>
  <c r="B16363" i="1"/>
  <c r="C16363" i="1"/>
  <c r="D16363" i="1"/>
  <c r="A16364" i="1"/>
  <c r="B16364" i="1"/>
  <c r="C16364" i="1"/>
  <c r="D16364" i="1"/>
  <c r="A16365" i="1"/>
  <c r="B16365" i="1"/>
  <c r="C16365" i="1"/>
  <c r="D16365" i="1"/>
  <c r="A16366" i="1"/>
  <c r="B16366" i="1"/>
  <c r="C16366" i="1"/>
  <c r="D16366" i="1"/>
  <c r="A16367" i="1"/>
  <c r="B16367" i="1"/>
  <c r="C16367" i="1"/>
  <c r="D16367" i="1"/>
  <c r="A16368" i="1"/>
  <c r="B16368" i="1"/>
  <c r="C16368" i="1"/>
  <c r="D16368" i="1"/>
  <c r="A16369" i="1"/>
  <c r="B16369" i="1"/>
  <c r="C16369" i="1"/>
  <c r="D16369" i="1"/>
  <c r="A16370" i="1"/>
  <c r="B16370" i="1"/>
  <c r="C16370" i="1"/>
  <c r="D16370" i="1"/>
  <c r="A16371" i="1"/>
  <c r="B16371" i="1"/>
  <c r="C16371" i="1"/>
  <c r="D16371" i="1"/>
  <c r="A16372" i="1"/>
  <c r="B16372" i="1"/>
  <c r="C16372" i="1"/>
  <c r="D16372" i="1"/>
  <c r="A16373" i="1"/>
  <c r="B16373" i="1"/>
  <c r="C16373" i="1"/>
  <c r="A16374" i="1"/>
  <c r="B16374" i="1"/>
  <c r="C16374" i="1"/>
  <c r="D16374" i="1"/>
  <c r="A16375" i="1"/>
  <c r="B16375" i="1"/>
  <c r="C16375" i="1"/>
  <c r="D16375" i="1"/>
  <c r="A16376" i="1"/>
  <c r="B16376" i="1"/>
  <c r="C16376" i="1"/>
  <c r="D16376" i="1"/>
  <c r="A16377" i="1"/>
  <c r="B16377" i="1"/>
  <c r="C16377" i="1"/>
  <c r="D16377" i="1"/>
  <c r="A16378" i="1"/>
  <c r="B16378" i="1"/>
  <c r="C16378" i="1"/>
  <c r="D16378" i="1"/>
  <c r="A16379" i="1"/>
  <c r="B16379" i="1"/>
  <c r="C16379" i="1"/>
  <c r="D16379" i="1"/>
  <c r="A16380" i="1"/>
  <c r="B16380" i="1"/>
  <c r="C16380" i="1"/>
  <c r="D16380" i="1"/>
  <c r="A16381" i="1"/>
  <c r="B16381" i="1"/>
  <c r="C16381" i="1"/>
  <c r="D16381" i="1"/>
  <c r="A16382" i="1"/>
  <c r="B16382" i="1"/>
  <c r="C16382" i="1"/>
  <c r="D16382" i="1"/>
  <c r="A16383" i="1"/>
  <c r="B16383" i="1"/>
  <c r="C16383" i="1"/>
  <c r="D16383" i="1"/>
  <c r="A16384" i="1"/>
  <c r="B16384" i="1"/>
  <c r="C16384" i="1"/>
  <c r="D16384" i="1"/>
  <c r="A16385" i="1"/>
  <c r="B16385" i="1"/>
  <c r="C16385" i="1"/>
  <c r="D16385" i="1"/>
  <c r="A16386" i="1"/>
  <c r="B16386" i="1"/>
  <c r="C16386" i="1"/>
  <c r="D16386" i="1"/>
  <c r="A16387" i="1"/>
  <c r="B16387" i="1"/>
  <c r="C16387" i="1"/>
  <c r="D16387" i="1"/>
  <c r="A16388" i="1"/>
  <c r="B16388" i="1"/>
  <c r="C16388" i="1"/>
  <c r="D16388" i="1"/>
  <c r="A16389" i="1"/>
  <c r="B16389" i="1"/>
  <c r="C16389" i="1"/>
  <c r="D16389" i="1"/>
  <c r="A16390" i="1"/>
  <c r="B16390" i="1"/>
  <c r="C16390" i="1"/>
  <c r="D16390" i="1"/>
  <c r="A16391" i="1"/>
  <c r="B16391" i="1"/>
  <c r="C16391" i="1"/>
  <c r="D16391" i="1"/>
  <c r="A16392" i="1"/>
  <c r="B16392" i="1"/>
  <c r="C16392" i="1"/>
  <c r="D16392" i="1"/>
  <c r="A16393" i="1"/>
  <c r="B16393" i="1"/>
  <c r="C16393" i="1"/>
  <c r="D16393" i="1"/>
  <c r="A16394" i="1"/>
  <c r="B16394" i="1"/>
  <c r="C16394" i="1"/>
  <c r="D16394" i="1"/>
  <c r="A16395" i="1"/>
  <c r="B16395" i="1"/>
  <c r="C16395" i="1"/>
  <c r="D16395" i="1"/>
  <c r="A16396" i="1"/>
  <c r="B16396" i="1"/>
  <c r="C16396" i="1"/>
  <c r="D16396" i="1"/>
  <c r="A16397" i="1"/>
  <c r="B16397" i="1"/>
  <c r="C16397" i="1"/>
  <c r="D16397" i="1"/>
  <c r="A16398" i="1"/>
  <c r="B16398" i="1"/>
  <c r="C16398" i="1"/>
  <c r="D16398" i="1"/>
  <c r="A16399" i="1"/>
  <c r="B16399" i="1"/>
  <c r="C16399" i="1"/>
  <c r="D16399" i="1"/>
  <c r="A16400" i="1"/>
  <c r="B16400" i="1"/>
  <c r="C16400" i="1"/>
  <c r="D16400" i="1"/>
  <c r="A16401" i="1"/>
  <c r="B16401" i="1"/>
  <c r="C16401" i="1"/>
  <c r="D16401" i="1"/>
  <c r="A16402" i="1"/>
  <c r="B16402" i="1"/>
  <c r="C16402" i="1"/>
  <c r="D16402" i="1"/>
  <c r="A16403" i="1"/>
  <c r="B16403" i="1"/>
  <c r="C16403" i="1"/>
  <c r="D16403" i="1"/>
  <c r="A16404" i="1"/>
  <c r="B16404" i="1"/>
  <c r="C16404" i="1"/>
  <c r="D16404" i="1"/>
  <c r="A16405" i="1"/>
  <c r="B16405" i="1"/>
  <c r="C16405" i="1"/>
  <c r="D16405" i="1"/>
  <c r="A16406" i="1"/>
  <c r="B16406" i="1"/>
  <c r="C16406" i="1"/>
  <c r="D16406" i="1"/>
  <c r="A16407" i="1"/>
  <c r="B16407" i="1"/>
  <c r="C16407" i="1"/>
  <c r="D16407" i="1"/>
  <c r="A16408" i="1"/>
  <c r="B16408" i="1"/>
  <c r="C16408" i="1"/>
  <c r="D16408" i="1"/>
  <c r="A16409" i="1"/>
  <c r="B16409" i="1"/>
  <c r="C16409" i="1"/>
  <c r="D16409" i="1"/>
  <c r="A16410" i="1"/>
  <c r="B16410" i="1"/>
  <c r="C16410" i="1"/>
  <c r="D16410" i="1"/>
  <c r="A16411" i="1"/>
  <c r="B16411" i="1"/>
  <c r="C16411" i="1"/>
  <c r="D16411" i="1"/>
  <c r="A16412" i="1"/>
  <c r="B16412" i="1"/>
  <c r="C16412" i="1"/>
  <c r="D16412" i="1"/>
  <c r="A16413" i="1"/>
  <c r="B16413" i="1"/>
  <c r="C16413" i="1"/>
  <c r="D16413" i="1"/>
  <c r="A16414" i="1"/>
  <c r="B16414" i="1"/>
  <c r="C16414" i="1"/>
  <c r="D16414" i="1"/>
  <c r="A16415" i="1"/>
  <c r="B16415" i="1"/>
  <c r="C16415" i="1"/>
  <c r="D16415" i="1"/>
  <c r="A16416" i="1"/>
  <c r="B16416" i="1"/>
  <c r="C16416" i="1"/>
  <c r="D16416" i="1"/>
  <c r="A16417" i="1"/>
  <c r="B16417" i="1"/>
  <c r="C16417" i="1"/>
  <c r="D16417" i="1"/>
  <c r="A16418" i="1"/>
  <c r="B16418" i="1"/>
  <c r="C16418" i="1"/>
  <c r="D16418" i="1"/>
  <c r="A16419" i="1"/>
  <c r="B16419" i="1"/>
  <c r="C16419" i="1"/>
  <c r="D16419" i="1"/>
  <c r="A16420" i="1"/>
  <c r="B16420" i="1"/>
  <c r="C16420" i="1"/>
  <c r="D16420" i="1"/>
  <c r="A16421" i="1"/>
  <c r="B16421" i="1"/>
  <c r="C16421" i="1"/>
  <c r="D16421" i="1"/>
  <c r="A16422" i="1"/>
  <c r="B16422" i="1"/>
  <c r="C16422" i="1"/>
  <c r="D16422" i="1"/>
  <c r="A16423" i="1"/>
  <c r="B16423" i="1"/>
  <c r="C16423" i="1"/>
  <c r="A16424" i="1"/>
  <c r="B16424" i="1"/>
  <c r="C16424" i="1"/>
  <c r="D16424" i="1"/>
  <c r="A16425" i="1"/>
  <c r="B16425" i="1"/>
  <c r="C16425" i="1"/>
  <c r="D16425" i="1"/>
  <c r="A16426" i="1"/>
  <c r="B16426" i="1"/>
  <c r="C16426" i="1"/>
  <c r="D16426" i="1"/>
  <c r="A16427" i="1"/>
  <c r="B16427" i="1"/>
  <c r="C16427" i="1"/>
  <c r="D16427" i="1"/>
  <c r="A16428" i="1"/>
  <c r="B16428" i="1"/>
  <c r="C16428" i="1"/>
  <c r="D16428" i="1"/>
  <c r="A16429" i="1"/>
  <c r="B16429" i="1"/>
  <c r="C16429" i="1"/>
  <c r="D16429" i="1"/>
  <c r="A16430" i="1"/>
  <c r="B16430" i="1"/>
  <c r="C16430" i="1"/>
  <c r="D16430" i="1"/>
  <c r="A16431" i="1"/>
  <c r="B16431" i="1"/>
  <c r="C16431" i="1"/>
  <c r="D16431" i="1"/>
  <c r="A16432" i="1"/>
  <c r="B16432" i="1"/>
  <c r="C16432" i="1"/>
  <c r="D16432" i="1"/>
  <c r="A16433" i="1"/>
  <c r="B16433" i="1"/>
  <c r="C16433" i="1"/>
  <c r="D16433" i="1"/>
  <c r="A16434" i="1"/>
  <c r="B16434" i="1"/>
  <c r="C16434" i="1"/>
  <c r="D16434" i="1"/>
  <c r="A16435" i="1"/>
  <c r="B16435" i="1"/>
  <c r="C16435" i="1"/>
  <c r="D16435" i="1"/>
  <c r="A16436" i="1"/>
  <c r="B16436" i="1"/>
  <c r="C16436" i="1"/>
  <c r="D16436" i="1"/>
  <c r="A16437" i="1"/>
  <c r="B16437" i="1"/>
  <c r="C16437" i="1"/>
  <c r="D16437" i="1"/>
  <c r="A16438" i="1"/>
  <c r="B16438" i="1"/>
  <c r="C16438" i="1"/>
  <c r="D16438" i="1"/>
  <c r="A16439" i="1"/>
  <c r="B16439" i="1"/>
  <c r="C16439" i="1"/>
  <c r="D16439" i="1"/>
  <c r="A16440" i="1"/>
  <c r="B16440" i="1"/>
  <c r="C16440" i="1"/>
  <c r="D16440" i="1"/>
  <c r="A16441" i="1"/>
  <c r="B16441" i="1"/>
  <c r="C16441" i="1"/>
  <c r="D16441" i="1"/>
  <c r="A16442" i="1"/>
  <c r="B16442" i="1"/>
  <c r="C16442" i="1"/>
  <c r="D16442" i="1"/>
  <c r="A16443" i="1"/>
  <c r="B16443" i="1"/>
  <c r="C16443" i="1"/>
  <c r="D16443" i="1"/>
  <c r="A16444" i="1"/>
  <c r="B16444" i="1"/>
  <c r="C16444" i="1"/>
  <c r="D16444" i="1"/>
  <c r="A16445" i="1"/>
  <c r="B16445" i="1"/>
  <c r="C16445" i="1"/>
  <c r="D16445" i="1"/>
  <c r="A16446" i="1"/>
  <c r="B16446" i="1"/>
  <c r="C16446" i="1"/>
  <c r="D16446" i="1"/>
  <c r="A16447" i="1"/>
  <c r="B16447" i="1"/>
  <c r="C16447" i="1"/>
  <c r="D16447" i="1"/>
  <c r="A16448" i="1"/>
  <c r="B16448" i="1"/>
  <c r="C16448" i="1"/>
  <c r="D16448" i="1"/>
  <c r="A16449" i="1"/>
  <c r="B16449" i="1"/>
  <c r="C16449" i="1"/>
  <c r="D16449" i="1"/>
  <c r="A16450" i="1"/>
  <c r="B16450" i="1"/>
  <c r="C16450" i="1"/>
  <c r="D16450" i="1"/>
  <c r="A16451" i="1"/>
  <c r="B16451" i="1"/>
  <c r="C16451" i="1"/>
  <c r="D16451" i="1"/>
  <c r="A16452" i="1"/>
  <c r="B16452" i="1"/>
  <c r="C16452" i="1"/>
  <c r="D16452" i="1"/>
  <c r="A16453" i="1"/>
  <c r="B16453" i="1"/>
  <c r="C16453" i="1"/>
  <c r="D16453" i="1"/>
  <c r="A16454" i="1"/>
  <c r="B16454" i="1"/>
  <c r="C16454" i="1"/>
  <c r="D16454" i="1"/>
  <c r="A16455" i="1"/>
  <c r="B16455" i="1"/>
  <c r="C16455" i="1"/>
  <c r="D16455" i="1"/>
  <c r="A16456" i="1"/>
  <c r="B16456" i="1"/>
  <c r="C16456" i="1"/>
  <c r="D16456" i="1"/>
  <c r="A16457" i="1"/>
  <c r="B16457" i="1"/>
  <c r="C16457" i="1"/>
  <c r="D16457" i="1"/>
  <c r="A16458" i="1"/>
  <c r="B16458" i="1"/>
  <c r="C16458" i="1"/>
  <c r="D16458" i="1"/>
  <c r="A16459" i="1"/>
  <c r="B16459" i="1"/>
  <c r="C16459" i="1"/>
  <c r="D16459" i="1"/>
  <c r="A16460" i="1"/>
  <c r="B16460" i="1"/>
  <c r="C16460" i="1"/>
  <c r="D16460" i="1"/>
  <c r="A16461" i="1"/>
  <c r="B16461" i="1"/>
  <c r="C16461" i="1"/>
  <c r="D16461" i="1"/>
  <c r="A16462" i="1"/>
  <c r="B16462" i="1"/>
  <c r="C16462" i="1"/>
  <c r="D16462" i="1"/>
  <c r="A16463" i="1"/>
  <c r="B16463" i="1"/>
  <c r="C16463" i="1"/>
  <c r="D16463" i="1"/>
  <c r="A16464" i="1"/>
  <c r="B16464" i="1"/>
  <c r="C16464" i="1"/>
  <c r="D16464" i="1"/>
  <c r="A16465" i="1"/>
  <c r="B16465" i="1"/>
  <c r="C16465" i="1"/>
  <c r="D16465" i="1"/>
  <c r="A16466" i="1"/>
  <c r="B16466" i="1"/>
  <c r="C16466" i="1"/>
  <c r="D16466" i="1"/>
  <c r="A16467" i="1"/>
  <c r="B16467" i="1"/>
  <c r="C16467" i="1"/>
  <c r="D16467" i="1"/>
  <c r="A16468" i="1"/>
  <c r="B16468" i="1"/>
  <c r="C16468" i="1"/>
  <c r="D16468" i="1"/>
  <c r="A16469" i="1"/>
  <c r="B16469" i="1"/>
  <c r="C16469" i="1"/>
  <c r="D16469" i="1"/>
  <c r="A16470" i="1"/>
  <c r="B16470" i="1"/>
  <c r="C16470" i="1"/>
  <c r="D16470" i="1"/>
  <c r="A16471" i="1"/>
  <c r="B16471" i="1"/>
  <c r="C16471" i="1"/>
  <c r="D16471" i="1"/>
  <c r="A16472" i="1"/>
  <c r="B16472" i="1"/>
  <c r="C16472" i="1"/>
  <c r="D16472" i="1"/>
  <c r="A16473" i="1"/>
  <c r="B16473" i="1"/>
  <c r="C16473" i="1"/>
  <c r="D16473" i="1"/>
  <c r="A16474" i="1"/>
  <c r="B16474" i="1"/>
  <c r="C16474" i="1"/>
  <c r="D16474" i="1"/>
  <c r="A16475" i="1"/>
  <c r="B16475" i="1"/>
  <c r="C16475" i="1"/>
  <c r="A16476" i="1"/>
  <c r="B16476" i="1"/>
  <c r="C16476" i="1"/>
  <c r="D16476" i="1"/>
  <c r="A16477" i="1"/>
  <c r="B16477" i="1"/>
  <c r="C16477" i="1"/>
  <c r="D16477" i="1"/>
  <c r="A16478" i="1"/>
  <c r="B16478" i="1"/>
  <c r="C16478" i="1"/>
  <c r="D16478" i="1"/>
  <c r="A16479" i="1"/>
  <c r="B16479" i="1"/>
  <c r="C16479" i="1"/>
  <c r="D16479" i="1"/>
  <c r="A16480" i="1"/>
  <c r="B16480" i="1"/>
  <c r="C16480" i="1"/>
  <c r="D16480" i="1"/>
  <c r="A16481" i="1"/>
  <c r="B16481" i="1"/>
  <c r="C16481" i="1"/>
  <c r="D16481" i="1"/>
  <c r="A16482" i="1"/>
  <c r="B16482" i="1"/>
  <c r="C16482" i="1"/>
  <c r="D16482" i="1"/>
  <c r="A16483" i="1"/>
  <c r="B16483" i="1"/>
  <c r="C16483" i="1"/>
  <c r="D16483" i="1"/>
  <c r="A16484" i="1"/>
  <c r="B16484" i="1"/>
  <c r="C16484" i="1"/>
  <c r="D16484" i="1"/>
  <c r="A16485" i="1"/>
  <c r="B16485" i="1"/>
  <c r="C16485" i="1"/>
  <c r="D16485" i="1"/>
  <c r="A16486" i="1"/>
  <c r="B16486" i="1"/>
  <c r="C16486" i="1"/>
  <c r="D16486" i="1"/>
  <c r="A16487" i="1"/>
  <c r="B16487" i="1"/>
  <c r="C16487" i="1"/>
  <c r="D16487" i="1"/>
  <c r="A16488" i="1"/>
  <c r="B16488" i="1"/>
  <c r="C16488" i="1"/>
  <c r="D16488" i="1"/>
  <c r="A16489" i="1"/>
  <c r="B16489" i="1"/>
  <c r="C16489" i="1"/>
  <c r="D16489" i="1"/>
  <c r="A16490" i="1"/>
  <c r="B16490" i="1"/>
  <c r="C16490" i="1"/>
  <c r="D16490" i="1"/>
  <c r="A16491" i="1"/>
  <c r="B16491" i="1"/>
  <c r="C16491" i="1"/>
  <c r="D16491" i="1"/>
  <c r="A16492" i="1"/>
  <c r="B16492" i="1"/>
  <c r="C16492" i="1"/>
  <c r="D16492" i="1"/>
  <c r="A16493" i="1"/>
  <c r="B16493" i="1"/>
  <c r="C16493" i="1"/>
  <c r="D16493" i="1"/>
  <c r="A16494" i="1"/>
  <c r="B16494" i="1"/>
  <c r="C16494" i="1"/>
  <c r="D16494" i="1"/>
  <c r="A16495" i="1"/>
  <c r="B16495" i="1"/>
  <c r="C16495" i="1"/>
  <c r="D16495" i="1"/>
  <c r="A16496" i="1"/>
  <c r="B16496" i="1"/>
  <c r="C16496" i="1"/>
  <c r="A16497" i="1"/>
  <c r="B16497" i="1"/>
  <c r="C16497" i="1"/>
  <c r="D16497" i="1"/>
  <c r="A16498" i="1"/>
  <c r="B16498" i="1"/>
  <c r="C16498" i="1"/>
  <c r="D16498" i="1"/>
  <c r="A16499" i="1"/>
  <c r="B16499" i="1"/>
  <c r="C16499" i="1"/>
  <c r="D16499" i="1"/>
  <c r="A16500" i="1"/>
  <c r="B16500" i="1"/>
  <c r="C16500" i="1"/>
  <c r="D16500" i="1"/>
  <c r="A16501" i="1"/>
  <c r="B16501" i="1"/>
  <c r="C16501" i="1"/>
  <c r="D16501" i="1"/>
  <c r="A16502" i="1"/>
  <c r="B16502" i="1"/>
  <c r="C16502" i="1"/>
  <c r="D16502" i="1"/>
  <c r="A16503" i="1"/>
  <c r="B16503" i="1"/>
  <c r="C16503" i="1"/>
  <c r="D16503" i="1"/>
  <c r="A16504" i="1"/>
  <c r="B16504" i="1"/>
  <c r="C16504" i="1"/>
  <c r="D16504" i="1"/>
  <c r="A16505" i="1"/>
  <c r="B16505" i="1"/>
  <c r="C16505" i="1"/>
  <c r="D16505" i="1"/>
  <c r="A16506" i="1"/>
  <c r="B16506" i="1"/>
  <c r="C16506" i="1"/>
  <c r="D16506" i="1"/>
  <c r="A16507" i="1"/>
  <c r="B16507" i="1"/>
  <c r="C16507" i="1"/>
  <c r="D16507" i="1"/>
  <c r="A16508" i="1"/>
  <c r="B16508" i="1"/>
  <c r="C16508" i="1"/>
  <c r="D16508" i="1"/>
  <c r="A16509" i="1"/>
  <c r="B16509" i="1"/>
  <c r="C16509" i="1"/>
  <c r="D16509" i="1"/>
  <c r="A16510" i="1"/>
  <c r="B16510" i="1"/>
  <c r="C16510" i="1"/>
  <c r="D16510" i="1"/>
  <c r="A16511" i="1"/>
  <c r="B16511" i="1"/>
  <c r="C16511" i="1"/>
  <c r="D16511" i="1"/>
  <c r="A16512" i="1"/>
  <c r="B16512" i="1"/>
  <c r="C16512" i="1"/>
  <c r="D16512" i="1"/>
  <c r="A16513" i="1"/>
  <c r="B16513" i="1"/>
  <c r="C16513" i="1"/>
  <c r="D16513" i="1"/>
  <c r="A16514" i="1"/>
  <c r="B16514" i="1"/>
  <c r="C16514" i="1"/>
  <c r="D16514" i="1"/>
  <c r="A16515" i="1"/>
  <c r="B16515" i="1"/>
  <c r="C16515" i="1"/>
  <c r="D16515" i="1"/>
  <c r="A16516" i="1"/>
  <c r="B16516" i="1"/>
  <c r="C16516" i="1"/>
  <c r="D16516" i="1"/>
  <c r="A16517" i="1"/>
  <c r="B16517" i="1"/>
  <c r="C16517" i="1"/>
  <c r="D16517" i="1"/>
  <c r="A16518" i="1"/>
  <c r="B16518" i="1"/>
  <c r="C16518" i="1"/>
  <c r="D16518" i="1"/>
  <c r="A16519" i="1"/>
  <c r="B16519" i="1"/>
  <c r="C16519" i="1"/>
  <c r="D16519" i="1"/>
  <c r="A16520" i="1"/>
  <c r="B16520" i="1"/>
  <c r="C16520" i="1"/>
  <c r="D16520" i="1"/>
  <c r="A16521" i="1"/>
  <c r="B16521" i="1"/>
  <c r="C16521" i="1"/>
  <c r="D16521" i="1"/>
  <c r="A16522" i="1"/>
  <c r="B16522" i="1"/>
  <c r="C16522" i="1"/>
  <c r="D16522" i="1"/>
  <c r="A16523" i="1"/>
  <c r="B16523" i="1"/>
  <c r="C16523" i="1"/>
  <c r="D16523" i="1"/>
  <c r="A16524" i="1"/>
  <c r="B16524" i="1"/>
  <c r="C16524" i="1"/>
  <c r="D16524" i="1"/>
  <c r="A16525" i="1"/>
  <c r="B16525" i="1"/>
  <c r="C16525" i="1"/>
  <c r="D16525" i="1"/>
  <c r="A16526" i="1"/>
  <c r="B16526" i="1"/>
  <c r="C16526" i="1"/>
  <c r="D16526" i="1"/>
  <c r="A16527" i="1"/>
  <c r="B16527" i="1"/>
  <c r="C16527" i="1"/>
  <c r="D16527" i="1"/>
  <c r="A16528" i="1"/>
  <c r="B16528" i="1"/>
  <c r="C16528" i="1"/>
  <c r="D16528" i="1"/>
  <c r="A16529" i="1"/>
  <c r="B16529" i="1"/>
  <c r="C16529" i="1"/>
  <c r="D16529" i="1"/>
  <c r="A16530" i="1"/>
  <c r="B16530" i="1"/>
  <c r="C16530" i="1"/>
  <c r="D16530" i="1"/>
  <c r="A16531" i="1"/>
  <c r="B16531" i="1"/>
  <c r="C16531" i="1"/>
  <c r="D16531" i="1"/>
  <c r="A16532" i="1"/>
  <c r="B16532" i="1"/>
  <c r="C16532" i="1"/>
  <c r="D16532" i="1"/>
  <c r="A16533" i="1"/>
  <c r="B16533" i="1"/>
  <c r="C16533" i="1"/>
  <c r="D16533" i="1"/>
  <c r="A16534" i="1"/>
  <c r="B16534" i="1"/>
  <c r="C16534" i="1"/>
  <c r="D16534" i="1"/>
  <c r="A16535" i="1"/>
  <c r="B16535" i="1"/>
  <c r="C16535" i="1"/>
  <c r="D16535" i="1"/>
  <c r="A16536" i="1"/>
  <c r="B16536" i="1"/>
  <c r="C16536" i="1"/>
  <c r="D16536" i="1"/>
  <c r="A16537" i="1"/>
  <c r="B16537" i="1"/>
  <c r="C16537" i="1"/>
  <c r="D16537" i="1"/>
  <c r="A16538" i="1"/>
  <c r="B16538" i="1"/>
  <c r="C16538" i="1"/>
  <c r="D16538" i="1"/>
  <c r="A16539" i="1"/>
  <c r="B16539" i="1"/>
  <c r="C16539" i="1"/>
  <c r="D16539" i="1"/>
  <c r="A16540" i="1"/>
  <c r="B16540" i="1"/>
  <c r="C16540" i="1"/>
  <c r="D16540" i="1"/>
  <c r="A16541" i="1"/>
  <c r="B16541" i="1"/>
  <c r="C16541" i="1"/>
  <c r="D16541" i="1"/>
  <c r="A16542" i="1"/>
  <c r="B16542" i="1"/>
  <c r="C16542" i="1"/>
  <c r="D16542" i="1"/>
  <c r="A16543" i="1"/>
  <c r="B16543" i="1"/>
  <c r="C16543" i="1"/>
  <c r="D16543" i="1"/>
  <c r="A16544" i="1"/>
  <c r="B16544" i="1"/>
  <c r="C16544" i="1"/>
  <c r="D16544" i="1"/>
  <c r="A16545" i="1"/>
  <c r="B16545" i="1"/>
  <c r="C16545" i="1"/>
  <c r="D16545" i="1"/>
  <c r="A16546" i="1"/>
  <c r="B16546" i="1"/>
  <c r="C16546" i="1"/>
  <c r="D16546" i="1"/>
  <c r="A16547" i="1"/>
  <c r="B16547" i="1"/>
  <c r="C16547" i="1"/>
  <c r="D16547" i="1"/>
  <c r="A16548" i="1"/>
  <c r="B16548" i="1"/>
  <c r="C16548" i="1"/>
  <c r="D16548" i="1"/>
  <c r="A16549" i="1"/>
  <c r="B16549" i="1"/>
  <c r="C16549" i="1"/>
  <c r="D16549" i="1"/>
  <c r="A16550" i="1"/>
  <c r="B16550" i="1"/>
  <c r="C16550" i="1"/>
  <c r="D16550" i="1"/>
  <c r="A16551" i="1"/>
  <c r="B16551" i="1"/>
  <c r="C16551" i="1"/>
  <c r="D16551" i="1"/>
  <c r="A16552" i="1"/>
  <c r="B16552" i="1"/>
  <c r="C16552" i="1"/>
  <c r="D16552" i="1"/>
  <c r="A16553" i="1"/>
  <c r="B16553" i="1"/>
  <c r="C16553" i="1"/>
  <c r="D16553" i="1"/>
  <c r="A16554" i="1"/>
  <c r="B16554" i="1"/>
  <c r="C16554" i="1"/>
  <c r="D16554" i="1"/>
  <c r="A16555" i="1"/>
  <c r="B16555" i="1"/>
  <c r="C16555" i="1"/>
  <c r="D16555" i="1"/>
  <c r="A16556" i="1"/>
  <c r="B16556" i="1"/>
  <c r="C16556" i="1"/>
  <c r="D16556" i="1"/>
  <c r="A16557" i="1"/>
  <c r="B16557" i="1"/>
  <c r="C16557" i="1"/>
  <c r="D16557" i="1"/>
  <c r="A16558" i="1"/>
  <c r="B16558" i="1"/>
  <c r="C16558" i="1"/>
  <c r="D16558" i="1"/>
  <c r="A16559" i="1"/>
  <c r="B16559" i="1"/>
  <c r="C16559" i="1"/>
  <c r="D16559" i="1"/>
  <c r="A16560" i="1"/>
  <c r="B16560" i="1"/>
  <c r="C16560" i="1"/>
  <c r="D16560" i="1"/>
  <c r="A16561" i="1"/>
  <c r="B16561" i="1"/>
  <c r="C16561" i="1"/>
  <c r="D16561" i="1"/>
  <c r="A16562" i="1"/>
  <c r="B16562" i="1"/>
  <c r="C16562" i="1"/>
  <c r="D16562" i="1"/>
  <c r="A16563" i="1"/>
  <c r="B16563" i="1"/>
  <c r="C16563" i="1"/>
  <c r="D16563" i="1"/>
  <c r="A16564" i="1"/>
  <c r="B16564" i="1"/>
  <c r="C16564" i="1"/>
  <c r="D16564" i="1"/>
  <c r="A16565" i="1"/>
  <c r="B16565" i="1"/>
  <c r="C16565" i="1"/>
  <c r="D16565" i="1"/>
  <c r="A16566" i="1"/>
  <c r="B16566" i="1"/>
  <c r="C16566" i="1"/>
  <c r="D16566" i="1"/>
  <c r="A16567" i="1"/>
  <c r="B16567" i="1"/>
  <c r="C16567" i="1"/>
  <c r="D16567" i="1"/>
  <c r="A16568" i="1"/>
  <c r="B16568" i="1"/>
  <c r="C16568" i="1"/>
  <c r="D16568" i="1"/>
  <c r="A16569" i="1"/>
  <c r="B16569" i="1"/>
  <c r="C16569" i="1"/>
  <c r="D16569" i="1"/>
  <c r="A16570" i="1"/>
  <c r="B16570" i="1"/>
  <c r="C16570" i="1"/>
  <c r="D16570" i="1"/>
  <c r="A16571" i="1"/>
  <c r="B16571" i="1"/>
  <c r="C16571" i="1"/>
  <c r="D16571" i="1"/>
  <c r="A16572" i="1"/>
  <c r="B16572" i="1"/>
  <c r="C16572" i="1"/>
  <c r="D16572" i="1"/>
  <c r="A16573" i="1"/>
  <c r="B16573" i="1"/>
  <c r="C16573" i="1"/>
  <c r="D16573" i="1"/>
  <c r="A16574" i="1"/>
  <c r="B16574" i="1"/>
  <c r="C16574" i="1"/>
  <c r="D16574" i="1"/>
  <c r="A16575" i="1"/>
  <c r="B16575" i="1"/>
  <c r="C16575" i="1"/>
  <c r="D16575" i="1"/>
  <c r="A16576" i="1"/>
  <c r="B16576" i="1"/>
  <c r="C16576" i="1"/>
  <c r="D16576" i="1"/>
  <c r="A16577" i="1"/>
  <c r="B16577" i="1"/>
  <c r="C16577" i="1"/>
  <c r="D16577" i="1"/>
  <c r="A16578" i="1"/>
  <c r="B16578" i="1"/>
  <c r="C16578" i="1"/>
  <c r="D16578" i="1"/>
  <c r="A16579" i="1"/>
  <c r="B16579" i="1"/>
  <c r="C16579" i="1"/>
  <c r="D16579" i="1"/>
  <c r="A16580" i="1"/>
  <c r="B16580" i="1"/>
  <c r="C16580" i="1"/>
  <c r="D16580" i="1"/>
  <c r="A16581" i="1"/>
  <c r="B16581" i="1"/>
  <c r="C16581" i="1"/>
  <c r="D16581" i="1"/>
  <c r="A16582" i="1"/>
  <c r="B16582" i="1"/>
  <c r="C16582" i="1"/>
  <c r="D16582" i="1"/>
  <c r="A16583" i="1"/>
  <c r="B16583" i="1"/>
  <c r="C16583" i="1"/>
  <c r="D16583" i="1"/>
  <c r="A16584" i="1"/>
  <c r="B16584" i="1"/>
  <c r="C16584" i="1"/>
  <c r="D16584" i="1"/>
  <c r="A16585" i="1"/>
  <c r="B16585" i="1"/>
  <c r="C16585" i="1"/>
  <c r="D16585" i="1"/>
  <c r="A16586" i="1"/>
  <c r="B16586" i="1"/>
  <c r="C16586" i="1"/>
  <c r="D16586" i="1"/>
  <c r="A16587" i="1"/>
  <c r="B16587" i="1"/>
  <c r="C16587" i="1"/>
  <c r="D16587" i="1"/>
  <c r="A16588" i="1"/>
  <c r="B16588" i="1"/>
  <c r="C16588" i="1"/>
  <c r="D16588" i="1"/>
  <c r="A16589" i="1"/>
  <c r="B16589" i="1"/>
  <c r="C16589" i="1"/>
  <c r="D16589" i="1"/>
  <c r="A16590" i="1"/>
  <c r="B16590" i="1"/>
  <c r="C16590" i="1"/>
  <c r="D16590" i="1"/>
  <c r="A16591" i="1"/>
  <c r="B16591" i="1"/>
  <c r="C16591" i="1"/>
  <c r="D16591" i="1"/>
  <c r="A16592" i="1"/>
  <c r="B16592" i="1"/>
  <c r="C16592" i="1"/>
  <c r="D16592" i="1"/>
  <c r="A16593" i="1"/>
  <c r="B16593" i="1"/>
  <c r="C16593" i="1"/>
  <c r="D16593" i="1"/>
  <c r="A16594" i="1"/>
  <c r="B16594" i="1"/>
  <c r="C16594" i="1"/>
  <c r="D16594" i="1"/>
  <c r="A16595" i="1"/>
  <c r="B16595" i="1"/>
  <c r="C16595" i="1"/>
  <c r="D16595" i="1"/>
  <c r="A16596" i="1"/>
  <c r="B16596" i="1"/>
  <c r="C16596" i="1"/>
  <c r="D16596" i="1"/>
  <c r="A16597" i="1"/>
  <c r="B16597" i="1"/>
  <c r="C16597" i="1"/>
  <c r="D16597" i="1"/>
  <c r="A16598" i="1"/>
  <c r="B16598" i="1"/>
  <c r="C16598" i="1"/>
  <c r="A16599" i="1"/>
  <c r="B16599" i="1"/>
  <c r="C16599" i="1"/>
  <c r="D16599" i="1"/>
  <c r="A16600" i="1"/>
  <c r="B16600" i="1"/>
  <c r="C16600" i="1"/>
  <c r="D16600" i="1"/>
  <c r="A16601" i="1"/>
  <c r="B16601" i="1"/>
  <c r="C16601" i="1"/>
  <c r="D16601" i="1"/>
  <c r="A16602" i="1"/>
  <c r="B16602" i="1"/>
  <c r="C16602" i="1"/>
  <c r="D16602" i="1"/>
  <c r="A16603" i="1"/>
  <c r="B16603" i="1"/>
  <c r="C16603" i="1"/>
  <c r="D16603" i="1"/>
  <c r="A16604" i="1"/>
  <c r="B16604" i="1"/>
  <c r="C16604" i="1"/>
  <c r="D16604" i="1"/>
  <c r="A16605" i="1"/>
  <c r="B16605" i="1"/>
  <c r="C16605" i="1"/>
  <c r="D16605" i="1"/>
  <c r="A16606" i="1"/>
  <c r="B16606" i="1"/>
  <c r="C16606" i="1"/>
  <c r="D16606" i="1"/>
  <c r="A16607" i="1"/>
  <c r="B16607" i="1"/>
  <c r="C16607" i="1"/>
  <c r="A16608" i="1"/>
  <c r="B16608" i="1"/>
  <c r="C16608" i="1"/>
  <c r="D16608" i="1"/>
  <c r="A16609" i="1"/>
  <c r="B16609" i="1"/>
  <c r="C16609" i="1"/>
  <c r="D16609" i="1"/>
  <c r="A16610" i="1"/>
  <c r="B16610" i="1"/>
  <c r="C16610" i="1"/>
  <c r="D16610" i="1"/>
  <c r="A16611" i="1"/>
  <c r="B16611" i="1"/>
  <c r="C16611" i="1"/>
  <c r="D16611" i="1"/>
  <c r="A16612" i="1"/>
  <c r="B16612" i="1"/>
  <c r="C16612" i="1"/>
  <c r="D16612" i="1"/>
  <c r="A16613" i="1"/>
  <c r="B16613" i="1"/>
  <c r="C16613" i="1"/>
  <c r="D16613" i="1"/>
  <c r="A16614" i="1"/>
  <c r="B16614" i="1"/>
  <c r="C16614" i="1"/>
  <c r="D16614" i="1"/>
  <c r="A16615" i="1"/>
  <c r="B16615" i="1"/>
  <c r="C16615" i="1"/>
  <c r="D16615" i="1"/>
  <c r="A16616" i="1"/>
  <c r="B16616" i="1"/>
  <c r="C16616" i="1"/>
  <c r="D16616" i="1"/>
  <c r="A16617" i="1"/>
  <c r="B16617" i="1"/>
  <c r="C16617" i="1"/>
  <c r="D16617" i="1"/>
  <c r="A16618" i="1"/>
  <c r="B16618" i="1"/>
  <c r="C16618" i="1"/>
  <c r="D16618" i="1"/>
  <c r="A16619" i="1"/>
  <c r="B16619" i="1"/>
  <c r="C16619" i="1"/>
  <c r="D16619" i="1"/>
  <c r="A16620" i="1"/>
  <c r="B16620" i="1"/>
  <c r="C16620" i="1"/>
  <c r="D16620" i="1"/>
  <c r="A16621" i="1"/>
  <c r="B16621" i="1"/>
  <c r="C16621" i="1"/>
  <c r="D16621" i="1"/>
  <c r="A16622" i="1"/>
  <c r="B16622" i="1"/>
  <c r="C16622" i="1"/>
  <c r="D16622" i="1"/>
  <c r="A16623" i="1"/>
  <c r="B16623" i="1"/>
  <c r="C16623" i="1"/>
  <c r="D16623" i="1"/>
  <c r="A16624" i="1"/>
  <c r="B16624" i="1"/>
  <c r="C16624" i="1"/>
  <c r="D16624" i="1"/>
  <c r="A16625" i="1"/>
  <c r="B16625" i="1"/>
  <c r="C16625" i="1"/>
  <c r="D16625" i="1"/>
  <c r="A16626" i="1"/>
  <c r="B16626" i="1"/>
  <c r="C16626" i="1"/>
  <c r="D16626" i="1"/>
  <c r="A16627" i="1"/>
  <c r="B16627" i="1"/>
  <c r="C16627" i="1"/>
  <c r="D16627" i="1"/>
  <c r="A16628" i="1"/>
  <c r="B16628" i="1"/>
  <c r="C16628" i="1"/>
  <c r="D16628" i="1"/>
  <c r="A16629" i="1"/>
  <c r="B16629" i="1"/>
  <c r="C16629" i="1"/>
  <c r="D16629" i="1"/>
  <c r="A16630" i="1"/>
  <c r="B16630" i="1"/>
  <c r="C16630" i="1"/>
  <c r="D16630" i="1"/>
  <c r="A16631" i="1"/>
  <c r="B16631" i="1"/>
  <c r="C16631" i="1"/>
  <c r="D16631" i="1"/>
  <c r="A16632" i="1"/>
  <c r="B16632" i="1"/>
  <c r="C16632" i="1"/>
  <c r="D16632" i="1"/>
  <c r="A16633" i="1"/>
  <c r="B16633" i="1"/>
  <c r="C16633" i="1"/>
  <c r="D16633" i="1"/>
  <c r="A16634" i="1"/>
  <c r="B16634" i="1"/>
  <c r="C16634" i="1"/>
  <c r="D16634" i="1"/>
  <c r="A16635" i="1"/>
  <c r="B16635" i="1"/>
  <c r="C16635" i="1"/>
  <c r="D16635" i="1"/>
  <c r="A16636" i="1"/>
  <c r="B16636" i="1"/>
  <c r="C16636" i="1"/>
  <c r="D16636" i="1"/>
  <c r="A16637" i="1"/>
  <c r="B16637" i="1"/>
  <c r="C16637" i="1"/>
  <c r="D16637" i="1"/>
  <c r="A16638" i="1"/>
  <c r="B16638" i="1"/>
  <c r="C16638" i="1"/>
  <c r="D16638" i="1"/>
  <c r="A16639" i="1"/>
  <c r="B16639" i="1"/>
  <c r="C16639" i="1"/>
  <c r="D16639" i="1"/>
  <c r="A16640" i="1"/>
  <c r="B16640" i="1"/>
  <c r="C16640" i="1"/>
  <c r="D16640" i="1"/>
  <c r="A16641" i="1"/>
  <c r="B16641" i="1"/>
  <c r="C16641" i="1"/>
  <c r="D16641" i="1"/>
  <c r="A16642" i="1"/>
  <c r="B16642" i="1"/>
  <c r="C16642" i="1"/>
  <c r="D16642" i="1"/>
  <c r="A16643" i="1"/>
  <c r="B16643" i="1"/>
  <c r="C16643" i="1"/>
  <c r="D16643" i="1"/>
  <c r="A16644" i="1"/>
  <c r="B16644" i="1"/>
  <c r="C16644" i="1"/>
  <c r="D16644" i="1"/>
  <c r="A16645" i="1"/>
  <c r="B16645" i="1"/>
  <c r="C16645" i="1"/>
  <c r="D16645" i="1"/>
  <c r="A16646" i="1"/>
  <c r="B16646" i="1"/>
  <c r="C16646" i="1"/>
  <c r="D16646" i="1"/>
  <c r="A16647" i="1"/>
  <c r="B16647" i="1"/>
  <c r="C16647" i="1"/>
  <c r="D16647" i="1"/>
  <c r="A16648" i="1"/>
  <c r="B16648" i="1"/>
  <c r="C16648" i="1"/>
  <c r="D16648" i="1"/>
  <c r="A16649" i="1"/>
  <c r="B16649" i="1"/>
  <c r="C16649" i="1"/>
  <c r="D16649" i="1"/>
  <c r="A16650" i="1"/>
  <c r="B16650" i="1"/>
  <c r="C16650" i="1"/>
  <c r="D16650" i="1"/>
  <c r="A16651" i="1"/>
  <c r="B16651" i="1"/>
  <c r="C16651" i="1"/>
  <c r="D16651" i="1"/>
  <c r="A16652" i="1"/>
  <c r="B16652" i="1"/>
  <c r="C16652" i="1"/>
  <c r="D16652" i="1"/>
  <c r="A16653" i="1"/>
  <c r="B16653" i="1"/>
  <c r="C16653" i="1"/>
  <c r="D16653" i="1"/>
  <c r="A16654" i="1"/>
  <c r="B16654" i="1"/>
  <c r="C16654" i="1"/>
  <c r="D16654" i="1"/>
  <c r="A16655" i="1"/>
  <c r="B16655" i="1"/>
  <c r="C16655" i="1"/>
  <c r="D16655" i="1"/>
  <c r="A16656" i="1"/>
  <c r="B16656" i="1"/>
  <c r="C16656" i="1"/>
  <c r="D16656" i="1"/>
  <c r="A16657" i="1"/>
  <c r="B16657" i="1"/>
  <c r="C16657" i="1"/>
  <c r="D16657" i="1"/>
  <c r="A16658" i="1"/>
  <c r="B16658" i="1"/>
  <c r="C16658" i="1"/>
  <c r="D16658" i="1"/>
  <c r="A16659" i="1"/>
  <c r="B16659" i="1"/>
  <c r="C16659" i="1"/>
  <c r="D16659" i="1"/>
  <c r="A16660" i="1"/>
  <c r="B16660" i="1"/>
  <c r="C16660" i="1"/>
  <c r="D16660" i="1"/>
  <c r="A16661" i="1"/>
  <c r="B16661" i="1"/>
  <c r="C16661" i="1"/>
  <c r="D16661" i="1"/>
  <c r="A16662" i="1"/>
  <c r="B16662" i="1"/>
  <c r="C16662" i="1"/>
  <c r="D16662" i="1"/>
  <c r="A16663" i="1"/>
  <c r="B16663" i="1"/>
  <c r="C16663" i="1"/>
  <c r="D16663" i="1"/>
  <c r="A16664" i="1"/>
  <c r="B16664" i="1"/>
  <c r="C16664" i="1"/>
  <c r="D16664" i="1"/>
  <c r="A16665" i="1"/>
  <c r="B16665" i="1"/>
  <c r="C16665" i="1"/>
  <c r="D16665" i="1"/>
  <c r="A16666" i="1"/>
  <c r="B16666" i="1"/>
  <c r="C16666" i="1"/>
  <c r="D16666" i="1"/>
  <c r="A16667" i="1"/>
  <c r="B16667" i="1"/>
  <c r="C16667" i="1"/>
  <c r="D16667" i="1"/>
  <c r="A16668" i="1"/>
  <c r="B16668" i="1"/>
  <c r="C16668" i="1"/>
  <c r="D16668" i="1"/>
  <c r="A16669" i="1"/>
  <c r="B16669" i="1"/>
  <c r="C16669" i="1"/>
  <c r="D16669" i="1"/>
  <c r="A16670" i="1"/>
  <c r="B16670" i="1"/>
  <c r="C16670" i="1"/>
  <c r="D16670" i="1"/>
  <c r="A16671" i="1"/>
  <c r="B16671" i="1"/>
  <c r="C16671" i="1"/>
  <c r="D16671" i="1"/>
  <c r="A16672" i="1"/>
  <c r="B16672" i="1"/>
  <c r="C16672" i="1"/>
  <c r="D16672" i="1"/>
  <c r="A16673" i="1"/>
  <c r="B16673" i="1"/>
  <c r="C16673" i="1"/>
  <c r="D16673" i="1"/>
  <c r="A16674" i="1"/>
  <c r="B16674" i="1"/>
  <c r="C16674" i="1"/>
  <c r="D16674" i="1"/>
  <c r="A16675" i="1"/>
  <c r="B16675" i="1"/>
  <c r="C16675" i="1"/>
  <c r="D16675" i="1"/>
  <c r="A16676" i="1"/>
  <c r="B16676" i="1"/>
  <c r="C16676" i="1"/>
  <c r="D16676" i="1"/>
  <c r="A16677" i="1"/>
  <c r="B16677" i="1"/>
  <c r="C16677" i="1"/>
  <c r="D16677" i="1"/>
  <c r="A16678" i="1"/>
  <c r="B16678" i="1"/>
  <c r="C16678" i="1"/>
  <c r="D16678" i="1"/>
  <c r="A16679" i="1"/>
  <c r="B16679" i="1"/>
  <c r="C16679" i="1"/>
  <c r="D16679" i="1"/>
  <c r="A16680" i="1"/>
  <c r="B16680" i="1"/>
  <c r="C16680" i="1"/>
  <c r="A16681" i="1"/>
  <c r="B16681" i="1"/>
  <c r="C16681" i="1"/>
  <c r="D16681" i="1"/>
  <c r="A16682" i="1"/>
  <c r="B16682" i="1"/>
  <c r="C16682" i="1"/>
  <c r="D16682" i="1"/>
  <c r="A16683" i="1"/>
  <c r="B16683" i="1"/>
  <c r="C16683" i="1"/>
  <c r="D16683" i="1"/>
  <c r="A16684" i="1"/>
  <c r="B16684" i="1"/>
  <c r="C16684" i="1"/>
  <c r="D16684" i="1"/>
  <c r="A16685" i="1"/>
  <c r="B16685" i="1"/>
  <c r="C16685" i="1"/>
  <c r="D16685" i="1"/>
  <c r="A16686" i="1"/>
  <c r="B16686" i="1"/>
  <c r="C16686" i="1"/>
  <c r="D16686" i="1"/>
  <c r="A16687" i="1"/>
  <c r="B16687" i="1"/>
  <c r="C16687" i="1"/>
  <c r="D16687" i="1"/>
  <c r="A16688" i="1"/>
  <c r="B16688" i="1"/>
  <c r="C16688" i="1"/>
  <c r="D16688" i="1"/>
  <c r="A16689" i="1"/>
  <c r="B16689" i="1"/>
  <c r="C16689" i="1"/>
  <c r="D16689" i="1"/>
  <c r="A16690" i="1"/>
  <c r="B16690" i="1"/>
  <c r="C16690" i="1"/>
  <c r="D16690" i="1"/>
  <c r="A16691" i="1"/>
  <c r="B16691" i="1"/>
  <c r="C16691" i="1"/>
  <c r="D16691" i="1"/>
  <c r="A16692" i="1"/>
  <c r="B16692" i="1"/>
  <c r="C16692" i="1"/>
  <c r="D16692" i="1"/>
  <c r="A16693" i="1"/>
  <c r="B16693" i="1"/>
  <c r="C16693" i="1"/>
  <c r="D16693" i="1"/>
  <c r="A16694" i="1"/>
  <c r="B16694" i="1"/>
  <c r="C16694" i="1"/>
  <c r="D16694" i="1"/>
  <c r="A16695" i="1"/>
  <c r="B16695" i="1"/>
  <c r="C16695" i="1"/>
  <c r="D16695" i="1"/>
  <c r="A16696" i="1"/>
  <c r="B16696" i="1"/>
  <c r="C16696" i="1"/>
  <c r="D16696" i="1"/>
  <c r="A16697" i="1"/>
  <c r="B16697" i="1"/>
  <c r="C16697" i="1"/>
  <c r="D16697" i="1"/>
  <c r="A16698" i="1"/>
  <c r="B16698" i="1"/>
  <c r="C16698" i="1"/>
  <c r="A16699" i="1"/>
  <c r="B16699" i="1"/>
  <c r="C16699" i="1"/>
  <c r="D16699" i="1"/>
  <c r="A16700" i="1"/>
  <c r="B16700" i="1"/>
  <c r="C16700" i="1"/>
  <c r="D16700" i="1"/>
  <c r="A16701" i="1"/>
  <c r="B16701" i="1"/>
  <c r="C16701" i="1"/>
  <c r="D16701" i="1"/>
  <c r="A16702" i="1"/>
  <c r="B16702" i="1"/>
  <c r="C16702" i="1"/>
  <c r="D16702" i="1"/>
  <c r="A16703" i="1"/>
  <c r="B16703" i="1"/>
  <c r="C16703" i="1"/>
  <c r="D16703" i="1"/>
  <c r="A16704" i="1"/>
  <c r="B16704" i="1"/>
  <c r="C16704" i="1"/>
  <c r="D16704" i="1"/>
  <c r="A16705" i="1"/>
  <c r="B16705" i="1"/>
  <c r="C16705" i="1"/>
  <c r="A16706" i="1"/>
  <c r="B16706" i="1"/>
  <c r="C16706" i="1"/>
  <c r="D16706" i="1"/>
  <c r="A16707" i="1"/>
  <c r="B16707" i="1"/>
  <c r="C16707" i="1"/>
  <c r="D16707" i="1"/>
  <c r="A16708" i="1"/>
  <c r="B16708" i="1"/>
  <c r="C16708" i="1"/>
  <c r="D16708" i="1"/>
  <c r="A16709" i="1"/>
  <c r="B16709" i="1"/>
  <c r="C16709" i="1"/>
  <c r="D16709" i="1"/>
  <c r="A16710" i="1"/>
  <c r="B16710" i="1"/>
  <c r="C16710" i="1"/>
  <c r="D16710" i="1"/>
  <c r="A16711" i="1"/>
  <c r="B16711" i="1"/>
  <c r="C16711" i="1"/>
  <c r="D16711" i="1"/>
  <c r="A16712" i="1"/>
  <c r="B16712" i="1"/>
  <c r="C16712" i="1"/>
  <c r="D16712" i="1"/>
  <c r="A16713" i="1"/>
  <c r="B16713" i="1"/>
  <c r="C16713" i="1"/>
  <c r="D16713" i="1"/>
  <c r="A16714" i="1"/>
  <c r="B16714" i="1"/>
  <c r="C16714" i="1"/>
  <c r="D16714" i="1"/>
  <c r="A16715" i="1"/>
  <c r="B16715" i="1"/>
  <c r="C16715" i="1"/>
  <c r="D16715" i="1"/>
  <c r="A16716" i="1"/>
  <c r="B16716" i="1"/>
  <c r="C16716" i="1"/>
  <c r="D16716" i="1"/>
  <c r="A16717" i="1"/>
  <c r="B16717" i="1"/>
  <c r="C16717" i="1"/>
  <c r="D16717" i="1"/>
  <c r="A16718" i="1"/>
  <c r="B16718" i="1"/>
  <c r="C16718" i="1"/>
  <c r="D16718" i="1"/>
  <c r="A16719" i="1"/>
  <c r="B16719" i="1"/>
  <c r="C16719" i="1"/>
  <c r="A16720" i="1"/>
  <c r="B16720" i="1"/>
  <c r="C16720" i="1"/>
  <c r="D16720" i="1"/>
  <c r="A16721" i="1"/>
  <c r="B16721" i="1"/>
  <c r="C16721" i="1"/>
  <c r="D16721" i="1"/>
  <c r="A16722" i="1"/>
  <c r="B16722" i="1"/>
  <c r="C16722" i="1"/>
  <c r="D16722" i="1"/>
  <c r="A16723" i="1"/>
  <c r="B16723" i="1"/>
  <c r="C16723" i="1"/>
  <c r="D16723" i="1"/>
  <c r="A16724" i="1"/>
  <c r="B16724" i="1"/>
  <c r="C16724" i="1"/>
  <c r="D16724" i="1"/>
  <c r="A16725" i="1"/>
  <c r="B16725" i="1"/>
  <c r="C16725" i="1"/>
  <c r="D16725" i="1"/>
  <c r="A16726" i="1"/>
  <c r="B16726" i="1"/>
  <c r="C16726" i="1"/>
  <c r="D16726" i="1"/>
  <c r="A16727" i="1"/>
  <c r="B16727" i="1"/>
  <c r="C16727" i="1"/>
  <c r="D16727" i="1"/>
  <c r="A16728" i="1"/>
  <c r="B16728" i="1"/>
  <c r="C16728" i="1"/>
  <c r="D16728" i="1"/>
  <c r="A16729" i="1"/>
  <c r="B16729" i="1"/>
  <c r="C16729" i="1"/>
  <c r="D16729" i="1"/>
  <c r="A16730" i="1"/>
  <c r="B16730" i="1"/>
  <c r="C16730" i="1"/>
  <c r="D16730" i="1"/>
  <c r="A16731" i="1"/>
  <c r="B16731" i="1"/>
  <c r="C16731" i="1"/>
  <c r="D16731" i="1"/>
  <c r="A16732" i="1"/>
  <c r="B16732" i="1"/>
  <c r="C16732" i="1"/>
  <c r="D16732" i="1"/>
  <c r="A16733" i="1"/>
  <c r="B16733" i="1"/>
  <c r="C16733" i="1"/>
  <c r="A16734" i="1"/>
  <c r="B16734" i="1"/>
  <c r="C16734" i="1"/>
  <c r="D16734" i="1"/>
  <c r="A16735" i="1"/>
  <c r="B16735" i="1"/>
  <c r="C16735" i="1"/>
  <c r="D16735" i="1"/>
  <c r="A16736" i="1"/>
  <c r="B16736" i="1"/>
  <c r="C16736" i="1"/>
  <c r="D16736" i="1"/>
  <c r="A16737" i="1"/>
  <c r="B16737" i="1"/>
  <c r="C16737" i="1"/>
  <c r="D16737" i="1"/>
  <c r="A16738" i="1"/>
  <c r="B16738" i="1"/>
  <c r="C16738" i="1"/>
  <c r="D16738" i="1"/>
  <c r="A16739" i="1"/>
  <c r="B16739" i="1"/>
  <c r="C16739" i="1"/>
  <c r="D16739" i="1"/>
  <c r="A16740" i="1"/>
  <c r="B16740" i="1"/>
  <c r="C16740" i="1"/>
  <c r="D16740" i="1"/>
  <c r="A16741" i="1"/>
  <c r="B16741" i="1"/>
  <c r="C16741" i="1"/>
  <c r="D16741" i="1"/>
  <c r="A16742" i="1"/>
  <c r="B16742" i="1"/>
  <c r="C16742" i="1"/>
  <c r="D16742" i="1"/>
  <c r="A16743" i="1"/>
  <c r="B16743" i="1"/>
  <c r="C16743" i="1"/>
  <c r="D16743" i="1"/>
  <c r="A16744" i="1"/>
  <c r="B16744" i="1"/>
  <c r="C16744" i="1"/>
  <c r="D16744" i="1"/>
  <c r="A16745" i="1"/>
  <c r="B16745" i="1"/>
  <c r="C16745" i="1"/>
  <c r="D16745" i="1"/>
  <c r="A16746" i="1"/>
  <c r="B16746" i="1"/>
  <c r="C16746" i="1"/>
  <c r="D16746" i="1"/>
  <c r="A16747" i="1"/>
  <c r="B16747" i="1"/>
  <c r="C16747" i="1"/>
  <c r="D16747" i="1"/>
  <c r="A16748" i="1"/>
  <c r="B16748" i="1"/>
  <c r="C16748" i="1"/>
  <c r="D16748" i="1"/>
  <c r="A16749" i="1"/>
  <c r="B16749" i="1"/>
  <c r="C16749" i="1"/>
  <c r="D16749" i="1"/>
  <c r="A16750" i="1"/>
  <c r="B16750" i="1"/>
  <c r="C16750" i="1"/>
  <c r="D16750" i="1"/>
  <c r="A16751" i="1"/>
  <c r="B16751" i="1"/>
  <c r="C16751" i="1"/>
  <c r="D16751" i="1"/>
  <c r="A16752" i="1"/>
  <c r="B16752" i="1"/>
  <c r="C16752" i="1"/>
  <c r="D16752" i="1"/>
  <c r="A16753" i="1"/>
  <c r="B16753" i="1"/>
  <c r="C16753" i="1"/>
  <c r="D16753" i="1"/>
  <c r="A16754" i="1"/>
  <c r="B16754" i="1"/>
  <c r="C16754" i="1"/>
  <c r="D16754" i="1"/>
  <c r="A16755" i="1"/>
  <c r="B16755" i="1"/>
  <c r="C16755" i="1"/>
  <c r="D16755" i="1"/>
  <c r="A16756" i="1"/>
  <c r="B16756" i="1"/>
  <c r="C16756" i="1"/>
  <c r="D16756" i="1"/>
  <c r="A16757" i="1"/>
  <c r="B16757" i="1"/>
  <c r="C16757" i="1"/>
  <c r="A16758" i="1"/>
  <c r="B16758" i="1"/>
  <c r="C16758" i="1"/>
  <c r="D16758" i="1"/>
  <c r="A16759" i="1"/>
  <c r="B16759" i="1"/>
  <c r="C16759" i="1"/>
  <c r="D16759" i="1"/>
  <c r="A16760" i="1"/>
  <c r="B16760" i="1"/>
  <c r="C16760" i="1"/>
  <c r="D16760" i="1"/>
  <c r="A16761" i="1"/>
  <c r="B16761" i="1"/>
  <c r="C16761" i="1"/>
  <c r="D16761" i="1"/>
  <c r="A16762" i="1"/>
  <c r="B16762" i="1"/>
  <c r="C16762" i="1"/>
  <c r="D16762" i="1"/>
  <c r="A16763" i="1"/>
  <c r="B16763" i="1"/>
  <c r="C16763" i="1"/>
  <c r="D16763" i="1"/>
  <c r="A16764" i="1"/>
  <c r="B16764" i="1"/>
  <c r="C16764" i="1"/>
  <c r="D16764" i="1"/>
  <c r="A16765" i="1"/>
  <c r="B16765" i="1"/>
  <c r="C16765" i="1"/>
  <c r="D16765" i="1"/>
  <c r="A16766" i="1"/>
  <c r="B16766" i="1"/>
  <c r="C16766" i="1"/>
  <c r="D16766" i="1"/>
  <c r="A16767" i="1"/>
  <c r="B16767" i="1"/>
  <c r="C16767" i="1"/>
  <c r="D16767" i="1"/>
  <c r="A16768" i="1"/>
  <c r="B16768" i="1"/>
  <c r="C16768" i="1"/>
  <c r="D16768" i="1"/>
  <c r="A16769" i="1"/>
  <c r="B16769" i="1"/>
  <c r="C16769" i="1"/>
  <c r="D16769" i="1"/>
  <c r="A16770" i="1"/>
  <c r="B16770" i="1"/>
  <c r="C16770" i="1"/>
  <c r="D16770" i="1"/>
  <c r="A16771" i="1"/>
  <c r="B16771" i="1"/>
  <c r="C16771" i="1"/>
  <c r="D16771" i="1"/>
  <c r="A16772" i="1"/>
  <c r="B16772" i="1"/>
  <c r="C16772" i="1"/>
  <c r="D16772" i="1"/>
  <c r="A16773" i="1"/>
  <c r="B16773" i="1"/>
  <c r="C16773" i="1"/>
  <c r="D16773" i="1"/>
  <c r="A16774" i="1"/>
  <c r="B16774" i="1"/>
  <c r="C16774" i="1"/>
  <c r="D16774" i="1"/>
  <c r="A16775" i="1"/>
  <c r="B16775" i="1"/>
  <c r="C16775" i="1"/>
  <c r="D16775" i="1"/>
  <c r="A16776" i="1"/>
  <c r="B16776" i="1"/>
  <c r="C16776" i="1"/>
  <c r="D16776" i="1"/>
  <c r="A16777" i="1"/>
  <c r="B16777" i="1"/>
  <c r="C16777" i="1"/>
  <c r="A16778" i="1"/>
  <c r="B16778" i="1"/>
  <c r="C16778" i="1"/>
  <c r="D16778" i="1"/>
  <c r="A16779" i="1"/>
  <c r="B16779" i="1"/>
  <c r="C16779" i="1"/>
  <c r="D16779" i="1"/>
  <c r="A16780" i="1"/>
  <c r="B16780" i="1"/>
  <c r="C16780" i="1"/>
  <c r="D16780" i="1"/>
  <c r="A16781" i="1"/>
  <c r="B16781" i="1"/>
  <c r="C16781" i="1"/>
  <c r="D16781" i="1"/>
  <c r="A16782" i="1"/>
  <c r="B16782" i="1"/>
  <c r="C16782" i="1"/>
  <c r="D16782" i="1"/>
  <c r="A16783" i="1"/>
  <c r="B16783" i="1"/>
  <c r="C16783" i="1"/>
  <c r="A16784" i="1"/>
  <c r="B16784" i="1"/>
  <c r="C16784" i="1"/>
  <c r="D16784" i="1"/>
  <c r="A16785" i="1"/>
  <c r="B16785" i="1"/>
  <c r="C16785" i="1"/>
  <c r="D16785" i="1"/>
  <c r="A16786" i="1"/>
  <c r="B16786" i="1"/>
  <c r="C16786" i="1"/>
  <c r="D16786" i="1"/>
  <c r="A16787" i="1"/>
  <c r="B16787" i="1"/>
  <c r="C16787" i="1"/>
  <c r="D16787" i="1"/>
  <c r="A16788" i="1"/>
  <c r="B16788" i="1"/>
  <c r="C16788" i="1"/>
  <c r="D16788" i="1"/>
  <c r="A16789" i="1"/>
  <c r="B16789" i="1"/>
  <c r="C16789" i="1"/>
  <c r="D16789" i="1"/>
  <c r="A16790" i="1"/>
  <c r="B16790" i="1"/>
  <c r="C16790" i="1"/>
  <c r="D16790" i="1"/>
  <c r="A16791" i="1"/>
  <c r="B16791" i="1"/>
  <c r="C16791" i="1"/>
  <c r="D16791" i="1"/>
  <c r="A16792" i="1"/>
  <c r="B16792" i="1"/>
  <c r="C16792" i="1"/>
  <c r="D16792" i="1"/>
  <c r="A16793" i="1"/>
  <c r="B16793" i="1"/>
  <c r="C16793" i="1"/>
  <c r="D16793" i="1"/>
  <c r="A16794" i="1"/>
  <c r="B16794" i="1"/>
  <c r="C16794" i="1"/>
  <c r="D16794" i="1"/>
  <c r="A16795" i="1"/>
  <c r="B16795" i="1"/>
  <c r="C16795" i="1"/>
  <c r="D16795" i="1"/>
  <c r="A16796" i="1"/>
  <c r="B16796" i="1"/>
  <c r="C16796" i="1"/>
  <c r="D16796" i="1"/>
  <c r="A16797" i="1"/>
  <c r="B16797" i="1"/>
  <c r="C16797" i="1"/>
  <c r="D16797" i="1"/>
  <c r="A16798" i="1"/>
  <c r="B16798" i="1"/>
  <c r="C16798" i="1"/>
  <c r="D16798" i="1"/>
  <c r="A16799" i="1"/>
  <c r="B16799" i="1"/>
  <c r="C16799" i="1"/>
  <c r="D16799" i="1"/>
  <c r="A16800" i="1"/>
  <c r="B16800" i="1"/>
  <c r="C16800" i="1"/>
  <c r="A16801" i="1"/>
  <c r="B16801" i="1"/>
  <c r="C16801" i="1"/>
  <c r="D16801" i="1"/>
  <c r="A16802" i="1"/>
  <c r="B16802" i="1"/>
  <c r="C16802" i="1"/>
  <c r="D16802" i="1"/>
  <c r="A16803" i="1"/>
  <c r="B16803" i="1"/>
  <c r="C16803" i="1"/>
  <c r="D16803" i="1"/>
  <c r="A16804" i="1"/>
  <c r="B16804" i="1"/>
  <c r="C16804" i="1"/>
  <c r="D16804" i="1"/>
  <c r="A16805" i="1"/>
  <c r="B16805" i="1"/>
  <c r="C16805" i="1"/>
  <c r="D16805" i="1"/>
  <c r="A16806" i="1"/>
  <c r="B16806" i="1"/>
  <c r="C16806" i="1"/>
  <c r="D16806" i="1"/>
  <c r="A16807" i="1"/>
  <c r="B16807" i="1"/>
  <c r="C16807" i="1"/>
  <c r="D16807" i="1"/>
  <c r="A16808" i="1"/>
  <c r="B16808" i="1"/>
  <c r="C16808" i="1"/>
  <c r="D16808" i="1"/>
  <c r="A16809" i="1"/>
  <c r="B16809" i="1"/>
  <c r="C16809" i="1"/>
  <c r="D16809" i="1"/>
  <c r="A16810" i="1"/>
  <c r="B16810" i="1"/>
  <c r="C16810" i="1"/>
  <c r="D16810" i="1"/>
  <c r="A16811" i="1"/>
  <c r="B16811" i="1"/>
  <c r="C16811" i="1"/>
  <c r="D16811" i="1"/>
  <c r="A16812" i="1"/>
  <c r="B16812" i="1"/>
  <c r="C16812" i="1"/>
  <c r="D16812" i="1"/>
  <c r="A16813" i="1"/>
  <c r="B16813" i="1"/>
  <c r="C16813" i="1"/>
  <c r="D16813" i="1"/>
  <c r="A16814" i="1"/>
  <c r="B16814" i="1"/>
  <c r="C16814" i="1"/>
  <c r="D16814" i="1"/>
  <c r="A16815" i="1"/>
  <c r="B16815" i="1"/>
  <c r="C16815" i="1"/>
  <c r="D16815" i="1"/>
  <c r="A16816" i="1"/>
  <c r="B16816" i="1"/>
  <c r="C16816" i="1"/>
  <c r="D16816" i="1"/>
  <c r="A16817" i="1"/>
  <c r="B16817" i="1"/>
  <c r="C16817" i="1"/>
  <c r="D16817" i="1"/>
  <c r="A16818" i="1"/>
  <c r="B16818" i="1"/>
  <c r="C16818" i="1"/>
  <c r="D16818" i="1"/>
  <c r="A16819" i="1"/>
  <c r="B16819" i="1"/>
  <c r="C16819" i="1"/>
  <c r="D16819" i="1"/>
  <c r="A16820" i="1"/>
  <c r="B16820" i="1"/>
  <c r="C16820" i="1"/>
  <c r="D16820" i="1"/>
  <c r="A16821" i="1"/>
  <c r="B16821" i="1"/>
  <c r="C16821" i="1"/>
  <c r="D16821" i="1"/>
  <c r="A16822" i="1"/>
  <c r="B16822" i="1"/>
  <c r="C16822" i="1"/>
  <c r="D16822" i="1"/>
  <c r="A16823" i="1"/>
  <c r="B16823" i="1"/>
  <c r="C16823" i="1"/>
  <c r="D16823" i="1"/>
  <c r="A16824" i="1"/>
  <c r="B16824" i="1"/>
  <c r="C16824" i="1"/>
  <c r="D16824" i="1"/>
  <c r="A16825" i="1"/>
  <c r="B16825" i="1"/>
  <c r="C16825" i="1"/>
  <c r="D16825" i="1"/>
  <c r="A16826" i="1"/>
  <c r="B16826" i="1"/>
  <c r="C16826" i="1"/>
  <c r="D16826" i="1"/>
  <c r="A16827" i="1"/>
  <c r="B16827" i="1"/>
  <c r="C16827" i="1"/>
  <c r="D16827" i="1"/>
  <c r="A16828" i="1"/>
  <c r="B16828" i="1"/>
  <c r="C16828" i="1"/>
  <c r="D16828" i="1"/>
  <c r="A16829" i="1"/>
  <c r="B16829" i="1"/>
  <c r="C16829" i="1"/>
  <c r="D16829" i="1"/>
  <c r="A16830" i="1"/>
  <c r="B16830" i="1"/>
  <c r="C16830" i="1"/>
  <c r="D16830" i="1"/>
  <c r="A16831" i="1"/>
  <c r="B16831" i="1"/>
  <c r="C16831" i="1"/>
  <c r="D16831" i="1"/>
  <c r="A16832" i="1"/>
  <c r="B16832" i="1"/>
  <c r="C16832" i="1"/>
  <c r="D16832" i="1"/>
  <c r="A16833" i="1"/>
  <c r="B16833" i="1"/>
  <c r="C16833" i="1"/>
  <c r="D16833" i="1"/>
  <c r="A16834" i="1"/>
  <c r="B16834" i="1"/>
  <c r="C16834" i="1"/>
  <c r="D16834" i="1"/>
  <c r="A16835" i="1"/>
  <c r="B16835" i="1"/>
  <c r="C16835" i="1"/>
  <c r="D16835" i="1"/>
  <c r="A16836" i="1"/>
  <c r="B16836" i="1"/>
  <c r="C16836" i="1"/>
  <c r="D16836" i="1"/>
  <c r="A16837" i="1"/>
  <c r="B16837" i="1"/>
  <c r="C16837" i="1"/>
  <c r="D16837" i="1"/>
  <c r="A16838" i="1"/>
  <c r="B16838" i="1"/>
  <c r="C16838" i="1"/>
  <c r="D16838" i="1"/>
  <c r="A16839" i="1"/>
  <c r="B16839" i="1"/>
  <c r="C16839" i="1"/>
  <c r="D16839" i="1"/>
  <c r="A16840" i="1"/>
  <c r="B16840" i="1"/>
  <c r="C16840" i="1"/>
  <c r="D16840" i="1"/>
  <c r="A16841" i="1"/>
  <c r="B16841" i="1"/>
  <c r="C16841" i="1"/>
  <c r="D16841" i="1"/>
  <c r="A16842" i="1"/>
  <c r="B16842" i="1"/>
  <c r="C16842" i="1"/>
  <c r="D16842" i="1"/>
  <c r="A16843" i="1"/>
  <c r="B16843" i="1"/>
  <c r="C16843" i="1"/>
  <c r="D16843" i="1"/>
  <c r="A16844" i="1"/>
  <c r="B16844" i="1"/>
  <c r="C16844" i="1"/>
  <c r="D16844" i="1"/>
  <c r="A16845" i="1"/>
  <c r="B16845" i="1"/>
  <c r="C16845" i="1"/>
  <c r="D16845" i="1"/>
  <c r="A16846" i="1"/>
  <c r="B16846" i="1"/>
  <c r="C16846" i="1"/>
  <c r="D16846" i="1"/>
  <c r="A16847" i="1"/>
  <c r="B16847" i="1"/>
  <c r="C16847" i="1"/>
  <c r="A16848" i="1"/>
  <c r="B16848" i="1"/>
  <c r="C16848" i="1"/>
  <c r="D16848" i="1"/>
  <c r="A16849" i="1"/>
  <c r="B16849" i="1"/>
  <c r="C16849" i="1"/>
  <c r="D16849" i="1"/>
  <c r="A16850" i="1"/>
  <c r="B16850" i="1"/>
  <c r="C16850" i="1"/>
  <c r="D16850" i="1"/>
  <c r="A16851" i="1"/>
  <c r="B16851" i="1"/>
  <c r="C16851" i="1"/>
  <c r="D16851" i="1"/>
  <c r="A16852" i="1"/>
  <c r="B16852" i="1"/>
  <c r="C16852" i="1"/>
  <c r="D16852" i="1"/>
  <c r="A16853" i="1"/>
  <c r="B16853" i="1"/>
  <c r="C16853" i="1"/>
  <c r="D16853" i="1"/>
  <c r="A16854" i="1"/>
  <c r="B16854" i="1"/>
  <c r="C16854" i="1"/>
  <c r="D16854" i="1"/>
  <c r="A16855" i="1"/>
  <c r="B16855" i="1"/>
  <c r="C16855" i="1"/>
  <c r="D16855" i="1"/>
  <c r="A16856" i="1"/>
  <c r="B16856" i="1"/>
  <c r="C16856" i="1"/>
  <c r="D16856" i="1"/>
  <c r="A16857" i="1"/>
  <c r="B16857" i="1"/>
  <c r="C16857" i="1"/>
  <c r="D16857" i="1"/>
  <c r="A16858" i="1"/>
  <c r="B16858" i="1"/>
  <c r="C16858" i="1"/>
  <c r="D16858" i="1"/>
  <c r="A16859" i="1"/>
  <c r="B16859" i="1"/>
  <c r="C16859" i="1"/>
  <c r="D16859" i="1"/>
  <c r="A16860" i="1"/>
  <c r="B16860" i="1"/>
  <c r="C16860" i="1"/>
  <c r="D16860" i="1"/>
  <c r="A16861" i="1"/>
  <c r="B16861" i="1"/>
  <c r="C16861" i="1"/>
  <c r="A16862" i="1"/>
  <c r="B16862" i="1"/>
  <c r="C16862" i="1"/>
  <c r="D16862" i="1"/>
  <c r="A16863" i="1"/>
  <c r="B16863" i="1"/>
  <c r="C16863" i="1"/>
  <c r="D16863" i="1"/>
  <c r="A16864" i="1"/>
  <c r="B16864" i="1"/>
  <c r="C16864" i="1"/>
  <c r="D16864" i="1"/>
  <c r="A16865" i="1"/>
  <c r="B16865" i="1"/>
  <c r="C16865" i="1"/>
  <c r="D16865" i="1"/>
  <c r="A16866" i="1"/>
  <c r="B16866" i="1"/>
  <c r="C16866" i="1"/>
  <c r="D16866" i="1"/>
  <c r="A16867" i="1"/>
  <c r="B16867" i="1"/>
  <c r="C16867" i="1"/>
  <c r="D16867" i="1"/>
  <c r="A16868" i="1"/>
  <c r="B16868" i="1"/>
  <c r="C16868" i="1"/>
  <c r="D16868" i="1"/>
  <c r="A16869" i="1"/>
  <c r="B16869" i="1"/>
  <c r="C16869" i="1"/>
  <c r="D16869" i="1"/>
  <c r="A16870" i="1"/>
  <c r="B16870" i="1"/>
  <c r="C16870" i="1"/>
  <c r="D16870" i="1"/>
  <c r="A16871" i="1"/>
  <c r="B16871" i="1"/>
  <c r="C16871" i="1"/>
  <c r="D16871" i="1"/>
  <c r="A16872" i="1"/>
  <c r="B16872" i="1"/>
  <c r="C16872" i="1"/>
  <c r="D16872" i="1"/>
  <c r="A16873" i="1"/>
  <c r="B16873" i="1"/>
  <c r="C16873" i="1"/>
  <c r="D16873" i="1"/>
  <c r="A16874" i="1"/>
  <c r="B16874" i="1"/>
  <c r="C16874" i="1"/>
  <c r="D16874" i="1"/>
  <c r="A16875" i="1"/>
  <c r="B16875" i="1"/>
  <c r="C16875" i="1"/>
  <c r="D16875" i="1"/>
  <c r="A16876" i="1"/>
  <c r="B16876" i="1"/>
  <c r="C16876" i="1"/>
  <c r="D16876" i="1"/>
  <c r="A16877" i="1"/>
  <c r="B16877" i="1"/>
  <c r="C16877" i="1"/>
  <c r="D16877" i="1"/>
  <c r="A16878" i="1"/>
  <c r="B16878" i="1"/>
  <c r="C16878" i="1"/>
  <c r="D16878" i="1"/>
  <c r="A16879" i="1"/>
  <c r="B16879" i="1"/>
  <c r="C16879" i="1"/>
  <c r="D16879" i="1"/>
  <c r="A16880" i="1"/>
  <c r="B16880" i="1"/>
  <c r="C16880" i="1"/>
  <c r="D16880" i="1"/>
  <c r="A16881" i="1"/>
  <c r="B16881" i="1"/>
  <c r="C16881" i="1"/>
  <c r="D16881" i="1"/>
  <c r="A16882" i="1"/>
  <c r="B16882" i="1"/>
  <c r="C16882" i="1"/>
  <c r="D16882" i="1"/>
  <c r="A16883" i="1"/>
  <c r="B16883" i="1"/>
  <c r="C16883" i="1"/>
  <c r="D16883" i="1"/>
  <c r="A16884" i="1"/>
  <c r="B16884" i="1"/>
  <c r="C16884" i="1"/>
  <c r="D16884" i="1"/>
  <c r="A16885" i="1"/>
  <c r="B16885" i="1"/>
  <c r="C16885" i="1"/>
  <c r="D16885" i="1"/>
  <c r="A16886" i="1"/>
  <c r="B16886" i="1"/>
  <c r="C16886" i="1"/>
  <c r="D16886" i="1"/>
  <c r="A16887" i="1"/>
  <c r="B16887" i="1"/>
  <c r="C16887" i="1"/>
  <c r="A16888" i="1"/>
  <c r="B16888" i="1"/>
  <c r="C16888" i="1"/>
  <c r="D16888" i="1"/>
  <c r="A16889" i="1"/>
  <c r="B16889" i="1"/>
  <c r="C16889" i="1"/>
  <c r="D16889" i="1"/>
  <c r="A16890" i="1"/>
  <c r="B16890" i="1"/>
  <c r="C16890" i="1"/>
  <c r="D16890" i="1"/>
  <c r="A16891" i="1"/>
  <c r="B16891" i="1"/>
  <c r="C16891" i="1"/>
  <c r="D16891" i="1"/>
  <c r="A16892" i="1"/>
  <c r="B16892" i="1"/>
  <c r="C16892" i="1"/>
  <c r="D16892" i="1"/>
  <c r="A16893" i="1"/>
  <c r="B16893" i="1"/>
  <c r="C16893" i="1"/>
  <c r="D16893" i="1"/>
  <c r="A16894" i="1"/>
  <c r="B16894" i="1"/>
  <c r="C16894" i="1"/>
  <c r="D16894" i="1"/>
  <c r="A16895" i="1"/>
  <c r="B16895" i="1"/>
  <c r="C16895" i="1"/>
  <c r="D16895" i="1"/>
  <c r="A16896" i="1"/>
  <c r="B16896" i="1"/>
  <c r="C16896" i="1"/>
  <c r="D16896" i="1"/>
  <c r="A16897" i="1"/>
  <c r="B16897" i="1"/>
  <c r="C16897" i="1"/>
  <c r="D16897" i="1"/>
  <c r="A16898" i="1"/>
  <c r="B16898" i="1"/>
  <c r="C16898" i="1"/>
  <c r="D16898" i="1"/>
  <c r="A16899" i="1"/>
  <c r="B16899" i="1"/>
  <c r="C16899" i="1"/>
  <c r="D16899" i="1"/>
  <c r="A16900" i="1"/>
  <c r="B16900" i="1"/>
  <c r="C16900" i="1"/>
  <c r="D16900" i="1"/>
  <c r="A16901" i="1"/>
  <c r="B16901" i="1"/>
  <c r="C16901" i="1"/>
  <c r="D16901" i="1"/>
  <c r="A16902" i="1"/>
  <c r="B16902" i="1"/>
  <c r="C16902" i="1"/>
  <c r="D16902" i="1"/>
  <c r="A16903" i="1"/>
  <c r="B16903" i="1"/>
  <c r="C16903" i="1"/>
  <c r="D16903" i="1"/>
  <c r="A16904" i="1"/>
  <c r="B16904" i="1"/>
  <c r="C16904" i="1"/>
  <c r="D16904" i="1"/>
  <c r="A16905" i="1"/>
  <c r="B16905" i="1"/>
  <c r="C16905" i="1"/>
  <c r="D16905" i="1"/>
  <c r="A16906" i="1"/>
  <c r="B16906" i="1"/>
  <c r="C16906" i="1"/>
  <c r="D16906" i="1"/>
  <c r="A16907" i="1"/>
  <c r="B16907" i="1"/>
  <c r="C16907" i="1"/>
  <c r="D16907" i="1"/>
  <c r="A16908" i="1"/>
  <c r="B16908" i="1"/>
  <c r="C16908" i="1"/>
  <c r="D16908" i="1"/>
  <c r="A16909" i="1"/>
  <c r="B16909" i="1"/>
  <c r="C16909" i="1"/>
  <c r="D16909" i="1"/>
  <c r="A16910" i="1"/>
  <c r="B16910" i="1"/>
  <c r="C16910" i="1"/>
  <c r="D16910" i="1"/>
  <c r="A16911" i="1"/>
  <c r="B16911" i="1"/>
  <c r="C16911" i="1"/>
  <c r="D16911" i="1"/>
  <c r="A16912" i="1"/>
  <c r="B16912" i="1"/>
  <c r="C16912" i="1"/>
  <c r="D16912" i="1"/>
  <c r="A16913" i="1"/>
  <c r="B16913" i="1"/>
  <c r="C16913" i="1"/>
  <c r="D16913" i="1"/>
  <c r="A16914" i="1"/>
  <c r="B16914" i="1"/>
  <c r="C16914" i="1"/>
  <c r="A16915" i="1"/>
  <c r="B16915" i="1"/>
  <c r="C16915" i="1"/>
  <c r="D16915" i="1"/>
  <c r="A16916" i="1"/>
  <c r="B16916" i="1"/>
  <c r="C16916" i="1"/>
  <c r="D16916" i="1"/>
  <c r="A16917" i="1"/>
  <c r="B16917" i="1"/>
  <c r="C16917" i="1"/>
  <c r="D16917" i="1"/>
  <c r="A16918" i="1"/>
  <c r="B16918" i="1"/>
  <c r="C16918" i="1"/>
  <c r="D16918" i="1"/>
  <c r="A16919" i="1"/>
  <c r="B16919" i="1"/>
  <c r="C16919" i="1"/>
  <c r="D16919" i="1"/>
  <c r="A16920" i="1"/>
  <c r="B16920" i="1"/>
  <c r="C16920" i="1"/>
  <c r="D16920" i="1"/>
  <c r="A16921" i="1"/>
  <c r="B16921" i="1"/>
  <c r="C16921" i="1"/>
  <c r="D16921" i="1"/>
  <c r="A16922" i="1"/>
  <c r="B16922" i="1"/>
  <c r="C16922" i="1"/>
  <c r="D16922" i="1"/>
  <c r="A16923" i="1"/>
  <c r="B16923" i="1"/>
  <c r="C16923" i="1"/>
  <c r="D16923" i="1"/>
  <c r="A16924" i="1"/>
  <c r="B16924" i="1"/>
  <c r="C16924" i="1"/>
  <c r="D16924" i="1"/>
  <c r="A16925" i="1"/>
  <c r="B16925" i="1"/>
  <c r="C16925" i="1"/>
  <c r="D16925" i="1"/>
  <c r="A16926" i="1"/>
  <c r="B16926" i="1"/>
  <c r="C16926" i="1"/>
  <c r="D16926" i="1"/>
  <c r="A16927" i="1"/>
  <c r="B16927" i="1"/>
  <c r="C16927" i="1"/>
  <c r="D16927" i="1"/>
  <c r="A16928" i="1"/>
  <c r="B16928" i="1"/>
  <c r="C16928" i="1"/>
  <c r="D16928" i="1"/>
  <c r="A16929" i="1"/>
  <c r="B16929" i="1"/>
  <c r="C16929" i="1"/>
  <c r="D16929" i="1"/>
  <c r="A16930" i="1"/>
  <c r="B16930" i="1"/>
  <c r="C16930" i="1"/>
  <c r="D16930" i="1"/>
  <c r="A16931" i="1"/>
  <c r="B16931" i="1"/>
  <c r="C16931" i="1"/>
  <c r="D16931" i="1"/>
  <c r="A16932" i="1"/>
  <c r="B16932" i="1"/>
  <c r="C16932" i="1"/>
  <c r="D16932" i="1"/>
  <c r="A16933" i="1"/>
  <c r="B16933" i="1"/>
  <c r="C16933" i="1"/>
  <c r="D16933" i="1"/>
  <c r="A16934" i="1"/>
  <c r="B16934" i="1"/>
  <c r="C16934" i="1"/>
  <c r="A16935" i="1"/>
  <c r="B16935" i="1"/>
  <c r="C16935" i="1"/>
  <c r="D16935" i="1"/>
  <c r="A16936" i="1"/>
  <c r="B16936" i="1"/>
  <c r="C16936" i="1"/>
  <c r="D16936" i="1"/>
  <c r="A16937" i="1"/>
  <c r="B16937" i="1"/>
  <c r="C16937" i="1"/>
  <c r="D16937" i="1"/>
  <c r="A16938" i="1"/>
  <c r="B16938" i="1"/>
  <c r="C16938" i="1"/>
  <c r="D16938" i="1"/>
  <c r="A16939" i="1"/>
  <c r="B16939" i="1"/>
  <c r="C16939" i="1"/>
  <c r="D16939" i="1"/>
  <c r="A16940" i="1"/>
  <c r="B16940" i="1"/>
  <c r="C16940" i="1"/>
  <c r="D16940" i="1"/>
  <c r="A16941" i="1"/>
  <c r="B16941" i="1"/>
  <c r="C16941" i="1"/>
  <c r="D16941" i="1"/>
  <c r="A16942" i="1"/>
  <c r="B16942" i="1"/>
  <c r="C16942" i="1"/>
  <c r="D16942" i="1"/>
  <c r="A16943" i="1"/>
  <c r="B16943" i="1"/>
  <c r="C16943" i="1"/>
  <c r="D16943" i="1"/>
  <c r="A16944" i="1"/>
  <c r="B16944" i="1"/>
  <c r="C16944" i="1"/>
  <c r="D16944" i="1"/>
  <c r="A16945" i="1"/>
  <c r="B16945" i="1"/>
  <c r="C16945" i="1"/>
  <c r="D16945" i="1"/>
  <c r="A16946" i="1"/>
  <c r="B16946" i="1"/>
  <c r="C16946" i="1"/>
  <c r="D16946" i="1"/>
  <c r="A16947" i="1"/>
  <c r="B16947" i="1"/>
  <c r="C16947" i="1"/>
  <c r="D16947" i="1"/>
  <c r="A16948" i="1"/>
  <c r="B16948" i="1"/>
  <c r="C16948" i="1"/>
  <c r="D16948" i="1"/>
  <c r="A16949" i="1"/>
  <c r="B16949" i="1"/>
  <c r="C16949" i="1"/>
  <c r="D16949" i="1"/>
  <c r="A16950" i="1"/>
  <c r="B16950" i="1"/>
  <c r="C16950" i="1"/>
  <c r="D16950" i="1"/>
  <c r="A16951" i="1"/>
  <c r="B16951" i="1"/>
  <c r="C16951" i="1"/>
  <c r="D16951" i="1"/>
  <c r="A16952" i="1"/>
  <c r="B16952" i="1"/>
  <c r="C16952" i="1"/>
  <c r="D16952" i="1"/>
  <c r="A16953" i="1"/>
  <c r="B16953" i="1"/>
  <c r="C16953" i="1"/>
  <c r="D16953" i="1"/>
  <c r="A16954" i="1"/>
  <c r="B16954" i="1"/>
  <c r="C16954" i="1"/>
  <c r="D16954" i="1"/>
  <c r="A16955" i="1"/>
  <c r="B16955" i="1"/>
  <c r="C16955" i="1"/>
  <c r="D16955" i="1"/>
  <c r="A16956" i="1"/>
  <c r="B16956" i="1"/>
  <c r="C16956" i="1"/>
  <c r="D16956" i="1"/>
  <c r="A16957" i="1"/>
  <c r="B16957" i="1"/>
  <c r="C16957" i="1"/>
  <c r="D16957" i="1"/>
  <c r="A16958" i="1"/>
  <c r="B16958" i="1"/>
  <c r="C16958" i="1"/>
  <c r="D16958" i="1"/>
  <c r="A16959" i="1"/>
  <c r="B16959" i="1"/>
  <c r="C16959" i="1"/>
  <c r="D16959" i="1"/>
  <c r="A16960" i="1"/>
  <c r="B16960" i="1"/>
  <c r="C16960" i="1"/>
  <c r="D16960" i="1"/>
  <c r="A16961" i="1"/>
  <c r="B16961" i="1"/>
  <c r="C16961" i="1"/>
  <c r="D16961" i="1"/>
  <c r="A16962" i="1"/>
  <c r="B16962" i="1"/>
  <c r="C16962" i="1"/>
  <c r="D16962" i="1"/>
  <c r="A16963" i="1"/>
  <c r="B16963" i="1"/>
  <c r="C16963" i="1"/>
  <c r="D16963" i="1"/>
  <c r="A16964" i="1"/>
  <c r="B16964" i="1"/>
  <c r="C16964" i="1"/>
  <c r="D16964" i="1"/>
  <c r="A16965" i="1"/>
  <c r="B16965" i="1"/>
  <c r="C16965" i="1"/>
  <c r="D16965" i="1"/>
  <c r="A16966" i="1"/>
  <c r="B16966" i="1"/>
  <c r="C16966" i="1"/>
  <c r="D16966" i="1"/>
  <c r="A16967" i="1"/>
  <c r="B16967" i="1"/>
  <c r="C16967" i="1"/>
  <c r="D16967" i="1"/>
  <c r="A16968" i="1"/>
  <c r="B16968" i="1"/>
  <c r="C16968" i="1"/>
  <c r="D16968" i="1"/>
  <c r="A16969" i="1"/>
  <c r="B16969" i="1"/>
  <c r="C16969" i="1"/>
  <c r="D16969" i="1"/>
  <c r="A16970" i="1"/>
  <c r="B16970" i="1"/>
  <c r="C16970" i="1"/>
  <c r="D16970" i="1"/>
  <c r="A16971" i="1"/>
  <c r="B16971" i="1"/>
  <c r="C16971" i="1"/>
  <c r="D16971" i="1"/>
  <c r="A16972" i="1"/>
  <c r="B16972" i="1"/>
  <c r="C16972" i="1"/>
  <c r="D16972" i="1"/>
  <c r="A16973" i="1"/>
  <c r="B16973" i="1"/>
  <c r="C16973" i="1"/>
  <c r="D16973" i="1"/>
  <c r="A16974" i="1"/>
  <c r="B16974" i="1"/>
  <c r="C16974" i="1"/>
  <c r="D16974" i="1"/>
  <c r="A16975" i="1"/>
  <c r="B16975" i="1"/>
  <c r="C16975" i="1"/>
  <c r="D16975" i="1"/>
  <c r="A16976" i="1"/>
  <c r="B16976" i="1"/>
  <c r="C16976" i="1"/>
  <c r="D16976" i="1"/>
  <c r="A16977" i="1"/>
  <c r="B16977" i="1"/>
  <c r="C16977" i="1"/>
  <c r="D16977" i="1"/>
  <c r="A16978" i="1"/>
  <c r="B16978" i="1"/>
  <c r="C16978" i="1"/>
  <c r="D16978" i="1"/>
  <c r="A16979" i="1"/>
  <c r="B16979" i="1"/>
  <c r="C16979" i="1"/>
  <c r="D16979" i="1"/>
  <c r="A16980" i="1"/>
  <c r="B16980" i="1"/>
  <c r="C16980" i="1"/>
  <c r="D16980" i="1"/>
  <c r="A16981" i="1"/>
  <c r="B16981" i="1"/>
  <c r="C16981" i="1"/>
  <c r="D16981" i="1"/>
  <c r="A16982" i="1"/>
  <c r="B16982" i="1"/>
  <c r="C16982" i="1"/>
  <c r="D16982" i="1"/>
  <c r="A16983" i="1"/>
  <c r="B16983" i="1"/>
  <c r="C16983" i="1"/>
  <c r="D16983" i="1"/>
  <c r="A16984" i="1"/>
  <c r="B16984" i="1"/>
  <c r="C16984" i="1"/>
  <c r="D16984" i="1"/>
  <c r="A16985" i="1"/>
  <c r="B16985" i="1"/>
  <c r="C16985" i="1"/>
  <c r="D16985" i="1"/>
  <c r="A16986" i="1"/>
  <c r="B16986" i="1"/>
  <c r="C16986" i="1"/>
  <c r="D16986" i="1"/>
  <c r="A16987" i="1"/>
  <c r="B16987" i="1"/>
  <c r="C16987" i="1"/>
  <c r="D16987" i="1"/>
  <c r="A16988" i="1"/>
  <c r="B16988" i="1"/>
  <c r="C16988" i="1"/>
  <c r="D16988" i="1"/>
  <c r="A16989" i="1"/>
  <c r="B16989" i="1"/>
  <c r="C16989" i="1"/>
  <c r="D16989" i="1"/>
  <c r="A16990" i="1"/>
  <c r="B16990" i="1"/>
  <c r="C16990" i="1"/>
  <c r="D16990" i="1"/>
  <c r="A16991" i="1"/>
  <c r="B16991" i="1"/>
  <c r="C16991" i="1"/>
  <c r="D16991" i="1"/>
  <c r="A16992" i="1"/>
  <c r="B16992" i="1"/>
  <c r="C16992" i="1"/>
  <c r="D16992" i="1"/>
  <c r="A16993" i="1"/>
  <c r="B16993" i="1"/>
  <c r="C16993" i="1"/>
  <c r="D16993" i="1"/>
  <c r="A16994" i="1"/>
  <c r="B16994" i="1"/>
  <c r="C16994" i="1"/>
  <c r="D16994" i="1"/>
  <c r="A16995" i="1"/>
  <c r="B16995" i="1"/>
  <c r="C16995" i="1"/>
  <c r="D16995" i="1"/>
  <c r="A16996" i="1"/>
  <c r="B16996" i="1"/>
  <c r="C16996" i="1"/>
  <c r="D16996" i="1"/>
  <c r="A16997" i="1"/>
  <c r="B16997" i="1"/>
  <c r="C16997" i="1"/>
  <c r="D16997" i="1"/>
  <c r="A16998" i="1"/>
  <c r="B16998" i="1"/>
  <c r="C16998" i="1"/>
  <c r="D16998" i="1"/>
  <c r="A16999" i="1"/>
  <c r="B16999" i="1"/>
  <c r="C16999" i="1"/>
  <c r="D16999" i="1"/>
  <c r="A17000" i="1"/>
  <c r="B17000" i="1"/>
  <c r="C17000" i="1"/>
  <c r="D17000" i="1"/>
  <c r="A17001" i="1"/>
  <c r="B17001" i="1"/>
  <c r="C17001" i="1"/>
  <c r="D17001" i="1"/>
  <c r="A17002" i="1"/>
  <c r="B17002" i="1"/>
  <c r="C17002" i="1"/>
  <c r="D17002" i="1"/>
  <c r="A17003" i="1"/>
  <c r="B17003" i="1"/>
  <c r="C17003" i="1"/>
  <c r="D17003" i="1"/>
  <c r="A17004" i="1"/>
  <c r="B17004" i="1"/>
  <c r="C17004" i="1"/>
  <c r="A17005" i="1"/>
  <c r="B17005" i="1"/>
  <c r="C17005" i="1"/>
  <c r="D17005" i="1"/>
  <c r="A17006" i="1"/>
  <c r="B17006" i="1"/>
  <c r="C17006" i="1"/>
  <c r="D17006" i="1"/>
  <c r="A17007" i="1"/>
  <c r="B17007" i="1"/>
  <c r="C17007" i="1"/>
  <c r="D17007" i="1"/>
  <c r="A17008" i="1"/>
  <c r="B17008" i="1"/>
  <c r="C17008" i="1"/>
  <c r="A17009" i="1"/>
  <c r="B17009" i="1"/>
  <c r="C17009" i="1"/>
  <c r="D17009" i="1"/>
  <c r="A17010" i="1"/>
  <c r="B17010" i="1"/>
  <c r="C17010" i="1"/>
  <c r="D17010" i="1"/>
  <c r="A17011" i="1"/>
  <c r="B17011" i="1"/>
  <c r="C17011" i="1"/>
  <c r="D17011" i="1"/>
  <c r="A17012" i="1"/>
  <c r="B17012" i="1"/>
  <c r="C17012" i="1"/>
  <c r="D17012" i="1"/>
  <c r="A17013" i="1"/>
  <c r="B17013" i="1"/>
  <c r="C17013" i="1"/>
  <c r="D17013" i="1"/>
  <c r="A17014" i="1"/>
  <c r="B17014" i="1"/>
  <c r="C17014" i="1"/>
  <c r="D17014" i="1"/>
  <c r="A17015" i="1"/>
  <c r="B17015" i="1"/>
  <c r="C17015" i="1"/>
  <c r="D17015" i="1"/>
  <c r="A17016" i="1"/>
  <c r="B17016" i="1"/>
  <c r="C17016" i="1"/>
  <c r="D17016" i="1"/>
  <c r="A17017" i="1"/>
  <c r="B17017" i="1"/>
  <c r="C17017" i="1"/>
  <c r="D17017" i="1"/>
  <c r="A17018" i="1"/>
  <c r="B17018" i="1"/>
  <c r="C17018" i="1"/>
  <c r="D17018" i="1"/>
  <c r="A17019" i="1"/>
  <c r="B17019" i="1"/>
  <c r="C17019" i="1"/>
  <c r="D17019" i="1"/>
  <c r="A17020" i="1"/>
  <c r="B17020" i="1"/>
  <c r="C17020" i="1"/>
  <c r="D17020" i="1"/>
  <c r="A17021" i="1"/>
  <c r="B17021" i="1"/>
  <c r="C17021" i="1"/>
  <c r="D17021" i="1"/>
  <c r="A17022" i="1"/>
  <c r="B17022" i="1"/>
  <c r="C17022" i="1"/>
  <c r="D17022" i="1"/>
  <c r="A17023" i="1"/>
  <c r="B17023" i="1"/>
  <c r="C17023" i="1"/>
  <c r="A17024" i="1"/>
  <c r="B17024" i="1"/>
  <c r="C17024" i="1"/>
  <c r="D17024" i="1"/>
  <c r="A17025" i="1"/>
  <c r="B17025" i="1"/>
  <c r="C17025" i="1"/>
  <c r="D17025" i="1"/>
  <c r="A17026" i="1"/>
  <c r="B17026" i="1"/>
  <c r="C17026" i="1"/>
  <c r="D17026" i="1"/>
  <c r="A17027" i="1"/>
  <c r="B17027" i="1"/>
  <c r="C17027" i="1"/>
  <c r="D17027" i="1"/>
  <c r="A17028" i="1"/>
  <c r="B17028" i="1"/>
  <c r="C17028" i="1"/>
  <c r="D17028" i="1"/>
  <c r="A17029" i="1"/>
  <c r="B17029" i="1"/>
  <c r="C17029" i="1"/>
  <c r="D17029" i="1"/>
  <c r="A17030" i="1"/>
  <c r="B17030" i="1"/>
  <c r="C17030" i="1"/>
  <c r="D17030" i="1"/>
  <c r="A17031" i="1"/>
  <c r="B17031" i="1"/>
  <c r="C17031" i="1"/>
  <c r="D17031" i="1"/>
  <c r="A17032" i="1"/>
  <c r="B17032" i="1"/>
  <c r="C17032" i="1"/>
  <c r="D17032" i="1"/>
  <c r="A17033" i="1"/>
  <c r="B17033" i="1"/>
  <c r="C17033" i="1"/>
  <c r="D17033" i="1"/>
  <c r="A17034" i="1"/>
  <c r="B17034" i="1"/>
  <c r="C17034" i="1"/>
  <c r="D17034" i="1"/>
  <c r="A17035" i="1"/>
  <c r="B17035" i="1"/>
  <c r="C17035" i="1"/>
  <c r="D17035" i="1"/>
  <c r="A17036" i="1"/>
  <c r="B17036" i="1"/>
  <c r="C17036" i="1"/>
  <c r="D17036" i="1"/>
  <c r="A17037" i="1"/>
  <c r="B17037" i="1"/>
  <c r="C17037" i="1"/>
  <c r="D17037" i="1"/>
  <c r="A17038" i="1"/>
  <c r="B17038" i="1"/>
  <c r="C17038" i="1"/>
  <c r="D17038" i="1"/>
  <c r="A17039" i="1"/>
  <c r="B17039" i="1"/>
  <c r="C17039" i="1"/>
  <c r="D17039" i="1"/>
  <c r="A17040" i="1"/>
  <c r="B17040" i="1"/>
  <c r="C17040" i="1"/>
  <c r="D17040" i="1"/>
  <c r="A17041" i="1"/>
  <c r="B17041" i="1"/>
  <c r="C17041" i="1"/>
  <c r="D17041" i="1"/>
  <c r="A17042" i="1"/>
  <c r="B17042" i="1"/>
  <c r="C17042" i="1"/>
  <c r="D17042" i="1"/>
  <c r="A17043" i="1"/>
  <c r="B17043" i="1"/>
  <c r="C17043" i="1"/>
  <c r="D17043" i="1"/>
  <c r="A17044" i="1"/>
  <c r="B17044" i="1"/>
  <c r="C17044" i="1"/>
  <c r="D17044" i="1"/>
  <c r="A17045" i="1"/>
  <c r="B17045" i="1"/>
  <c r="C17045" i="1"/>
  <c r="D17045" i="1"/>
  <c r="A17046" i="1"/>
  <c r="B17046" i="1"/>
  <c r="C17046" i="1"/>
  <c r="D17046" i="1"/>
  <c r="A17047" i="1"/>
  <c r="B17047" i="1"/>
  <c r="C17047" i="1"/>
  <c r="D17047" i="1"/>
  <c r="A17048" i="1"/>
  <c r="B17048" i="1"/>
  <c r="C17048" i="1"/>
  <c r="D17048" i="1"/>
  <c r="A17049" i="1"/>
  <c r="B17049" i="1"/>
  <c r="C17049" i="1"/>
  <c r="D17049" i="1"/>
  <c r="A17050" i="1"/>
  <c r="B17050" i="1"/>
  <c r="C17050" i="1"/>
  <c r="D17050" i="1"/>
  <c r="A17051" i="1"/>
  <c r="B17051" i="1"/>
  <c r="C17051" i="1"/>
  <c r="D17051" i="1"/>
  <c r="A17052" i="1"/>
  <c r="B17052" i="1"/>
  <c r="C17052" i="1"/>
  <c r="D17052" i="1"/>
  <c r="A17053" i="1"/>
  <c r="B17053" i="1"/>
  <c r="C17053" i="1"/>
  <c r="D17053" i="1"/>
  <c r="A17054" i="1"/>
  <c r="B17054" i="1"/>
  <c r="C17054" i="1"/>
  <c r="D17054" i="1"/>
  <c r="A17055" i="1"/>
  <c r="B17055" i="1"/>
  <c r="C17055" i="1"/>
  <c r="D17055" i="1"/>
  <c r="A17056" i="1"/>
  <c r="B17056" i="1"/>
  <c r="C17056" i="1"/>
  <c r="D17056" i="1"/>
  <c r="A17057" i="1"/>
  <c r="B17057" i="1"/>
  <c r="C17057" i="1"/>
  <c r="D17057" i="1"/>
  <c r="A17058" i="1"/>
  <c r="B17058" i="1"/>
  <c r="C17058" i="1"/>
  <c r="D17058" i="1"/>
  <c r="A17059" i="1"/>
  <c r="B17059" i="1"/>
  <c r="C17059" i="1"/>
  <c r="D17059" i="1"/>
  <c r="A17060" i="1"/>
  <c r="B17060" i="1"/>
  <c r="C17060" i="1"/>
  <c r="D17060" i="1"/>
  <c r="A17061" i="1"/>
  <c r="B17061" i="1"/>
  <c r="C17061" i="1"/>
  <c r="D17061" i="1"/>
  <c r="A17062" i="1"/>
  <c r="B17062" i="1"/>
  <c r="C17062" i="1"/>
  <c r="D17062" i="1"/>
  <c r="A17063" i="1"/>
  <c r="B17063" i="1"/>
  <c r="C17063" i="1"/>
  <c r="D17063" i="1"/>
  <c r="A17064" i="1"/>
  <c r="B17064" i="1"/>
  <c r="C17064" i="1"/>
  <c r="D17064" i="1"/>
  <c r="A17065" i="1"/>
  <c r="B17065" i="1"/>
  <c r="C17065" i="1"/>
  <c r="D17065" i="1"/>
  <c r="A17066" i="1"/>
  <c r="B17066" i="1"/>
  <c r="C17066" i="1"/>
  <c r="D17066" i="1"/>
  <c r="A17067" i="1"/>
  <c r="B17067" i="1"/>
  <c r="C17067" i="1"/>
  <c r="D17067" i="1"/>
  <c r="A17068" i="1"/>
  <c r="B17068" i="1"/>
  <c r="C17068" i="1"/>
  <c r="D17068" i="1"/>
  <c r="A17069" i="1"/>
  <c r="B17069" i="1"/>
  <c r="C17069" i="1"/>
  <c r="D17069" i="1"/>
  <c r="A17070" i="1"/>
  <c r="B17070" i="1"/>
  <c r="C17070" i="1"/>
  <c r="D17070" i="1"/>
  <c r="A17071" i="1"/>
  <c r="B17071" i="1"/>
  <c r="C17071" i="1"/>
  <c r="D17071" i="1"/>
  <c r="A17072" i="1"/>
  <c r="B17072" i="1"/>
  <c r="C17072" i="1"/>
  <c r="D17072" i="1"/>
  <c r="A17073" i="1"/>
  <c r="B17073" i="1"/>
  <c r="C17073" i="1"/>
  <c r="D17073" i="1"/>
  <c r="A17074" i="1"/>
  <c r="B17074" i="1"/>
  <c r="C17074" i="1"/>
  <c r="D17074" i="1"/>
  <c r="A17075" i="1"/>
  <c r="B17075" i="1"/>
  <c r="C17075" i="1"/>
  <c r="D17075" i="1"/>
  <c r="A17076" i="1"/>
  <c r="B17076" i="1"/>
  <c r="C17076" i="1"/>
  <c r="D17076" i="1"/>
  <c r="A17077" i="1"/>
  <c r="B17077" i="1"/>
  <c r="C17077" i="1"/>
  <c r="A17078" i="1"/>
  <c r="B17078" i="1"/>
  <c r="C17078" i="1"/>
  <c r="D17078" i="1"/>
  <c r="A17079" i="1"/>
  <c r="B17079" i="1"/>
  <c r="C17079" i="1"/>
  <c r="D17079" i="1"/>
  <c r="A17080" i="1"/>
  <c r="B17080" i="1"/>
  <c r="C17080" i="1"/>
  <c r="D17080" i="1"/>
  <c r="A17081" i="1"/>
  <c r="B17081" i="1"/>
  <c r="C17081" i="1"/>
  <c r="A17082" i="1"/>
  <c r="B17082" i="1"/>
  <c r="C17082" i="1"/>
  <c r="D17082" i="1"/>
  <c r="A17083" i="1"/>
  <c r="B17083" i="1"/>
  <c r="C17083" i="1"/>
  <c r="D17083" i="1"/>
  <c r="A17084" i="1"/>
  <c r="B17084" i="1"/>
  <c r="C17084" i="1"/>
  <c r="A17085" i="1"/>
  <c r="B17085" i="1"/>
  <c r="C17085" i="1"/>
  <c r="D17085" i="1"/>
  <c r="A17086" i="1"/>
  <c r="B17086" i="1"/>
  <c r="C17086" i="1"/>
  <c r="D17086" i="1"/>
  <c r="A17087" i="1"/>
  <c r="B17087" i="1"/>
  <c r="C17087" i="1"/>
  <c r="D17087" i="1"/>
  <c r="A17088" i="1"/>
  <c r="B17088" i="1"/>
  <c r="C17088" i="1"/>
  <c r="D17088" i="1"/>
  <c r="A17089" i="1"/>
  <c r="B17089" i="1"/>
  <c r="C17089" i="1"/>
  <c r="D17089" i="1"/>
  <c r="A17090" i="1"/>
  <c r="B17090" i="1"/>
  <c r="C17090" i="1"/>
  <c r="D17090" i="1"/>
  <c r="A17091" i="1"/>
  <c r="B17091" i="1"/>
  <c r="C17091" i="1"/>
  <c r="D17091" i="1"/>
  <c r="A17092" i="1"/>
  <c r="B17092" i="1"/>
  <c r="C17092" i="1"/>
  <c r="D17092" i="1"/>
  <c r="A17093" i="1"/>
  <c r="B17093" i="1"/>
  <c r="C17093" i="1"/>
  <c r="D17093" i="1"/>
  <c r="A17094" i="1"/>
  <c r="B17094" i="1"/>
  <c r="C17094" i="1"/>
  <c r="D17094" i="1"/>
  <c r="A17095" i="1"/>
  <c r="B17095" i="1"/>
  <c r="C17095" i="1"/>
  <c r="D17095" i="1"/>
  <c r="A17096" i="1"/>
  <c r="B17096" i="1"/>
  <c r="C17096" i="1"/>
  <c r="D17096" i="1"/>
  <c r="A17097" i="1"/>
  <c r="B17097" i="1"/>
  <c r="C17097" i="1"/>
  <c r="D17097" i="1"/>
  <c r="A17098" i="1"/>
  <c r="B17098" i="1"/>
  <c r="C17098" i="1"/>
  <c r="A17099" i="1"/>
  <c r="B17099" i="1"/>
  <c r="C17099" i="1"/>
  <c r="D17099" i="1"/>
  <c r="A17100" i="1"/>
  <c r="B17100" i="1"/>
  <c r="C17100" i="1"/>
  <c r="D17100" i="1"/>
  <c r="A17101" i="1"/>
  <c r="B17101" i="1"/>
  <c r="C17101" i="1"/>
  <c r="D17101" i="1"/>
  <c r="A17102" i="1"/>
  <c r="B17102" i="1"/>
  <c r="C17102" i="1"/>
  <c r="D17102" i="1"/>
  <c r="A17103" i="1"/>
  <c r="B17103" i="1"/>
  <c r="C17103" i="1"/>
  <c r="D17103" i="1"/>
  <c r="A17104" i="1"/>
  <c r="B17104" i="1"/>
  <c r="C17104" i="1"/>
  <c r="D17104" i="1"/>
  <c r="A17105" i="1"/>
  <c r="B17105" i="1"/>
  <c r="C17105" i="1"/>
  <c r="D17105" i="1"/>
  <c r="A17106" i="1"/>
  <c r="B17106" i="1"/>
  <c r="C17106" i="1"/>
  <c r="D17106" i="1"/>
  <c r="A17107" i="1"/>
  <c r="B17107" i="1"/>
  <c r="C17107" i="1"/>
  <c r="D17107" i="1"/>
  <c r="A17108" i="1"/>
  <c r="B17108" i="1"/>
  <c r="C17108" i="1"/>
  <c r="D17108" i="1"/>
  <c r="A17109" i="1"/>
  <c r="B17109" i="1"/>
  <c r="C17109" i="1"/>
  <c r="D17109" i="1"/>
  <c r="A17110" i="1"/>
  <c r="B17110" i="1"/>
  <c r="C17110" i="1"/>
  <c r="D17110" i="1"/>
  <c r="A17111" i="1"/>
  <c r="B17111" i="1"/>
  <c r="C17111" i="1"/>
  <c r="D17111" i="1"/>
  <c r="A17112" i="1"/>
  <c r="B17112" i="1"/>
  <c r="C17112" i="1"/>
  <c r="D17112" i="1"/>
  <c r="A17113" i="1"/>
  <c r="B17113" i="1"/>
  <c r="C17113" i="1"/>
  <c r="D17113" i="1"/>
  <c r="A17114" i="1"/>
  <c r="B17114" i="1"/>
  <c r="C17114" i="1"/>
  <c r="D17114" i="1"/>
  <c r="A17115" i="1"/>
  <c r="B17115" i="1"/>
  <c r="C17115" i="1"/>
  <c r="D17115" i="1"/>
  <c r="A17116" i="1"/>
  <c r="B17116" i="1"/>
  <c r="C17116" i="1"/>
  <c r="D17116" i="1"/>
  <c r="A17117" i="1"/>
  <c r="B17117" i="1"/>
  <c r="C17117" i="1"/>
  <c r="D17117" i="1"/>
  <c r="A17118" i="1"/>
  <c r="B17118" i="1"/>
  <c r="C17118" i="1"/>
  <c r="D17118" i="1"/>
  <c r="A17119" i="1"/>
  <c r="B17119" i="1"/>
  <c r="C17119" i="1"/>
  <c r="D17119" i="1"/>
  <c r="A17120" i="1"/>
  <c r="B17120" i="1"/>
  <c r="C17120" i="1"/>
  <c r="D17120" i="1"/>
  <c r="A17121" i="1"/>
  <c r="B17121" i="1"/>
  <c r="C17121" i="1"/>
  <c r="D17121" i="1"/>
  <c r="A17122" i="1"/>
  <c r="B17122" i="1"/>
  <c r="C17122" i="1"/>
  <c r="D17122" i="1"/>
  <c r="A17123" i="1"/>
  <c r="B17123" i="1"/>
  <c r="C17123" i="1"/>
  <c r="D17123" i="1"/>
  <c r="A17124" i="1"/>
  <c r="B17124" i="1"/>
  <c r="C17124" i="1"/>
  <c r="D17124" i="1"/>
  <c r="A17125" i="1"/>
  <c r="B17125" i="1"/>
  <c r="C17125" i="1"/>
  <c r="D17125" i="1"/>
  <c r="A17126" i="1"/>
  <c r="B17126" i="1"/>
  <c r="C17126" i="1"/>
  <c r="D17126" i="1"/>
  <c r="A17127" i="1"/>
  <c r="B17127" i="1"/>
  <c r="C17127" i="1"/>
  <c r="D17127" i="1"/>
  <c r="A17128" i="1"/>
  <c r="B17128" i="1"/>
  <c r="C17128" i="1"/>
  <c r="D17128" i="1"/>
  <c r="A17129" i="1"/>
  <c r="B17129" i="1"/>
  <c r="C17129" i="1"/>
  <c r="A17130" i="1"/>
  <c r="B17130" i="1"/>
  <c r="C17130" i="1"/>
  <c r="D17130" i="1"/>
  <c r="A17131" i="1"/>
  <c r="B17131" i="1"/>
  <c r="C17131" i="1"/>
  <c r="D17131" i="1"/>
  <c r="A17132" i="1"/>
  <c r="B17132" i="1"/>
  <c r="C17132" i="1"/>
  <c r="D17132" i="1"/>
  <c r="A17133" i="1"/>
  <c r="B17133" i="1"/>
  <c r="C17133" i="1"/>
  <c r="D17133" i="1"/>
  <c r="A17134" i="1"/>
  <c r="B17134" i="1"/>
  <c r="C17134" i="1"/>
  <c r="D17134" i="1"/>
  <c r="A17135" i="1"/>
  <c r="B17135" i="1"/>
  <c r="C17135" i="1"/>
  <c r="D17135" i="1"/>
  <c r="A17136" i="1"/>
  <c r="B17136" i="1"/>
  <c r="C17136" i="1"/>
  <c r="D17136" i="1"/>
  <c r="A17137" i="1"/>
  <c r="B17137" i="1"/>
  <c r="C17137" i="1"/>
  <c r="D17137" i="1"/>
  <c r="A17138" i="1"/>
  <c r="B17138" i="1"/>
  <c r="C17138" i="1"/>
  <c r="A17139" i="1"/>
  <c r="B17139" i="1"/>
  <c r="C17139" i="1"/>
  <c r="D17139" i="1"/>
  <c r="A17140" i="1"/>
  <c r="B17140" i="1"/>
  <c r="C17140" i="1"/>
  <c r="D17140" i="1"/>
  <c r="A17141" i="1"/>
  <c r="B17141" i="1"/>
  <c r="C17141" i="1"/>
  <c r="D17141" i="1"/>
  <c r="A17142" i="1"/>
  <c r="B17142" i="1"/>
  <c r="C17142" i="1"/>
  <c r="D17142" i="1"/>
  <c r="A17143" i="1"/>
  <c r="B17143" i="1"/>
  <c r="C17143" i="1"/>
  <c r="D17143" i="1"/>
  <c r="A17144" i="1"/>
  <c r="B17144" i="1"/>
  <c r="C17144" i="1"/>
  <c r="D17144" i="1"/>
  <c r="A17145" i="1"/>
  <c r="B17145" i="1"/>
  <c r="C17145" i="1"/>
  <c r="D17145" i="1"/>
  <c r="A17146" i="1"/>
  <c r="B17146" i="1"/>
  <c r="C17146" i="1"/>
  <c r="D17146" i="1"/>
  <c r="A17147" i="1"/>
  <c r="B17147" i="1"/>
  <c r="C17147" i="1"/>
  <c r="D17147" i="1"/>
  <c r="A17148" i="1"/>
  <c r="B17148" i="1"/>
  <c r="C17148" i="1"/>
  <c r="D17148" i="1"/>
  <c r="A17149" i="1"/>
  <c r="B17149" i="1"/>
  <c r="C17149" i="1"/>
  <c r="D17149" i="1"/>
  <c r="A17150" i="1"/>
  <c r="B17150" i="1"/>
  <c r="C17150" i="1"/>
  <c r="D17150" i="1"/>
  <c r="A17151" i="1"/>
  <c r="B17151" i="1"/>
  <c r="C17151" i="1"/>
  <c r="D17151" i="1"/>
  <c r="A17152" i="1"/>
  <c r="B17152" i="1"/>
  <c r="C17152" i="1"/>
  <c r="D17152" i="1"/>
  <c r="A17153" i="1"/>
  <c r="B17153" i="1"/>
  <c r="C17153" i="1"/>
  <c r="D17153" i="1"/>
  <c r="A17154" i="1"/>
  <c r="B17154" i="1"/>
  <c r="C17154" i="1"/>
  <c r="D17154" i="1"/>
  <c r="A17155" i="1"/>
  <c r="B17155" i="1"/>
  <c r="C17155" i="1"/>
  <c r="D17155" i="1"/>
  <c r="A17156" i="1"/>
  <c r="B17156" i="1"/>
  <c r="C17156" i="1"/>
  <c r="D17156" i="1"/>
  <c r="A17157" i="1"/>
  <c r="B17157" i="1"/>
  <c r="C17157" i="1"/>
  <c r="D17157" i="1"/>
  <c r="A17158" i="1"/>
  <c r="B17158" i="1"/>
  <c r="C17158" i="1"/>
  <c r="D17158" i="1"/>
  <c r="A17159" i="1"/>
  <c r="B17159" i="1"/>
  <c r="C17159" i="1"/>
  <c r="D17159" i="1"/>
  <c r="A17160" i="1"/>
  <c r="B17160" i="1"/>
  <c r="C17160" i="1"/>
  <c r="D17160" i="1"/>
  <c r="A17161" i="1"/>
  <c r="B17161" i="1"/>
  <c r="C17161" i="1"/>
  <c r="A17162" i="1"/>
  <c r="B17162" i="1"/>
  <c r="C17162" i="1"/>
  <c r="D17162" i="1"/>
  <c r="A17163" i="1"/>
  <c r="B17163" i="1"/>
  <c r="C17163" i="1"/>
  <c r="D17163" i="1"/>
  <c r="A17164" i="1"/>
  <c r="B17164" i="1"/>
  <c r="C17164" i="1"/>
  <c r="D17164" i="1"/>
  <c r="A17165" i="1"/>
  <c r="B17165" i="1"/>
  <c r="C17165" i="1"/>
  <c r="D17165" i="1"/>
  <c r="A17166" i="1"/>
  <c r="B17166" i="1"/>
  <c r="C17166" i="1"/>
  <c r="D17166" i="1"/>
  <c r="A17167" i="1"/>
  <c r="B17167" i="1"/>
  <c r="C17167" i="1"/>
  <c r="A17168" i="1"/>
  <c r="B17168" i="1"/>
  <c r="C17168" i="1"/>
  <c r="D17168" i="1"/>
  <c r="A17169" i="1"/>
  <c r="B17169" i="1"/>
  <c r="C17169" i="1"/>
  <c r="D17169" i="1"/>
  <c r="A17170" i="1"/>
  <c r="B17170" i="1"/>
  <c r="C17170" i="1"/>
  <c r="D17170" i="1"/>
  <c r="A17171" i="1"/>
  <c r="B17171" i="1"/>
  <c r="C17171" i="1"/>
  <c r="D17171" i="1"/>
  <c r="A17172" i="1"/>
  <c r="B17172" i="1"/>
  <c r="C17172" i="1"/>
  <c r="D17172" i="1"/>
  <c r="A17173" i="1"/>
  <c r="B17173" i="1"/>
  <c r="C17173" i="1"/>
  <c r="D17173" i="1"/>
  <c r="A17174" i="1"/>
  <c r="B17174" i="1"/>
  <c r="C17174" i="1"/>
  <c r="D17174" i="1"/>
  <c r="A17175" i="1"/>
  <c r="B17175" i="1"/>
  <c r="C17175" i="1"/>
  <c r="D17175" i="1"/>
  <c r="A17176" i="1"/>
  <c r="B17176" i="1"/>
  <c r="C17176" i="1"/>
  <c r="D17176" i="1"/>
  <c r="A17177" i="1"/>
  <c r="B17177" i="1"/>
  <c r="C17177" i="1"/>
  <c r="D17177" i="1"/>
  <c r="A17178" i="1"/>
  <c r="B17178" i="1"/>
  <c r="C17178" i="1"/>
  <c r="D17178" i="1"/>
  <c r="A17179" i="1"/>
  <c r="B17179" i="1"/>
  <c r="C17179" i="1"/>
  <c r="D17179" i="1"/>
  <c r="A17180" i="1"/>
  <c r="B17180" i="1"/>
  <c r="C17180" i="1"/>
  <c r="D17180" i="1"/>
  <c r="A17181" i="1"/>
  <c r="B17181" i="1"/>
  <c r="C17181" i="1"/>
  <c r="D17181" i="1"/>
  <c r="A17182" i="1"/>
  <c r="B17182" i="1"/>
  <c r="C17182" i="1"/>
  <c r="D17182" i="1"/>
  <c r="A17183" i="1"/>
  <c r="B17183" i="1"/>
  <c r="C17183" i="1"/>
  <c r="A17184" i="1"/>
  <c r="B17184" i="1"/>
  <c r="C17184" i="1"/>
  <c r="A17185" i="1"/>
  <c r="B17185" i="1"/>
  <c r="C17185" i="1"/>
  <c r="D17185" i="1"/>
  <c r="A17186" i="1"/>
  <c r="B17186" i="1"/>
  <c r="C17186" i="1"/>
  <c r="D17186" i="1"/>
  <c r="A17187" i="1"/>
  <c r="B17187" i="1"/>
  <c r="C17187" i="1"/>
  <c r="D17187" i="1"/>
  <c r="A17188" i="1"/>
  <c r="B17188" i="1"/>
  <c r="C17188" i="1"/>
  <c r="D17188" i="1"/>
  <c r="A17189" i="1"/>
  <c r="B17189" i="1"/>
  <c r="C17189" i="1"/>
  <c r="D17189" i="1"/>
  <c r="A17190" i="1"/>
  <c r="B17190" i="1"/>
  <c r="C17190" i="1"/>
  <c r="D17190" i="1"/>
  <c r="A17191" i="1"/>
  <c r="B17191" i="1"/>
  <c r="C17191" i="1"/>
  <c r="D17191" i="1"/>
  <c r="A17192" i="1"/>
  <c r="B17192" i="1"/>
  <c r="C17192" i="1"/>
  <c r="D17192" i="1"/>
  <c r="A17193" i="1"/>
  <c r="B17193" i="1"/>
  <c r="C17193" i="1"/>
  <c r="D17193" i="1"/>
  <c r="A17194" i="1"/>
  <c r="B17194" i="1"/>
  <c r="C17194" i="1"/>
  <c r="D17194" i="1"/>
  <c r="A17195" i="1"/>
  <c r="B17195" i="1"/>
  <c r="C17195" i="1"/>
  <c r="D17195" i="1"/>
  <c r="A17196" i="1"/>
  <c r="B17196" i="1"/>
  <c r="C17196" i="1"/>
  <c r="D17196" i="1"/>
  <c r="A17197" i="1"/>
  <c r="B17197" i="1"/>
  <c r="C17197" i="1"/>
  <c r="D17197" i="1"/>
  <c r="A17198" i="1"/>
  <c r="B17198" i="1"/>
  <c r="C17198" i="1"/>
  <c r="D17198" i="1"/>
  <c r="A17199" i="1"/>
  <c r="B17199" i="1"/>
  <c r="C17199" i="1"/>
  <c r="D17199" i="1"/>
  <c r="A17200" i="1"/>
  <c r="B17200" i="1"/>
  <c r="C17200" i="1"/>
  <c r="D17200" i="1"/>
  <c r="A17201" i="1"/>
  <c r="B17201" i="1"/>
  <c r="C17201" i="1"/>
  <c r="D17201" i="1"/>
  <c r="A17202" i="1"/>
  <c r="B17202" i="1"/>
  <c r="C17202" i="1"/>
  <c r="D17202" i="1"/>
  <c r="A17203" i="1"/>
  <c r="B17203" i="1"/>
  <c r="C17203" i="1"/>
  <c r="D17203" i="1"/>
  <c r="A17204" i="1"/>
  <c r="B17204" i="1"/>
  <c r="C17204" i="1"/>
  <c r="D17204" i="1"/>
  <c r="A17205" i="1"/>
  <c r="B17205" i="1"/>
  <c r="C17205" i="1"/>
  <c r="D17205" i="1"/>
  <c r="A17206" i="1"/>
  <c r="B17206" i="1"/>
  <c r="C17206" i="1"/>
  <c r="D17206" i="1"/>
  <c r="A17207" i="1"/>
  <c r="B17207" i="1"/>
  <c r="C17207" i="1"/>
  <c r="D17207" i="1"/>
  <c r="A17208" i="1"/>
  <c r="B17208" i="1"/>
  <c r="C17208" i="1"/>
  <c r="D17208" i="1"/>
  <c r="A17209" i="1"/>
  <c r="B17209" i="1"/>
  <c r="C17209" i="1"/>
  <c r="D17209" i="1"/>
  <c r="A17210" i="1"/>
  <c r="B17210" i="1"/>
  <c r="C17210" i="1"/>
  <c r="D17210" i="1"/>
  <c r="A17211" i="1"/>
  <c r="B17211" i="1"/>
  <c r="C17211" i="1"/>
  <c r="A17212" i="1"/>
  <c r="B17212" i="1"/>
  <c r="C17212" i="1"/>
  <c r="D17212" i="1"/>
  <c r="A17213" i="1"/>
  <c r="B17213" i="1"/>
  <c r="C17213" i="1"/>
  <c r="D17213" i="1"/>
  <c r="A17214" i="1"/>
  <c r="B17214" i="1"/>
  <c r="C17214" i="1"/>
  <c r="D17214" i="1"/>
  <c r="A17215" i="1"/>
  <c r="B17215" i="1"/>
  <c r="C17215" i="1"/>
  <c r="D17215" i="1"/>
  <c r="A17216" i="1"/>
  <c r="B17216" i="1"/>
  <c r="C17216" i="1"/>
  <c r="D17216" i="1"/>
  <c r="A17217" i="1"/>
  <c r="B17217" i="1"/>
  <c r="C17217" i="1"/>
  <c r="D17217" i="1"/>
  <c r="A17218" i="1"/>
  <c r="B17218" i="1"/>
  <c r="C17218" i="1"/>
  <c r="D17218" i="1"/>
  <c r="A17219" i="1"/>
  <c r="B17219" i="1"/>
  <c r="C17219" i="1"/>
  <c r="D17219" i="1"/>
  <c r="A17220" i="1"/>
  <c r="B17220" i="1"/>
  <c r="C17220" i="1"/>
  <c r="D17220" i="1"/>
  <c r="A17221" i="1"/>
  <c r="B17221" i="1"/>
  <c r="C17221" i="1"/>
  <c r="D17221" i="1"/>
  <c r="A17222" i="1"/>
  <c r="B17222" i="1"/>
  <c r="C17222" i="1"/>
  <c r="D17222" i="1"/>
  <c r="A17223" i="1"/>
  <c r="B17223" i="1"/>
  <c r="C17223" i="1"/>
  <c r="D17223" i="1"/>
  <c r="A17224" i="1"/>
  <c r="B17224" i="1"/>
  <c r="C17224" i="1"/>
  <c r="D17224" i="1"/>
  <c r="A17225" i="1"/>
  <c r="B17225" i="1"/>
  <c r="C17225" i="1"/>
  <c r="D17225" i="1"/>
  <c r="A17226" i="1"/>
  <c r="B17226" i="1"/>
  <c r="C17226" i="1"/>
  <c r="D17226" i="1"/>
  <c r="A17227" i="1"/>
  <c r="B17227" i="1"/>
  <c r="C17227" i="1"/>
  <c r="D17227" i="1"/>
  <c r="A17228" i="1"/>
  <c r="B17228" i="1"/>
  <c r="C17228" i="1"/>
  <c r="D17228" i="1"/>
  <c r="A17229" i="1"/>
  <c r="B17229" i="1"/>
  <c r="C17229" i="1"/>
  <c r="D17229" i="1"/>
  <c r="A17230" i="1"/>
  <c r="B17230" i="1"/>
  <c r="C17230" i="1"/>
  <c r="D17230" i="1"/>
  <c r="A17231" i="1"/>
  <c r="B17231" i="1"/>
  <c r="C17231" i="1"/>
  <c r="D17231" i="1"/>
  <c r="A17232" i="1"/>
  <c r="B17232" i="1"/>
  <c r="C17232" i="1"/>
  <c r="D17232" i="1"/>
  <c r="A17233" i="1"/>
  <c r="B17233" i="1"/>
  <c r="C17233" i="1"/>
  <c r="D17233" i="1"/>
  <c r="A17234" i="1"/>
  <c r="B17234" i="1"/>
  <c r="C17234" i="1"/>
  <c r="D17234" i="1"/>
  <c r="A17235" i="1"/>
  <c r="B17235" i="1"/>
  <c r="C17235" i="1"/>
  <c r="D17235" i="1"/>
  <c r="A17236" i="1"/>
  <c r="B17236" i="1"/>
  <c r="C17236" i="1"/>
  <c r="D17236" i="1"/>
  <c r="A17237" i="1"/>
  <c r="B17237" i="1"/>
  <c r="C17237" i="1"/>
  <c r="D17237" i="1"/>
  <c r="A17238" i="1"/>
  <c r="B17238" i="1"/>
  <c r="C17238" i="1"/>
  <c r="D17238" i="1"/>
  <c r="A17239" i="1"/>
  <c r="B17239" i="1"/>
  <c r="C17239" i="1"/>
  <c r="D17239" i="1"/>
  <c r="A17240" i="1"/>
  <c r="B17240" i="1"/>
  <c r="C17240" i="1"/>
  <c r="D17240" i="1"/>
  <c r="A17241" i="1"/>
  <c r="B17241" i="1"/>
  <c r="C17241" i="1"/>
  <c r="D17241" i="1"/>
  <c r="A17242" i="1"/>
  <c r="B17242" i="1"/>
  <c r="C17242" i="1"/>
  <c r="D17242" i="1"/>
  <c r="A17243" i="1"/>
  <c r="B17243" i="1"/>
  <c r="C17243" i="1"/>
  <c r="D17243" i="1"/>
  <c r="A17244" i="1"/>
  <c r="B17244" i="1"/>
  <c r="C17244" i="1"/>
  <c r="D17244" i="1"/>
  <c r="A17245" i="1"/>
  <c r="B17245" i="1"/>
  <c r="C17245" i="1"/>
  <c r="D17245" i="1"/>
  <c r="A17246" i="1"/>
  <c r="B17246" i="1"/>
  <c r="C17246" i="1"/>
  <c r="A17247" i="1"/>
  <c r="B17247" i="1"/>
  <c r="C17247" i="1"/>
  <c r="D17247" i="1"/>
  <c r="A17248" i="1"/>
  <c r="B17248" i="1"/>
  <c r="C17248" i="1"/>
  <c r="D17248" i="1"/>
  <c r="A17249" i="1"/>
  <c r="B17249" i="1"/>
  <c r="C17249" i="1"/>
  <c r="D17249" i="1"/>
  <c r="A17250" i="1"/>
  <c r="B17250" i="1"/>
  <c r="C17250" i="1"/>
  <c r="D17250" i="1"/>
  <c r="A17251" i="1"/>
  <c r="B17251" i="1"/>
  <c r="C17251" i="1"/>
  <c r="D17251" i="1"/>
  <c r="A17252" i="1"/>
  <c r="B17252" i="1"/>
  <c r="C17252" i="1"/>
  <c r="D17252" i="1"/>
  <c r="A17253" i="1"/>
  <c r="B17253" i="1"/>
  <c r="C17253" i="1"/>
  <c r="D17253" i="1"/>
</calcChain>
</file>

<file path=xl/sharedStrings.xml><?xml version="1.0" encoding="utf-8"?>
<sst xmlns="http://schemas.openxmlformats.org/spreadsheetml/2006/main" count="568" uniqueCount="565">
  <si>
    <t>Document_ID</t>
  </si>
  <si>
    <t>Sentiment_Score</t>
  </si>
  <si>
    <t>Sentence_Count</t>
  </si>
  <si>
    <t>album</t>
  </si>
  <si>
    <t>Live from Austin, TX: Austin City Limits</t>
  </si>
  <si>
    <t>Orphans: Brawlers, Bawlers &amp; Bastards</t>
  </si>
  <si>
    <t>The Complete Motown Singles, Vol. 5: 1965</t>
  </si>
  <si>
    <t>Rebels, Rogues &amp; Sworn Brothers</t>
  </si>
  <si>
    <t>Personality: One Was a Spider, One Was a Bird</t>
  </si>
  <si>
    <t>Over the Mountain, Across the Valley, and Back to the Stars</t>
  </si>
  <si>
    <t>It's a Bright, Guilty World</t>
  </si>
  <si>
    <t>The Body, The Blood, The Machine</t>
  </si>
  <si>
    <t>En Garde, Society!</t>
  </si>
  <si>
    <t>Laugh Now, Cry Later</t>
  </si>
  <si>
    <t>Alright, Still</t>
  </si>
  <si>
    <t>1,000 Years of Popular Music</t>
  </si>
  <si>
    <t>Verses of Comfort, Assurance &amp; Salvation</t>
  </si>
  <si>
    <t>White Bread, Black Beer</t>
  </si>
  <si>
    <t>Blood, Sweat &amp; Towers</t>
  </si>
  <si>
    <t>Big Star, Small World</t>
  </si>
  <si>
    <t>Imaginational Anthem, Vol. 2</t>
  </si>
  <si>
    <t>The Exchange Session, Vol. 2</t>
  </si>
  <si>
    <t>The Tommy Boy Story, Vol. 1</t>
  </si>
  <si>
    <t>Moo, You Bloody Choir</t>
  </si>
  <si>
    <t>Get Physical, Vol. II</t>
  </si>
  <si>
    <t>The Complete Motown Singles, Vol. 4: 1964</t>
  </si>
  <si>
    <t>Under the Covers, Vol. 1</t>
  </si>
  <si>
    <t>10,000 Days</t>
  </si>
  <si>
    <t>The Capitol Albums, Vol. 2</t>
  </si>
  <si>
    <t>Yes, Virginia</t>
  </si>
  <si>
    <t>First Thought, Best Thought</t>
  </si>
  <si>
    <t>We, the Vehicles</t>
  </si>
  <si>
    <t>Soul Jamaica Shake, Vol. 1</t>
  </si>
  <si>
    <t>Lullabies to Violaine: Singles and Extended Plays 1982-1996, Vol. 1</t>
  </si>
  <si>
    <t>The Exchange Session, Vol. 1</t>
  </si>
  <si>
    <t>Too Old, Too Cold EP</t>
  </si>
  <si>
    <t>Whatever People Say I Am, That's What I'm Not</t>
  </si>
  <si>
    <t>Sun, Sun, Sun</t>
  </si>
  <si>
    <t>The Complete Motown Singles, Vol. 3: 1963</t>
  </si>
  <si>
    <t>Okie Dokie, It's the Orb on Kompakt</t>
  </si>
  <si>
    <t>Home Grown! The Beginners Guide to Understanding the Roots, Vols. 1 &amp; 2</t>
  </si>
  <si>
    <t>Hello, Dear Wind</t>
  </si>
  <si>
    <t>How Strange, Innocence</t>
  </si>
  <si>
    <t>We Got It 4 Cheap, Vol. 1</t>
  </si>
  <si>
    <t>Thunder, Lightning, Strike [U.S.]</t>
  </si>
  <si>
    <t>Shinola, Vol. 1</t>
  </si>
  <si>
    <t>Bestial Machinery, Vol. 1</t>
  </si>
  <si>
    <t>More Than Music, Vol. 1</t>
  </si>
  <si>
    <t>Memory Column: Early Works &amp; Rarities, MCMXCVI-MMIV</t>
  </si>
  <si>
    <t>Body Language, Vol. 1</t>
  </si>
  <si>
    <t>The Complete Motown Singles, Vol. 2: 1962</t>
  </si>
  <si>
    <t>Day Late, Dollar Short</t>
  </si>
  <si>
    <t>I Thought I Was Over That: Rare, Remixed, and B-Sides</t>
  </si>
  <si>
    <t>The Complete Peel Sessions, 1978-2004</t>
  </si>
  <si>
    <t>Mugimama, Is This Monkey Music?</t>
  </si>
  <si>
    <t>Hazel Eyes, I Will Lead You</t>
  </si>
  <si>
    <t>World Psychedelic Classics 3: Love's a Real Thing; the Funky, Fuzzy Sounds of West Africa</t>
  </si>
  <si>
    <t>Aim High, Vol. 2</t>
  </si>
  <si>
    <t>Lonely People of the World, Unite!</t>
  </si>
  <si>
    <t>The Complete Motown Singles, Vol. 1: 59-61</t>
  </si>
  <si>
    <t>Mind Fusion, Vol. 1 &amp; 2</t>
  </si>
  <si>
    <t>Sincerely, Black Lipstick</t>
  </si>
  <si>
    <t>Government Commissions: BBC Sessions, 1996-2003</t>
  </si>
  <si>
    <t>Alone, Not Alone</t>
  </si>
  <si>
    <t>Fast Cars, Danger, Fire and Knives EP</t>
  </si>
  <si>
    <t>T5 Soul Sessions, Volume 2</t>
  </si>
  <si>
    <t>You Sound, Reflect</t>
  </si>
  <si>
    <t>Mutant Disco, Vol. 3: Garage Sale</t>
  </si>
  <si>
    <t>I'm Wide Awake, It's Morning</t>
  </si>
  <si>
    <t>Travel Edition, 1990-2004</t>
  </si>
  <si>
    <t>Tiger, My Friend</t>
  </si>
  <si>
    <t>Working for the Man: The Best of the Island Years, 1992-99</t>
  </si>
  <si>
    <t>The Capitol Albums, Vol. 1</t>
  </si>
  <si>
    <t>Walking Cloud, Deep Red Sky, Flag Fluttered and the Sun Shined</t>
  </si>
  <si>
    <t>Piracy Funds Terrorism, Vol. 1</t>
  </si>
  <si>
    <t>Shotgun Wedding Vol. 3: Oh, So Now You Fuckers Wanna Dance?</t>
  </si>
  <si>
    <t>You're a Woman, I'm a Machine</t>
  </si>
  <si>
    <t>Couture, Couture, Couture</t>
  </si>
  <si>
    <t>Thunder, Lightning, Strike</t>
  </si>
  <si>
    <t>Crooked Rain, Crooked Rain: LA's Desert Origins</t>
  </si>
  <si>
    <t>Birds, Beasts &amp; Flowers EP</t>
  </si>
  <si>
    <t>More, More, More</t>
  </si>
  <si>
    <t>Discovered, Covered: The Late, Great Daniel Johnston</t>
  </si>
  <si>
    <t>Flesh of My Skin, Blood of My Blood</t>
  </si>
  <si>
    <t>A Manual Dexterity: Soundtrack, Vol. 1</t>
  </si>
  <si>
    <t>Joan of Arc, Dick Cheney, Mark Twain...</t>
  </si>
  <si>
    <t>Fugazi Live Series, Vol. 1: September 3rd, 1987</t>
  </si>
  <si>
    <t>Always Outnumbered, Never Outgunned</t>
  </si>
  <si>
    <t>Chilltown, New York</t>
  </si>
  <si>
    <t>The Venezuelan Zinga Son, Vol. 1</t>
  </si>
  <si>
    <t>Step into My Office, Baby EP</t>
  </si>
  <si>
    <t>50,000 Fall Fans Can't Be Wrong</t>
  </si>
  <si>
    <t>Oh, My Girl</t>
  </si>
  <si>
    <t>The Orchestra, Sadly, Has Refused</t>
  </si>
  <si>
    <t>20,000 Streets Under the Sky</t>
  </si>
  <si>
    <t>The Captain Is Dead, Let the Drum Corpse Dance</t>
  </si>
  <si>
    <t>Value Series, Vol. 1: Fool's Gold</t>
  </si>
  <si>
    <t>Stone, Steel and Bright Lights</t>
  </si>
  <si>
    <t>Defixiones, Will and Testament</t>
  </si>
  <si>
    <t>Derbe Respect, Alder</t>
  </si>
  <si>
    <t>Kill Bill, Vol. 2</t>
  </si>
  <si>
    <t>I, Lucifer</t>
  </si>
  <si>
    <t>Gooom Tracks, Vol. 2</t>
  </si>
  <si>
    <t>The Bootleg Series, Vol. 6: Live 1964: Concert at Philharmonic Hall</t>
  </si>
  <si>
    <t>If You Can't Beat 'Em, Bite 'Em</t>
  </si>
  <si>
    <t>Greatest Hits, Vol. 3</t>
  </si>
  <si>
    <t>Something Borrowed, Something Blue</t>
  </si>
  <si>
    <t>Goodbye, Babylon</t>
  </si>
  <si>
    <t>Desperate Youth, Blood Thirsty Babes</t>
  </si>
  <si>
    <t>Oh Honey, We're Ridiculous EP</t>
  </si>
  <si>
    <t>Live at Konzerthaus, Vienna 06_12_03</t>
  </si>
  <si>
    <t>Volcano, I'm Still Excited!!</t>
  </si>
  <si>
    <t>Wine, Women and Wolves</t>
  </si>
  <si>
    <t>I Don't Know Who I Am: Let the War Against Music Begin, Vol. 2</t>
  </si>
  <si>
    <t>Spire: Organ Works Past, Present &amp; Future</t>
  </si>
  <si>
    <t>Now, More Than Ever</t>
  </si>
  <si>
    <t>Love Is Hell, Pts. 1 &amp; 2</t>
  </si>
  <si>
    <t>Hey You, Yes You</t>
  </si>
  <si>
    <t>Rise, Rise, Rise</t>
  </si>
  <si>
    <t>Hardcore UFO's: Revelations, Epiphanies and Fast Food in the Western Hemisphere</t>
  </si>
  <si>
    <t>Lovers, Lead the Way!</t>
  </si>
  <si>
    <t>8,000,000 Stories</t>
  </si>
  <si>
    <t>Doctor, Lawyer, Indian Chief</t>
  </si>
  <si>
    <t>Broken Spirit, I Will Mend Your Wings</t>
  </si>
  <si>
    <t>Kill Bill, Vol. 1</t>
  </si>
  <si>
    <t>Ancient &amp; Modern: Cassette Memories, Vol. 1</t>
  </si>
  <si>
    <t>Tell Balgeary, Balgury is Dead EP</t>
  </si>
  <si>
    <t>Brothers, Sisters</t>
  </si>
  <si>
    <t>Old World Underground, Where Are You Now</t>
  </si>
  <si>
    <t>This is Our Punk Rock, Thee Rusted Satellites Gather + Sing</t>
  </si>
  <si>
    <t>Revolutionary, Vol. 2</t>
  </si>
  <si>
    <t>The Departing of a Dream, Vol. II</t>
  </si>
  <si>
    <t>X-Factor, Vol. 1</t>
  </si>
  <si>
    <t>Take Them On, On Your Own</t>
  </si>
  <si>
    <t>Songs of Pain: The Early Recordings, Vol. 1</t>
  </si>
  <si>
    <t>A Picturesque View, Ignored</t>
  </si>
  <si>
    <t>Retrospective, Rarities and Instrumentals</t>
  </si>
  <si>
    <t>Player, Player</t>
  </si>
  <si>
    <t>Of Things Too Sorrowful to be Reminded of, and Things Too Beautiful to Possess</t>
  </si>
  <si>
    <t>Ghana Soundz: AfroBeat, Funk &amp; Fusion in 70s Ghana</t>
  </si>
  <si>
    <t>Flying Saucer Tour, Vol. 1</t>
  </si>
  <si>
    <t>Miami Sound: Rare Funk and Soul from Miami, Florida: 1967-1974</t>
  </si>
  <si>
    <t>Ikebana: Merzbow's 'Amlux' Rebuilt, Reused and Recycled</t>
  </si>
  <si>
    <t>GoGoGo Airheart / Love My Life, Hate My Friends</t>
  </si>
  <si>
    <t>Rock, Rot &amp; Rule</t>
  </si>
  <si>
    <t>Dead Cities, Red Seas &amp; Lost Ghosts</t>
  </si>
  <si>
    <t>If He Is Protecting Our Nation, Then Who Will Protect Big Oil, Our Children?</t>
  </si>
  <si>
    <t>'No Depression', 'Still Feel Gone' and 'March 16-20, 1992'</t>
  </si>
  <si>
    <t>Fandam Plus: Instrumentals, Remixes, Lyrics &amp; Video</t>
  </si>
  <si>
    <t>Bitter, Bitter Weeks</t>
  </si>
  <si>
    <t>Cats of the Wild, Vol. 2</t>
  </si>
  <si>
    <t>'Up for the Down Stroke', 'Chocolate City' and 'Mothership Connection'</t>
  </si>
  <si>
    <t>Tall, Dark and Handcuffed</t>
  </si>
  <si>
    <t>The Networks, The Circuits, The Streams, The Harmonies</t>
  </si>
  <si>
    <t>When You Land Here, It's Time to Return</t>
  </si>
  <si>
    <t>Atheists, Reconsider</t>
  </si>
  <si>
    <t>Love, Love, Love</t>
  </si>
  <si>
    <t>Melody, Melody, Melody and More Melody</t>
  </si>
  <si>
    <t>Lost Planets, Phantom Voices</t>
  </si>
  <si>
    <t>Mary, Star of the Sea</t>
  </si>
  <si>
    <t>Fuzzy Warbles, Vol. 1 &amp; 2</t>
  </si>
  <si>
    <t>Shut Up, You Fucking Baby</t>
  </si>
  <si>
    <t>A Bottle, A Dog, Some Milk, A Bottle</t>
  </si>
  <si>
    <t>Parts 1, 2 &amp; 3</t>
  </si>
  <si>
    <t>'Protein Source of the Future... Now!', 'Bitter Melon Farm' and 'Ghana'</t>
  </si>
  <si>
    <t>Trinity: Past, Present and Future</t>
  </si>
  <si>
    <t>Stevie, Vol. 1</t>
  </si>
  <si>
    <t>As Heard on Radio Soulwax, Pt. 2</t>
  </si>
  <si>
    <t>G2, 44+/ x2</t>
  </si>
  <si>
    <t>Lifted, or, The Story Is in the Soil, Keep Your Ear to the Ground</t>
  </si>
  <si>
    <t>More Specific, Less Pacific</t>
  </si>
  <si>
    <t>Nortec Collective: Tijuana Sessions, Vol. 1</t>
  </si>
  <si>
    <t>Orange Twin Field Works, Vol. 1</t>
  </si>
  <si>
    <t>Provisions, Fiction and Gear</t>
  </si>
  <si>
    <t>Haunt Me, Haunt Me, Do It Again</t>
  </si>
  <si>
    <t>Oops, I Did It Again</t>
  </si>
  <si>
    <t>The Amos House Collection, Vol. 2</t>
  </si>
  <si>
    <t>BYO Split Series, Vol. III</t>
  </si>
  <si>
    <t>And Other Smaller, Brighter Worlds</t>
  </si>
  <si>
    <t>Bravery, Repetition and Noise</t>
  </si>
  <si>
    <t>What Cannot Be, But Is</t>
  </si>
  <si>
    <t>A New Morning, Changing Weather</t>
  </si>
  <si>
    <t>Open, Coma</t>
  </si>
  <si>
    <t>Gunpowder, Treason and Plot</t>
  </si>
  <si>
    <t>This World, Then the Fireworks</t>
  </si>
  <si>
    <t>Past Imperfect, Present Tense</t>
  </si>
  <si>
    <t>Over the Edge, Vol. 4: Dick Vaughn's Moribund Music of the 70s</t>
  </si>
  <si>
    <t>Master Sessions, Vol. 2</t>
  </si>
  <si>
    <t>I Can Climb a Tree, I Can Tie a Knot, I Can Have a Conversation</t>
  </si>
  <si>
    <t>I'm Happy, and I'm Singing, and a 1, 2, 3, 4</t>
  </si>
  <si>
    <t>Hands in the Estuary, Torso in the Lake</t>
  </si>
  <si>
    <t>Tiny Waves, Mighty Sea</t>
  </si>
  <si>
    <t>Tramps, Traitors and Little Devils</t>
  </si>
  <si>
    <t>Texture, Structure and the Condition of Moods</t>
  </si>
  <si>
    <t>We Are Amateurs, You and I</t>
  </si>
  <si>
    <t>Those Who Tell the Truth Shall Die, Those Who Tell the Truth Shall Live Forever</t>
  </si>
  <si>
    <t>Everything Was Beautiful, and Nothing Hurt</t>
  </si>
  <si>
    <t>Up, Up, Down, Down, Left, Right, Left, Right, B, A, Select, Start</t>
  </si>
  <si>
    <t>Solid Steel Presents: Now, Listen!</t>
  </si>
  <si>
    <t>Drugs, Sex and Discotheques</t>
  </si>
  <si>
    <t>Whatever, Mortal</t>
  </si>
  <si>
    <t>Bootleg Series, Vol. 1: The Quine Tapes</t>
  </si>
  <si>
    <t>10,000 Light Years</t>
  </si>
  <si>
    <t>Paris '99: Anthony, Are You Around?</t>
  </si>
  <si>
    <t>Y'all Get Scared Now, Ya Hear!</t>
  </si>
  <si>
    <t>Tonight, the Lower Abdominals EP</t>
  </si>
  <si>
    <t>The Funky Precedent, Vol. 2</t>
  </si>
  <si>
    <t>Live at the Fillmore East (March 7, 1970): It's About That Time</t>
  </si>
  <si>
    <t>Kristian, Shalabi, St. Onge</t>
  </si>
  <si>
    <t>Rebore, Vol. 0: Vision Recreation</t>
  </si>
  <si>
    <t>The Man Felt an Iron Hand Grab Him by the Hair, at the Nape.  Not One Hand, a Hundred Hands Seized Him, Each by the Hair, and Tore Him Head to Foot, the Way You Tear Up a Sheet of Paper, into Hundreds of Little Pieces</t>
  </si>
  <si>
    <t>Madness, Love and Mysticism</t>
  </si>
  <si>
    <t>Tigerbeat6, Inc.</t>
  </si>
  <si>
    <t>The Glow, Pt. 2</t>
  </si>
  <si>
    <t>Oh, Inverted World</t>
  </si>
  <si>
    <t>A Flat Inside a Fog, The Cat That Was a Dog</t>
  </si>
  <si>
    <t>10,000 Hz Legend</t>
  </si>
  <si>
    <t>Fetch the Compass, Kids</t>
  </si>
  <si>
    <t>Very Soon, and in Pleasant Company</t>
  </si>
  <si>
    <t>Model 3, Step 2</t>
  </si>
  <si>
    <t>Stories From the City, Stories From the Sea</t>
  </si>
  <si>
    <t>Designer Music: The Remixes, Vol. 1</t>
  </si>
  <si>
    <t>Everything, Everything</t>
  </si>
  <si>
    <t>It Was Hot, We Stayed in the Water</t>
  </si>
  <si>
    <t>De Mel, De Melão EP</t>
  </si>
  <si>
    <t>Spirit They're Gone, Spirit They've Vanished</t>
  </si>
  <si>
    <t>Mermaid Avenue, Vol. II</t>
  </si>
  <si>
    <t>...Is Dead, Long Live...</t>
  </si>
  <si>
    <t>Fold Your Hands Child, You Walk Like a Peasant</t>
  </si>
  <si>
    <t>Essential Selection, Vol. 1</t>
  </si>
  <si>
    <t>Animals, Suns and Atoms</t>
  </si>
  <si>
    <t>Inside the Dream Syndicate, Volume I: Day of Niagara (1965)</t>
  </si>
  <si>
    <t>Folk Songs for Trains, Trees and Honey</t>
  </si>
  <si>
    <t>Whatever You Love, You Are</t>
  </si>
  <si>
    <t>Movie Music, Volumes One and Two</t>
  </si>
  <si>
    <t>Flutes, Echoes, It's All Happening!</t>
  </si>
  <si>
    <t>Music of Morocco: Recorded by Paul Bowles, 1959</t>
  </si>
  <si>
    <t>Volume, Contrast, Brilliance... Unreleased &amp; Rare Vol. 2</t>
  </si>
  <si>
    <t>Barbara Barbara, we face a shining future</t>
  </si>
  <si>
    <t>I like it when you sleep, for you are so beautiful yet so unaware of it</t>
  </si>
  <si>
    <t>Listen to Formation, Look for the Signs</t>
  </si>
  <si>
    <t>A Folk Set Apart: Rarities, B-Sides &amp; Space Junk, ETC.</t>
  </si>
  <si>
    <t>And After That, We Didn’t Talk</t>
  </si>
  <si>
    <t>Ork Records: New York, New York</t>
  </si>
  <si>
    <t>Dimming Awe, the Light Is Raw</t>
  </si>
  <si>
    <t>Yours, Dreamily</t>
  </si>
  <si>
    <t>Imani, Vol. 1</t>
  </si>
  <si>
    <t>Grown Up, Fucked Up</t>
  </si>
  <si>
    <t>The Secret History, Vol. 1</t>
  </si>
  <si>
    <t>Raw, Vol. 1</t>
  </si>
  <si>
    <t>Woodstock Sessions, Vol. 4</t>
  </si>
  <si>
    <t>Rastafari: The Dreads Enter Babylon, 1955-83</t>
  </si>
  <si>
    <t>Greatest Hits, Vol. 1</t>
  </si>
  <si>
    <t>Fingers, Bank Pads &amp; Shoe Prints</t>
  </si>
  <si>
    <t>One Earth, One People, One Love: Kronos Plays Terry Riley</t>
  </si>
  <si>
    <t>How Far Will You Go?: The S&amp;M Recordings, 1973-81</t>
  </si>
  <si>
    <t>Joy, Departed</t>
  </si>
  <si>
    <t>Dylan, Cash, and the Nashville Cats: A New Music City</t>
  </si>
  <si>
    <t>Apocalypse, girl</t>
  </si>
  <si>
    <t>How Big, How Blue, How Beautiful</t>
  </si>
  <si>
    <t>Oh Man, Cover the Ground</t>
  </si>
  <si>
    <t>Recollected Ambient Works, Vol. 1: Bored of Excitement</t>
  </si>
  <si>
    <t>Sherwood at the Controls, Vol. 1: 1979-1984</t>
  </si>
  <si>
    <t>Batu Malablab: Suite for Prepared Piano, Flute and Electronics</t>
  </si>
  <si>
    <t>Next Stop Soweto Vol. 4: Zulu Rock, Afro-Disco &amp; Mbaqanga 1975-1985</t>
  </si>
  <si>
    <t>Asunder, Sweet and Other Distress</t>
  </si>
  <si>
    <t>The Past, the Present, the Future</t>
  </si>
  <si>
    <t>I Don't Like Shit, I Don't Go Outside</t>
  </si>
  <si>
    <t>Sometimes I Sit and Think, and Sometimes I Just Sit</t>
  </si>
  <si>
    <t>Melbourne, Florida</t>
  </si>
  <si>
    <t>Whatever, My Love</t>
  </si>
  <si>
    <t>I Love You, Honeybear</t>
  </si>
  <si>
    <t>You, Whom I Have Always Hated</t>
  </si>
  <si>
    <t>G Stands for Go-Betweens: Volume 1, 1978-1984</t>
  </si>
  <si>
    <t>What a Terrible World, What a Beautiful World</t>
  </si>
  <si>
    <t>The Rise &amp; Fall of Paramount Records, Volume Two (1928-1932)</t>
  </si>
  <si>
    <t>When I Reach That Heavenly Shore: Unearthly Black Gospel, 1926-1936</t>
  </si>
  <si>
    <t>Native North America (Vol. 1): Aboriginal Folk, Rock, and Country 1966–1985</t>
  </si>
  <si>
    <t>Money Sucks, Friends Rule</t>
  </si>
  <si>
    <t>Live: Uurop VIII-XII Places In Sun &amp; Winter, Son</t>
  </si>
  <si>
    <t>Punish, Honey</t>
  </si>
  <si>
    <t>I'm Not Bossy, I'm the Boss</t>
  </si>
  <si>
    <t>Musik, die Schwer zu Twerk</t>
  </si>
  <si>
    <t>Wheedle's Groove: Seattle Funk, Soul &amp; Modern Boogie: Volume II 1972-1987</t>
  </si>
  <si>
    <t>Oh, Common Life</t>
  </si>
  <si>
    <t>Home, Like NoPlace Is There</t>
  </si>
  <si>
    <t>Someday, the Moon Will Be Gold</t>
  </si>
  <si>
    <t>So Long, See You Tomorrow</t>
  </si>
  <si>
    <t>High Land, Hard Rain</t>
  </si>
  <si>
    <t>The Block Brochure: Welcome To the Soil, Pt. 4, 5, &amp; 6</t>
  </si>
  <si>
    <t>The Rise &amp; Fall of Paramount Records, Volume One (1917-1932)</t>
  </si>
  <si>
    <t>As Iron Sharpens Iron, One Verse Sharpens Another</t>
  </si>
  <si>
    <t>NYC, Hell 3:00 AM</t>
  </si>
  <si>
    <t>Night Time, My Time</t>
  </si>
  <si>
    <t>No Poison, No Paradise</t>
  </si>
  <si>
    <t>Christs, Redeemers</t>
  </si>
  <si>
    <t>The Worse Things Get, the Harder I Fight...</t>
  </si>
  <si>
    <t>Bootleg Series, Vol. 10: Another Self Portrait (1969-1971)</t>
  </si>
  <si>
    <t>Right Thoughts, Right Words, Right Action</t>
  </si>
  <si>
    <t>Whenever, If Ever</t>
  </si>
  <si>
    <t>Retrospection (Part 1, 2 &amp; 3)</t>
  </si>
  <si>
    <t>Mirror to the Soul: Music, Culture, and Identity in the Caribbean 1920-72</t>
  </si>
  <si>
    <t>The Remixes, Vol. 1</t>
  </si>
  <si>
    <t>High, Low and in Between</t>
  </si>
  <si>
    <t>Master, We Perish</t>
  </si>
  <si>
    <t>Cloud Room, Glass Room</t>
  </si>
  <si>
    <t>Young, Gifted &amp; Yellow</t>
  </si>
  <si>
    <t>Until In Excess, Imperceptible UFO</t>
  </si>
  <si>
    <t>Selected Studies, Vol. 1</t>
  </si>
  <si>
    <t>The Bootleg Series, Volume 2: Live in Europe 1969</t>
  </si>
  <si>
    <t>The Choir, the Army</t>
  </si>
  <si>
    <t>Academy Songs, Volume I</t>
  </si>
  <si>
    <t>From the Vaults, Vol. 1</t>
  </si>
  <si>
    <t>Work Hard, Play Hard, Pray Hard: Hard Time, Good Time &amp; End Time Music, 1923-1936</t>
  </si>
  <si>
    <t>good kid, m.A.A.d city</t>
  </si>
  <si>
    <t>Mumps, etc.</t>
  </si>
  <si>
    <t>Total Breakdown: Hidden Transmissions From The MPC Era, 1992-1996</t>
  </si>
  <si>
    <t>God Forgives, I Don't</t>
  </si>
  <si>
    <t>Lost Lost: Demos, Sounds, Alternate Takes &amp; Unused Songs 1999-2004</t>
  </si>
  <si>
    <t>Triple F Life: Friends, Fans &amp; Family</t>
  </si>
  <si>
    <t>All of Us, Together</t>
  </si>
  <si>
    <t>Sex, Drugs &amp; Video Games</t>
  </si>
  <si>
    <t>The LHI Years: Nudes, Singles &amp; Backsides (1968-1971)</t>
  </si>
  <si>
    <t>World, You Need a Change of Mind</t>
  </si>
  <si>
    <t>Art Dealer Chic, Vols. 1-3</t>
  </si>
  <si>
    <t>Love Is the Plan, the Plan Is Death</t>
  </si>
  <si>
    <t>The Block Brochure: Welcome to the Soil 1, 2, &amp; 3</t>
  </si>
  <si>
    <t>Consignment: Favor For a Favor, the Redi-Rock Mixtape</t>
  </si>
  <si>
    <t>Harmony, Melody and Style: Lovers Rock and Rare Groove in the UK</t>
  </si>
  <si>
    <t>I Love You, It's Cool</t>
  </si>
  <si>
    <t>LateNightTales, Vol. 2</t>
  </si>
  <si>
    <t>Listen, Whitey! The Sounds of Black Power 1967-1974</t>
  </si>
  <si>
    <t>Beard, Wives, Denim</t>
  </si>
  <si>
    <t>Dreams Say, View, Create, Shadow Leads</t>
  </si>
  <si>
    <t>Angels of Darkness, Demons of Light II</t>
  </si>
  <si>
    <t>The Oram Tapes, Vol. 1</t>
  </si>
  <si>
    <t>Out of Sight, Out of Town</t>
  </si>
  <si>
    <t>The Black Session: Paris, 10 May 2011</t>
  </si>
  <si>
    <t>Sparrowmania: Wit, Wisdom and Soul From the King of Calypso 1962-1974</t>
  </si>
  <si>
    <t>yMusic, Beautiful Mechanical</t>
  </si>
  <si>
    <t>Boddie Recording Company: Cleveland, Ohio</t>
  </si>
  <si>
    <t>Chinoiseries, Pt. 2</t>
  </si>
  <si>
    <t>Part Lies, Part Heart, Part Truth, Part Garbage: 1982-2011</t>
  </si>
  <si>
    <t>True Traitor, True Whore</t>
  </si>
  <si>
    <t>Singles, Live, Unreleased</t>
  </si>
  <si>
    <t>Audio, Video, Disco</t>
  </si>
  <si>
    <t>Hurry Up, We're Dreaming</t>
  </si>
  <si>
    <t>The Less You Know, The Better</t>
  </si>
  <si>
    <t>The Bootleg Series, Volume 1: Live in Europe 1967</t>
  </si>
  <si>
    <t>Arrangements, Vol. 1</t>
  </si>
  <si>
    <t>It Can Be Done, But Only I Can Do It</t>
  </si>
  <si>
    <t>Father, Son, Holy Ghost</t>
  </si>
  <si>
    <t>Work (work, work)</t>
  </si>
  <si>
    <t>Ugly Buildings, Whores &amp; Politicians: Greatest Hits 1998-2009</t>
  </si>
  <si>
    <t>Not the Spaces You Know, But Between Them</t>
  </si>
  <si>
    <t>To What Strange Place: The Music of the Ottoman-American Diaspora, 1916-1929</t>
  </si>
  <si>
    <t>Lord Giveth, Lord Taketh Away EP</t>
  </si>
  <si>
    <t>Alice, Agatha, Branch &amp; Christ</t>
  </si>
  <si>
    <t>I Love You, Dude</t>
  </si>
  <si>
    <t>MMG Presents: Self Made, Vol. 1</t>
  </si>
  <si>
    <t>Wallahi Le Zein!! Wezin, Jakwar And Guitar Boogie From The Islamic Republic Of Mauritania</t>
  </si>
  <si>
    <t>Don’t Rock the Boat, Sink the Fucker</t>
  </si>
  <si>
    <t>Celebration, Florida</t>
  </si>
  <si>
    <t>Take Care, Take Care, Take Care</t>
  </si>
  <si>
    <t>Moody, Standard and Poor</t>
  </si>
  <si>
    <t>James Brown: The Singles, Volume Ten: 1975-1979</t>
  </si>
  <si>
    <t>The House Of Friendly Ghosts, Vol. 1</t>
  </si>
  <si>
    <t>Nostalgia, Ultra.</t>
  </si>
  <si>
    <t>um, uh oh</t>
  </si>
  <si>
    <t>Buy the Ticket, Take the Ride</t>
  </si>
  <si>
    <t>The Past, the Present, and the Possible</t>
  </si>
  <si>
    <t>Ravedeath, 1972</t>
  </si>
  <si>
    <t>Hardcore Will Never Die, But You Will</t>
  </si>
  <si>
    <t>O Moon, Queen of Night on Earth</t>
  </si>
  <si>
    <t>Angels of Darkness, Demons of Light 1</t>
  </si>
  <si>
    <t>Baby How Can It Be? Songs of Love, Lust and Contempt From the 1920s and 1930s</t>
  </si>
  <si>
    <t>Spiritual, Mental, Physical</t>
  </si>
  <si>
    <t>Bedroom Databank, Vols. 1-4</t>
  </si>
  <si>
    <t>Bangs &amp; Works, Vol. 1: A Chicago Footwork Compilation</t>
  </si>
  <si>
    <t>Night Slugs Allstars, Volume 1</t>
  </si>
  <si>
    <t>As Stowaways in Cabinets of Surf, We Live-out in Our Members a Kind of Rebirth</t>
  </si>
  <si>
    <t>The Voice of Lightness, Vol. 2</t>
  </si>
  <si>
    <t>Fool's Gold, Vol. 1</t>
  </si>
  <si>
    <t>Permanent Vacation: Selected Label Works, Vol. 2</t>
  </si>
  <si>
    <t>Strumming Music for Piano, Harpsichord and String Ensemble</t>
  </si>
  <si>
    <t>The Hits Collection, Vol. One</t>
  </si>
  <si>
    <t>Strategies Against Architecture, Vol. 4</t>
  </si>
  <si>
    <t>The Bootleg Series, Vol. 9: The Witmark Demos: 1962-1964</t>
  </si>
  <si>
    <t>Jamie, My Intentions Are Bass EP</t>
  </si>
  <si>
    <t>Autumn, Again</t>
  </si>
  <si>
    <t>1,000 Years</t>
  </si>
  <si>
    <t>Fuck Dance, Let's Art: Sounds From a New American Underground</t>
  </si>
  <si>
    <t>Sit Down, Man</t>
  </si>
  <si>
    <t>To All My Friends, Blood Makes the Blade Holy: The Atmosphere EPs</t>
  </si>
  <si>
    <t>Afro-Beat Airways: West African Shock Waves, Ghana &amp; Togo 1972-1978</t>
  </si>
  <si>
    <t>1,000 Grams Vol. 1</t>
  </si>
  <si>
    <t>Strange Weather, Isn't It?</t>
  </si>
  <si>
    <t>Sand &amp; Lines: The Georgia Theatre Sessions, May 20th–24th 2008</t>
  </si>
  <si>
    <t>The Singles, Vol. 9: 1973-1975</t>
  </si>
  <si>
    <t>Piratas de Sudamérica, Vol. 1</t>
  </si>
  <si>
    <t>No Great Lost: Songs, 1979-1985</t>
  </si>
  <si>
    <t>Shut Up, Dude</t>
  </si>
  <si>
    <t>Base World, Pt. 1</t>
  </si>
  <si>
    <t>Addicts: Black Meddle, Part II</t>
  </si>
  <si>
    <t>We Are All One, in the Sun: A Tribute to Robbie Basho</t>
  </si>
  <si>
    <t>Cocainism, Vol. 2</t>
  </si>
  <si>
    <t>Goodbye, Killer</t>
  </si>
  <si>
    <t>Twistable, Turnable Man: A Musical Tribute to the Songs of Shel Silverstein</t>
  </si>
  <si>
    <t>The Fear Is Excruciating, But Therein Lies the Answer</t>
  </si>
  <si>
    <t>Contact, Love, Want, Have</t>
  </si>
  <si>
    <t>Shame, Shame</t>
  </si>
  <si>
    <t>Live Recordings, TV-Clips &amp; Roadmovie</t>
  </si>
  <si>
    <t>One Jug of Wine, Two Vessels</t>
  </si>
  <si>
    <t>Raw Cuts, Vol. 1</t>
  </si>
  <si>
    <t>Nigeria Special, Vol. 2: Modern Highlife, Afro Sounds &amp; Nigerian Blues 1970-6</t>
  </si>
  <si>
    <t>Wierd Presents: Cold Waves and Minimal Electronics, Vol. 1</t>
  </si>
  <si>
    <t>Elevator Music, Vol. 1</t>
  </si>
  <si>
    <t>Tomorrow, in a Year</t>
  </si>
  <si>
    <t>Dear God, I Hate Myself</t>
  </si>
  <si>
    <t>Fixin' the Charts, Vol. 1</t>
  </si>
  <si>
    <t>Si, Para Usted: The Funky Beats of Revolutionary Cuba, Vol. 2</t>
  </si>
  <si>
    <t>Talking to You, Talking to Me</t>
  </si>
  <si>
    <t>Sadly, the Future Is No Longer What It Once Was</t>
  </si>
  <si>
    <t>Tumbélé! Biguine, Afro and Latin Sounds From The French Caribbean, 1963-1974</t>
  </si>
  <si>
    <t>No Hope, No Future</t>
  </si>
  <si>
    <t>Francophonic, Vol. 2: 1980-1989</t>
  </si>
  <si>
    <t>The Singles, Vol. 8: 1972-1973</t>
  </si>
  <si>
    <t>Fire in My Bones: Raw + Rare + Otherworldly African-American Gospel, 1944-2007</t>
  </si>
  <si>
    <t>White Water, White Bloom</t>
  </si>
  <si>
    <t>How to Be a Lady, Volume 1</t>
  </si>
  <si>
    <t>Oh, Glory. Oh, Wilderness.</t>
  </si>
  <si>
    <t>Do What You Want, Be What You Are: The Music of Daryl Hall and John Oates</t>
  </si>
  <si>
    <t>Ghana Special: Modern Highlife, Afro-Sounds &amp; Ghanaian Blues 1968-1981</t>
  </si>
  <si>
    <t>Goodbye Cruel World, Hello Crueler World</t>
  </si>
  <si>
    <t>Texas Rose, the Thaw, and the Beasts</t>
  </si>
  <si>
    <t>Hey Friend, What You Doing?</t>
  </si>
  <si>
    <t>Hard Knox or, "Are You Sure Hank Jr. Done It This Way?"</t>
  </si>
  <si>
    <t>We Gave It All Away, Now We Are Taking It Back</t>
  </si>
  <si>
    <t>Live at the Folklore Center, NYC - March 6th, 1967</t>
  </si>
  <si>
    <t>My Old, Familiar Friend</t>
  </si>
  <si>
    <t>My Favorite Things, Vol. 2</t>
  </si>
  <si>
    <t>Troubled, Shaken Etc.</t>
  </si>
  <si>
    <t>Part I: John Shade, Your Fortune's Made</t>
  </si>
  <si>
    <t>Gather, Form &amp; Fly</t>
  </si>
  <si>
    <t>White Ink, Black Ink</t>
  </si>
  <si>
    <t>Live From Austin, TX</t>
  </si>
  <si>
    <t>...At the Moment of Our Most Needing or If Only They Could Turn Around, They Would Know They Weren't Alone</t>
  </si>
  <si>
    <t>Lose Your Illusion, Too</t>
  </si>
  <si>
    <t>All Is Wild, All Is Silent</t>
  </si>
  <si>
    <t>The Singles, Vol. 7: 1970-1972</t>
  </si>
  <si>
    <t>Secret, Profane and Sugarcane</t>
  </si>
  <si>
    <t>21st Century, 21st Year</t>
  </si>
  <si>
    <t>Still Night, Still Light</t>
  </si>
  <si>
    <t>Yours Truly, The Commuter</t>
  </si>
  <si>
    <t>Set 'Em Wild, Set 'Em Free</t>
  </si>
  <si>
    <t>The Complete Motown Singles, Vol. 11A: 1971</t>
  </si>
  <si>
    <t>Baby, They Told Us We Would Rise Again</t>
  </si>
  <si>
    <t>The Art of Field Recording, Vol. 2</t>
  </si>
  <si>
    <t>Mama, I'm Swollen</t>
  </si>
  <si>
    <t>Francophonic, Vol. 1: 1953 - 1980</t>
  </si>
  <si>
    <t>It's Not Me, It's You</t>
  </si>
  <si>
    <t>Come Back to the Five and Dime, Bobby Dee Bobby Dee</t>
  </si>
  <si>
    <t>Love, Hate, and Then There's You</t>
  </si>
  <si>
    <t>The Singles, Vol. 6: 1969-1970</t>
  </si>
  <si>
    <t>Oh, the Places We'll Go</t>
  </si>
  <si>
    <t>Living Is Hard: West African Music in Britain, 1927-1929</t>
  </si>
  <si>
    <t>XOXO, Panda and the New Kid Revival</t>
  </si>
  <si>
    <t>Limbo, Panto</t>
  </si>
  <si>
    <t>Scratch Came, Scratch Saw, Scratch Conquered</t>
  </si>
  <si>
    <t>We Are Beautiful, We Are Doomed</t>
  </si>
  <si>
    <t>Spectrum, 14th Century EP</t>
  </si>
  <si>
    <t>Broken Hymns, Limbs and Skin</t>
  </si>
  <si>
    <t>The Bootleg Series, Vol. 8: Tell Tale Signs: Rare and Unreleased 1986-2006</t>
  </si>
  <si>
    <t>Awake, My Soul: The Original Soundtrack / Help Me to Sing: Songs of the Sacred Harp</t>
  </si>
  <si>
    <t>Peaceful, the World Lays Me Down</t>
  </si>
  <si>
    <t>Stay Golden, Smog: The Best of Golden Smog - The Rykodisc Years</t>
  </si>
  <si>
    <t>Blood, Looms and Blooms</t>
  </si>
  <si>
    <t>They Shoot, We Score</t>
  </si>
  <si>
    <t>Seven Lucky Plays, or How to Fix Songs for a Broken Heart</t>
  </si>
  <si>
    <t>Here, It Never Snowed. Afterwards It Did EP</t>
  </si>
  <si>
    <t>That Night, a Forest Grew EP</t>
  </si>
  <si>
    <t>Hummingbird, Go!</t>
  </si>
  <si>
    <t>In the 7th Moon, the Chief Turned Into a Swimming Fish and Ate the Head of His Enemy by Magic</t>
  </si>
  <si>
    <t>Alas, I Cannot Swim</t>
  </si>
  <si>
    <t>Tea Parties, Guns and Valor</t>
  </si>
  <si>
    <t>The Horse, the Rat and the Swan</t>
  </si>
  <si>
    <t>The Complete Motown Singles, Vol. 10: 1970</t>
  </si>
  <si>
    <t>Nigeria 70: Lagos Jump, Original Heavyweight Afrobeat, Highlife &amp; Afro-Funk</t>
  </si>
  <si>
    <t>I Was Raised on Matthew, Mark, Luke &amp; Laura</t>
  </si>
  <si>
    <t>She's the Dutchess, He's the Duke</t>
  </si>
  <si>
    <t>No, Virginia...</t>
  </si>
  <si>
    <t>Everyone Is Crying Out to Me, Beware</t>
  </si>
  <si>
    <t>A Guide To Love, Loss &amp; Desperation</t>
  </si>
  <si>
    <t>Tout Seul dans la Forêt en Plein Jour, Avez-Vous Peur?</t>
  </si>
  <si>
    <t>Assassins: Black Meddle, Pt. 1</t>
  </si>
  <si>
    <t>The Devil, You + Me</t>
  </si>
  <si>
    <t>Lookout Mountain, Lookout Sea</t>
  </si>
  <si>
    <t>Come, Arrow, Come!</t>
  </si>
  <si>
    <t>Yes, U</t>
  </si>
  <si>
    <t>You're Never Alone with a Cigarette (Singles, Vol. 1)</t>
  </si>
  <si>
    <t>When Life Gives You Lemons, You Paint That Shit Gold</t>
  </si>
  <si>
    <t>Hello, Voyager</t>
  </si>
  <si>
    <t>Sorry Ma, Forgot to Take Out the Trash</t>
  </si>
  <si>
    <t>Move Every Muscle, Make Every Sound</t>
  </si>
  <si>
    <t>Plunder, Beg, and Curse</t>
  </si>
  <si>
    <t>The Singles, Volume Five: 1967-1969</t>
  </si>
  <si>
    <t>Excuse Me, This Is the Yah Mos Def</t>
  </si>
  <si>
    <t>Nigeria Special: Modern Highlife, Afro-Sounds &amp; Nigerian Blues</t>
  </si>
  <si>
    <t>Signals, Calls, and Marches</t>
  </si>
  <si>
    <t>Some Racing, Some Stopping</t>
  </si>
  <si>
    <t>What Did You Do During the War, Daddy?</t>
  </si>
  <si>
    <t>The Complete Motown Singles, Vol. 9: 1969</t>
  </si>
  <si>
    <t>Hold on Now, Youngster...</t>
  </si>
  <si>
    <t>The Best of the Johnny Cash TV Show, 1969-1971</t>
  </si>
  <si>
    <t>We Got It for Cheap, Vol. 3</t>
  </si>
  <si>
    <t>The Brit Box: U.K. Indie, Shoegaze and Brit-Pop Gems of the Last Millennium</t>
  </si>
  <si>
    <t>Disco Not Disco: Post Punk, Electro &amp; Leftfield Disco Classics 1974-1986</t>
  </si>
  <si>
    <t>You, Me &amp; Everyone</t>
  </si>
  <si>
    <t>Scottish Fiction: The Best of Idlewild, 1997-2007</t>
  </si>
  <si>
    <t>The Singles, Volume Four: 1966-1967</t>
  </si>
  <si>
    <t>The Complete Motown Singles, Vol. 8: 1968</t>
  </si>
  <si>
    <t>Oh, By the Way</t>
  </si>
  <si>
    <t>The Art of Field Recording, Vol. 1</t>
  </si>
  <si>
    <t>Lovers, Lead the Way!/The Heat Can Melt Your Brain</t>
  </si>
  <si>
    <t>Mutantes ao Vivo: Barbican Theatre, Londres 2006</t>
  </si>
  <si>
    <t>100 Days, 100 Nights</t>
  </si>
  <si>
    <t>With My Left Hand, I Raise the Dead</t>
  </si>
  <si>
    <t>Hello, Avalanche</t>
  </si>
  <si>
    <t>People Take Warning! Murder Ballads &amp; Disaster Songs, 1913-1938</t>
  </si>
  <si>
    <t>For Emma, Forever Ago</t>
  </si>
  <si>
    <t>Echoes, Silence, Patience and Grace</t>
  </si>
  <si>
    <t>Somewhere, Anywhere</t>
  </si>
  <si>
    <t>Bobby Bare Sings Lullabys, Legends &amp; Lies (And More)</t>
  </si>
  <si>
    <t>Oh, My Darling</t>
  </si>
  <si>
    <t>The Complete Motown Singles, Vol. 7: 1967</t>
  </si>
  <si>
    <t>Men's Needs, Women's Needs, Whatever</t>
  </si>
  <si>
    <t>The Singles, Volume Three: 1964-1965</t>
  </si>
  <si>
    <t>We Are All Hopeful Farmers, We Are All Scared Rabbits</t>
  </si>
  <si>
    <t>Si, Para Usted: The Funky Beats of Revolutionary Cuba, Volume One</t>
  </si>
  <si>
    <t>Please, Please, Please</t>
  </si>
  <si>
    <t>Soul Sides, Volume 2: The Covers</t>
  </si>
  <si>
    <t>Split Lips, Winning Hips, a Shiner</t>
  </si>
  <si>
    <t>No Shouts, No Calls</t>
  </si>
  <si>
    <t>Operator Dead, Post Abandoned</t>
  </si>
  <si>
    <t>The Dead Will Walk, Dear</t>
  </si>
  <si>
    <t>Icons, Abstract Thee EP</t>
  </si>
  <si>
    <t>The Singles, Volume Two: 1960-1963</t>
  </si>
  <si>
    <t>I Believe in You, Your Magic Is Real</t>
  </si>
  <si>
    <t>What's the Time, Mr. Wolf?</t>
  </si>
  <si>
    <t>Sing, Memory</t>
  </si>
  <si>
    <t>Goliath, I'm On Your Side</t>
  </si>
  <si>
    <t>All Things, Forests</t>
  </si>
  <si>
    <t>Labrador 100, a Complete History of Popular Music</t>
  </si>
  <si>
    <t>Live at the Bloomsbury Theatre, London</t>
  </si>
  <si>
    <t>Yours Truly, Angry Mob</t>
  </si>
  <si>
    <t>It Is Becomes Disaffect Toward the Present World, Look Up the Sky!!</t>
  </si>
  <si>
    <t>You, You're a History in Rust</t>
  </si>
  <si>
    <t>Blow it Up, Burn it Down, Kick it 'Til it Bleeds</t>
  </si>
  <si>
    <t>Paralyzed Dance, Tonight</t>
  </si>
  <si>
    <t>Yes, I'm a Witch</t>
  </si>
  <si>
    <t>Loney, Noir</t>
  </si>
  <si>
    <t>Vain, Erudite, and Stupid: Selected Works 1987-2005</t>
  </si>
  <si>
    <t>I Can't Go On, I'll Go On</t>
  </si>
  <si>
    <t>Hissing Fauna, Are You the Destroyer?</t>
  </si>
  <si>
    <t>The Good, the Bad &amp; the 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</si>
</sst>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53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tr">
        <f>"1"</f>
        <v>1</v>
      </c>
      <c r="B2" t="str">
        <f>"0.34"</f>
        <v>0.34</v>
      </c>
      <c r="C2" t="str">
        <f>"54"</f>
        <v>54</v>
      </c>
      <c r="D2" t="str">
        <f>"Remixed and Reimagined"</f>
        <v>Remixed and Reimagined</v>
      </c>
    </row>
    <row r="3" spans="1:4" x14ac:dyDescent="0.2">
      <c r="A3" t="str">
        <f>"2"</f>
        <v>2</v>
      </c>
      <c r="B3" t="str">
        <f>"0.39"</f>
        <v>0.39</v>
      </c>
      <c r="C3" t="str">
        <f>"35"</f>
        <v>35</v>
      </c>
      <c r="D3" t="str">
        <f>"100 Lbs"</f>
        <v>100 Lbs</v>
      </c>
    </row>
    <row r="4" spans="1:4" x14ac:dyDescent="0.2">
      <c r="A4" t="str">
        <f>"3"</f>
        <v>3</v>
      </c>
      <c r="B4" t="str">
        <f>"-0.38"</f>
        <v>-0.38</v>
      </c>
      <c r="C4" t="str">
        <f>"76"</f>
        <v>76</v>
      </c>
      <c r="D4" t="str">
        <f>"Ten Years of Tears"</f>
        <v>Ten Years of Tears</v>
      </c>
    </row>
    <row r="5" spans="1:4" x14ac:dyDescent="0.2">
      <c r="A5" t="str">
        <f>"4"</f>
        <v>4</v>
      </c>
      <c r="B5" t="str">
        <f>"-0.31"</f>
        <v>-0.31</v>
      </c>
      <c r="C5" t="str">
        <f>"84"</f>
        <v>84</v>
      </c>
      <c r="D5" t="str">
        <f>"Chokes! EP"</f>
        <v>Chokes! EP</v>
      </c>
    </row>
    <row r="6" spans="1:4" x14ac:dyDescent="0.2">
      <c r="A6" t="str">
        <f>"5"</f>
        <v>5</v>
      </c>
      <c r="B6" t="str">
        <f>"-0.83"</f>
        <v>-0.83</v>
      </c>
      <c r="C6" t="str">
        <f>"17"</f>
        <v>17</v>
      </c>
      <c r="D6" t="str">
        <f>"Ecdysis"</f>
        <v>Ecdysis</v>
      </c>
    </row>
    <row r="7" spans="1:4" x14ac:dyDescent="0.2">
      <c r="A7" t="str">
        <f>"6"</f>
        <v>6</v>
      </c>
      <c r="B7" t="str">
        <f>"1.11"</f>
        <v>1.11</v>
      </c>
      <c r="C7" t="str">
        <f>"19"</f>
        <v>19</v>
      </c>
      <c r="D7" t="str">
        <f>"Starless &amp; Bible Black"</f>
        <v>Starless &amp; Bible Black</v>
      </c>
    </row>
    <row r="8" spans="1:4" x14ac:dyDescent="0.2">
      <c r="A8" t="str">
        <f>"7"</f>
        <v>7</v>
      </c>
      <c r="B8" t="str">
        <f>"0.63"</f>
        <v>0.63</v>
      </c>
      <c r="C8" t="str">
        <f>"86"</f>
        <v>86</v>
      </c>
      <c r="D8" t="str">
        <f>"Endless Summer"</f>
        <v>Endless Summer</v>
      </c>
    </row>
    <row r="9" spans="1:4" x14ac:dyDescent="0.2">
      <c r="A9" t="str">
        <f>"8"</f>
        <v>8</v>
      </c>
      <c r="B9" t="str">
        <f>"-0.19"</f>
        <v>-0.19</v>
      </c>
      <c r="C9" t="str">
        <f>"77"</f>
        <v>77</v>
      </c>
      <c r="D9" t="str">
        <f>"No Place to Be"</f>
        <v>No Place to Be</v>
      </c>
    </row>
    <row r="10" spans="1:4" x14ac:dyDescent="0.2">
      <c r="A10" t="str">
        <f>"9"</f>
        <v>9</v>
      </c>
      <c r="B10" t="str">
        <f>"-1.1"</f>
        <v>-1.1</v>
      </c>
      <c r="C10" t="str">
        <f>"57"</f>
        <v>57</v>
      </c>
      <c r="D10" t="str">
        <f>"Dear Sir EP"</f>
        <v>Dear Sir EP</v>
      </c>
    </row>
    <row r="11" spans="1:4" x14ac:dyDescent="0.2">
      <c r="A11" t="str">
        <f>"10"</f>
        <v>10</v>
      </c>
      <c r="B11" t="str">
        <f>"1"</f>
        <v>1</v>
      </c>
      <c r="C11" t="str">
        <f>"48"</f>
        <v>48</v>
      </c>
      <c r="D11" t="str">
        <f>"World Waits"</f>
        <v>World Waits</v>
      </c>
    </row>
    <row r="12" spans="1:4" x14ac:dyDescent="0.2">
      <c r="A12" t="str">
        <f>"11"</f>
        <v>11</v>
      </c>
      <c r="B12" t="str">
        <f>"0.35"</f>
        <v>0.35</v>
      </c>
      <c r="C12" t="str">
        <f>"21"</f>
        <v>21</v>
      </c>
      <c r="D12" t="str">
        <f>"1983"</f>
        <v>1983</v>
      </c>
    </row>
    <row r="13" spans="1:4" x14ac:dyDescent="0.2">
      <c r="A13" t="str">
        <f>"12"</f>
        <v>12</v>
      </c>
      <c r="B13" t="str">
        <f>"-0.57"</f>
        <v>-0.57</v>
      </c>
      <c r="C13" t="str">
        <f>"51"</f>
        <v>51</v>
      </c>
      <c r="D13" t="str">
        <f>"Disco Romance"</f>
        <v>Disco Romance</v>
      </c>
    </row>
    <row r="14" spans="1:4" x14ac:dyDescent="0.2">
      <c r="A14" t="str">
        <f>"13"</f>
        <v>13</v>
      </c>
      <c r="B14" t="str">
        <f>"0.59"</f>
        <v>0.59</v>
      </c>
      <c r="C14" t="str">
        <f>"32"</f>
        <v>32</v>
      </c>
      <c r="D14" t="str">
        <f>"Dynamite! Dancehall Style"</f>
        <v>Dynamite! Dancehall Style</v>
      </c>
    </row>
    <row r="15" spans="1:4" x14ac:dyDescent="0.2">
      <c r="A15" t="str">
        <f>"14"</f>
        <v>14</v>
      </c>
      <c r="B15" t="str">
        <f>"-0.03"</f>
        <v>-0.03</v>
      </c>
      <c r="C15" t="str">
        <f>"66"</f>
        <v>66</v>
      </c>
      <c r="D15" t="str">
        <f>"Déformation Professionnelle"</f>
        <v>Déformation Professionnelle</v>
      </c>
    </row>
    <row r="16" spans="1:4" x14ac:dyDescent="0.2">
      <c r="A16" t="str">
        <f>"15"</f>
        <v>15</v>
      </c>
      <c r="B16" t="str">
        <f>"0.24"</f>
        <v>0.24</v>
      </c>
      <c r="C16" t="str">
        <f>"15"</f>
        <v>15</v>
      </c>
      <c r="D16" t="str">
        <f>"Working Nine to Wolf"</f>
        <v>Working Nine to Wolf</v>
      </c>
    </row>
    <row r="17" spans="1:4" x14ac:dyDescent="0.2">
      <c r="A17" t="str">
        <f>"16"</f>
        <v>16</v>
      </c>
      <c r="B17" t="str">
        <f>"-1.28"</f>
        <v>-1.28</v>
      </c>
      <c r="C17" t="str">
        <f>"28"</f>
        <v>28</v>
      </c>
      <c r="D17" t="str">
        <f>"Parasiticide"</f>
        <v>Parasiticide</v>
      </c>
    </row>
    <row r="18" spans="1:4" x14ac:dyDescent="0.2">
      <c r="A18" t="str">
        <f>"17"</f>
        <v>17</v>
      </c>
      <c r="B18" t="str">
        <f>"0.14"</f>
        <v>0.14</v>
      </c>
      <c r="C18" t="str">
        <f>"67"</f>
        <v>67</v>
      </c>
      <c r="D18" t="s">
        <v>4</v>
      </c>
    </row>
    <row r="19" spans="1:4" x14ac:dyDescent="0.2">
      <c r="A19" t="str">
        <f>"18"</f>
        <v>18</v>
      </c>
      <c r="B19" t="str">
        <f>"-1.18"</f>
        <v>-1.18</v>
      </c>
      <c r="C19" t="str">
        <f>"63"</f>
        <v>63</v>
      </c>
      <c r="D19" t="str">
        <f>"Creepshow"</f>
        <v>Creepshow</v>
      </c>
    </row>
    <row r="20" spans="1:4" x14ac:dyDescent="0.2">
      <c r="A20" t="str">
        <f>"19"</f>
        <v>19</v>
      </c>
      <c r="B20" t="str">
        <f>"0.98"</f>
        <v>0.98</v>
      </c>
      <c r="C20" t="str">
        <f>"45"</f>
        <v>45</v>
      </c>
      <c r="D20" t="str">
        <f>"Plays Pajama Pop Pour Vous"</f>
        <v>Plays Pajama Pop Pour Vous</v>
      </c>
    </row>
    <row r="21" spans="1:4" x14ac:dyDescent="0.2">
      <c r="A21" t="str">
        <f>"20"</f>
        <v>20</v>
      </c>
      <c r="B21" t="str">
        <f>"-1.51"</f>
        <v>-1.51</v>
      </c>
      <c r="C21" t="str">
        <f>"49"</f>
        <v>49</v>
      </c>
      <c r="D21" t="str">
        <f>"The Manhattan Love Suicides"</f>
        <v>The Manhattan Love Suicides</v>
      </c>
    </row>
    <row r="22" spans="1:4" x14ac:dyDescent="0.2">
      <c r="A22" t="str">
        <f>"21"</f>
        <v>21</v>
      </c>
      <c r="B22" t="str">
        <f>"-0.73"</f>
        <v>-0.73</v>
      </c>
      <c r="C22" t="str">
        <f>"47"</f>
        <v>47</v>
      </c>
      <c r="D22" t="str">
        <f>"Matt and Kim"</f>
        <v>Matt and Kim</v>
      </c>
    </row>
    <row r="23" spans="1:4" x14ac:dyDescent="0.2">
      <c r="A23" t="str">
        <f>"22"</f>
        <v>22</v>
      </c>
      <c r="B23" t="str">
        <f>"0.54"</f>
        <v>0.54</v>
      </c>
      <c r="C23" t="str">
        <f>"68"</f>
        <v>68</v>
      </c>
      <c r="D23" t="str">
        <f>"Julie Doiron and the Wooden Stars"</f>
        <v>Julie Doiron and the Wooden Stars</v>
      </c>
    </row>
    <row r="24" spans="1:4" x14ac:dyDescent="0.2">
      <c r="A24" t="str">
        <f>"23"</f>
        <v>23</v>
      </c>
      <c r="B24" t="str">
        <f>"1.14"</f>
        <v>1.14</v>
      </c>
      <c r="C24" t="str">
        <f>"107"</f>
        <v>107</v>
      </c>
      <c r="D24" t="str">
        <f>"Complete A and B Sides 1963-1970"</f>
        <v>Complete A and B Sides 1963-1970</v>
      </c>
    </row>
    <row r="25" spans="1:4" x14ac:dyDescent="0.2">
      <c r="A25" t="str">
        <f>"24"</f>
        <v>24</v>
      </c>
      <c r="B25" t="str">
        <f>"-0.86"</f>
        <v>-0.86</v>
      </c>
      <c r="C25" t="str">
        <f>"69"</f>
        <v>69</v>
      </c>
      <c r="D25" t="str">
        <f>"Adventura Anatomica"</f>
        <v>Adventura Anatomica</v>
      </c>
    </row>
    <row r="26" spans="1:4" x14ac:dyDescent="0.2">
      <c r="A26" t="str">
        <f>"25"</f>
        <v>25</v>
      </c>
      <c r="B26" t="str">
        <f>"0.3"</f>
        <v>0.3</v>
      </c>
      <c r="C26" t="str">
        <f>"67"</f>
        <v>67</v>
      </c>
      <c r="D26" t="str">
        <f>"You Are the Pride of Your Street EP"</f>
        <v>You Are the Pride of Your Street EP</v>
      </c>
    </row>
    <row r="27" spans="1:4" x14ac:dyDescent="0.2">
      <c r="A27" t="str">
        <f>"26"</f>
        <v>26</v>
      </c>
      <c r="B27" t="str">
        <f>"-0.09"</f>
        <v>-0.09</v>
      </c>
      <c r="C27" t="str">
        <f>"23"</f>
        <v>23</v>
      </c>
      <c r="D27" t="str">
        <f>"Green Blues"</f>
        <v>Green Blues</v>
      </c>
    </row>
    <row r="28" spans="1:4" x14ac:dyDescent="0.2">
      <c r="A28" t="str">
        <f>"27"</f>
        <v>27</v>
      </c>
      <c r="B28" t="str">
        <f>"0.97"</f>
        <v>0.97</v>
      </c>
      <c r="C28" t="str">
        <f>"49"</f>
        <v>49</v>
      </c>
      <c r="D28" t="str">
        <f>"The Silent Years"</f>
        <v>The Silent Years</v>
      </c>
    </row>
    <row r="29" spans="1:4" x14ac:dyDescent="0.2">
      <c r="A29" t="str">
        <f>"28"</f>
        <v>28</v>
      </c>
      <c r="B29" t="str">
        <f>"-0.91"</f>
        <v>-0.91</v>
      </c>
      <c r="C29" t="str">
        <f>"75"</f>
        <v>75</v>
      </c>
      <c r="D29" t="str">
        <f>"True Magic"</f>
        <v>True Magic</v>
      </c>
    </row>
    <row r="30" spans="1:4" x14ac:dyDescent="0.2">
      <c r="A30" t="str">
        <f>"29"</f>
        <v>29</v>
      </c>
      <c r="B30" t="str">
        <f>"0.46"</f>
        <v>0.46</v>
      </c>
      <c r="C30" t="str">
        <f>"56"</f>
        <v>56</v>
      </c>
      <c r="D30" t="str">
        <f>"Sing the Greys"</f>
        <v>Sing the Greys</v>
      </c>
    </row>
    <row r="31" spans="1:4" x14ac:dyDescent="0.2">
      <c r="A31" t="str">
        <f>"30"</f>
        <v>30</v>
      </c>
      <c r="B31" t="str">
        <f>"-0.41"</f>
        <v>-0.41</v>
      </c>
      <c r="C31" t="str">
        <f>"86"</f>
        <v>86</v>
      </c>
      <c r="D31" t="str">
        <f>"Skull Alcoholic: The Complete Solar Anus"</f>
        <v>Skull Alcoholic: The Complete Solar Anus</v>
      </c>
    </row>
    <row r="32" spans="1:4" x14ac:dyDescent="0.2">
      <c r="A32" t="str">
        <f>"31"</f>
        <v>31</v>
      </c>
      <c r="B32" t="str">
        <f>"0.96"</f>
        <v>0.96</v>
      </c>
      <c r="C32" t="str">
        <f>"43"</f>
        <v>43</v>
      </c>
      <c r="D32" t="str">
        <f>"In Circles"</f>
        <v>In Circles</v>
      </c>
    </row>
    <row r="33" spans="1:4" x14ac:dyDescent="0.2">
      <c r="A33" t="str">
        <f>"32"</f>
        <v>32</v>
      </c>
      <c r="B33" t="str">
        <f>"1.26"</f>
        <v>1.26</v>
      </c>
      <c r="C33" t="str">
        <f>"77"</f>
        <v>77</v>
      </c>
      <c r="D33" t="str">
        <f>"Wishbone"</f>
        <v>Wishbone</v>
      </c>
    </row>
    <row r="34" spans="1:4" x14ac:dyDescent="0.2">
      <c r="A34" t="str">
        <f>"33"</f>
        <v>33</v>
      </c>
      <c r="B34" t="str">
        <f>"0.19"</f>
        <v>0.19</v>
      </c>
      <c r="C34" t="str">
        <f>"26"</f>
        <v>26</v>
      </c>
      <c r="D34" t="str">
        <f>"Candylion"</f>
        <v>Candylion</v>
      </c>
    </row>
    <row r="35" spans="1:4" x14ac:dyDescent="0.2">
      <c r="A35" t="str">
        <f>"34"</f>
        <v>34</v>
      </c>
      <c r="B35" t="str">
        <f>"0.18"</f>
        <v>0.18</v>
      </c>
      <c r="C35" t="str">
        <f>"35"</f>
        <v>35</v>
      </c>
      <c r="D35" t="str">
        <f>"28 Later"</f>
        <v>28 Later</v>
      </c>
    </row>
    <row r="36" spans="1:4" x14ac:dyDescent="0.2">
      <c r="A36" t="str">
        <f>"35"</f>
        <v>35</v>
      </c>
      <c r="B36" t="str">
        <f>"-0.03"</f>
        <v>-0.03</v>
      </c>
      <c r="C36" t="str">
        <f>"55"</f>
        <v>55</v>
      </c>
      <c r="D36" t="str">
        <f>"Something About Violins"</f>
        <v>Something About Violins</v>
      </c>
    </row>
    <row r="37" spans="1:4" x14ac:dyDescent="0.2">
      <c r="A37" t="str">
        <f>"36"</f>
        <v>36</v>
      </c>
      <c r="B37" t="str">
        <f>"0.3"</f>
        <v>0.3</v>
      </c>
      <c r="C37" t="str">
        <f>"71"</f>
        <v>71</v>
      </c>
      <c r="D37" t="str">
        <f>"Skeleton Blues"</f>
        <v>Skeleton Blues</v>
      </c>
    </row>
    <row r="38" spans="1:4" x14ac:dyDescent="0.2">
      <c r="A38" t="str">
        <f>"37"</f>
        <v>37</v>
      </c>
      <c r="B38" t="str">
        <f>"0.08"</f>
        <v>0.08</v>
      </c>
      <c r="C38" t="str">
        <f>"88"</f>
        <v>88</v>
      </c>
      <c r="D38" t="str">
        <f>"She's Mature"</f>
        <v>She's Mature</v>
      </c>
    </row>
    <row r="39" spans="1:4" x14ac:dyDescent="0.2">
      <c r="A39" t="str">
        <f>"38"</f>
        <v>38</v>
      </c>
      <c r="B39" t="str">
        <f>"-0.41"</f>
        <v>-0.41</v>
      </c>
      <c r="C39" t="str">
        <f>"40"</f>
        <v>40</v>
      </c>
      <c r="D39" t="str">
        <f>"Ghost Reveries [Special Edition]"</f>
        <v>Ghost Reveries [Special Edition]</v>
      </c>
    </row>
    <row r="40" spans="1:4" x14ac:dyDescent="0.2">
      <c r="A40" t="str">
        <f>"39"</f>
        <v>39</v>
      </c>
      <c r="B40" t="str">
        <f>"-1.79"</f>
        <v>-1.79</v>
      </c>
      <c r="C40" t="str">
        <f>"22"</f>
        <v>22</v>
      </c>
      <c r="D40" t="str">
        <f>"KTL"</f>
        <v>KTL</v>
      </c>
    </row>
    <row r="41" spans="1:4" x14ac:dyDescent="0.2">
      <c r="A41" t="str">
        <f>"40"</f>
        <v>40</v>
      </c>
      <c r="B41" t="str">
        <f>"0.83"</f>
        <v>0.83</v>
      </c>
      <c r="C41" t="str">
        <f>"64"</f>
        <v>64</v>
      </c>
      <c r="D41" t="str">
        <f>"I Stand Alone"</f>
        <v>I Stand Alone</v>
      </c>
    </row>
    <row r="42" spans="1:4" x14ac:dyDescent="0.2">
      <c r="A42" t="str">
        <f>"41"</f>
        <v>41</v>
      </c>
      <c r="B42" t="str">
        <f>"-0.32"</f>
        <v>-0.32</v>
      </c>
      <c r="C42" t="str">
        <f>"64"</f>
        <v>64</v>
      </c>
      <c r="D42" t="str">
        <f>"If We Can't Escape My Pretty"</f>
        <v>If We Can't Escape My Pretty</v>
      </c>
    </row>
    <row r="43" spans="1:4" x14ac:dyDescent="0.2">
      <c r="A43" t="str">
        <f>"42"</f>
        <v>42</v>
      </c>
      <c r="B43" t="str">
        <f>"0.53"</f>
        <v>0.53</v>
      </c>
      <c r="C43" t="str">
        <f>"53"</f>
        <v>53</v>
      </c>
      <c r="D43" t="str">
        <f>"Breathless"</f>
        <v>Breathless</v>
      </c>
    </row>
    <row r="44" spans="1:4" x14ac:dyDescent="0.2">
      <c r="A44" t="str">
        <f>"43"</f>
        <v>43</v>
      </c>
      <c r="B44" t="str">
        <f>"-0.51"</f>
        <v>-0.51</v>
      </c>
      <c r="C44" t="str">
        <f>"150"</f>
        <v>150</v>
      </c>
      <c r="D44" t="str">
        <f>"Hip Hop Is Dead"</f>
        <v>Hip Hop Is Dead</v>
      </c>
    </row>
    <row r="45" spans="1:4" x14ac:dyDescent="0.2">
      <c r="A45" t="str">
        <f>"44"</f>
        <v>44</v>
      </c>
      <c r="B45" t="str">
        <f>"0.06"</f>
        <v>0.06</v>
      </c>
      <c r="C45" t="str">
        <f>"29"</f>
        <v>29</v>
      </c>
      <c r="D45" t="str">
        <f>"Entomology"</f>
        <v>Entomology</v>
      </c>
    </row>
    <row r="46" spans="1:4" x14ac:dyDescent="0.2">
      <c r="A46" t="str">
        <f>"45"</f>
        <v>45</v>
      </c>
      <c r="B46" t="str">
        <f>"0.3"</f>
        <v>0.3</v>
      </c>
      <c r="C46" t="str">
        <f>"59"</f>
        <v>59</v>
      </c>
      <c r="D46" t="str">
        <f>"Shine Through"</f>
        <v>Shine Through</v>
      </c>
    </row>
    <row r="47" spans="1:4" x14ac:dyDescent="0.2">
      <c r="A47" t="str">
        <f>"46"</f>
        <v>46</v>
      </c>
      <c r="B47" t="str">
        <f>"0.7"</f>
        <v>0.7</v>
      </c>
      <c r="C47" t="str">
        <f>"58"</f>
        <v>58</v>
      </c>
      <c r="D47" t="str">
        <f>"Sexor"</f>
        <v>Sexor</v>
      </c>
    </row>
    <row r="48" spans="1:4" x14ac:dyDescent="0.2">
      <c r="A48" t="str">
        <f>"47"</f>
        <v>47</v>
      </c>
      <c r="B48" t="str">
        <f>"-0.3"</f>
        <v>-0.3</v>
      </c>
      <c r="C48" t="str">
        <f>"84"</f>
        <v>84</v>
      </c>
      <c r="D48" t="str">
        <f>"The Fountain OST"</f>
        <v>The Fountain OST</v>
      </c>
    </row>
    <row r="49" spans="1:4" x14ac:dyDescent="0.2">
      <c r="A49" t="str">
        <f>"48"</f>
        <v>48</v>
      </c>
      <c r="B49" t="str">
        <f>"-0.16"</f>
        <v>-0.16</v>
      </c>
      <c r="C49" t="str">
        <f>"84"</f>
        <v>84</v>
      </c>
      <c r="D49" t="str">
        <f>"More Fish"</f>
        <v>More Fish</v>
      </c>
    </row>
    <row r="50" spans="1:4" x14ac:dyDescent="0.2">
      <c r="A50" t="str">
        <f>"49"</f>
        <v>49</v>
      </c>
      <c r="B50" t="str">
        <f>"0.84"</f>
        <v>0.84</v>
      </c>
      <c r="C50" t="str">
        <f>"28"</f>
        <v>28</v>
      </c>
      <c r="D50" t="str">
        <f>"The Sound of Girls Aloud"</f>
        <v>The Sound of Girls Aloud</v>
      </c>
    </row>
    <row r="51" spans="1:4" x14ac:dyDescent="0.2">
      <c r="A51" t="str">
        <f>"50"</f>
        <v>50</v>
      </c>
      <c r="B51" t="str">
        <f>"1.12"</f>
        <v>1.12</v>
      </c>
      <c r="C51" t="str">
        <f>"70"</f>
        <v>70</v>
      </c>
      <c r="D51" t="str">
        <f>"Connectivity!"</f>
        <v>Connectivity!</v>
      </c>
    </row>
    <row r="52" spans="1:4" x14ac:dyDescent="0.2">
      <c r="A52" t="str">
        <f>"51"</f>
        <v>51</v>
      </c>
      <c r="B52" t="str">
        <f>"-0.5"</f>
        <v>-0.5</v>
      </c>
      <c r="C52" t="str">
        <f>"82"</f>
        <v>82</v>
      </c>
      <c r="D52" t="str">
        <f>"Words Are Dead"</f>
        <v>Words Are Dead</v>
      </c>
    </row>
    <row r="53" spans="1:4" x14ac:dyDescent="0.2">
      <c r="A53" t="str">
        <f>"52"</f>
        <v>52</v>
      </c>
      <c r="B53" t="str">
        <f>"0.28"</f>
        <v>0.28</v>
      </c>
      <c r="C53" t="str">
        <f>"23"</f>
        <v>23</v>
      </c>
      <c r="D53" t="str">
        <f>"Funnel Cloud"</f>
        <v>Funnel Cloud</v>
      </c>
    </row>
    <row r="54" spans="1:4" x14ac:dyDescent="0.2">
      <c r="A54" t="str">
        <f>"53"</f>
        <v>53</v>
      </c>
      <c r="B54" t="str">
        <f>"0.13"</f>
        <v>0.13</v>
      </c>
      <c r="C54" t="str">
        <f>"83"</f>
        <v>83</v>
      </c>
      <c r="D54" t="str">
        <f>"A Charlie Brown Christmas"</f>
        <v>A Charlie Brown Christmas</v>
      </c>
    </row>
    <row r="55" spans="1:4" x14ac:dyDescent="0.2">
      <c r="A55" t="str">
        <f>"54"</f>
        <v>54</v>
      </c>
      <c r="B55" t="str">
        <f>"0.16"</f>
        <v>0.16</v>
      </c>
      <c r="C55" t="str">
        <f>"50"</f>
        <v>50</v>
      </c>
      <c r="D55" t="str">
        <f>"Exodus Into Unheard Rhythms"</f>
        <v>Exodus Into Unheard Rhythms</v>
      </c>
    </row>
    <row r="56" spans="1:4" x14ac:dyDescent="0.2">
      <c r="A56" t="str">
        <f>"55"</f>
        <v>55</v>
      </c>
      <c r="B56" t="str">
        <f>"-0.61"</f>
        <v>-0.61</v>
      </c>
      <c r="C56" t="str">
        <f>"78"</f>
        <v>78</v>
      </c>
      <c r="D56" t="str">
        <f>"No Heroes"</f>
        <v>No Heroes</v>
      </c>
    </row>
    <row r="57" spans="1:4" x14ac:dyDescent="0.2">
      <c r="A57" t="str">
        <f>"56"</f>
        <v>56</v>
      </c>
      <c r="B57" t="str">
        <f>"-0.33"</f>
        <v>-0.33</v>
      </c>
      <c r="C57" t="str">
        <f>"30"</f>
        <v>30</v>
      </c>
      <c r="D57" t="str">
        <f>"Do Easy"</f>
        <v>Do Easy</v>
      </c>
    </row>
    <row r="58" spans="1:4" x14ac:dyDescent="0.2">
      <c r="A58" t="str">
        <f>"57"</f>
        <v>57</v>
      </c>
      <c r="B58" t="str">
        <f>"-0.23"</f>
        <v>-0.23</v>
      </c>
      <c r="C58" t="str">
        <f>"91"</f>
        <v>91</v>
      </c>
      <c r="D58" t="str">
        <f>"Warp Works &amp; Twentieth Century Masters"</f>
        <v>Warp Works &amp; Twentieth Century Masters</v>
      </c>
    </row>
    <row r="59" spans="1:4" x14ac:dyDescent="0.2">
      <c r="A59" t="str">
        <f>"58"</f>
        <v>58</v>
      </c>
      <c r="B59" t="str">
        <f>"-0.41"</f>
        <v>-0.41</v>
      </c>
      <c r="C59" t="str">
        <f>"41"</f>
        <v>41</v>
      </c>
      <c r="D59" t="str">
        <f>"Silver"</f>
        <v>Silver</v>
      </c>
    </row>
    <row r="60" spans="1:4" x14ac:dyDescent="0.2">
      <c r="A60" t="str">
        <f>"59"</f>
        <v>59</v>
      </c>
      <c r="B60" t="str">
        <f>"-0.74"</f>
        <v>-0.74</v>
      </c>
      <c r="C60" t="str">
        <f>"25"</f>
        <v>25</v>
      </c>
      <c r="D60" t="str">
        <f>"The Blinding EP"</f>
        <v>The Blinding EP</v>
      </c>
    </row>
    <row r="61" spans="1:4" x14ac:dyDescent="0.2">
      <c r="A61" t="str">
        <f>"60"</f>
        <v>60</v>
      </c>
      <c r="B61" t="str">
        <f>"-0.2"</f>
        <v>-0.2</v>
      </c>
      <c r="C61" t="str">
        <f>"20"</f>
        <v>20</v>
      </c>
      <c r="D61" t="str">
        <f>"Springfield"</f>
        <v>Springfield</v>
      </c>
    </row>
    <row r="62" spans="1:4" x14ac:dyDescent="0.2">
      <c r="A62" t="str">
        <f>"61"</f>
        <v>61</v>
      </c>
      <c r="B62" t="str">
        <f>"-0.44"</f>
        <v>-0.44</v>
      </c>
      <c r="C62" t="str">
        <f>"63"</f>
        <v>63</v>
      </c>
      <c r="D62" t="str">
        <f>"Tierbeobachtungen"</f>
        <v>Tierbeobachtungen</v>
      </c>
    </row>
    <row r="63" spans="1:4" x14ac:dyDescent="0.2">
      <c r="A63" t="str">
        <f>"62"</f>
        <v>62</v>
      </c>
      <c r="B63" t="str">
        <f>"-0.35"</f>
        <v>-0.35</v>
      </c>
      <c r="C63" t="str">
        <f>"53"</f>
        <v>53</v>
      </c>
      <c r="D63" t="str">
        <f>"(A) Senile Animal"</f>
        <v>(A) Senile Animal</v>
      </c>
    </row>
    <row r="64" spans="1:4" x14ac:dyDescent="0.2">
      <c r="A64" t="str">
        <f>"63"</f>
        <v>63</v>
      </c>
      <c r="B64" t="str">
        <f>"-0.4"</f>
        <v>-0.4</v>
      </c>
      <c r="C64" t="str">
        <f>"30"</f>
        <v>30</v>
      </c>
      <c r="D64" t="str">
        <f>"The Destroyed Room: B-Sides and Rarities"</f>
        <v>The Destroyed Room: B-Sides and Rarities</v>
      </c>
    </row>
    <row r="65" spans="1:4" x14ac:dyDescent="0.2">
      <c r="A65" t="str">
        <f>"64"</f>
        <v>64</v>
      </c>
      <c r="B65" t="str">
        <f>"-0.52"</f>
        <v>-0.52</v>
      </c>
      <c r="C65" t="str">
        <f>"41"</f>
        <v>41</v>
      </c>
      <c r="D65" t="str">
        <f>"The Inspiration"</f>
        <v>The Inspiration</v>
      </c>
    </row>
    <row r="66" spans="1:4" x14ac:dyDescent="0.2">
      <c r="A66" t="str">
        <f>"65"</f>
        <v>65</v>
      </c>
      <c r="B66" t="str">
        <f>"0.74"</f>
        <v>0.74</v>
      </c>
      <c r="C66" t="str">
        <f>"29"</f>
        <v>29</v>
      </c>
      <c r="D66" t="str">
        <f>"The Tragic Treasury: Songs From a Series of Unfortunate Events"</f>
        <v>The Tragic Treasury: Songs From a Series of Unfortunate Events</v>
      </c>
    </row>
    <row r="67" spans="1:4" x14ac:dyDescent="0.2">
      <c r="A67" t="str">
        <f>"66"</f>
        <v>66</v>
      </c>
      <c r="B67" t="str">
        <f>"-0.69"</f>
        <v>-0.69</v>
      </c>
      <c r="C67" t="str">
        <f>"60"</f>
        <v>60</v>
      </c>
      <c r="D67" t="str">
        <f>"Now Is the Time!"</f>
        <v>Now Is the Time!</v>
      </c>
    </row>
    <row r="68" spans="1:4" x14ac:dyDescent="0.2">
      <c r="A68" t="str">
        <f>"67"</f>
        <v>67</v>
      </c>
      <c r="B68" t="str">
        <f>"-0.19"</f>
        <v>-0.19</v>
      </c>
      <c r="C68" t="str">
        <f>"31"</f>
        <v>31</v>
      </c>
      <c r="D68" t="str">
        <f>"Anoint"</f>
        <v>Anoint</v>
      </c>
    </row>
    <row r="69" spans="1:4" x14ac:dyDescent="0.2">
      <c r="A69" t="str">
        <f>"68"</f>
        <v>68</v>
      </c>
      <c r="B69" t="str">
        <f>"-0.96"</f>
        <v>-0.96</v>
      </c>
      <c r="C69" t="str">
        <f>"26"</f>
        <v>26</v>
      </c>
      <c r="D69" t="str">
        <f>"En Nuestro Desafío"</f>
        <v>En Nuestro Desafío</v>
      </c>
    </row>
    <row r="70" spans="1:4" x14ac:dyDescent="0.2">
      <c r="A70" t="str">
        <f>"69"</f>
        <v>69</v>
      </c>
      <c r="B70" t="str">
        <f>"0.23"</f>
        <v>0.23</v>
      </c>
      <c r="C70" t="str">
        <f>"82"</f>
        <v>82</v>
      </c>
      <c r="D70" t="str">
        <f>"Sea Changes &amp; Coelacanths: A Young Person’s Guide to John Fahey"</f>
        <v>Sea Changes &amp; Coelacanths: A Young Person’s Guide to John Fahey</v>
      </c>
    </row>
    <row r="71" spans="1:4" x14ac:dyDescent="0.2">
      <c r="A71" t="str">
        <f>"70"</f>
        <v>70</v>
      </c>
      <c r="B71" t="str">
        <f>"-0.41"</f>
        <v>-0.41</v>
      </c>
      <c r="C71" t="str">
        <f>"23"</f>
        <v>23</v>
      </c>
      <c r="D71" t="str">
        <f>"Skin and Bones"</f>
        <v>Skin and Bones</v>
      </c>
    </row>
    <row r="72" spans="1:4" x14ac:dyDescent="0.2">
      <c r="A72" t="str">
        <f>"71"</f>
        <v>71</v>
      </c>
      <c r="B72" t="str">
        <f>"-0.22"</f>
        <v>-0.22</v>
      </c>
      <c r="C72" t="str">
        <f>"55"</f>
        <v>55</v>
      </c>
      <c r="D72" t="str">
        <f>"Fast Food Nation OST"</f>
        <v>Fast Food Nation OST</v>
      </c>
    </row>
    <row r="73" spans="1:4" x14ac:dyDescent="0.2">
      <c r="A73" t="str">
        <f>"72"</f>
        <v>72</v>
      </c>
      <c r="B73" t="str">
        <f>"0.7"</f>
        <v>0.7</v>
      </c>
      <c r="C73" t="str">
        <f>"22"</f>
        <v>22</v>
      </c>
      <c r="D73" t="str">
        <f>"Skoda Mluvit"</f>
        <v>Skoda Mluvit</v>
      </c>
    </row>
    <row r="74" spans="1:4" x14ac:dyDescent="0.2">
      <c r="A74" t="str">
        <f>"73"</f>
        <v>73</v>
      </c>
      <c r="B74" t="str">
        <f>"-0.29"</f>
        <v>-0.29</v>
      </c>
      <c r="C74" t="str">
        <f>"81"</f>
        <v>81</v>
      </c>
      <c r="D74" t="str">
        <f>"The Sweet Escape"</f>
        <v>The Sweet Escape</v>
      </c>
    </row>
    <row r="75" spans="1:4" x14ac:dyDescent="0.2">
      <c r="A75" t="str">
        <f>"74"</f>
        <v>74</v>
      </c>
      <c r="B75" t="str">
        <f>"0.34"</f>
        <v>0.34</v>
      </c>
      <c r="C75" t="str">
        <f>"103"</f>
        <v>103</v>
      </c>
      <c r="D75" t="str">
        <f>"Legends of Country Music"</f>
        <v>Legends of Country Music</v>
      </c>
    </row>
    <row r="76" spans="1:4" x14ac:dyDescent="0.2">
      <c r="A76" t="str">
        <f>"75"</f>
        <v>75</v>
      </c>
      <c r="B76" t="str">
        <f>"0.36"</f>
        <v>0.36</v>
      </c>
      <c r="C76" t="str">
        <f>"54"</f>
        <v>54</v>
      </c>
      <c r="D76" t="str">
        <f>"The Twilight Sad EP"</f>
        <v>The Twilight Sad EP</v>
      </c>
    </row>
    <row r="77" spans="1:4" x14ac:dyDescent="0.2">
      <c r="A77" t="str">
        <f>"76"</f>
        <v>76</v>
      </c>
      <c r="B77" t="str">
        <f>"0.48"</f>
        <v>0.48</v>
      </c>
      <c r="C77" t="str">
        <f>"20"</f>
        <v>20</v>
      </c>
      <c r="D77" t="str">
        <f>"Dat Rosa Mel Apibus"</f>
        <v>Dat Rosa Mel Apibus</v>
      </c>
    </row>
    <row r="78" spans="1:4" x14ac:dyDescent="0.2">
      <c r="A78" t="str">
        <f>"77"</f>
        <v>77</v>
      </c>
      <c r="B78" t="str">
        <f>"-1.24"</f>
        <v>-1.24</v>
      </c>
      <c r="C78" t="str">
        <f>"53"</f>
        <v>53</v>
      </c>
      <c r="D78" t="str">
        <f>"Get Right With God"</f>
        <v>Get Right With God</v>
      </c>
    </row>
    <row r="79" spans="1:4" x14ac:dyDescent="0.2">
      <c r="A79" t="str">
        <f>"78"</f>
        <v>78</v>
      </c>
      <c r="B79" t="str">
        <f>"0.31"</f>
        <v>0.31</v>
      </c>
      <c r="C79" t="str">
        <f>"27"</f>
        <v>27</v>
      </c>
      <c r="D79" t="str">
        <f>"Live at the Fillmore East"</f>
        <v>Live at the Fillmore East</v>
      </c>
    </row>
    <row r="80" spans="1:4" x14ac:dyDescent="0.2">
      <c r="A80" t="str">
        <f>"79"</f>
        <v>79</v>
      </c>
      <c r="B80" t="str">
        <f>"0.2"</f>
        <v>0.2</v>
      </c>
      <c r="C80" t="str">
        <f>"27"</f>
        <v>27</v>
      </c>
      <c r="D80" t="str">
        <f>"Cake or Death"</f>
        <v>Cake or Death</v>
      </c>
    </row>
    <row r="81" spans="1:4" x14ac:dyDescent="0.2">
      <c r="A81" t="str">
        <f>"80"</f>
        <v>80</v>
      </c>
      <c r="B81" t="str">
        <f>"1.16"</f>
        <v>1.16</v>
      </c>
      <c r="C81" t="str">
        <f>"26"</f>
        <v>26</v>
      </c>
      <c r="D81" t="str">
        <f>"Pleasure Ground"</f>
        <v>Pleasure Ground</v>
      </c>
    </row>
    <row r="82" spans="1:4" x14ac:dyDescent="0.2">
      <c r="A82" t="str">
        <f>"81"</f>
        <v>81</v>
      </c>
      <c r="B82" t="str">
        <f>"0.31"</f>
        <v>0.31</v>
      </c>
      <c r="C82" t="str">
        <f>"71"</f>
        <v>71</v>
      </c>
      <c r="D82" t="str">
        <f>"Invasive Exotics"</f>
        <v>Invasive Exotics</v>
      </c>
    </row>
    <row r="83" spans="1:4" x14ac:dyDescent="0.2">
      <c r="A83" t="str">
        <f>"82"</f>
        <v>82</v>
      </c>
      <c r="B83" t="str">
        <f>"-0.08"</f>
        <v>-0.08</v>
      </c>
      <c r="C83" t="str">
        <f>"46"</f>
        <v>46</v>
      </c>
      <c r="D83" t="str">
        <f>"Music For Plants"</f>
        <v>Music For Plants</v>
      </c>
    </row>
    <row r="84" spans="1:4" x14ac:dyDescent="0.2">
      <c r="A84" t="str">
        <f>"83"</f>
        <v>83</v>
      </c>
      <c r="B84" t="str">
        <f>"0.55"</f>
        <v>0.55</v>
      </c>
      <c r="C84" t="str">
        <f>"32"</f>
        <v>32</v>
      </c>
      <c r="D84" t="str">
        <f>"Perception"</f>
        <v>Perception</v>
      </c>
    </row>
    <row r="85" spans="1:4" x14ac:dyDescent="0.2">
      <c r="A85" t="str">
        <f>"84"</f>
        <v>84</v>
      </c>
      <c r="B85" t="str">
        <f>"-0.93"</f>
        <v>-0.93</v>
      </c>
      <c r="C85" t="str">
        <f>"27"</f>
        <v>27</v>
      </c>
      <c r="D85" t="str">
        <f>"Music from The O.C. Mix 6: Covering Our Tracks"</f>
        <v>Music from The O.C. Mix 6: Covering Our Tracks</v>
      </c>
    </row>
    <row r="86" spans="1:4" x14ac:dyDescent="0.2">
      <c r="A86" t="str">
        <f>"85"</f>
        <v>85</v>
      </c>
      <c r="B86" t="str">
        <f>"0.94"</f>
        <v>0.94</v>
      </c>
      <c r="C86" t="str">
        <f>"21"</f>
        <v>21</v>
      </c>
      <c r="D86" t="str">
        <f>"Math and Physics Club"</f>
        <v>Math and Physics Club</v>
      </c>
    </row>
    <row r="87" spans="1:4" x14ac:dyDescent="0.2">
      <c r="A87" t="str">
        <f>"86"</f>
        <v>86</v>
      </c>
      <c r="B87" t="str">
        <f>"0.9"</f>
        <v>0.9</v>
      </c>
      <c r="C87" t="str">
        <f>"22"</f>
        <v>22</v>
      </c>
      <c r="D87" t="str">
        <f>"Aerial Days"</f>
        <v>Aerial Days</v>
      </c>
    </row>
    <row r="88" spans="1:4" x14ac:dyDescent="0.2">
      <c r="A88" t="str">
        <f>"87"</f>
        <v>87</v>
      </c>
      <c r="B88" t="str">
        <f>"-1.06"</f>
        <v>-1.06</v>
      </c>
      <c r="C88" t="str">
        <f>"48"</f>
        <v>48</v>
      </c>
      <c r="D88" t="str">
        <f>"Sangue Puro"</f>
        <v>Sangue Puro</v>
      </c>
    </row>
    <row r="89" spans="1:4" x14ac:dyDescent="0.2">
      <c r="A89" t="str">
        <f>"88"</f>
        <v>88</v>
      </c>
      <c r="B89" t="str">
        <f>"0.66"</f>
        <v>0.66</v>
      </c>
      <c r="C89" t="str">
        <f>"27"</f>
        <v>27</v>
      </c>
      <c r="D89" t="str">
        <f>"LateNightTales"</f>
        <v>LateNightTales</v>
      </c>
    </row>
    <row r="90" spans="1:4" x14ac:dyDescent="0.2">
      <c r="A90" t="str">
        <f>"89"</f>
        <v>89</v>
      </c>
      <c r="B90" t="str">
        <f>"0.15"</f>
        <v>0.15</v>
      </c>
      <c r="C90" t="str">
        <f>"25"</f>
        <v>25</v>
      </c>
      <c r="D90" t="str">
        <f>"The Knife"</f>
        <v>The Knife</v>
      </c>
    </row>
    <row r="91" spans="1:4" x14ac:dyDescent="0.2">
      <c r="A91" t="str">
        <f>"90"</f>
        <v>90</v>
      </c>
      <c r="B91" t="str">
        <f>"-1.24"</f>
        <v>-1.24</v>
      </c>
      <c r="C91" t="str">
        <f>"25"</f>
        <v>25</v>
      </c>
      <c r="D91" t="str">
        <f>"The Beatific Visions"</f>
        <v>The Beatific Visions</v>
      </c>
    </row>
    <row r="92" spans="1:4" x14ac:dyDescent="0.2">
      <c r="A92" t="str">
        <f>"91"</f>
        <v>91</v>
      </c>
      <c r="B92" t="str">
        <f>"-0.44"</f>
        <v>-0.44</v>
      </c>
      <c r="C92" t="str">
        <f>"78"</f>
        <v>78</v>
      </c>
      <c r="D92" t="str">
        <f>"Live at CBGB 1982"</f>
        <v>Live at CBGB 1982</v>
      </c>
    </row>
    <row r="93" spans="1:4" x14ac:dyDescent="0.2">
      <c r="A93" t="str">
        <f>"92"</f>
        <v>92</v>
      </c>
      <c r="B93" t="str">
        <f>"-0.25"</f>
        <v>-0.25</v>
      </c>
      <c r="C93" t="str">
        <f>"42"</f>
        <v>42</v>
      </c>
      <c r="D93" t="str">
        <f>"Robot"</f>
        <v>Robot</v>
      </c>
    </row>
    <row r="94" spans="1:4" x14ac:dyDescent="0.2">
      <c r="A94" t="str">
        <f>"93"</f>
        <v>93</v>
      </c>
      <c r="B94" t="str">
        <f>"0.22"</f>
        <v>0.22</v>
      </c>
      <c r="C94" t="str">
        <f>"90"</f>
        <v>90</v>
      </c>
      <c r="D94" t="str">
        <f>"Stop the Clocks"</f>
        <v>Stop the Clocks</v>
      </c>
    </row>
    <row r="95" spans="1:4" x14ac:dyDescent="0.2">
      <c r="A95" t="str">
        <f>"94"</f>
        <v>94</v>
      </c>
      <c r="B95" t="str">
        <f>"0.34"</f>
        <v>0.34</v>
      </c>
      <c r="C95" t="str">
        <f>"70"</f>
        <v>70</v>
      </c>
      <c r="D95" t="str">
        <f>"The Rakamonie EP"</f>
        <v>The Rakamonie EP</v>
      </c>
    </row>
    <row r="96" spans="1:4" x14ac:dyDescent="0.2">
      <c r="A96" t="str">
        <f>"95"</f>
        <v>95</v>
      </c>
      <c r="B96" t="str">
        <f>"0.49"</f>
        <v>0.49</v>
      </c>
      <c r="C96" t="str">
        <f>"32"</f>
        <v>32</v>
      </c>
      <c r="D96" t="str">
        <f>"Songs for the Gentle"</f>
        <v>Songs for the Gentle</v>
      </c>
    </row>
    <row r="97" spans="1:4" x14ac:dyDescent="0.2">
      <c r="A97" t="str">
        <f>"96"</f>
        <v>96</v>
      </c>
      <c r="B97" t="str">
        <f>"-0.23"</f>
        <v>-0.23</v>
      </c>
      <c r="C97" t="str">
        <f>"75"</f>
        <v>75</v>
      </c>
      <c r="D97" t="str">
        <f>"Sunset at the End of the Industrial Age"</f>
        <v>Sunset at the End of the Industrial Age</v>
      </c>
    </row>
    <row r="98" spans="1:4" x14ac:dyDescent="0.2">
      <c r="A98" t="str">
        <f>"97"</f>
        <v>97</v>
      </c>
      <c r="B98" t="str">
        <f>"-0.26"</f>
        <v>-0.26</v>
      </c>
      <c r="C98" t="str">
        <f>"65"</f>
        <v>65</v>
      </c>
      <c r="D98" t="str">
        <f>"The Unsung Colony"</f>
        <v>The Unsung Colony</v>
      </c>
    </row>
    <row r="99" spans="1:4" x14ac:dyDescent="0.2">
      <c r="A99" t="str">
        <f>"98"</f>
        <v>98</v>
      </c>
      <c r="B99" t="str">
        <f>"0.92"</f>
        <v>0.92</v>
      </c>
      <c r="C99" t="str">
        <f>"43"</f>
        <v>43</v>
      </c>
      <c r="D99" t="str">
        <f>"Love"</f>
        <v>Love</v>
      </c>
    </row>
    <row r="100" spans="1:4" x14ac:dyDescent="0.2">
      <c r="A100" t="str">
        <f>"99"</f>
        <v>99</v>
      </c>
      <c r="B100" t="str">
        <f>"0.18"</f>
        <v>0.18</v>
      </c>
      <c r="C100" t="str">
        <f>"69"</f>
        <v>69</v>
      </c>
      <c r="D100" t="str">
        <f>"The Best of Vol. 1"</f>
        <v>The Best of Vol. 1</v>
      </c>
    </row>
    <row r="101" spans="1:4" x14ac:dyDescent="0.2">
      <c r="A101" t="str">
        <f>"100"</f>
        <v>100</v>
      </c>
      <c r="B101" t="str">
        <f>"-0.67"</f>
        <v>-0.67</v>
      </c>
      <c r="C101" t="str">
        <f>"85"</f>
        <v>85</v>
      </c>
      <c r="D101" t="str">
        <f>"The Absent and the Distant"</f>
        <v>The Absent and the Distant</v>
      </c>
    </row>
    <row r="102" spans="1:4" x14ac:dyDescent="0.2">
      <c r="A102" t="str">
        <f>"101"</f>
        <v>101</v>
      </c>
      <c r="B102" t="str">
        <f>"-0.28"</f>
        <v>-0.28</v>
      </c>
      <c r="C102" t="str">
        <f>"59"</f>
        <v>59</v>
      </c>
      <c r="D102" t="str">
        <f>"Northern Stains"</f>
        <v>Northern Stains</v>
      </c>
    </row>
    <row r="103" spans="1:4" x14ac:dyDescent="0.2">
      <c r="A103" t="str">
        <f>"102"</f>
        <v>102</v>
      </c>
      <c r="B103" t="str">
        <f>"-1.39"</f>
        <v>-1.39</v>
      </c>
      <c r="C103" t="str">
        <f>"53"</f>
        <v>53</v>
      </c>
      <c r="D103" t="str">
        <f>"Not Saying/Just Saying"</f>
        <v>Not Saying/Just Saying</v>
      </c>
    </row>
    <row r="104" spans="1:4" x14ac:dyDescent="0.2">
      <c r="A104" t="str">
        <f>"103"</f>
        <v>103</v>
      </c>
      <c r="B104" t="str">
        <f>"0.58"</f>
        <v>0.58</v>
      </c>
      <c r="C104" t="str">
        <f>"32"</f>
        <v>32</v>
      </c>
      <c r="D104" t="str">
        <f>"18 Singles"</f>
        <v>18 Singles</v>
      </c>
    </row>
    <row r="105" spans="1:4" x14ac:dyDescent="0.2">
      <c r="A105" t="str">
        <f>"104"</f>
        <v>104</v>
      </c>
      <c r="B105" t="str">
        <f>"0.51"</f>
        <v>0.51</v>
      </c>
      <c r="C105" t="str">
        <f>"106"</f>
        <v>106</v>
      </c>
      <c r="D105" t="str">
        <f>"In the Absence of Truth"</f>
        <v>In the Absence of Truth</v>
      </c>
    </row>
    <row r="106" spans="1:4" x14ac:dyDescent="0.2">
      <c r="A106" t="str">
        <f>"105"</f>
        <v>105</v>
      </c>
      <c r="B106" t="str">
        <f>"-0.89"</f>
        <v>-0.89</v>
      </c>
      <c r="C106" t="str">
        <f>"36"</f>
        <v>36</v>
      </c>
      <c r="D106" t="str">
        <f>"Stowaway"</f>
        <v>Stowaway</v>
      </c>
    </row>
    <row r="107" spans="1:4" x14ac:dyDescent="0.2">
      <c r="A107" t="str">
        <f>"106"</f>
        <v>106</v>
      </c>
      <c r="B107" t="str">
        <f>"0.26"</f>
        <v>0.26</v>
      </c>
      <c r="C107" t="str">
        <f>"65"</f>
        <v>65</v>
      </c>
      <c r="D107" t="str">
        <f>"Ensemble"</f>
        <v>Ensemble</v>
      </c>
    </row>
    <row r="108" spans="1:4" x14ac:dyDescent="0.2">
      <c r="A108" t="str">
        <f>"107"</f>
        <v>107</v>
      </c>
      <c r="B108" t="str">
        <f>"0.54"</f>
        <v>0.54</v>
      </c>
      <c r="C108" t="str">
        <f>"59"</f>
        <v>59</v>
      </c>
      <c r="D108" t="str">
        <f>"Illuminated Manuscript"</f>
        <v>Illuminated Manuscript</v>
      </c>
    </row>
    <row r="109" spans="1:4" x14ac:dyDescent="0.2">
      <c r="A109" t="str">
        <f>"108"</f>
        <v>108</v>
      </c>
      <c r="B109" t="str">
        <f>"0.29"</f>
        <v>0.29</v>
      </c>
      <c r="C109" t="str">
        <f>"35"</f>
        <v>35</v>
      </c>
      <c r="D109" t="str">
        <f>"Introducing..."</f>
        <v>Introducing...</v>
      </c>
    </row>
    <row r="110" spans="1:4" x14ac:dyDescent="0.2">
      <c r="A110" t="str">
        <f>"109"</f>
        <v>109</v>
      </c>
      <c r="B110" t="str">
        <f>"-0.55"</f>
        <v>-0.55</v>
      </c>
      <c r="C110" t="str">
        <f>"29"</f>
        <v>29</v>
      </c>
      <c r="D110" t="s">
        <v>5</v>
      </c>
    </row>
    <row r="111" spans="1:4" x14ac:dyDescent="0.2">
      <c r="A111" t="str">
        <f>"110"</f>
        <v>110</v>
      </c>
      <c r="B111" t="str">
        <f>"-0.35"</f>
        <v>-0.35</v>
      </c>
      <c r="C111" t="str">
        <f>"95"</f>
        <v>95</v>
      </c>
      <c r="D111" t="str">
        <f>"Pac's Life"</f>
        <v>Pac's Life</v>
      </c>
    </row>
    <row r="112" spans="1:4" x14ac:dyDescent="0.2">
      <c r="A112" t="str">
        <f>"111"</f>
        <v>111</v>
      </c>
      <c r="B112" t="str">
        <f>"0.93"</f>
        <v>0.93</v>
      </c>
      <c r="C112" t="str">
        <f>"84"</f>
        <v>84</v>
      </c>
      <c r="D112" t="str">
        <f>"Songs From Before"</f>
        <v>Songs From Before</v>
      </c>
    </row>
    <row r="113" spans="1:4" x14ac:dyDescent="0.2">
      <c r="A113" t="str">
        <f>"112"</f>
        <v>112</v>
      </c>
      <c r="B113" t="str">
        <f>"0.46"</f>
        <v>0.46</v>
      </c>
      <c r="C113" t="str">
        <f>"60"</f>
        <v>60</v>
      </c>
      <c r="D113" t="str">
        <f>"Précis"</f>
        <v>Précis</v>
      </c>
    </row>
    <row r="114" spans="1:4" x14ac:dyDescent="0.2">
      <c r="A114" t="str">
        <f>"113"</f>
        <v>113</v>
      </c>
      <c r="B114" t="str">
        <f>"-0.44"</f>
        <v>-0.44</v>
      </c>
      <c r="C114" t="str">
        <f>"90"</f>
        <v>90</v>
      </c>
      <c r="D114" t="str">
        <f>"Hell Hath No Fury"</f>
        <v>Hell Hath No Fury</v>
      </c>
    </row>
    <row r="115" spans="1:4" x14ac:dyDescent="0.2">
      <c r="A115" t="str">
        <f>"114"</f>
        <v>114</v>
      </c>
      <c r="B115" t="str">
        <f>"0.17"</f>
        <v>0.17</v>
      </c>
      <c r="C115" t="str">
        <f>"142"</f>
        <v>142</v>
      </c>
      <c r="D115" t="str">
        <f>"Everything Under the Sun"</f>
        <v>Everything Under the Sun</v>
      </c>
    </row>
    <row r="116" spans="1:4" x14ac:dyDescent="0.2">
      <c r="A116" t="str">
        <f>"115"</f>
        <v>115</v>
      </c>
      <c r="B116" t="str">
        <f>"0.21"</f>
        <v>0.21</v>
      </c>
      <c r="C116" t="str">
        <f>"56"</f>
        <v>56</v>
      </c>
      <c r="D116" t="str">
        <f>"Waiting for the Time to Be Right"</f>
        <v>Waiting for the Time to Be Right</v>
      </c>
    </row>
    <row r="117" spans="1:4" x14ac:dyDescent="0.2">
      <c r="A117" t="str">
        <f>"116"</f>
        <v>116</v>
      </c>
      <c r="B117" t="str">
        <f>"0.36"</f>
        <v>0.36</v>
      </c>
      <c r="C117" t="str">
        <f>"101"</f>
        <v>101</v>
      </c>
      <c r="D117" t="str">
        <f>"School Was My Hustle"</f>
        <v>School Was My Hustle</v>
      </c>
    </row>
    <row r="118" spans="1:4" x14ac:dyDescent="0.2">
      <c r="A118" t="str">
        <f>"117"</f>
        <v>117</v>
      </c>
      <c r="B118" t="str">
        <f>"-0.6"</f>
        <v>-0.6</v>
      </c>
      <c r="C118" t="str">
        <f>"45"</f>
        <v>45</v>
      </c>
      <c r="D118" t="str">
        <f>"Backward Masks"</f>
        <v>Backward Masks</v>
      </c>
    </row>
    <row r="119" spans="1:4" x14ac:dyDescent="0.2">
      <c r="A119" t="str">
        <f>"118"</f>
        <v>118</v>
      </c>
      <c r="B119" t="str">
        <f>"0.71"</f>
        <v>0.71</v>
      </c>
      <c r="C119" t="str">
        <f>"73"</f>
        <v>73</v>
      </c>
      <c r="D119" t="str">
        <f>"Beast Moans"</f>
        <v>Beast Moans</v>
      </c>
    </row>
    <row r="120" spans="1:4" x14ac:dyDescent="0.2">
      <c r="A120" t="str">
        <f>"119"</f>
        <v>119</v>
      </c>
      <c r="B120" t="str">
        <f>"-1.2"</f>
        <v>-1.2</v>
      </c>
      <c r="C120" t="str">
        <f>"51"</f>
        <v>51</v>
      </c>
      <c r="D120" t="str">
        <f>"9"</f>
        <v>9</v>
      </c>
    </row>
    <row r="121" spans="1:4" x14ac:dyDescent="0.2">
      <c r="A121" t="str">
        <f>"120"</f>
        <v>120</v>
      </c>
      <c r="B121" t="str">
        <f>"-0.17"</f>
        <v>-0.17</v>
      </c>
      <c r="C121" t="str">
        <f>"60"</f>
        <v>60</v>
      </c>
      <c r="D121" t="str">
        <f>"Roots of Rumba Rock: Congo Classics 1953-1955"</f>
        <v>Roots of Rumba Rock: Congo Classics 1953-1955</v>
      </c>
    </row>
    <row r="122" spans="1:4" x14ac:dyDescent="0.2">
      <c r="A122" t="str">
        <f>"121"</f>
        <v>121</v>
      </c>
      <c r="B122" t="str">
        <f>"0.01"</f>
        <v>0.01</v>
      </c>
      <c r="C122" t="str">
        <f>"67"</f>
        <v>67</v>
      </c>
      <c r="D122" t="str">
        <f>"Mound Magnet"</f>
        <v>Mound Magnet</v>
      </c>
    </row>
    <row r="123" spans="1:4" x14ac:dyDescent="0.2">
      <c r="A123" t="str">
        <f>"122"</f>
        <v>122</v>
      </c>
      <c r="B123" t="str">
        <f>"-0.79"</f>
        <v>-0.79</v>
      </c>
      <c r="C123" t="str">
        <f>"97"</f>
        <v>97</v>
      </c>
      <c r="D123" t="str">
        <f>"Live a Little"</f>
        <v>Live a Little</v>
      </c>
    </row>
    <row r="124" spans="1:4" x14ac:dyDescent="0.2">
      <c r="A124" t="str">
        <f>"123"</f>
        <v>123</v>
      </c>
      <c r="B124" t="str">
        <f>"1.39"</f>
        <v>1.39</v>
      </c>
      <c r="C124" t="str">
        <f>"30"</f>
        <v>30</v>
      </c>
      <c r="D124" t="str">
        <f>"Songs for Christmas"</f>
        <v>Songs for Christmas</v>
      </c>
    </row>
    <row r="125" spans="1:4" x14ac:dyDescent="0.2">
      <c r="A125" t="str">
        <f>"124"</f>
        <v>124</v>
      </c>
      <c r="B125" t="str">
        <f>"-0.03"</f>
        <v>-0.03</v>
      </c>
      <c r="C125" t="str">
        <f>"100"</f>
        <v>100</v>
      </c>
      <c r="D125" t="str">
        <f>"Tha Blue Carpet Treatment"</f>
        <v>Tha Blue Carpet Treatment</v>
      </c>
    </row>
    <row r="126" spans="1:4" x14ac:dyDescent="0.2">
      <c r="A126" t="str">
        <f>"125"</f>
        <v>125</v>
      </c>
      <c r="B126" t="str">
        <f>"-0.31"</f>
        <v>-0.31</v>
      </c>
      <c r="C126" t="str">
        <f>"67"</f>
        <v>67</v>
      </c>
      <c r="D126" t="str">
        <f>"Let's Build a Fire"</f>
        <v>Let's Build a Fire</v>
      </c>
    </row>
    <row r="127" spans="1:4" x14ac:dyDescent="0.2">
      <c r="A127" t="str">
        <f>"126"</f>
        <v>126</v>
      </c>
      <c r="B127" t="str">
        <f>"-0.68"</f>
        <v>-0.68</v>
      </c>
      <c r="C127" t="str">
        <f>"43"</f>
        <v>43</v>
      </c>
      <c r="D127" t="str">
        <f>"Variations for Piano and Tape"</f>
        <v>Variations for Piano and Tape</v>
      </c>
    </row>
    <row r="128" spans="1:4" x14ac:dyDescent="0.2">
      <c r="A128" t="str">
        <f>"127"</f>
        <v>127</v>
      </c>
      <c r="B128" t="str">
        <f>"-1.29"</f>
        <v>-1.29</v>
      </c>
      <c r="C128" t="str">
        <f>"59"</f>
        <v>59</v>
      </c>
      <c r="D128" t="str">
        <f>"Perfumed Lands"</f>
        <v>Perfumed Lands</v>
      </c>
    </row>
    <row r="129" spans="1:4" x14ac:dyDescent="0.2">
      <c r="A129" t="str">
        <f>"128"</f>
        <v>128</v>
      </c>
      <c r="B129" t="str">
        <f>"-0.01"</f>
        <v>-0.01</v>
      </c>
      <c r="C129" t="str">
        <f>"23"</f>
        <v>23</v>
      </c>
      <c r="D129" t="str">
        <f>"Pyramids"</f>
        <v>Pyramids</v>
      </c>
    </row>
    <row r="130" spans="1:4" x14ac:dyDescent="0.2">
      <c r="A130" t="str">
        <f>"129"</f>
        <v>129</v>
      </c>
      <c r="B130" t="str">
        <f>"-0.18"</f>
        <v>-0.18</v>
      </c>
      <c r="C130" t="str">
        <f>"94"</f>
        <v>94</v>
      </c>
      <c r="D130" t="str">
        <f>"The Singles"</f>
        <v>The Singles</v>
      </c>
    </row>
    <row r="131" spans="1:4" x14ac:dyDescent="0.2">
      <c r="A131" t="str">
        <f>"130"</f>
        <v>130</v>
      </c>
      <c r="B131" t="str">
        <f>"-0.24"</f>
        <v>-0.24</v>
      </c>
      <c r="C131" t="str">
        <f>"135"</f>
        <v>135</v>
      </c>
      <c r="D131" t="str">
        <f>"Kingdom Come"</f>
        <v>Kingdom Come</v>
      </c>
    </row>
    <row r="132" spans="1:4" x14ac:dyDescent="0.2">
      <c r="A132" t="str">
        <f>"131"</f>
        <v>131</v>
      </c>
      <c r="B132" t="str">
        <f>"-0.18"</f>
        <v>-0.18</v>
      </c>
      <c r="C132" t="str">
        <f>"110"</f>
        <v>110</v>
      </c>
      <c r="D132" t="str">
        <f>"Gala Mill"</f>
        <v>Gala Mill</v>
      </c>
    </row>
    <row r="133" spans="1:4" x14ac:dyDescent="0.2">
      <c r="A133" t="str">
        <f>"132"</f>
        <v>132</v>
      </c>
      <c r="B133" t="str">
        <f>"0.36"</f>
        <v>0.36</v>
      </c>
      <c r="C133" t="str">
        <f>"46"</f>
        <v>46</v>
      </c>
      <c r="D133" t="str">
        <f>"7 From the Village EP"</f>
        <v>7 From the Village EP</v>
      </c>
    </row>
    <row r="134" spans="1:4" x14ac:dyDescent="0.2">
      <c r="A134" t="str">
        <f>"133"</f>
        <v>133</v>
      </c>
      <c r="B134" t="str">
        <f>"-0.09"</f>
        <v>-0.09</v>
      </c>
      <c r="C134" t="str">
        <f>"84"</f>
        <v>84</v>
      </c>
      <c r="D134" t="str">
        <f>"Zidane: A 21st Century Portrait OST"</f>
        <v>Zidane: A 21st Century Portrait OST</v>
      </c>
    </row>
    <row r="135" spans="1:4" x14ac:dyDescent="0.2">
      <c r="A135" t="str">
        <f>"134"</f>
        <v>134</v>
      </c>
      <c r="B135" t="str">
        <f>"1.19"</f>
        <v>1.19</v>
      </c>
      <c r="C135" t="str">
        <f>"85"</f>
        <v>85</v>
      </c>
      <c r="D135" t="str">
        <f>"In My Own Time"</f>
        <v>In My Own Time</v>
      </c>
    </row>
    <row r="136" spans="1:4" x14ac:dyDescent="0.2">
      <c r="A136" t="str">
        <f>"135"</f>
        <v>135</v>
      </c>
      <c r="B136" t="str">
        <f>"-0.75"</f>
        <v>-0.75</v>
      </c>
      <c r="C136" t="str">
        <f>"103"</f>
        <v>103</v>
      </c>
      <c r="D136" t="str">
        <f>"Mudsuckers"</f>
        <v>Mudsuckers</v>
      </c>
    </row>
    <row r="137" spans="1:4" x14ac:dyDescent="0.2">
      <c r="A137" t="str">
        <f>"136"</f>
        <v>136</v>
      </c>
      <c r="B137" t="str">
        <f>"0.17"</f>
        <v>0.17</v>
      </c>
      <c r="C137" t="str">
        <f>"78"</f>
        <v>78</v>
      </c>
      <c r="D137" t="str">
        <f>"Samme Stof Som Stof"</f>
        <v>Samme Stof Som Stof</v>
      </c>
    </row>
    <row r="138" spans="1:4" x14ac:dyDescent="0.2">
      <c r="A138" t="str">
        <f>"137"</f>
        <v>137</v>
      </c>
      <c r="B138" t="str">
        <f>"0.47"</f>
        <v>0.47</v>
      </c>
      <c r="C138" t="str">
        <f>"63"</f>
        <v>63</v>
      </c>
      <c r="D138" t="str">
        <f>"Danava"</f>
        <v>Danava</v>
      </c>
    </row>
    <row r="139" spans="1:4" x14ac:dyDescent="0.2">
      <c r="A139" t="str">
        <f>"138"</f>
        <v>138</v>
      </c>
      <c r="B139" t="str">
        <f>"-0.17"</f>
        <v>-0.17</v>
      </c>
      <c r="C139" t="str">
        <f>"105"</f>
        <v>105</v>
      </c>
      <c r="D139" t="str">
        <f>"Jarvis"</f>
        <v>Jarvis</v>
      </c>
    </row>
    <row r="140" spans="1:4" x14ac:dyDescent="0.2">
      <c r="A140" t="str">
        <f>"139"</f>
        <v>139</v>
      </c>
      <c r="B140" t="str">
        <f>"-0.49"</f>
        <v>-0.49</v>
      </c>
      <c r="C140" t="str">
        <f>"85"</f>
        <v>85</v>
      </c>
      <c r="D140" t="str">
        <f>"Are We Not Horses?"</f>
        <v>Are We Not Horses?</v>
      </c>
    </row>
    <row r="141" spans="1:4" x14ac:dyDescent="0.2">
      <c r="A141" t="str">
        <f>"140"</f>
        <v>140</v>
      </c>
      <c r="B141" t="str">
        <f>"0.38"</f>
        <v>0.38</v>
      </c>
      <c r="C141" t="str">
        <f>"25"</f>
        <v>25</v>
      </c>
      <c r="D141" t="str">
        <f>"Music for the Bluegrass States"</f>
        <v>Music for the Bluegrass States</v>
      </c>
    </row>
    <row r="142" spans="1:4" x14ac:dyDescent="0.2">
      <c r="A142" t="str">
        <f>"141"</f>
        <v>141</v>
      </c>
      <c r="B142" t="str">
        <f>"0.54"</f>
        <v>0.54</v>
      </c>
      <c r="C142" t="str">
        <f>"55"</f>
        <v>55</v>
      </c>
      <c r="D142" t="str">
        <f>"Telescope Mind"</f>
        <v>Telescope Mind</v>
      </c>
    </row>
    <row r="143" spans="1:4" x14ac:dyDescent="0.2">
      <c r="A143" t="str">
        <f>"142"</f>
        <v>142</v>
      </c>
      <c r="B143" t="str">
        <f>"-0.54"</f>
        <v>-0.54</v>
      </c>
      <c r="C143" t="str">
        <f>"18"</f>
        <v>18</v>
      </c>
      <c r="D143" t="str">
        <f>"Let's Build a Fire [Taiwan]"</f>
        <v>Let's Build a Fire [Taiwan]</v>
      </c>
    </row>
    <row r="144" spans="1:4" x14ac:dyDescent="0.2">
      <c r="A144" t="str">
        <f>"143"</f>
        <v>143</v>
      </c>
      <c r="B144" t="str">
        <f>"-0.21"</f>
        <v>-0.21</v>
      </c>
      <c r="C144" t="str">
        <f>"63"</f>
        <v>63</v>
      </c>
      <c r="D144" t="str">
        <f>"So Divided"</f>
        <v>So Divided</v>
      </c>
    </row>
    <row r="145" spans="1:4" x14ac:dyDescent="0.2">
      <c r="A145" t="str">
        <f>"144"</f>
        <v>144</v>
      </c>
      <c r="B145" t="str">
        <f>"0.19"</f>
        <v>0.19</v>
      </c>
      <c r="C145" t="str">
        <f>"98"</f>
        <v>98</v>
      </c>
      <c r="D145" t="str">
        <f>"Hag: The Best of Merle Haggard"</f>
        <v>Hag: The Best of Merle Haggard</v>
      </c>
    </row>
    <row r="146" spans="1:4" x14ac:dyDescent="0.2">
      <c r="A146" t="str">
        <f>"145"</f>
        <v>145</v>
      </c>
      <c r="B146" t="str">
        <f>"-0.45"</f>
        <v>-0.45</v>
      </c>
      <c r="C146" t="str">
        <f>"16"</f>
        <v>16</v>
      </c>
      <c r="D146" t="str">
        <f>"Coal"</f>
        <v>Coal</v>
      </c>
    </row>
    <row r="147" spans="1:4" x14ac:dyDescent="0.2">
      <c r="A147" t="str">
        <f>"146"</f>
        <v>146</v>
      </c>
      <c r="B147" t="str">
        <f>"0.14"</f>
        <v>0.14</v>
      </c>
      <c r="C147" t="str">
        <f>"14"</f>
        <v>14</v>
      </c>
      <c r="D147" t="str">
        <f>"Musik"</f>
        <v>Musik</v>
      </c>
    </row>
    <row r="148" spans="1:4" x14ac:dyDescent="0.2">
      <c r="A148" t="str">
        <f>"147"</f>
        <v>147</v>
      </c>
      <c r="B148" t="str">
        <f>"0.09"</f>
        <v>0.09</v>
      </c>
      <c r="C148" t="str">
        <f>"61"</f>
        <v>61</v>
      </c>
      <c r="D148" t="str">
        <f>"The Light at the End of the Tunnel is a Train"</f>
        <v>The Light at the End of the Tunnel is a Train</v>
      </c>
    </row>
    <row r="149" spans="1:4" x14ac:dyDescent="0.2">
      <c r="A149" t="str">
        <f>"148"</f>
        <v>148</v>
      </c>
      <c r="B149" t="str">
        <f>"-0.73"</f>
        <v>-0.73</v>
      </c>
      <c r="C149" t="str">
        <f>"48"</f>
        <v>48</v>
      </c>
      <c r="D149" t="str">
        <f>"Doctor's Advocate"</f>
        <v>Doctor's Advocate</v>
      </c>
    </row>
    <row r="150" spans="1:4" x14ac:dyDescent="0.2">
      <c r="A150" t="str">
        <f>"149"</f>
        <v>149</v>
      </c>
      <c r="B150" t="str">
        <f>"1.06"</f>
        <v>1.06</v>
      </c>
      <c r="C150" t="str">
        <f>"27"</f>
        <v>27</v>
      </c>
      <c r="D150" t="str">
        <f>"The Peel Sessions: 1991-2004"</f>
        <v>The Peel Sessions: 1991-2004</v>
      </c>
    </row>
    <row r="151" spans="1:4" x14ac:dyDescent="0.2">
      <c r="A151" t="str">
        <f>"150"</f>
        <v>150</v>
      </c>
      <c r="B151" t="str">
        <f>"1.1"</f>
        <v>1.1</v>
      </c>
      <c r="C151" t="str">
        <f>"69"</f>
        <v>69</v>
      </c>
      <c r="D151" t="str">
        <f>"Journey Into Paradise: The Larry Levan Story"</f>
        <v>Journey Into Paradise: The Larry Levan Story</v>
      </c>
    </row>
    <row r="152" spans="1:4" x14ac:dyDescent="0.2">
      <c r="A152" t="str">
        <f>"151"</f>
        <v>151</v>
      </c>
      <c r="B152" t="str">
        <f>"-0.92"</f>
        <v>-0.92</v>
      </c>
      <c r="C152" t="str">
        <f>"67"</f>
        <v>67</v>
      </c>
      <c r="D152" t="str">
        <f>"Our Worn Shadow"</f>
        <v>Our Worn Shadow</v>
      </c>
    </row>
    <row r="153" spans="1:4" x14ac:dyDescent="0.2">
      <c r="A153" t="str">
        <f>"152"</f>
        <v>152</v>
      </c>
      <c r="B153" t="str">
        <f>"0.26"</f>
        <v>0.26</v>
      </c>
      <c r="C153" t="str">
        <f>"52"</f>
        <v>52</v>
      </c>
      <c r="D153" t="str">
        <f>"...Until the World Is Beautiful"</f>
        <v>...Until the World Is Beautiful</v>
      </c>
    </row>
    <row r="154" spans="1:4" x14ac:dyDescent="0.2">
      <c r="A154" t="str">
        <f>"153"</f>
        <v>153</v>
      </c>
      <c r="B154" t="str">
        <f>"0.13"</f>
        <v>0.13</v>
      </c>
      <c r="C154" t="str">
        <f>"33"</f>
        <v>33</v>
      </c>
      <c r="D154" t="str">
        <f>"Ys"</f>
        <v>Ys</v>
      </c>
    </row>
    <row r="155" spans="1:4" x14ac:dyDescent="0.2">
      <c r="A155" t="str">
        <f>"154"</f>
        <v>154</v>
      </c>
      <c r="B155" t="str">
        <f>"-0.1"</f>
        <v>-0.1</v>
      </c>
      <c r="C155" t="str">
        <f>"24"</f>
        <v>24</v>
      </c>
      <c r="D155" t="str">
        <f>"At San Quentin [Legacy Edition]"</f>
        <v>At San Quentin [Legacy Edition]</v>
      </c>
    </row>
    <row r="156" spans="1:4" x14ac:dyDescent="0.2">
      <c r="A156" t="str">
        <f>"155"</f>
        <v>155</v>
      </c>
      <c r="B156" t="str">
        <f>"-0.03"</f>
        <v>-0.03</v>
      </c>
      <c r="C156" t="str">
        <f>"19"</f>
        <v>19</v>
      </c>
      <c r="D156" t="str">
        <f>"Be He Me"</f>
        <v>Be He Me</v>
      </c>
    </row>
    <row r="157" spans="1:4" x14ac:dyDescent="0.2">
      <c r="A157" t="str">
        <f>"156"</f>
        <v>156</v>
      </c>
      <c r="B157" t="str">
        <f>"0.44"</f>
        <v>0.44</v>
      </c>
      <c r="C157" t="str">
        <f>"68"</f>
        <v>68</v>
      </c>
      <c r="D157" t="str">
        <f>"Johnny and the Moon"</f>
        <v>Johnny and the Moon</v>
      </c>
    </row>
    <row r="158" spans="1:4" x14ac:dyDescent="0.2">
      <c r="A158" t="str">
        <f>"157"</f>
        <v>157</v>
      </c>
      <c r="B158" t="str">
        <f>"-0.56"</f>
        <v>-0.56</v>
      </c>
      <c r="C158" t="str">
        <f>"23"</f>
        <v>23</v>
      </c>
      <c r="D158" t="str">
        <f>"Amid the Noise"</f>
        <v>Amid the Noise</v>
      </c>
    </row>
    <row r="159" spans="1:4" x14ac:dyDescent="0.2">
      <c r="A159" t="str">
        <f>"158"</f>
        <v>158</v>
      </c>
      <c r="B159" t="str">
        <f>"1.29"</f>
        <v>1.29</v>
      </c>
      <c r="C159" t="str">
        <f>"111"</f>
        <v>111</v>
      </c>
      <c r="D159" t="s">
        <v>6</v>
      </c>
    </row>
    <row r="160" spans="1:4" x14ac:dyDescent="0.2">
      <c r="A160" t="str">
        <f>"159"</f>
        <v>159</v>
      </c>
      <c r="B160" t="str">
        <f>"0.12"</f>
        <v>0.12</v>
      </c>
      <c r="C160" t="str">
        <f>"34"</f>
        <v>34</v>
      </c>
      <c r="D160" t="str">
        <f>"Immer 2"</f>
        <v>Immer 2</v>
      </c>
    </row>
    <row r="161" spans="1:4" x14ac:dyDescent="0.2">
      <c r="A161" t="str">
        <f>"160"</f>
        <v>160</v>
      </c>
      <c r="B161" t="str">
        <f>"0.2"</f>
        <v>0.2</v>
      </c>
      <c r="C161" t="str">
        <f>"50"</f>
        <v>50</v>
      </c>
      <c r="D161" t="str">
        <f>"Songs for Creeps"</f>
        <v>Songs for Creeps</v>
      </c>
    </row>
    <row r="162" spans="1:4" x14ac:dyDescent="0.2">
      <c r="A162" t="str">
        <f>"161"</f>
        <v>161</v>
      </c>
      <c r="B162" t="str">
        <f>"0.05"</f>
        <v>0.05</v>
      </c>
      <c r="C162" t="str">
        <f>"54"</f>
        <v>54</v>
      </c>
      <c r="D162" t="str">
        <f>"Threes"</f>
        <v>Threes</v>
      </c>
    </row>
    <row r="163" spans="1:4" x14ac:dyDescent="0.2">
      <c r="A163" t="str">
        <f>"162"</f>
        <v>162</v>
      </c>
      <c r="B163" t="str">
        <f>"-1.42"</f>
        <v>-1.42</v>
      </c>
      <c r="C163" t="str">
        <f>"53"</f>
        <v>53</v>
      </c>
      <c r="D163" t="str">
        <f>"Switzerland"</f>
        <v>Switzerland</v>
      </c>
    </row>
    <row r="164" spans="1:4" x14ac:dyDescent="0.2">
      <c r="A164" t="str">
        <f>"163"</f>
        <v>163</v>
      </c>
      <c r="B164" t="str">
        <f>"-0.13"</f>
        <v>-0.13</v>
      </c>
      <c r="C164" t="str">
        <f>"100"</f>
        <v>100</v>
      </c>
      <c r="D164" t="str">
        <f>"Plague Songs"</f>
        <v>Plague Songs</v>
      </c>
    </row>
    <row r="165" spans="1:4" x14ac:dyDescent="0.2">
      <c r="A165" t="str">
        <f>"164"</f>
        <v>164</v>
      </c>
      <c r="B165" t="str">
        <f>"0.71"</f>
        <v>0.71</v>
      </c>
      <c r="C165" t="str">
        <f>"28"</f>
        <v>28</v>
      </c>
      <c r="D165" t="str">
        <f>"Milkwhite Sheets"</f>
        <v>Milkwhite Sheets</v>
      </c>
    </row>
    <row r="166" spans="1:4" x14ac:dyDescent="0.2">
      <c r="A166" t="str">
        <f>"165"</f>
        <v>165</v>
      </c>
      <c r="B166" t="str">
        <f>"-0.35"</f>
        <v>-0.35</v>
      </c>
      <c r="C166" t="str">
        <f>"86"</f>
        <v>86</v>
      </c>
      <c r="D166" t="str">
        <f>"IBM 1401 - A User's Manual"</f>
        <v>IBM 1401 - A User's Manual</v>
      </c>
    </row>
    <row r="167" spans="1:4" x14ac:dyDescent="0.2">
      <c r="A167" t="str">
        <f>"166"</f>
        <v>166</v>
      </c>
      <c r="B167" t="str">
        <f>"-0.57"</f>
        <v>-0.57</v>
      </c>
      <c r="C167" t="str">
        <f>"55"</f>
        <v>55</v>
      </c>
      <c r="D167" t="str">
        <f>"The Truth Doesn't Matter"</f>
        <v>The Truth Doesn't Matter</v>
      </c>
    </row>
    <row r="168" spans="1:4" x14ac:dyDescent="0.2">
      <c r="A168" t="str">
        <f>"167"</f>
        <v>167</v>
      </c>
      <c r="B168" t="str">
        <f>"-0.35"</f>
        <v>-0.35</v>
      </c>
      <c r="C168" t="str">
        <f>"65"</f>
        <v>65</v>
      </c>
      <c r="D168" t="str">
        <f>"Catapult Calypso"</f>
        <v>Catapult Calypso</v>
      </c>
    </row>
    <row r="169" spans="1:4" x14ac:dyDescent="0.2">
      <c r="A169" t="str">
        <f>"168"</f>
        <v>168</v>
      </c>
      <c r="B169" t="str">
        <f>"-1.05"</f>
        <v>-1.05</v>
      </c>
      <c r="C169" t="str">
        <f>"22"</f>
        <v>22</v>
      </c>
      <c r="D169" t="str">
        <f>"We'll Build Them a Golden Bridge"</f>
        <v>We'll Build Them a Golden Bridge</v>
      </c>
    </row>
    <row r="170" spans="1:4" x14ac:dyDescent="0.2">
      <c r="A170" t="str">
        <f>"169"</f>
        <v>169</v>
      </c>
      <c r="B170" t="str">
        <f>"0.37"</f>
        <v>0.37</v>
      </c>
      <c r="C170" t="str">
        <f>"36"</f>
        <v>36</v>
      </c>
      <c r="D170" t="str">
        <f>"Serious Times"</f>
        <v>Serious Times</v>
      </c>
    </row>
    <row r="171" spans="1:4" x14ac:dyDescent="0.2">
      <c r="A171" t="str">
        <f>"170"</f>
        <v>170</v>
      </c>
      <c r="B171" t="str">
        <f>"1.43"</f>
        <v>1.43</v>
      </c>
      <c r="C171" t="str">
        <f>"63"</f>
        <v>63</v>
      </c>
      <c r="D171" t="str">
        <f>"Disciples of California"</f>
        <v>Disciples of California</v>
      </c>
    </row>
    <row r="172" spans="1:4" x14ac:dyDescent="0.2">
      <c r="A172" t="str">
        <f>"171"</f>
        <v>171</v>
      </c>
      <c r="B172" t="str">
        <f>"0.03"</f>
        <v>0.03</v>
      </c>
      <c r="C172" t="str">
        <f>"60"</f>
        <v>60</v>
      </c>
      <c r="D172" t="str">
        <f>"Micah P. Hinson and the Opera Circuit"</f>
        <v>Micah P. Hinson and the Opera Circuit</v>
      </c>
    </row>
    <row r="173" spans="1:4" x14ac:dyDescent="0.2">
      <c r="A173" t="str">
        <f>"172"</f>
        <v>172</v>
      </c>
      <c r="B173" t="str">
        <f>"1.03"</f>
        <v>1.03</v>
      </c>
      <c r="C173" t="str">
        <f>"73"</f>
        <v>73</v>
      </c>
      <c r="D173" t="str">
        <f>"Mansions"</f>
        <v>Mansions</v>
      </c>
    </row>
    <row r="174" spans="1:4" x14ac:dyDescent="0.2">
      <c r="A174" t="str">
        <f>"173"</f>
        <v>173</v>
      </c>
      <c r="B174" t="str">
        <f>"0.49"</f>
        <v>0.49</v>
      </c>
      <c r="C174" t="str">
        <f>"32"</f>
        <v>32</v>
      </c>
      <c r="D174" t="str">
        <f>"Get Evens"</f>
        <v>Get Evens</v>
      </c>
    </row>
    <row r="175" spans="1:4" x14ac:dyDescent="0.2">
      <c r="A175" t="str">
        <f>"174"</f>
        <v>174</v>
      </c>
      <c r="B175" t="str">
        <f>"-0.76"</f>
        <v>-0.76</v>
      </c>
      <c r="C175" t="str">
        <f>"115"</f>
        <v>115</v>
      </c>
      <c r="D175" t="str">
        <f>"Songbird"</f>
        <v>Songbird</v>
      </c>
    </row>
    <row r="176" spans="1:4" x14ac:dyDescent="0.2">
      <c r="A176" t="str">
        <f>"175"</f>
        <v>175</v>
      </c>
      <c r="B176" t="str">
        <f>"-0.14"</f>
        <v>-0.14</v>
      </c>
      <c r="C176" t="str">
        <f>"25"</f>
        <v>25</v>
      </c>
      <c r="D176" t="str">
        <f>"L'Enfant Assasin des Mouches"</f>
        <v>L'Enfant Assasin des Mouches</v>
      </c>
    </row>
    <row r="177" spans="1:4" x14ac:dyDescent="0.2">
      <c r="A177" t="str">
        <f>"176"</f>
        <v>176</v>
      </c>
      <c r="B177" t="str">
        <f>"0.86"</f>
        <v>0.86</v>
      </c>
      <c r="C177" t="str">
        <f>"54"</f>
        <v>54</v>
      </c>
      <c r="D177" t="str">
        <f>"I'm Thankful"</f>
        <v>I'm Thankful</v>
      </c>
    </row>
    <row r="178" spans="1:4" x14ac:dyDescent="0.2">
      <c r="A178" t="str">
        <f>"177"</f>
        <v>177</v>
      </c>
      <c r="B178" t="str">
        <f>"0.29"</f>
        <v>0.29</v>
      </c>
      <c r="C178" t="str">
        <f>"59"</f>
        <v>59</v>
      </c>
      <c r="D178" t="str">
        <f>"We Feel Safer at Night"</f>
        <v>We Feel Safer at Night</v>
      </c>
    </row>
    <row r="179" spans="1:4" x14ac:dyDescent="0.2">
      <c r="A179" t="str">
        <f>"178"</f>
        <v>178</v>
      </c>
      <c r="B179" t="str">
        <f>"0.92"</f>
        <v>0.92</v>
      </c>
      <c r="C179" t="str">
        <f>"94"</f>
        <v>94</v>
      </c>
      <c r="D179" t="str">
        <f>"Wowee Zowee: Sordid Sentinels Edition"</f>
        <v>Wowee Zowee: Sordid Sentinels Edition</v>
      </c>
    </row>
    <row r="180" spans="1:4" x14ac:dyDescent="0.2">
      <c r="A180" t="str">
        <f>"179"</f>
        <v>179</v>
      </c>
      <c r="B180" t="str">
        <f>"0.06"</f>
        <v>0.06</v>
      </c>
      <c r="C180" t="str">
        <f>"26"</f>
        <v>26</v>
      </c>
      <c r="D180" t="str">
        <f>"The Harry Smith Project"</f>
        <v>The Harry Smith Project</v>
      </c>
    </row>
    <row r="181" spans="1:4" x14ac:dyDescent="0.2">
      <c r="A181" t="str">
        <f>"180"</f>
        <v>180</v>
      </c>
      <c r="B181" t="str">
        <f>"1.07"</f>
        <v>1.07</v>
      </c>
      <c r="C181" t="str">
        <f>"71"</f>
        <v>71</v>
      </c>
      <c r="D181" t="str">
        <f>"Lightness"</f>
        <v>Lightness</v>
      </c>
    </row>
    <row r="182" spans="1:4" x14ac:dyDescent="0.2">
      <c r="A182" t="str">
        <f>"181"</f>
        <v>181</v>
      </c>
      <c r="B182" t="str">
        <f>"-0.06"</f>
        <v>-0.06</v>
      </c>
      <c r="C182" t="str">
        <f>"43"</f>
        <v>43</v>
      </c>
      <c r="D182" t="str">
        <f>"Closet Freak: The Best of Cee-Lo Green the Soul Machine"</f>
        <v>Closet Freak: The Best of Cee-Lo Green the Soul Machine</v>
      </c>
    </row>
    <row r="183" spans="1:4" x14ac:dyDescent="0.2">
      <c r="A183" t="str">
        <f>"182"</f>
        <v>182</v>
      </c>
      <c r="B183" t="str">
        <f>"-0.28"</f>
        <v>-0.28</v>
      </c>
      <c r="C183" t="str">
        <f>"79"</f>
        <v>79</v>
      </c>
      <c r="D183" t="str">
        <f>"Stories of Hope and Fear"</f>
        <v>Stories of Hope and Fear</v>
      </c>
    </row>
    <row r="184" spans="1:4" x14ac:dyDescent="0.2">
      <c r="A184" t="str">
        <f>"183"</f>
        <v>183</v>
      </c>
      <c r="B184" t="str">
        <f>"-0.25"</f>
        <v>-0.25</v>
      </c>
      <c r="C184" t="str">
        <f>"36"</f>
        <v>36</v>
      </c>
      <c r="D184" t="str">
        <f>"Paper Tigers"</f>
        <v>Paper Tigers</v>
      </c>
    </row>
    <row r="185" spans="1:4" x14ac:dyDescent="0.2">
      <c r="A185" t="str">
        <f>"184"</f>
        <v>184</v>
      </c>
      <c r="B185" t="str">
        <f>"-0.55"</f>
        <v>-0.55</v>
      </c>
      <c r="C185" t="str">
        <f>"28"</f>
        <v>28</v>
      </c>
      <c r="D185" t="str">
        <f>"Go: The Very Best of Moby"</f>
        <v>Go: The Very Best of Moby</v>
      </c>
    </row>
    <row r="186" spans="1:4" x14ac:dyDescent="0.2">
      <c r="A186" t="str">
        <f>"185"</f>
        <v>185</v>
      </c>
      <c r="B186" t="str">
        <f>"-0.62"</f>
        <v>-0.62</v>
      </c>
      <c r="C186" t="str">
        <f>"23"</f>
        <v>23</v>
      </c>
      <c r="D186" t="str">
        <f>"The Centre Will Hold"</f>
        <v>The Centre Will Hold</v>
      </c>
    </row>
    <row r="187" spans="1:4" x14ac:dyDescent="0.2">
      <c r="A187" t="str">
        <f>"186"</f>
        <v>186</v>
      </c>
      <c r="B187" t="str">
        <f>"0.01"</f>
        <v>0.01</v>
      </c>
      <c r="C187" t="str">
        <f>"68"</f>
        <v>68</v>
      </c>
      <c r="D187" t="str">
        <f>"Head Home"</f>
        <v>Head Home</v>
      </c>
    </row>
    <row r="188" spans="1:4" x14ac:dyDescent="0.2">
      <c r="A188" t="str">
        <f>"187"</f>
        <v>187</v>
      </c>
      <c r="B188" t="str">
        <f>"-0.35"</f>
        <v>-0.35</v>
      </c>
      <c r="C188" t="str">
        <f>"60"</f>
        <v>60</v>
      </c>
      <c r="D188" t="str">
        <f>"Olesi: Fragments of an Earth"</f>
        <v>Olesi: Fragments of an Earth</v>
      </c>
    </row>
    <row r="189" spans="1:4" x14ac:dyDescent="0.2">
      <c r="A189" t="str">
        <f>"188"</f>
        <v>188</v>
      </c>
      <c r="B189" t="str">
        <f>"-0.53"</f>
        <v>-0.53</v>
      </c>
      <c r="C189" t="str">
        <f>"26"</f>
        <v>26</v>
      </c>
      <c r="D189" t="str">
        <f>"Endless Wire"</f>
        <v>Endless Wire</v>
      </c>
    </row>
    <row r="190" spans="1:4" x14ac:dyDescent="0.2">
      <c r="A190" t="str">
        <f>"189"</f>
        <v>189</v>
      </c>
      <c r="B190" t="str">
        <f>"0.16"</f>
        <v>0.16</v>
      </c>
      <c r="C190" t="str">
        <f>"60"</f>
        <v>60</v>
      </c>
      <c r="D190" t="str">
        <f>"Shattered"</f>
        <v>Shattered</v>
      </c>
    </row>
    <row r="191" spans="1:4" x14ac:dyDescent="0.2">
      <c r="A191" t="str">
        <f>"190"</f>
        <v>190</v>
      </c>
      <c r="B191" t="str">
        <f>"-0.38"</f>
        <v>-0.38</v>
      </c>
      <c r="C191" t="str">
        <f>"26"</f>
        <v>26</v>
      </c>
      <c r="D191" t="str">
        <f>"And Now That I'm in Your Shadow"</f>
        <v>And Now That I'm in Your Shadow</v>
      </c>
    </row>
    <row r="192" spans="1:4" x14ac:dyDescent="0.2">
      <c r="A192" t="str">
        <f>"191"</f>
        <v>191</v>
      </c>
      <c r="B192" t="str">
        <f>"-0.38"</f>
        <v>-0.38</v>
      </c>
      <c r="C192" t="str">
        <f>"68"</f>
        <v>68</v>
      </c>
      <c r="D192" t="str">
        <f>"Trees"</f>
        <v>Trees</v>
      </c>
    </row>
    <row r="193" spans="1:4" x14ac:dyDescent="0.2">
      <c r="A193" t="str">
        <f>"192"</f>
        <v>192</v>
      </c>
      <c r="B193" t="str">
        <f>"0.99"</f>
        <v>0.99</v>
      </c>
      <c r="C193" t="str">
        <f>"25"</f>
        <v>25</v>
      </c>
      <c r="D193" t="str">
        <f>"Lucky Boy"</f>
        <v>Lucky Boy</v>
      </c>
    </row>
    <row r="194" spans="1:4" x14ac:dyDescent="0.2">
      <c r="A194" t="str">
        <f>"193"</f>
        <v>193</v>
      </c>
      <c r="B194" t="str">
        <f>"-0.35"</f>
        <v>-0.35</v>
      </c>
      <c r="C194" t="str">
        <f>"93"</f>
        <v>93</v>
      </c>
      <c r="D194" t="str">
        <f>"Public Warning!"</f>
        <v>Public Warning!</v>
      </c>
    </row>
    <row r="195" spans="1:4" x14ac:dyDescent="0.2">
      <c r="A195" t="str">
        <f>"194"</f>
        <v>194</v>
      </c>
      <c r="B195" t="str">
        <f>"1.58"</f>
        <v>1.58</v>
      </c>
      <c r="C195" t="str">
        <f>"63"</f>
        <v>63</v>
      </c>
      <c r="D195" t="str">
        <f>"Hello Everything"</f>
        <v>Hello Everything</v>
      </c>
    </row>
    <row r="196" spans="1:4" x14ac:dyDescent="0.2">
      <c r="A196" t="str">
        <f>"195"</f>
        <v>195</v>
      </c>
      <c r="B196" t="str">
        <f>"0.21"</f>
        <v>0.21</v>
      </c>
      <c r="C196" t="str">
        <f>"67"</f>
        <v>67</v>
      </c>
      <c r="D196" t="str">
        <f>"Make History"</f>
        <v>Make History</v>
      </c>
    </row>
    <row r="197" spans="1:4" x14ac:dyDescent="0.2">
      <c r="A197" t="str">
        <f>"196"</f>
        <v>196</v>
      </c>
      <c r="B197" t="str">
        <f>"0.61"</f>
        <v>0.61</v>
      </c>
      <c r="C197" t="str">
        <f>"68"</f>
        <v>68</v>
      </c>
      <c r="D197" t="str">
        <f>"Surf Boundaries"</f>
        <v>Surf Boundaries</v>
      </c>
    </row>
    <row r="198" spans="1:4" x14ac:dyDescent="0.2">
      <c r="A198" t="str">
        <f>"197"</f>
        <v>197</v>
      </c>
      <c r="B198" t="str">
        <f>"-0.02"</f>
        <v>-0.02</v>
      </c>
      <c r="C198" t="str">
        <f>"82"</f>
        <v>82</v>
      </c>
      <c r="D198" t="str">
        <f>"Down Beside Your Beauty"</f>
        <v>Down Beside Your Beauty</v>
      </c>
    </row>
    <row r="199" spans="1:4" x14ac:dyDescent="0.2">
      <c r="A199" t="str">
        <f>"198"</f>
        <v>198</v>
      </c>
      <c r="B199" t="str">
        <f>"-0.08"</f>
        <v>-0.08</v>
      </c>
      <c r="C199" t="str">
        <f>"64"</f>
        <v>64</v>
      </c>
      <c r="D199" t="str">
        <f>"Altar"</f>
        <v>Altar</v>
      </c>
    </row>
    <row r="200" spans="1:4" x14ac:dyDescent="0.2">
      <c r="A200" t="str">
        <f>"199"</f>
        <v>199</v>
      </c>
      <c r="B200" t="str">
        <f>"-0.71"</f>
        <v>-0.71</v>
      </c>
      <c r="C200" t="str">
        <f>"148"</f>
        <v>148</v>
      </c>
      <c r="D200" t="str">
        <f>"Marie Antoinette OST"</f>
        <v>Marie Antoinette OST</v>
      </c>
    </row>
    <row r="201" spans="1:4" x14ac:dyDescent="0.2">
      <c r="A201" t="str">
        <f>"200"</f>
        <v>200</v>
      </c>
      <c r="B201" t="str">
        <f>"-0.78"</f>
        <v>-0.78</v>
      </c>
      <c r="C201" t="str">
        <f>"75"</f>
        <v>75</v>
      </c>
      <c r="D201" t="s">
        <v>7</v>
      </c>
    </row>
    <row r="202" spans="1:4" x14ac:dyDescent="0.2">
      <c r="A202" t="str">
        <f>"201"</f>
        <v>201</v>
      </c>
      <c r="B202" t="str">
        <f>"-1.46"</f>
        <v>-1.46</v>
      </c>
      <c r="C202" t="str">
        <f>"49"</f>
        <v>49</v>
      </c>
      <c r="D202" t="str">
        <f>"We Are the Horrors EP"</f>
        <v>We Are the Horrors EP</v>
      </c>
    </row>
    <row r="203" spans="1:4" x14ac:dyDescent="0.2">
      <c r="A203" t="str">
        <f>"202"</f>
        <v>202</v>
      </c>
      <c r="B203" t="str">
        <f>"0.06"</f>
        <v>0.06</v>
      </c>
      <c r="C203" t="str">
        <f>"29"</f>
        <v>29</v>
      </c>
      <c r="D203" t="str">
        <f>"Nebulae"</f>
        <v>Nebulae</v>
      </c>
    </row>
    <row r="204" spans="1:4" x14ac:dyDescent="0.2">
      <c r="A204" t="str">
        <f>"203"</f>
        <v>203</v>
      </c>
      <c r="B204" t="str">
        <f>"-1.06"</f>
        <v>-1.06</v>
      </c>
      <c r="C204" t="str">
        <f>"97"</f>
        <v>97</v>
      </c>
      <c r="D204" t="str">
        <f>"Hollinndagain"</f>
        <v>Hollinndagain</v>
      </c>
    </row>
    <row r="205" spans="1:4" x14ac:dyDescent="0.2">
      <c r="A205" t="str">
        <f>"204"</f>
        <v>204</v>
      </c>
      <c r="B205" t="str">
        <f>"-0.05"</f>
        <v>-0.05</v>
      </c>
      <c r="C205" t="str">
        <f>"30"</f>
        <v>30</v>
      </c>
      <c r="D205" t="str">
        <f>"The Record Shop: 30 Years of Rough Trade Shops"</f>
        <v>The Record Shop: 30 Years of Rough Trade Shops</v>
      </c>
    </row>
    <row r="206" spans="1:4" x14ac:dyDescent="0.2">
      <c r="A206" t="str">
        <f>"205"</f>
        <v>205</v>
      </c>
      <c r="B206" t="str">
        <f>"-1.01"</f>
        <v>-1.01</v>
      </c>
      <c r="C206" t="str">
        <f>"60"</f>
        <v>60</v>
      </c>
      <c r="D206" t="str">
        <f>"Tribulation"</f>
        <v>Tribulation</v>
      </c>
    </row>
    <row r="207" spans="1:4" x14ac:dyDescent="0.2">
      <c r="A207" t="str">
        <f>"206"</f>
        <v>206</v>
      </c>
      <c r="B207" t="str">
        <f>"-0.63"</f>
        <v>-0.63</v>
      </c>
      <c r="C207" t="str">
        <f>"36"</f>
        <v>36</v>
      </c>
      <c r="D207" t="str">
        <f>"Who Needs Actions When You Got Words"</f>
        <v>Who Needs Actions When You Got Words</v>
      </c>
    </row>
    <row r="208" spans="1:4" x14ac:dyDescent="0.2">
      <c r="A208" t="str">
        <f>"207"</f>
        <v>207</v>
      </c>
      <c r="B208" t="str">
        <f>"0.87"</f>
        <v>0.87</v>
      </c>
      <c r="C208" t="str">
        <f>"52"</f>
        <v>52</v>
      </c>
      <c r="D208" t="str">
        <f>"Wandering Eyes"</f>
        <v>Wandering Eyes</v>
      </c>
    </row>
    <row r="209" spans="1:4" x14ac:dyDescent="0.2">
      <c r="A209" t="str">
        <f>"208"</f>
        <v>208</v>
      </c>
      <c r="B209" t="str">
        <f>"-0.11"</f>
        <v>-0.11</v>
      </c>
      <c r="C209" t="str">
        <f>"86"</f>
        <v>86</v>
      </c>
      <c r="D209" t="str">
        <f>"Pretty Little Head"</f>
        <v>Pretty Little Head</v>
      </c>
    </row>
    <row r="210" spans="1:4" x14ac:dyDescent="0.2">
      <c r="A210" t="str">
        <f>"209"</f>
        <v>209</v>
      </c>
      <c r="B210" t="str">
        <f>"-0.15"</f>
        <v>-0.15</v>
      </c>
      <c r="C210" t="str">
        <f>"80"</f>
        <v>80</v>
      </c>
      <c r="D210" t="str">
        <f>"Body Riddle"</f>
        <v>Body Riddle</v>
      </c>
    </row>
    <row r="211" spans="1:4" x14ac:dyDescent="0.2">
      <c r="A211" t="str">
        <f>"210"</f>
        <v>210</v>
      </c>
      <c r="B211" t="str">
        <f>"0.52"</f>
        <v>0.52</v>
      </c>
      <c r="C211" t="str">
        <f>"70"</f>
        <v>70</v>
      </c>
      <c r="D211" t="str">
        <f>"Until Death Comes"</f>
        <v>Until Death Comes</v>
      </c>
    </row>
    <row r="212" spans="1:4" x14ac:dyDescent="0.2">
      <c r="A212" t="str">
        <f>"211"</f>
        <v>211</v>
      </c>
      <c r="B212" t="str">
        <f>"1.19"</f>
        <v>1.19</v>
      </c>
      <c r="C212" t="str">
        <f>"65"</f>
        <v>65</v>
      </c>
      <c r="D212" t="str">
        <f>"White Hats"</f>
        <v>White Hats</v>
      </c>
    </row>
    <row r="213" spans="1:4" x14ac:dyDescent="0.2">
      <c r="A213" t="str">
        <f>"212"</f>
        <v>212</v>
      </c>
      <c r="B213" t="str">
        <f>"-0.24"</f>
        <v>-0.24</v>
      </c>
      <c r="C213" t="str">
        <f>"52"</f>
        <v>52</v>
      </c>
      <c r="D213" t="str">
        <f>"Ben Kweller"</f>
        <v>Ben Kweller</v>
      </c>
    </row>
    <row r="214" spans="1:4" x14ac:dyDescent="0.2">
      <c r="A214" t="str">
        <f>"213"</f>
        <v>213</v>
      </c>
      <c r="B214" t="str">
        <f>"-0.69"</f>
        <v>-0.69</v>
      </c>
      <c r="C214" t="str">
        <f>"45"</f>
        <v>45</v>
      </c>
      <c r="D214" t="str">
        <f>"The World Is Gone"</f>
        <v>The World Is Gone</v>
      </c>
    </row>
    <row r="215" spans="1:4" x14ac:dyDescent="0.2">
      <c r="A215" t="str">
        <f>"214"</f>
        <v>214</v>
      </c>
      <c r="B215" t="str">
        <f>"-0.24"</f>
        <v>-0.24</v>
      </c>
      <c r="C215" t="str">
        <f>"60"</f>
        <v>60</v>
      </c>
      <c r="D215" t="str">
        <f>"Joan of Arc"</f>
        <v>Joan of Arc</v>
      </c>
    </row>
    <row r="216" spans="1:4" x14ac:dyDescent="0.2">
      <c r="A216" t="str">
        <f>"215"</f>
        <v>215</v>
      </c>
      <c r="B216" t="str">
        <f>"0.69"</f>
        <v>0.69</v>
      </c>
      <c r="C216" t="str">
        <f>"52"</f>
        <v>52</v>
      </c>
      <c r="D216" t="str">
        <f>"Paper Television"</f>
        <v>Paper Television</v>
      </c>
    </row>
    <row r="217" spans="1:4" x14ac:dyDescent="0.2">
      <c r="A217" t="str">
        <f>"216"</f>
        <v>216</v>
      </c>
      <c r="B217" t="str">
        <f>"0.55"</f>
        <v>0.55</v>
      </c>
      <c r="C217" t="str">
        <f>"20"</f>
        <v>20</v>
      </c>
      <c r="D217" t="str">
        <f>"Rykestrasse 68"</f>
        <v>Rykestrasse 68</v>
      </c>
    </row>
    <row r="218" spans="1:4" x14ac:dyDescent="0.2">
      <c r="A218" t="str">
        <f>"217"</f>
        <v>217</v>
      </c>
      <c r="B218" t="str">
        <f>"0.09"</f>
        <v>0.09</v>
      </c>
      <c r="C218" t="str">
        <f>"66"</f>
        <v>66</v>
      </c>
      <c r="D218" t="str">
        <f>"Hi-Teknology 2: The Chip"</f>
        <v>Hi-Teknology 2: The Chip</v>
      </c>
    </row>
    <row r="219" spans="1:4" x14ac:dyDescent="0.2">
      <c r="A219" t="str">
        <f>"218"</f>
        <v>218</v>
      </c>
      <c r="B219" t="str">
        <f>"0.22"</f>
        <v>0.22</v>
      </c>
      <c r="C219" t="str">
        <f>"38"</f>
        <v>38</v>
      </c>
      <c r="D219" t="str">
        <f>"It's a Feedelity Affair"</f>
        <v>It's a Feedelity Affair</v>
      </c>
    </row>
    <row r="220" spans="1:4" x14ac:dyDescent="0.2">
      <c r="A220" t="str">
        <f>"219"</f>
        <v>219</v>
      </c>
      <c r="B220" t="str">
        <f>"-0.18"</f>
        <v>-0.18</v>
      </c>
      <c r="C220" t="str">
        <f>"41"</f>
        <v>41</v>
      </c>
      <c r="D220" t="str">
        <f>"American Hardcore: The History of American Punk Rock 1980-1986"</f>
        <v>American Hardcore: The History of American Punk Rock 1980-1986</v>
      </c>
    </row>
    <row r="221" spans="1:4" x14ac:dyDescent="0.2">
      <c r="A221" t="str">
        <f>"220"</f>
        <v>220</v>
      </c>
      <c r="B221" t="str">
        <f>"1.08"</f>
        <v>1.08</v>
      </c>
      <c r="C221" t="str">
        <f>"82"</f>
        <v>82</v>
      </c>
      <c r="D221" t="str">
        <f>"The Black Swan"</f>
        <v>The Black Swan</v>
      </c>
    </row>
    <row r="222" spans="1:4" x14ac:dyDescent="0.2">
      <c r="A222" t="str">
        <f>"221"</f>
        <v>221</v>
      </c>
      <c r="B222" t="str">
        <f>"-0.17"</f>
        <v>-0.17</v>
      </c>
      <c r="C222" t="str">
        <f>"34"</f>
        <v>34</v>
      </c>
      <c r="D222" t="str">
        <f>"A Raga For Peter Walker"</f>
        <v>A Raga For Peter Walker</v>
      </c>
    </row>
    <row r="223" spans="1:4" x14ac:dyDescent="0.2">
      <c r="A223" t="str">
        <f>"222"</f>
        <v>222</v>
      </c>
      <c r="B223" t="str">
        <f>"-0.7"</f>
        <v>-0.7</v>
      </c>
      <c r="C223" t="str">
        <f>"23"</f>
        <v>23</v>
      </c>
      <c r="D223" t="str">
        <f>"Tomorrow's Eager Hands"</f>
        <v>Tomorrow's Eager Hands</v>
      </c>
    </row>
    <row r="224" spans="1:4" x14ac:dyDescent="0.2">
      <c r="A224" t="str">
        <f>"223"</f>
        <v>223</v>
      </c>
      <c r="B224" t="str">
        <f>"0.63"</f>
        <v>0.63</v>
      </c>
      <c r="C224" t="str">
        <f>"58"</f>
        <v>58</v>
      </c>
      <c r="D224" t="str">
        <f>"Pussy Cats"</f>
        <v>Pussy Cats</v>
      </c>
    </row>
    <row r="225" spans="1:4" x14ac:dyDescent="0.2">
      <c r="A225" t="str">
        <f>"224"</f>
        <v>224</v>
      </c>
      <c r="B225" t="str">
        <f>"0.14"</f>
        <v>0.14</v>
      </c>
      <c r="C225" t="str">
        <f>"24"</f>
        <v>24</v>
      </c>
      <c r="D225" t="str">
        <f>"Working for a Nuclear Free City"</f>
        <v>Working for a Nuclear Free City</v>
      </c>
    </row>
    <row r="226" spans="1:4" x14ac:dyDescent="0.2">
      <c r="A226" t="str">
        <f>"225"</f>
        <v>225</v>
      </c>
      <c r="B226" t="str">
        <f>"-0.08"</f>
        <v>-0.08</v>
      </c>
      <c r="C226" t="str">
        <f>"62"</f>
        <v>62</v>
      </c>
      <c r="D226" t="str">
        <f>"Eccentric Soul: Mighty Mike Lenaburg"</f>
        <v>Eccentric Soul: Mighty Mike Lenaburg</v>
      </c>
    </row>
    <row r="227" spans="1:4" x14ac:dyDescent="0.2">
      <c r="A227" t="str">
        <f>"226"</f>
        <v>226</v>
      </c>
      <c r="B227" t="str">
        <f>"-0.04"</f>
        <v>-0.04</v>
      </c>
      <c r="C227" t="str">
        <f>"87"</f>
        <v>87</v>
      </c>
      <c r="D227" t="str">
        <f>"The Longest Meow"</f>
        <v>The Longest Meow</v>
      </c>
    </row>
    <row r="228" spans="1:4" x14ac:dyDescent="0.2">
      <c r="A228" t="str">
        <f>"227"</f>
        <v>227</v>
      </c>
      <c r="B228" t="str">
        <f>"-1.12"</f>
        <v>-1.12</v>
      </c>
      <c r="C228" t="str">
        <f>"56"</f>
        <v>56</v>
      </c>
      <c r="D228" t="str">
        <f>"Waters of Nazareth"</f>
        <v>Waters of Nazareth</v>
      </c>
    </row>
    <row r="229" spans="1:4" x14ac:dyDescent="0.2">
      <c r="A229" t="str">
        <f>"228"</f>
        <v>228</v>
      </c>
      <c r="B229" t="str">
        <f>"-0.07"</f>
        <v>-0.07</v>
      </c>
      <c r="C229" t="str">
        <f>"26"</f>
        <v>26</v>
      </c>
      <c r="D229" t="str">
        <f>"Noise Floor"</f>
        <v>Noise Floor</v>
      </c>
    </row>
    <row r="230" spans="1:4" x14ac:dyDescent="0.2">
      <c r="A230" t="str">
        <f>"229"</f>
        <v>229</v>
      </c>
      <c r="B230" t="str">
        <f>"0.24"</f>
        <v>0.24</v>
      </c>
      <c r="C230" t="str">
        <f>"103"</f>
        <v>103</v>
      </c>
      <c r="D230" t="str">
        <f>"What It Is!"</f>
        <v>What It Is!</v>
      </c>
    </row>
    <row r="231" spans="1:4" x14ac:dyDescent="0.2">
      <c r="A231" t="str">
        <f>"230"</f>
        <v>230</v>
      </c>
      <c r="B231" t="str">
        <f>"1.1"</f>
        <v>1.1</v>
      </c>
      <c r="C231" t="str">
        <f>"30"</f>
        <v>30</v>
      </c>
      <c r="D231" t="str">
        <f>"A Tom Moulton Mix"</f>
        <v>A Tom Moulton Mix</v>
      </c>
    </row>
    <row r="232" spans="1:4" x14ac:dyDescent="0.2">
      <c r="A232" t="str">
        <f>"231"</f>
        <v>231</v>
      </c>
      <c r="B232" t="str">
        <f>"0.23"</f>
        <v>0.23</v>
      </c>
      <c r="C232" t="str">
        <f>"58"</f>
        <v>58</v>
      </c>
      <c r="D232" t="str">
        <f>"Voices of Animals and Men"</f>
        <v>Voices of Animals and Men</v>
      </c>
    </row>
    <row r="233" spans="1:4" x14ac:dyDescent="0.2">
      <c r="A233" t="str">
        <f>"232"</f>
        <v>232</v>
      </c>
      <c r="B233" t="str">
        <f>"0.2"</f>
        <v>0.2</v>
      </c>
      <c r="C233" t="str">
        <f>"71"</f>
        <v>71</v>
      </c>
      <c r="D233" t="str">
        <f>"Calamity"</f>
        <v>Calamity</v>
      </c>
    </row>
    <row r="234" spans="1:4" x14ac:dyDescent="0.2">
      <c r="A234" t="str">
        <f>"233"</f>
        <v>233</v>
      </c>
      <c r="B234" t="str">
        <f>"-1.08"</f>
        <v>-1.08</v>
      </c>
      <c r="C234" t="str">
        <f>"33"</f>
        <v>33</v>
      </c>
      <c r="D234" t="str">
        <f>"45:33"</f>
        <v>45:33</v>
      </c>
    </row>
    <row r="235" spans="1:4" x14ac:dyDescent="0.2">
      <c r="A235" t="str">
        <f>"234"</f>
        <v>234</v>
      </c>
      <c r="B235" t="str">
        <f>"0.87"</f>
        <v>0.87</v>
      </c>
      <c r="C235" t="str">
        <f>"22"</f>
        <v>22</v>
      </c>
      <c r="D235" t="str">
        <f>"Be Still Please"</f>
        <v>Be Still Please</v>
      </c>
    </row>
    <row r="236" spans="1:4" x14ac:dyDescent="0.2">
      <c r="A236" t="str">
        <f>"235"</f>
        <v>235</v>
      </c>
      <c r="B236" t="str">
        <f>"0.49"</f>
        <v>0.49</v>
      </c>
      <c r="C236" t="str">
        <f>"86"</f>
        <v>86</v>
      </c>
      <c r="D236" t="str">
        <f>"Flying Canyon"</f>
        <v>Flying Canyon</v>
      </c>
    </row>
    <row r="237" spans="1:4" x14ac:dyDescent="0.2">
      <c r="A237" t="str">
        <f>"236"</f>
        <v>236</v>
      </c>
      <c r="B237" t="str">
        <f>"0.37"</f>
        <v>0.37</v>
      </c>
      <c r="C237" t="str">
        <f>"80"</f>
        <v>80</v>
      </c>
      <c r="D237" t="str">
        <f>"The Lost Take"</f>
        <v>The Lost Take</v>
      </c>
    </row>
    <row r="238" spans="1:4" x14ac:dyDescent="0.2">
      <c r="A238" t="str">
        <f>"237"</f>
        <v>237</v>
      </c>
      <c r="B238" t="str">
        <f>"0.1"</f>
        <v>0.1</v>
      </c>
      <c r="C238" t="str">
        <f>"42"</f>
        <v>42</v>
      </c>
      <c r="D238" t="str">
        <f>"The Nice Boys"</f>
        <v>The Nice Boys</v>
      </c>
    </row>
    <row r="239" spans="1:4" x14ac:dyDescent="0.2">
      <c r="A239" t="str">
        <f>"238"</f>
        <v>238</v>
      </c>
      <c r="B239" t="str">
        <f>"-0.04"</f>
        <v>-0.04</v>
      </c>
      <c r="C239" t="str">
        <f>"56"</f>
        <v>56</v>
      </c>
      <c r="D239" t="str">
        <f>"Visitations"</f>
        <v>Visitations</v>
      </c>
    </row>
    <row r="240" spans="1:4" x14ac:dyDescent="0.2">
      <c r="A240" t="str">
        <f>"239"</f>
        <v>239</v>
      </c>
      <c r="B240" t="str">
        <f>"-0.39"</f>
        <v>-0.39</v>
      </c>
      <c r="C240" t="str">
        <f>"40"</f>
        <v>40</v>
      </c>
      <c r="D240" t="str">
        <f>"Robbers and Cowards"</f>
        <v>Robbers and Cowards</v>
      </c>
    </row>
    <row r="241" spans="1:4" x14ac:dyDescent="0.2">
      <c r="A241" t="str">
        <f>"240"</f>
        <v>240</v>
      </c>
      <c r="B241" t="str">
        <f>"0.03"</f>
        <v>0.03</v>
      </c>
      <c r="C241" t="str">
        <f>"56"</f>
        <v>56</v>
      </c>
      <c r="D241" t="str">
        <f>"Global Clone"</f>
        <v>Global Clone</v>
      </c>
    </row>
    <row r="242" spans="1:4" x14ac:dyDescent="0.2">
      <c r="A242" t="str">
        <f>"241"</f>
        <v>241</v>
      </c>
      <c r="B242" t="str">
        <f>"0.11"</f>
        <v>0.11</v>
      </c>
      <c r="C242" t="str">
        <f>"48"</f>
        <v>48</v>
      </c>
      <c r="D242" t="str">
        <f>"Lovingkindness"</f>
        <v>Lovingkindness</v>
      </c>
    </row>
    <row r="243" spans="1:4" x14ac:dyDescent="0.2">
      <c r="A243" t="str">
        <f>"242"</f>
        <v>242</v>
      </c>
      <c r="B243" t="str">
        <f>"0.28"</f>
        <v>0.28</v>
      </c>
      <c r="C243" t="str">
        <f>"72"</f>
        <v>72</v>
      </c>
      <c r="D243" t="str">
        <f>"Here"</f>
        <v>Here</v>
      </c>
    </row>
    <row r="244" spans="1:4" x14ac:dyDescent="0.2">
      <c r="A244" t="str">
        <f>"243"</f>
        <v>243</v>
      </c>
      <c r="B244" t="str">
        <f>"0.86"</f>
        <v>0.86</v>
      </c>
      <c r="C244" t="str">
        <f>"32"</f>
        <v>32</v>
      </c>
      <c r="D244" t="str">
        <f>"Writer's Block"</f>
        <v>Writer's Block</v>
      </c>
    </row>
    <row r="245" spans="1:4" x14ac:dyDescent="0.2">
      <c r="A245" t="str">
        <f>"244"</f>
        <v>244</v>
      </c>
      <c r="B245" t="str">
        <f>"-0.99"</f>
        <v>-0.99</v>
      </c>
      <c r="C245" t="str">
        <f>"74"</f>
        <v>74</v>
      </c>
      <c r="D245" t="str">
        <f>"Born in the U.K."</f>
        <v>Born in the U.K.</v>
      </c>
    </row>
    <row r="246" spans="1:4" x14ac:dyDescent="0.2">
      <c r="A246" t="str">
        <f>"245"</f>
        <v>245</v>
      </c>
      <c r="B246" t="str">
        <f>"0.79"</f>
        <v>0.79</v>
      </c>
      <c r="C246" t="str">
        <f>"48"</f>
        <v>48</v>
      </c>
      <c r="D246" t="str">
        <f>"Get Yr Blood Sucked Out"</f>
        <v>Get Yr Blood Sucked Out</v>
      </c>
    </row>
    <row r="247" spans="1:4" x14ac:dyDescent="0.2">
      <c r="A247" t="str">
        <f>"246"</f>
        <v>246</v>
      </c>
      <c r="B247" t="str">
        <f>"-0.52"</f>
        <v>-0.52</v>
      </c>
      <c r="C247" t="str">
        <f>"93"</f>
        <v>93</v>
      </c>
      <c r="D247" t="str">
        <f>"Nuclear Daydream"</f>
        <v>Nuclear Daydream</v>
      </c>
    </row>
    <row r="248" spans="1:4" x14ac:dyDescent="0.2">
      <c r="A248" t="str">
        <f>"247"</f>
        <v>247</v>
      </c>
      <c r="B248" t="str">
        <f>"-0.64"</f>
        <v>-0.64</v>
      </c>
      <c r="C248" t="str">
        <f>"57"</f>
        <v>57</v>
      </c>
      <c r="D248" t="str">
        <f>"Insomniac Doze"</f>
        <v>Insomniac Doze</v>
      </c>
    </row>
    <row r="249" spans="1:4" x14ac:dyDescent="0.2">
      <c r="A249" t="str">
        <f>"248"</f>
        <v>248</v>
      </c>
      <c r="B249" t="str">
        <f>"0.72"</f>
        <v>0.72</v>
      </c>
      <c r="C249" t="str">
        <f>"30"</f>
        <v>30</v>
      </c>
      <c r="D249" t="str">
        <f>"We Are Glitter"</f>
        <v>We Are Glitter</v>
      </c>
    </row>
    <row r="250" spans="1:4" x14ac:dyDescent="0.2">
      <c r="A250" t="str">
        <f>"249"</f>
        <v>249</v>
      </c>
      <c r="B250" t="str">
        <f>"1.15"</f>
        <v>1.15</v>
      </c>
      <c r="C250" t="str">
        <f>"29"</f>
        <v>29</v>
      </c>
      <c r="D250" t="str">
        <f>"Ring"</f>
        <v>Ring</v>
      </c>
    </row>
    <row r="251" spans="1:4" x14ac:dyDescent="0.2">
      <c r="A251" t="str">
        <f>"250"</f>
        <v>250</v>
      </c>
      <c r="B251" t="str">
        <f>"0.4"</f>
        <v>0.4</v>
      </c>
      <c r="C251" t="str">
        <f>"30"</f>
        <v>30</v>
      </c>
      <c r="D251" t="str">
        <f>"Trompe-L'oeil"</f>
        <v>Trompe-L'oeil</v>
      </c>
    </row>
    <row r="252" spans="1:4" x14ac:dyDescent="0.2">
      <c r="A252" t="str">
        <f>"251"</f>
        <v>251</v>
      </c>
      <c r="B252" t="str">
        <f>"0.5"</f>
        <v>0.5</v>
      </c>
      <c r="C252" t="str">
        <f>"60"</f>
        <v>60</v>
      </c>
      <c r="D252" t="str">
        <f>"Skeletal Remains"</f>
        <v>Skeletal Remains</v>
      </c>
    </row>
    <row r="253" spans="1:4" x14ac:dyDescent="0.2">
      <c r="A253" t="str">
        <f>"252"</f>
        <v>252</v>
      </c>
      <c r="B253" t="str">
        <f>"-0.21"</f>
        <v>-0.21</v>
      </c>
      <c r="C253" t="str">
        <f>"61"</f>
        <v>61</v>
      </c>
      <c r="D253" t="str">
        <f>"Born Ruffians"</f>
        <v>Born Ruffians</v>
      </c>
    </row>
    <row r="254" spans="1:4" x14ac:dyDescent="0.2">
      <c r="A254" t="str">
        <f>"253"</f>
        <v>253</v>
      </c>
      <c r="B254" t="str">
        <f>"0.06"</f>
        <v>0.06</v>
      </c>
      <c r="C254" t="str">
        <f>"21"</f>
        <v>21</v>
      </c>
      <c r="D254" t="str">
        <f>"10 Songs"</f>
        <v>10 Songs</v>
      </c>
    </row>
    <row r="255" spans="1:4" x14ac:dyDescent="0.2">
      <c r="A255" t="str">
        <f>"254"</f>
        <v>254</v>
      </c>
      <c r="B255" t="str">
        <f>"0.56"</f>
        <v>0.56</v>
      </c>
      <c r="C255" t="str">
        <f>"78"</f>
        <v>78</v>
      </c>
      <c r="D255" t="str">
        <f>"Harmony in Ultraviolet"</f>
        <v>Harmony in Ultraviolet</v>
      </c>
    </row>
    <row r="256" spans="1:4" x14ac:dyDescent="0.2">
      <c r="A256" t="str">
        <f>"255"</f>
        <v>255</v>
      </c>
      <c r="B256" t="str">
        <f>"-0.86"</f>
        <v>-0.86</v>
      </c>
      <c r="C256" t="str">
        <f>"35"</f>
        <v>35</v>
      </c>
      <c r="D256" t="str">
        <f>"Xan Valleys EP"</f>
        <v>Xan Valleys EP</v>
      </c>
    </row>
    <row r="257" spans="1:4" x14ac:dyDescent="0.2">
      <c r="A257" t="str">
        <f>"256"</f>
        <v>256</v>
      </c>
      <c r="B257" t="str">
        <f>"0.48"</f>
        <v>0.48</v>
      </c>
      <c r="C257" t="str">
        <f>"20"</f>
        <v>20</v>
      </c>
      <c r="D257" t="str">
        <f>"120 Days"</f>
        <v>120 Days</v>
      </c>
    </row>
    <row r="258" spans="1:4" x14ac:dyDescent="0.2">
      <c r="A258" t="str">
        <f>"257"</f>
        <v>257</v>
      </c>
      <c r="B258" t="str">
        <f>"0.2"</f>
        <v>0.2</v>
      </c>
      <c r="C258" t="str">
        <f>"40"</f>
        <v>40</v>
      </c>
      <c r="D258" t="str">
        <f>"Lion Devours the Sun"</f>
        <v>Lion Devours the Sun</v>
      </c>
    </row>
    <row r="259" spans="1:4" x14ac:dyDescent="0.2">
      <c r="A259" t="str">
        <f>"258"</f>
        <v>258</v>
      </c>
      <c r="B259" t="str">
        <f>"0.16"</f>
        <v>0.16</v>
      </c>
      <c r="C259" t="str">
        <f>"60"</f>
        <v>60</v>
      </c>
      <c r="D259" t="str">
        <f>"Darkel"</f>
        <v>Darkel</v>
      </c>
    </row>
    <row r="260" spans="1:4" x14ac:dyDescent="0.2">
      <c r="A260" t="str">
        <f>"259"</f>
        <v>259</v>
      </c>
      <c r="B260" t="str">
        <f>"0.32"</f>
        <v>0.32</v>
      </c>
      <c r="C260" t="str">
        <f>"93"</f>
        <v>93</v>
      </c>
      <c r="D260" t="str">
        <f>"Better Days Will Haunt You"</f>
        <v>Better Days Will Haunt You</v>
      </c>
    </row>
    <row r="261" spans="1:4" x14ac:dyDescent="0.2">
      <c r="A261" t="str">
        <f>"260"</f>
        <v>260</v>
      </c>
      <c r="B261" t="str">
        <f>"-0.06"</f>
        <v>-0.06</v>
      </c>
      <c r="C261" t="str">
        <f>"25"</f>
        <v>25</v>
      </c>
      <c r="D261" t="str">
        <f>"Remember the Night Parties"</f>
        <v>Remember the Night Parties</v>
      </c>
    </row>
    <row r="262" spans="1:4" x14ac:dyDescent="0.2">
      <c r="A262" t="str">
        <f>"261"</f>
        <v>261</v>
      </c>
      <c r="B262" t="str">
        <f>"1.29"</f>
        <v>1.29</v>
      </c>
      <c r="C262" t="str">
        <f>"53"</f>
        <v>53</v>
      </c>
      <c r="D262" t="str">
        <f>"Venus in Cancer"</f>
        <v>Venus in Cancer</v>
      </c>
    </row>
    <row r="263" spans="1:4" x14ac:dyDescent="0.2">
      <c r="A263" t="str">
        <f>"262"</f>
        <v>262</v>
      </c>
      <c r="B263" t="str">
        <f>"-0.19"</f>
        <v>-0.19</v>
      </c>
      <c r="C263" t="str">
        <f>"67"</f>
        <v>67</v>
      </c>
      <c r="D263" t="str">
        <f>"The Maximum Black EP"</f>
        <v>The Maximum Black EP</v>
      </c>
    </row>
    <row r="264" spans="1:4" x14ac:dyDescent="0.2">
      <c r="A264" t="str">
        <f>"263"</f>
        <v>263</v>
      </c>
      <c r="B264" t="str">
        <f>"-0.06"</f>
        <v>-0.06</v>
      </c>
      <c r="C264" t="str">
        <f>"54"</f>
        <v>54</v>
      </c>
      <c r="D264" t="str">
        <f>"Be Where I Be"</f>
        <v>Be Where I Be</v>
      </c>
    </row>
    <row r="265" spans="1:4" x14ac:dyDescent="0.2">
      <c r="A265" t="str">
        <f>"264"</f>
        <v>264</v>
      </c>
      <c r="B265" t="str">
        <f>"0.81"</f>
        <v>0.81</v>
      </c>
      <c r="C265" t="str">
        <f>"23"</f>
        <v>23</v>
      </c>
      <c r="D265" t="str">
        <f>"Yours to Keep"</f>
        <v>Yours to Keep</v>
      </c>
    </row>
    <row r="266" spans="1:4" x14ac:dyDescent="0.2">
      <c r="A266" t="str">
        <f>"265"</f>
        <v>265</v>
      </c>
      <c r="B266" t="str">
        <f>"0.4"</f>
        <v>0.4</v>
      </c>
      <c r="C266" t="str">
        <f>"21"</f>
        <v>21</v>
      </c>
      <c r="D266" t="str">
        <f>"Normal Happiness"</f>
        <v>Normal Happiness</v>
      </c>
    </row>
    <row r="267" spans="1:4" x14ac:dyDescent="0.2">
      <c r="A267" t="str">
        <f>"266"</f>
        <v>266</v>
      </c>
      <c r="B267" t="str">
        <f>"-0.96"</f>
        <v>-0.96</v>
      </c>
      <c r="C267" t="str">
        <f>"73"</f>
        <v>73</v>
      </c>
      <c r="D267" t="str">
        <f>"The Orm"</f>
        <v>The Orm</v>
      </c>
    </row>
    <row r="268" spans="1:4" x14ac:dyDescent="0.2">
      <c r="A268" t="str">
        <f>"267"</f>
        <v>267</v>
      </c>
      <c r="B268" t="str">
        <f>"-0.18"</f>
        <v>-0.18</v>
      </c>
      <c r="C268" t="str">
        <f>"18"</f>
        <v>18</v>
      </c>
      <c r="D268" t="str">
        <f>"The Mylar Tantrum"</f>
        <v>The Mylar Tantrum</v>
      </c>
    </row>
    <row r="269" spans="1:4" x14ac:dyDescent="0.2">
      <c r="A269" t="str">
        <f>"268"</f>
        <v>268</v>
      </c>
      <c r="B269" t="str">
        <f>"0.4"</f>
        <v>0.4</v>
      </c>
      <c r="C269" t="str">
        <f>"98"</f>
        <v>98</v>
      </c>
      <c r="D269" t="str">
        <f>"The Best of Tim Buckley"</f>
        <v>The Best of Tim Buckley</v>
      </c>
    </row>
    <row r="270" spans="1:4" x14ac:dyDescent="0.2">
      <c r="A270" t="str">
        <f>"269"</f>
        <v>269</v>
      </c>
      <c r="B270" t="str">
        <f>"-0.33"</f>
        <v>-0.33</v>
      </c>
      <c r="C270" t="str">
        <f>"64"</f>
        <v>64</v>
      </c>
      <c r="D270" t="str">
        <f>"Beach House"</f>
        <v>Beach House</v>
      </c>
    </row>
    <row r="271" spans="1:4" x14ac:dyDescent="0.2">
      <c r="A271" t="str">
        <f>"270"</f>
        <v>270</v>
      </c>
      <c r="B271" t="str">
        <f>"0.96"</f>
        <v>0.96</v>
      </c>
      <c r="C271" t="str">
        <f>"41"</f>
        <v>41</v>
      </c>
      <c r="D271" t="str">
        <f>"The Last Resort"</f>
        <v>The Last Resort</v>
      </c>
    </row>
    <row r="272" spans="1:4" x14ac:dyDescent="0.2">
      <c r="A272" t="str">
        <f>"271"</f>
        <v>271</v>
      </c>
      <c r="B272" t="str">
        <f>"0.99"</f>
        <v>0.99</v>
      </c>
      <c r="C272" t="str">
        <f>"31"</f>
        <v>31</v>
      </c>
      <c r="D272" t="str">
        <f>"What Do I Wish for Now? (Singles &amp; Extras 1994-2004)"</f>
        <v>What Do I Wish for Now? (Singles &amp; Extras 1994-2004)</v>
      </c>
    </row>
    <row r="273" spans="1:4" x14ac:dyDescent="0.2">
      <c r="A273" t="str">
        <f>"272"</f>
        <v>272</v>
      </c>
      <c r="B273" t="str">
        <f>"-0.63"</f>
        <v>-0.63</v>
      </c>
      <c r="C273" t="str">
        <f>"67"</f>
        <v>67</v>
      </c>
      <c r="D273" t="str">
        <f>"Fire on the Bright Sky"</f>
        <v>Fire on the Bright Sky</v>
      </c>
    </row>
    <row r="274" spans="1:4" x14ac:dyDescent="0.2">
      <c r="A274" t="str">
        <f>"273"</f>
        <v>273</v>
      </c>
      <c r="B274" t="str">
        <f>"0.49"</f>
        <v>0.49</v>
      </c>
      <c r="C274" t="str">
        <f>"96"</f>
        <v>96</v>
      </c>
      <c r="D274" t="str">
        <f>"Radiodread"</f>
        <v>Radiodread</v>
      </c>
    </row>
    <row r="275" spans="1:4" x14ac:dyDescent="0.2">
      <c r="A275" t="str">
        <f>"274"</f>
        <v>274</v>
      </c>
      <c r="B275" t="str">
        <f>"0.7"</f>
        <v>0.7</v>
      </c>
      <c r="C275" t="str">
        <f>"19"</f>
        <v>19</v>
      </c>
      <c r="D275" t="str">
        <f>"The DFA Remixes: Chapter Two"</f>
        <v>The DFA Remixes: Chapter Two</v>
      </c>
    </row>
    <row r="276" spans="1:4" x14ac:dyDescent="0.2">
      <c r="A276" t="str">
        <f>"275"</f>
        <v>275</v>
      </c>
      <c r="B276" t="str">
        <f>"-0.38"</f>
        <v>-0.38</v>
      </c>
      <c r="C276" t="str">
        <f>"20"</f>
        <v>20</v>
      </c>
      <c r="D276" t="str">
        <f>"Young Machetes"</f>
        <v>Young Machetes</v>
      </c>
    </row>
    <row r="277" spans="1:4" x14ac:dyDescent="0.2">
      <c r="A277" t="str">
        <f>"276"</f>
        <v>276</v>
      </c>
      <c r="B277" t="str">
        <f>"-0.11"</f>
        <v>-0.11</v>
      </c>
      <c r="C277" t="str">
        <f>"103"</f>
        <v>103</v>
      </c>
      <c r="D277" t="str">
        <f>"Subliminal Genocide"</f>
        <v>Subliminal Genocide</v>
      </c>
    </row>
    <row r="278" spans="1:4" x14ac:dyDescent="0.2">
      <c r="A278" t="str">
        <f>"277"</f>
        <v>277</v>
      </c>
      <c r="B278" t="str">
        <f>"0.4"</f>
        <v>0.4</v>
      </c>
      <c r="C278" t="str">
        <f>"65"</f>
        <v>65</v>
      </c>
      <c r="D278" t="str">
        <f>"Olé! Tarantula"</f>
        <v>Olé! Tarantula</v>
      </c>
    </row>
    <row r="279" spans="1:4" x14ac:dyDescent="0.2">
      <c r="A279" t="str">
        <f>"278"</f>
        <v>278</v>
      </c>
      <c r="B279" t="str">
        <f>"0.03"</f>
        <v>0.03</v>
      </c>
      <c r="C279" t="str">
        <f>"24"</f>
        <v>24</v>
      </c>
      <c r="D279" t="str">
        <f>"This Harness Can't Ride Anything"</f>
        <v>This Harness Can't Ride Anything</v>
      </c>
    </row>
    <row r="280" spans="1:4" x14ac:dyDescent="0.2">
      <c r="A280" t="str">
        <f>"279"</f>
        <v>279</v>
      </c>
      <c r="B280" t="str">
        <f>"1"</f>
        <v>1</v>
      </c>
      <c r="C280" t="str">
        <f>"23"</f>
        <v>23</v>
      </c>
      <c r="D280" t="str">
        <f>"Mosaic"</f>
        <v>Mosaic</v>
      </c>
    </row>
    <row r="281" spans="1:4" x14ac:dyDescent="0.2">
      <c r="A281" t="str">
        <f>"280"</f>
        <v>280</v>
      </c>
      <c r="B281" t="str">
        <f>"-0.26"</f>
        <v>-0.26</v>
      </c>
      <c r="C281" t="str">
        <f>"17"</f>
        <v>17</v>
      </c>
      <c r="D281" t="str">
        <f>"Roots and Crowns"</f>
        <v>Roots and Crowns</v>
      </c>
    </row>
    <row r="282" spans="1:4" x14ac:dyDescent="0.2">
      <c r="A282" t="str">
        <f>"281"</f>
        <v>281</v>
      </c>
      <c r="B282" t="str">
        <f>"0.62"</f>
        <v>0.62</v>
      </c>
      <c r="C282" t="str">
        <f>"75"</f>
        <v>75</v>
      </c>
      <c r="D282" t="str">
        <f>"Chrome Children"</f>
        <v>Chrome Children</v>
      </c>
    </row>
    <row r="283" spans="1:4" x14ac:dyDescent="0.2">
      <c r="A283" t="str">
        <f>"282"</f>
        <v>282</v>
      </c>
      <c r="B283" t="str">
        <f>"-0.25"</f>
        <v>-0.25</v>
      </c>
      <c r="C283" t="str">
        <f>"78"</f>
        <v>78</v>
      </c>
      <c r="D283" t="str">
        <f>"Coney Island Baby"</f>
        <v>Coney Island Baby</v>
      </c>
    </row>
    <row r="284" spans="1:4" x14ac:dyDescent="0.2">
      <c r="A284" t="str">
        <f>"283"</f>
        <v>283</v>
      </c>
      <c r="B284" t="str">
        <f>"-0.04"</f>
        <v>-0.04</v>
      </c>
      <c r="C284" t="str">
        <f>"22"</f>
        <v>22</v>
      </c>
      <c r="D284" t="str">
        <f>"Trying to Never Catch Up"</f>
        <v>Trying to Never Catch Up</v>
      </c>
    </row>
    <row r="285" spans="1:4" x14ac:dyDescent="0.2">
      <c r="A285" t="str">
        <f>"284"</f>
        <v>284</v>
      </c>
      <c r="B285" t="str">
        <f>"-0.39"</f>
        <v>-0.39</v>
      </c>
      <c r="C285" t="str">
        <f>"99"</f>
        <v>99</v>
      </c>
      <c r="D285" t="str">
        <f>"Overboard &amp; Down EP"</f>
        <v>Overboard &amp; Down EP</v>
      </c>
    </row>
    <row r="286" spans="1:4" x14ac:dyDescent="0.2">
      <c r="A286" t="str">
        <f>"285"</f>
        <v>285</v>
      </c>
      <c r="B286" t="str">
        <f>"1.1"</f>
        <v>1.1</v>
      </c>
      <c r="C286" t="str">
        <f>"45"</f>
        <v>45</v>
      </c>
      <c r="D286" t="str">
        <f>"PopArt: The Hits"</f>
        <v>PopArt: The Hits</v>
      </c>
    </row>
    <row r="287" spans="1:4" x14ac:dyDescent="0.2">
      <c r="A287" t="str">
        <f>"286"</f>
        <v>286</v>
      </c>
      <c r="B287" t="str">
        <f>"-0.04"</f>
        <v>-0.04</v>
      </c>
      <c r="C287" t="str">
        <f>"32"</f>
        <v>32</v>
      </c>
      <c r="D287" t="str">
        <f>"The Word From Pluto"</f>
        <v>The Word From Pluto</v>
      </c>
    </row>
    <row r="288" spans="1:4" x14ac:dyDescent="0.2">
      <c r="A288" t="str">
        <f>"287"</f>
        <v>287</v>
      </c>
      <c r="B288" t="str">
        <f>"0.18"</f>
        <v>0.18</v>
      </c>
      <c r="C288" t="str">
        <f>"77"</f>
        <v>77</v>
      </c>
      <c r="D288" t="str">
        <f>"Melody Mountain"</f>
        <v>Melody Mountain</v>
      </c>
    </row>
    <row r="289" spans="1:4" x14ac:dyDescent="0.2">
      <c r="A289" t="str">
        <f>"288"</f>
        <v>288</v>
      </c>
      <c r="B289" t="str">
        <f>"0.1"</f>
        <v>0.1</v>
      </c>
      <c r="C289" t="str">
        <f>"23"</f>
        <v>23</v>
      </c>
      <c r="D289" t="str">
        <f>"Awesome Color"</f>
        <v>Awesome Color</v>
      </c>
    </row>
    <row r="290" spans="1:4" x14ac:dyDescent="0.2">
      <c r="A290" t="str">
        <f>"289"</f>
        <v>289</v>
      </c>
      <c r="B290" t="str">
        <f>"-0.41"</f>
        <v>-0.41</v>
      </c>
      <c r="C290" t="str">
        <f>"29"</f>
        <v>29</v>
      </c>
      <c r="D290" t="str">
        <f>"Sam's Town"</f>
        <v>Sam's Town</v>
      </c>
    </row>
    <row r="291" spans="1:4" x14ac:dyDescent="0.2">
      <c r="A291" t="str">
        <f>"290"</f>
        <v>290</v>
      </c>
      <c r="B291" t="str">
        <f>"0.04"</f>
        <v>0.04</v>
      </c>
      <c r="C291" t="str">
        <f>"29"</f>
        <v>29</v>
      </c>
      <c r="D291" t="str">
        <f>"for hero: for fool"</f>
        <v>for hero: for fool</v>
      </c>
    </row>
    <row r="292" spans="1:4" x14ac:dyDescent="0.2">
      <c r="A292" t="str">
        <f>"291"</f>
        <v>291</v>
      </c>
      <c r="B292" t="str">
        <f>"0.61"</f>
        <v>0.61</v>
      </c>
      <c r="C292" t="str">
        <f>"39"</f>
        <v>39</v>
      </c>
      <c r="D292" t="str">
        <f>"See Mi Yah Remixes"</f>
        <v>See Mi Yah Remixes</v>
      </c>
    </row>
    <row r="293" spans="1:4" x14ac:dyDescent="0.2">
      <c r="A293" t="str">
        <f>"292"</f>
        <v>292</v>
      </c>
      <c r="B293" t="str">
        <f>"-0.62"</f>
        <v>-0.62</v>
      </c>
      <c r="C293" t="str">
        <f>"23"</f>
        <v>23</v>
      </c>
      <c r="D293" t="str">
        <f>"In the Maybe World"</f>
        <v>In the Maybe World</v>
      </c>
    </row>
    <row r="294" spans="1:4" x14ac:dyDescent="0.2">
      <c r="A294" t="str">
        <f>"293"</f>
        <v>293</v>
      </c>
      <c r="B294" t="str">
        <f>"0.49"</f>
        <v>0.49</v>
      </c>
      <c r="C294" t="str">
        <f>"60"</f>
        <v>60</v>
      </c>
      <c r="D294" t="str">
        <f>"Soft Machine"</f>
        <v>Soft Machine</v>
      </c>
    </row>
    <row r="295" spans="1:4" x14ac:dyDescent="0.2">
      <c r="A295" t="str">
        <f>"294"</f>
        <v>294</v>
      </c>
      <c r="B295" t="str">
        <f>"-1"</f>
        <v>-1</v>
      </c>
      <c r="C295" t="str">
        <f>"51"</f>
        <v>51</v>
      </c>
      <c r="D295" t="str">
        <f>"The Information"</f>
        <v>The Information</v>
      </c>
    </row>
    <row r="296" spans="1:4" x14ac:dyDescent="0.2">
      <c r="A296" t="str">
        <f>"295"</f>
        <v>295</v>
      </c>
      <c r="B296" t="str">
        <f>"1.06"</f>
        <v>1.06</v>
      </c>
      <c r="C296" t="str">
        <f>"23"</f>
        <v>23</v>
      </c>
      <c r="D296" t="str">
        <f>"Yeti #4"</f>
        <v>Yeti #4</v>
      </c>
    </row>
    <row r="297" spans="1:4" x14ac:dyDescent="0.2">
      <c r="A297" t="str">
        <f>"296"</f>
        <v>296</v>
      </c>
      <c r="B297" t="str">
        <f>"-0.84"</f>
        <v>-0.84</v>
      </c>
      <c r="C297" t="str">
        <f>"52"</f>
        <v>52</v>
      </c>
      <c r="D297" t="str">
        <f>"Noxagt"</f>
        <v>Noxagt</v>
      </c>
    </row>
    <row r="298" spans="1:4" x14ac:dyDescent="0.2">
      <c r="A298" t="str">
        <f>"297"</f>
        <v>297</v>
      </c>
      <c r="B298" t="str">
        <f>"0.87"</f>
        <v>0.87</v>
      </c>
      <c r="C298" t="str">
        <f>"39"</f>
        <v>39</v>
      </c>
      <c r="D298" t="str">
        <f>"As Tall as Lions"</f>
        <v>As Tall as Lions</v>
      </c>
    </row>
    <row r="299" spans="1:4" x14ac:dyDescent="0.2">
      <c r="A299" t="str">
        <f>"298"</f>
        <v>298</v>
      </c>
      <c r="B299" t="str">
        <f>"-0.15"</f>
        <v>-0.15</v>
      </c>
      <c r="C299" t="str">
        <f>"27"</f>
        <v>27</v>
      </c>
      <c r="D299" t="str">
        <f>"...Until We Felt Red"</f>
        <v>...Until We Felt Red</v>
      </c>
    </row>
    <row r="300" spans="1:4" x14ac:dyDescent="0.2">
      <c r="A300" t="str">
        <f>"299"</f>
        <v>299</v>
      </c>
      <c r="B300" t="str">
        <f>"0.05"</f>
        <v>0.05</v>
      </c>
      <c r="C300" t="str">
        <f>"98"</f>
        <v>98</v>
      </c>
      <c r="D300" t="str">
        <f>"The Crane Wife"</f>
        <v>The Crane Wife</v>
      </c>
    </row>
    <row r="301" spans="1:4" x14ac:dyDescent="0.2">
      <c r="A301" t="str">
        <f>"300"</f>
        <v>300</v>
      </c>
      <c r="B301" t="str">
        <f>"-0.09"</f>
        <v>-0.09</v>
      </c>
      <c r="C301" t="str">
        <f>"64"</f>
        <v>64</v>
      </c>
      <c r="D301" t="str">
        <f>"Friendly Fire"</f>
        <v>Friendly Fire</v>
      </c>
    </row>
    <row r="302" spans="1:4" x14ac:dyDescent="0.2">
      <c r="A302" t="str">
        <f>"301"</f>
        <v>301</v>
      </c>
      <c r="B302" t="str">
        <f>"-0.2"</f>
        <v>-0.2</v>
      </c>
      <c r="C302" t="str">
        <f>"21"</f>
        <v>21</v>
      </c>
      <c r="D302" t="str">
        <f>"On Leaving"</f>
        <v>On Leaving</v>
      </c>
    </row>
    <row r="303" spans="1:4" x14ac:dyDescent="0.2">
      <c r="A303" t="str">
        <f>"302"</f>
        <v>302</v>
      </c>
      <c r="B303" t="str">
        <f>"0.35"</f>
        <v>0.35</v>
      </c>
      <c r="C303" t="str">
        <f>"19"</f>
        <v>19</v>
      </c>
      <c r="D303" t="str">
        <f>"City &amp; Eastern Songs"</f>
        <v>City &amp; Eastern Songs</v>
      </c>
    </row>
    <row r="304" spans="1:4" x14ac:dyDescent="0.2">
      <c r="A304" t="str">
        <f>"303"</f>
        <v>303</v>
      </c>
      <c r="B304" t="str">
        <f>"-0.42"</f>
        <v>-0.42</v>
      </c>
      <c r="C304" t="str">
        <f>"29"</f>
        <v>29</v>
      </c>
      <c r="D304" t="str">
        <f>"This Cursed House"</f>
        <v>This Cursed House</v>
      </c>
    </row>
    <row r="305" spans="1:4" x14ac:dyDescent="0.2">
      <c r="A305" t="str">
        <f>"304"</f>
        <v>304</v>
      </c>
      <c r="B305" t="str">
        <f>"-0.29"</f>
        <v>-0.29</v>
      </c>
      <c r="C305" t="str">
        <f>"36"</f>
        <v>36</v>
      </c>
      <c r="D305" t="str">
        <f>"Boys and Girls in America"</f>
        <v>Boys and Girls in America</v>
      </c>
    </row>
    <row r="306" spans="1:4" x14ac:dyDescent="0.2">
      <c r="A306" t="str">
        <f>"305"</f>
        <v>305</v>
      </c>
      <c r="B306" t="str">
        <f>"-0.15"</f>
        <v>-0.15</v>
      </c>
      <c r="C306" t="str">
        <f>"37"</f>
        <v>37</v>
      </c>
      <c r="D306" t="str">
        <f>"Release Therapy"</f>
        <v>Release Therapy</v>
      </c>
    </row>
    <row r="307" spans="1:4" x14ac:dyDescent="0.2">
      <c r="A307" t="str">
        <f>"306"</f>
        <v>306</v>
      </c>
      <c r="B307" t="str">
        <f>"-0.44"</f>
        <v>-0.44</v>
      </c>
      <c r="C307" t="str">
        <f>"58"</f>
        <v>58</v>
      </c>
      <c r="D307" t="str">
        <f>"Legacy: The Best of Mansun"</f>
        <v>Legacy: The Best of Mansun</v>
      </c>
    </row>
    <row r="308" spans="1:4" x14ac:dyDescent="0.2">
      <c r="A308" t="str">
        <f>"307"</f>
        <v>307</v>
      </c>
      <c r="B308" t="str">
        <f>"-0.56"</f>
        <v>-0.56</v>
      </c>
      <c r="C308" t="str">
        <f>"22"</f>
        <v>22</v>
      </c>
      <c r="D308" t="str">
        <f>"Carnavas"</f>
        <v>Carnavas</v>
      </c>
    </row>
    <row r="309" spans="1:4" x14ac:dyDescent="0.2">
      <c r="A309" t="str">
        <f>"308"</f>
        <v>308</v>
      </c>
      <c r="B309" t="str">
        <f>"0"</f>
        <v>0</v>
      </c>
      <c r="C309" t="str">
        <f>"1"</f>
        <v>1</v>
      </c>
      <c r="D309" t="str">
        <f>"Shine On"</f>
        <v>Shine On</v>
      </c>
    </row>
    <row r="310" spans="1:4" x14ac:dyDescent="0.2">
      <c r="A310" t="str">
        <f>"309"</f>
        <v>309</v>
      </c>
      <c r="B310" t="str">
        <f>"1.01"</f>
        <v>1.01</v>
      </c>
      <c r="C310" t="str">
        <f>"148"</f>
        <v>148</v>
      </c>
      <c r="D310" t="str">
        <f>"There Is a Season"</f>
        <v>There Is a Season</v>
      </c>
    </row>
    <row r="311" spans="1:4" x14ac:dyDescent="0.2">
      <c r="A311" t="str">
        <f>"310"</f>
        <v>310</v>
      </c>
      <c r="B311" t="str">
        <f>"-0.81"</f>
        <v>-0.81</v>
      </c>
      <c r="C311" t="str">
        <f>"16"</f>
        <v>16</v>
      </c>
      <c r="D311" t="str">
        <f>"Gang of Losers"</f>
        <v>Gang of Losers</v>
      </c>
    </row>
    <row r="312" spans="1:4" x14ac:dyDescent="0.2">
      <c r="A312" t="str">
        <f>"311"</f>
        <v>311</v>
      </c>
      <c r="B312" t="str">
        <f>"0.24"</f>
        <v>0.24</v>
      </c>
      <c r="C312" t="str">
        <f>"53"</f>
        <v>53</v>
      </c>
      <c r="D312" t="str">
        <f>"The Odd Church"</f>
        <v>The Odd Church</v>
      </c>
    </row>
    <row r="313" spans="1:4" x14ac:dyDescent="0.2">
      <c r="A313" t="str">
        <f>"312"</f>
        <v>312</v>
      </c>
      <c r="B313" t="str">
        <f>"0.08"</f>
        <v>0.08</v>
      </c>
      <c r="C313" t="str">
        <f>"17"</f>
        <v>17</v>
      </c>
      <c r="D313" t="str">
        <f>"Today Is Tonight"</f>
        <v>Today Is Tonight</v>
      </c>
    </row>
    <row r="314" spans="1:4" x14ac:dyDescent="0.2">
      <c r="A314" t="str">
        <f>"313"</f>
        <v>313</v>
      </c>
      <c r="B314" t="str">
        <f>"-1.86"</f>
        <v>-1.86</v>
      </c>
      <c r="C314" t="str">
        <f>"14"</f>
        <v>14</v>
      </c>
      <c r="D314" t="str">
        <f>"Heat Chief"</f>
        <v>Heat Chief</v>
      </c>
    </row>
    <row r="315" spans="1:4" x14ac:dyDescent="0.2">
      <c r="A315" t="str">
        <f>"314"</f>
        <v>314</v>
      </c>
      <c r="B315" t="str">
        <f>"0.3"</f>
        <v>0.3</v>
      </c>
      <c r="C315" t="str">
        <f>"26"</f>
        <v>26</v>
      </c>
      <c r="D315" t="str">
        <f>"The Essential Mercury Rev: Stillness Breathes 1991-2006"</f>
        <v>The Essential Mercury Rev: Stillness Breathes 1991-2006</v>
      </c>
    </row>
    <row r="316" spans="1:4" x14ac:dyDescent="0.2">
      <c r="A316" t="str">
        <f>"315"</f>
        <v>315</v>
      </c>
      <c r="B316" t="str">
        <f>"1.02"</f>
        <v>1.02</v>
      </c>
      <c r="C316" t="str">
        <f>"40"</f>
        <v>40</v>
      </c>
      <c r="D316" t="str">
        <f>"The Lemonheads"</f>
        <v>The Lemonheads</v>
      </c>
    </row>
    <row r="317" spans="1:4" x14ac:dyDescent="0.2">
      <c r="A317" t="str">
        <f>"316"</f>
        <v>316</v>
      </c>
      <c r="B317" t="str">
        <f>"-0.9"</f>
        <v>-0.9</v>
      </c>
      <c r="C317" t="str">
        <f>"72"</f>
        <v>72</v>
      </c>
      <c r="D317" t="str">
        <f>"At the Speed of Twisted Thought"</f>
        <v>At the Speed of Twisted Thought</v>
      </c>
    </row>
    <row r="318" spans="1:4" x14ac:dyDescent="0.2">
      <c r="A318" t="str">
        <f>"317"</f>
        <v>317</v>
      </c>
      <c r="B318" t="str">
        <f>"0.02"</f>
        <v>0.02</v>
      </c>
      <c r="C318" t="str">
        <f>"25"</f>
        <v>25</v>
      </c>
      <c r="D318" t="str">
        <f>"1980-82 Collected"</f>
        <v>1980-82 Collected</v>
      </c>
    </row>
    <row r="319" spans="1:4" x14ac:dyDescent="0.2">
      <c r="A319" t="str">
        <f>"318"</f>
        <v>318</v>
      </c>
      <c r="B319" t="str">
        <f>"0.32"</f>
        <v>0.32</v>
      </c>
      <c r="C319" t="str">
        <f>"22"</f>
        <v>22</v>
      </c>
      <c r="D319" t="str">
        <f>"Wild Yams"</f>
        <v>Wild Yams</v>
      </c>
    </row>
    <row r="320" spans="1:4" x14ac:dyDescent="0.2">
      <c r="A320" t="str">
        <f>"319"</f>
        <v>319</v>
      </c>
      <c r="B320" t="str">
        <f>"0.93"</f>
        <v>0.93</v>
      </c>
      <c r="C320" t="str">
        <f>"23"</f>
        <v>23</v>
      </c>
      <c r="D320" t="str">
        <f>"Remixes"</f>
        <v>Remixes</v>
      </c>
    </row>
    <row r="321" spans="1:4" x14ac:dyDescent="0.2">
      <c r="A321" t="str">
        <f>"320"</f>
        <v>320</v>
      </c>
      <c r="B321" t="str">
        <f>"-0.64"</f>
        <v>-0.64</v>
      </c>
      <c r="C321" t="str">
        <f>"95"</f>
        <v>95</v>
      </c>
      <c r="D321" t="str">
        <f>"Dreamt for Light Years in the Belly of a Mountain"</f>
        <v>Dreamt for Light Years in the Belly of a Mountain</v>
      </c>
    </row>
    <row r="322" spans="1:4" x14ac:dyDescent="0.2">
      <c r="A322" t="str">
        <f>"321"</f>
        <v>321</v>
      </c>
      <c r="B322" t="str">
        <f>"0.67"</f>
        <v>0.67</v>
      </c>
      <c r="C322" t="str">
        <f>"59"</f>
        <v>59</v>
      </c>
      <c r="D322" t="str">
        <f>"Berlin Serengeti"</f>
        <v>Berlin Serengeti</v>
      </c>
    </row>
    <row r="323" spans="1:4" x14ac:dyDescent="0.2">
      <c r="A323" t="str">
        <f>"322"</f>
        <v>322</v>
      </c>
      <c r="B323" t="str">
        <f>"1.11"</f>
        <v>1.11</v>
      </c>
      <c r="C323" t="str">
        <f>"74"</f>
        <v>74</v>
      </c>
      <c r="D323" t="str">
        <f>"The Kids at the Club"</f>
        <v>The Kids at the Club</v>
      </c>
    </row>
    <row r="324" spans="1:4" x14ac:dyDescent="0.2">
      <c r="A324" t="str">
        <f>"323"</f>
        <v>323</v>
      </c>
      <c r="B324" t="str">
        <f>"0.89"</f>
        <v>0.89</v>
      </c>
      <c r="C324" t="str">
        <f>"16"</f>
        <v>16</v>
      </c>
      <c r="D324" t="str">
        <f>"If Thine Enemy Hunger"</f>
        <v>If Thine Enemy Hunger</v>
      </c>
    </row>
    <row r="325" spans="1:4" x14ac:dyDescent="0.2">
      <c r="A325" t="str">
        <f>"324"</f>
        <v>324</v>
      </c>
      <c r="B325" t="str">
        <f>"-0.23"</f>
        <v>-0.23</v>
      </c>
      <c r="C325" t="str">
        <f>"94"</f>
        <v>94</v>
      </c>
      <c r="D325" t="str">
        <f>"Okonokos"</f>
        <v>Okonokos</v>
      </c>
    </row>
    <row r="326" spans="1:4" x14ac:dyDescent="0.2">
      <c r="A326" t="str">
        <f>"325"</f>
        <v>325</v>
      </c>
      <c r="B326" t="str">
        <f>"0.36"</f>
        <v>0.36</v>
      </c>
      <c r="C326" t="str">
        <f>"27"</f>
        <v>27</v>
      </c>
      <c r="D326" t="str">
        <f>"Wait EP"</f>
        <v>Wait EP</v>
      </c>
    </row>
    <row r="327" spans="1:4" x14ac:dyDescent="0.2">
      <c r="A327" t="str">
        <f>"326"</f>
        <v>326</v>
      </c>
      <c r="B327" t="str">
        <f>"0.61"</f>
        <v>0.61</v>
      </c>
      <c r="C327" t="str">
        <f>"38"</f>
        <v>38</v>
      </c>
      <c r="D327" t="str">
        <f>"The Rough Guide to Planet Rock"</f>
        <v>The Rough Guide to Planet Rock</v>
      </c>
    </row>
    <row r="328" spans="1:4" x14ac:dyDescent="0.2">
      <c r="A328" t="str">
        <f>"327"</f>
        <v>327</v>
      </c>
      <c r="B328" t="str">
        <f>"0.38"</f>
        <v>0.38</v>
      </c>
      <c r="C328" t="str">
        <f>"55"</f>
        <v>55</v>
      </c>
      <c r="D328" t="str">
        <f>"Slappers"</f>
        <v>Slappers</v>
      </c>
    </row>
    <row r="329" spans="1:4" x14ac:dyDescent="0.2">
      <c r="A329" t="str">
        <f>"328"</f>
        <v>328</v>
      </c>
      <c r="B329" t="str">
        <f>"0.79"</f>
        <v>0.79</v>
      </c>
      <c r="C329" t="str">
        <f>"51"</f>
        <v>51</v>
      </c>
      <c r="D329" t="str">
        <f>"Forever Debts"</f>
        <v>Forever Debts</v>
      </c>
    </row>
    <row r="330" spans="1:4" x14ac:dyDescent="0.2">
      <c r="A330" t="str">
        <f>"329"</f>
        <v>329</v>
      </c>
      <c r="B330" t="str">
        <f>"0.56"</f>
        <v>0.56</v>
      </c>
      <c r="C330" t="str">
        <f>"76"</f>
        <v>76</v>
      </c>
      <c r="D330" t="str">
        <f>"El Gran Baile"</f>
        <v>El Gran Baile</v>
      </c>
    </row>
    <row r="331" spans="1:4" x14ac:dyDescent="0.2">
      <c r="A331" t="str">
        <f>"330"</f>
        <v>330</v>
      </c>
      <c r="B331" t="str">
        <f>"0.62"</f>
        <v>0.62</v>
      </c>
      <c r="C331" t="str">
        <f>"61"</f>
        <v>61</v>
      </c>
      <c r="D331" t="str">
        <f>"Ta-Dah!"</f>
        <v>Ta-Dah!</v>
      </c>
    </row>
    <row r="332" spans="1:4" x14ac:dyDescent="0.2">
      <c r="A332" t="str">
        <f>"331"</f>
        <v>331</v>
      </c>
      <c r="B332" t="str">
        <f>"0.69"</f>
        <v>0.69</v>
      </c>
      <c r="C332" t="str">
        <f>"23"</f>
        <v>23</v>
      </c>
      <c r="D332" t="str">
        <f>"Meek Warrior"</f>
        <v>Meek Warrior</v>
      </c>
    </row>
    <row r="333" spans="1:4" x14ac:dyDescent="0.2">
      <c r="A333" t="str">
        <f>"332"</f>
        <v>332</v>
      </c>
      <c r="B333" t="str">
        <f>"0.71"</f>
        <v>0.71</v>
      </c>
      <c r="C333" t="str">
        <f>"50"</f>
        <v>50</v>
      </c>
      <c r="D333" t="str">
        <f>"Dark Light Daybreak"</f>
        <v>Dark Light Daybreak</v>
      </c>
    </row>
    <row r="334" spans="1:4" x14ac:dyDescent="0.2">
      <c r="A334" t="str">
        <f>"333"</f>
        <v>333</v>
      </c>
      <c r="B334" t="str">
        <f>"-0.51"</f>
        <v>-0.51</v>
      </c>
      <c r="C334" t="str">
        <f>"42"</f>
        <v>42</v>
      </c>
      <c r="D334" t="str">
        <f>"Arts &amp; Crafts"</f>
        <v>Arts &amp; Crafts</v>
      </c>
    </row>
    <row r="335" spans="1:4" x14ac:dyDescent="0.2">
      <c r="A335" t="str">
        <f>"334"</f>
        <v>334</v>
      </c>
      <c r="B335" t="str">
        <f>"0.13"</f>
        <v>0.13</v>
      </c>
      <c r="C335" t="str">
        <f>"58"</f>
        <v>58</v>
      </c>
      <c r="D335" t="str">
        <f>"Time Without Consequence"</f>
        <v>Time Without Consequence</v>
      </c>
    </row>
    <row r="336" spans="1:4" x14ac:dyDescent="0.2">
      <c r="A336" t="str">
        <f>"335"</f>
        <v>335</v>
      </c>
      <c r="B336" t="str">
        <f>"-0.15"</f>
        <v>-0.15</v>
      </c>
      <c r="C336" t="str">
        <f>"52"</f>
        <v>52</v>
      </c>
      <c r="D336" t="str">
        <f>"Up from the Catacombs: The Best of Jane's Addiction"</f>
        <v>Up from the Catacombs: The Best of Jane's Addiction</v>
      </c>
    </row>
    <row r="337" spans="1:4" x14ac:dyDescent="0.2">
      <c r="A337" t="str">
        <f>"336"</f>
        <v>336</v>
      </c>
      <c r="B337" t="str">
        <f>"0.07"</f>
        <v>0.07</v>
      </c>
      <c r="C337" t="str">
        <f>"70"</f>
        <v>70</v>
      </c>
      <c r="D337" t="str">
        <f>"And What Have You Done With My Body God?"</f>
        <v>And What Have You Done With My Body God?</v>
      </c>
    </row>
    <row r="338" spans="1:4" x14ac:dyDescent="0.2">
      <c r="A338" t="str">
        <f>"337"</f>
        <v>337</v>
      </c>
      <c r="B338" t="str">
        <f>"0.02"</f>
        <v>0.02</v>
      </c>
      <c r="C338" t="str">
        <f>"16"</f>
        <v>16</v>
      </c>
      <c r="D338" t="s">
        <v>8</v>
      </c>
    </row>
    <row r="339" spans="1:4" x14ac:dyDescent="0.2">
      <c r="A339" t="str">
        <f>"338"</f>
        <v>338</v>
      </c>
      <c r="B339" t="str">
        <f>"0.95"</f>
        <v>0.95</v>
      </c>
      <c r="C339" t="str">
        <f>"52"</f>
        <v>52</v>
      </c>
      <c r="D339" t="str">
        <f>"The Bells of 1 2"</f>
        <v>The Bells of 1 2</v>
      </c>
    </row>
    <row r="340" spans="1:4" x14ac:dyDescent="0.2">
      <c r="A340" t="str">
        <f>"339"</f>
        <v>339</v>
      </c>
      <c r="B340" t="str">
        <f>"1.56"</f>
        <v>1.56</v>
      </c>
      <c r="C340" t="str">
        <f>"17"</f>
        <v>17</v>
      </c>
      <c r="D340" t="str">
        <f>"Into the Blue Again"</f>
        <v>Into the Blue Again</v>
      </c>
    </row>
    <row r="341" spans="1:4" x14ac:dyDescent="0.2">
      <c r="A341" t="str">
        <f>"340"</f>
        <v>340</v>
      </c>
      <c r="B341" t="str">
        <f>"-0.26"</f>
        <v>-0.26</v>
      </c>
      <c r="C341" t="str">
        <f>"107"</f>
        <v>107</v>
      </c>
      <c r="D341" t="str">
        <f>"Food &amp; Liquor"</f>
        <v>Food &amp; Liquor</v>
      </c>
    </row>
    <row r="342" spans="1:4" x14ac:dyDescent="0.2">
      <c r="A342" t="str">
        <f>"341"</f>
        <v>341</v>
      </c>
      <c r="B342" t="str">
        <f>"-0.78"</f>
        <v>-0.78</v>
      </c>
      <c r="C342" t="str">
        <f>"23"</f>
        <v>23</v>
      </c>
      <c r="D342" t="str">
        <f>"Human Animal"</f>
        <v>Human Animal</v>
      </c>
    </row>
    <row r="343" spans="1:4" x14ac:dyDescent="0.2">
      <c r="A343" t="str">
        <f>"342"</f>
        <v>342</v>
      </c>
      <c r="B343" t="str">
        <f>"-1.61"</f>
        <v>-1.61</v>
      </c>
      <c r="C343" t="str">
        <f>"21"</f>
        <v>21</v>
      </c>
      <c r="D343" t="str">
        <f>"On Cutting Ti-Gers in Half and Understanding Narravation"</f>
        <v>On Cutting Ti-Gers in Half and Understanding Narravation</v>
      </c>
    </row>
    <row r="344" spans="1:4" x14ac:dyDescent="0.2">
      <c r="A344" t="str">
        <f>"343"</f>
        <v>343</v>
      </c>
      <c r="B344" t="str">
        <f>"0.23"</f>
        <v>0.23</v>
      </c>
      <c r="C344" t="str">
        <f>"25"</f>
        <v>25</v>
      </c>
      <c r="D344" t="str">
        <f>"Have You Seen the Other Side of the Sky?"</f>
        <v>Have You Seen the Other Side of the Sky?</v>
      </c>
    </row>
    <row r="345" spans="1:4" x14ac:dyDescent="0.2">
      <c r="A345" t="str">
        <f>"344"</f>
        <v>344</v>
      </c>
      <c r="B345" t="str">
        <f>"-0.16"</f>
        <v>-0.16</v>
      </c>
      <c r="C345" t="str">
        <f>"53"</f>
        <v>53</v>
      </c>
      <c r="D345" t="str">
        <f>"The Man Who Lives for Love"</f>
        <v>The Man Who Lives for Love</v>
      </c>
    </row>
    <row r="346" spans="1:4" x14ac:dyDescent="0.2">
      <c r="A346" t="str">
        <f>"345"</f>
        <v>345</v>
      </c>
      <c r="B346" t="str">
        <f>"0.09"</f>
        <v>0.09</v>
      </c>
      <c r="C346" t="str">
        <f>"107"</f>
        <v>107</v>
      </c>
      <c r="D346" t="str">
        <f>"Blood Mountain"</f>
        <v>Blood Mountain</v>
      </c>
    </row>
    <row r="347" spans="1:4" x14ac:dyDescent="0.2">
      <c r="A347" t="str">
        <f>"346"</f>
        <v>346</v>
      </c>
      <c r="B347" t="str">
        <f>"0.71"</f>
        <v>0.71</v>
      </c>
      <c r="C347" t="str">
        <f>"94"</f>
        <v>94</v>
      </c>
      <c r="D347" t="str">
        <f>"Respect M.E."</f>
        <v>Respect M.E.</v>
      </c>
    </row>
    <row r="348" spans="1:4" x14ac:dyDescent="0.2">
      <c r="A348" t="str">
        <f>"347"</f>
        <v>347</v>
      </c>
      <c r="B348" t="str">
        <f>"0.67"</f>
        <v>0.67</v>
      </c>
      <c r="C348" t="str">
        <f>"17"</f>
        <v>17</v>
      </c>
      <c r="D348" t="str">
        <f>"Appreciation Night"</f>
        <v>Appreciation Night</v>
      </c>
    </row>
    <row r="349" spans="1:4" x14ac:dyDescent="0.2">
      <c r="A349" t="str">
        <f>"348"</f>
        <v>348</v>
      </c>
      <c r="B349" t="str">
        <f>"0.43"</f>
        <v>0.43</v>
      </c>
      <c r="C349" t="str">
        <f>"55"</f>
        <v>55</v>
      </c>
      <c r="D349" t="str">
        <f>"Takers and Leavers EP"</f>
        <v>Takers and Leavers EP</v>
      </c>
    </row>
    <row r="350" spans="1:4" x14ac:dyDescent="0.2">
      <c r="A350" t="str">
        <f>"349"</f>
        <v>349</v>
      </c>
      <c r="B350" t="str">
        <f>"-0.23"</f>
        <v>-0.23</v>
      </c>
      <c r="C350" t="str">
        <f>"23"</f>
        <v>23</v>
      </c>
      <c r="D350" t="str">
        <f>"Here Is..."</f>
        <v>Here Is...</v>
      </c>
    </row>
    <row r="351" spans="1:4" x14ac:dyDescent="0.2">
      <c r="A351" t="str">
        <f>"350"</f>
        <v>350</v>
      </c>
      <c r="B351" t="str">
        <f>"-0.78"</f>
        <v>-0.78</v>
      </c>
      <c r="C351" t="str">
        <f>"34"</f>
        <v>34</v>
      </c>
      <c r="D351" t="str">
        <f>"The Outsider"</f>
        <v>The Outsider</v>
      </c>
    </row>
    <row r="352" spans="1:4" x14ac:dyDescent="0.2">
      <c r="A352" t="str">
        <f>"351"</f>
        <v>351</v>
      </c>
      <c r="B352" t="str">
        <f>"-0.58"</f>
        <v>-0.58</v>
      </c>
      <c r="C352" t="str">
        <f>"29"</f>
        <v>29</v>
      </c>
      <c r="D352" t="str">
        <f>"Knives Don't Have Your Back"</f>
        <v>Knives Don't Have Your Back</v>
      </c>
    </row>
    <row r="353" spans="1:4" x14ac:dyDescent="0.2">
      <c r="A353" t="str">
        <f>"352"</f>
        <v>352</v>
      </c>
      <c r="B353" t="str">
        <f>"-0.2"</f>
        <v>-0.2</v>
      </c>
      <c r="C353" t="str">
        <f>"83"</f>
        <v>83</v>
      </c>
      <c r="D353" t="str">
        <f>"Talk to la Bomb"</f>
        <v>Talk to la Bomb</v>
      </c>
    </row>
    <row r="354" spans="1:4" x14ac:dyDescent="0.2">
      <c r="A354" t="str">
        <f>"353"</f>
        <v>353</v>
      </c>
      <c r="B354" t="str">
        <f>"0"</f>
        <v>0</v>
      </c>
      <c r="C354" t="str">
        <f>"56"</f>
        <v>56</v>
      </c>
      <c r="D354" t="str">
        <f>"Waiting for the Next End of the World"</f>
        <v>Waiting for the Next End of the World</v>
      </c>
    </row>
    <row r="355" spans="1:4" x14ac:dyDescent="0.2">
      <c r="A355" t="str">
        <f>"354"</f>
        <v>354</v>
      </c>
      <c r="B355" t="str">
        <f>"0.5"</f>
        <v>0.5</v>
      </c>
      <c r="C355" t="str">
        <f>"40"</f>
        <v>40</v>
      </c>
      <c r="D355" t="str">
        <f>"Son of the Tiger"</f>
        <v>Son of the Tiger</v>
      </c>
    </row>
    <row r="356" spans="1:4" x14ac:dyDescent="0.2">
      <c r="A356" t="str">
        <f>"355"</f>
        <v>355</v>
      </c>
      <c r="B356" t="str">
        <f>"0.48"</f>
        <v>0.48</v>
      </c>
      <c r="C356" t="str">
        <f>"48"</f>
        <v>48</v>
      </c>
      <c r="D356" t="str">
        <f>"The Letting Go"</f>
        <v>The Letting Go</v>
      </c>
    </row>
    <row r="357" spans="1:4" x14ac:dyDescent="0.2">
      <c r="A357" t="str">
        <f>"356"</f>
        <v>356</v>
      </c>
      <c r="B357" t="str">
        <f>"-0.75"</f>
        <v>-0.75</v>
      </c>
      <c r="C357" t="str">
        <f>"19"</f>
        <v>19</v>
      </c>
      <c r="D357" t="str">
        <f>"AWOO"</f>
        <v>AWOO</v>
      </c>
    </row>
    <row r="358" spans="1:4" x14ac:dyDescent="0.2">
      <c r="A358" t="str">
        <f>"357"</f>
        <v>357</v>
      </c>
      <c r="B358" t="str">
        <f>"0.69"</f>
        <v>0.69</v>
      </c>
      <c r="C358" t="str">
        <f>"23"</f>
        <v>23</v>
      </c>
      <c r="D358" t="str">
        <f>"Electrice"</f>
        <v>Electrice</v>
      </c>
    </row>
    <row r="359" spans="1:4" x14ac:dyDescent="0.2">
      <c r="A359" t="str">
        <f>"358"</f>
        <v>358</v>
      </c>
      <c r="B359" t="str">
        <f>"0.18"</f>
        <v>0.18</v>
      </c>
      <c r="C359" t="str">
        <f>"64"</f>
        <v>64</v>
      </c>
      <c r="D359" t="str">
        <f>"Foundation Sounds"</f>
        <v>Foundation Sounds</v>
      </c>
    </row>
    <row r="360" spans="1:4" x14ac:dyDescent="0.2">
      <c r="A360" t="str">
        <f>"359"</f>
        <v>359</v>
      </c>
      <c r="B360" t="str">
        <f>"-0.33"</f>
        <v>-0.33</v>
      </c>
      <c r="C360" t="str">
        <f>"53"</f>
        <v>53</v>
      </c>
      <c r="D360" t="str">
        <f>"Violence Is Golden"</f>
        <v>Violence Is Golden</v>
      </c>
    </row>
    <row r="361" spans="1:4" x14ac:dyDescent="0.2">
      <c r="A361" t="str">
        <f>"360"</f>
        <v>360</v>
      </c>
      <c r="B361" t="str">
        <f>"-0.04"</f>
        <v>-0.04</v>
      </c>
      <c r="C361" t="str">
        <f>"114"</f>
        <v>114</v>
      </c>
      <c r="D361" t="str">
        <f>"And I Feel Fine"</f>
        <v>And I Feel Fine</v>
      </c>
    </row>
    <row r="362" spans="1:4" x14ac:dyDescent="0.2">
      <c r="A362" t="str">
        <f>"361"</f>
        <v>361</v>
      </c>
      <c r="B362" t="str">
        <f>"0.59"</f>
        <v>0.59</v>
      </c>
      <c r="C362" t="str">
        <f>"20"</f>
        <v>20</v>
      </c>
      <c r="D362" t="str">
        <f>"Total 7"</f>
        <v>Total 7</v>
      </c>
    </row>
    <row r="363" spans="1:4" x14ac:dyDescent="0.2">
      <c r="A363" t="str">
        <f>"362"</f>
        <v>362</v>
      </c>
      <c r="B363" t="str">
        <f>"-0.01"</f>
        <v>-0.01</v>
      </c>
      <c r="C363" t="str">
        <f>"27"</f>
        <v>27</v>
      </c>
      <c r="D363" t="str">
        <f>"Dreams"</f>
        <v>Dreams</v>
      </c>
    </row>
    <row r="364" spans="1:4" x14ac:dyDescent="0.2">
      <c r="A364" t="str">
        <f>"363"</f>
        <v>363</v>
      </c>
      <c r="B364" t="str">
        <f>"0.19"</f>
        <v>0.19</v>
      </c>
      <c r="C364" t="str">
        <f>"49"</f>
        <v>49</v>
      </c>
      <c r="D364" t="str">
        <f>"Tell Me"</f>
        <v>Tell Me</v>
      </c>
    </row>
    <row r="365" spans="1:4" x14ac:dyDescent="0.2">
      <c r="A365" t="str">
        <f>"364"</f>
        <v>364</v>
      </c>
      <c r="B365" t="str">
        <f>"0.31"</f>
        <v>0.31</v>
      </c>
      <c r="C365" t="str">
        <f>"21"</f>
        <v>21</v>
      </c>
      <c r="D365" t="str">
        <f>"5:55"</f>
        <v>5:55</v>
      </c>
    </row>
    <row r="366" spans="1:4" x14ac:dyDescent="0.2">
      <c r="A366" t="str">
        <f>"365"</f>
        <v>365</v>
      </c>
      <c r="B366" t="str">
        <f>"0.35"</f>
        <v>0.35</v>
      </c>
      <c r="C366" t="str">
        <f>"113"</f>
        <v>113</v>
      </c>
      <c r="D366" t="str">
        <f>"Transparent Things"</f>
        <v>Transparent Things</v>
      </c>
    </row>
    <row r="367" spans="1:4" x14ac:dyDescent="0.2">
      <c r="A367" t="str">
        <f>"366"</f>
        <v>366</v>
      </c>
      <c r="B367" t="str">
        <f>"-0.18"</f>
        <v>-0.18</v>
      </c>
      <c r="C367" t="str">
        <f>"136"</f>
        <v>136</v>
      </c>
      <c r="D367" t="str">
        <f>"The Air Force"</f>
        <v>The Air Force</v>
      </c>
    </row>
    <row r="368" spans="1:4" x14ac:dyDescent="0.2">
      <c r="A368" t="str">
        <f>"367"</f>
        <v>367</v>
      </c>
      <c r="B368" t="str">
        <f>"-0.17"</f>
        <v>-0.17</v>
      </c>
      <c r="C368" t="str">
        <f>"23"</f>
        <v>23</v>
      </c>
      <c r="D368" t="str">
        <f>"Meadow"</f>
        <v>Meadow</v>
      </c>
    </row>
    <row r="369" spans="1:4" x14ac:dyDescent="0.2">
      <c r="A369" t="str">
        <f>"368"</f>
        <v>368</v>
      </c>
      <c r="B369" t="str">
        <f>"-0.82"</f>
        <v>-0.82</v>
      </c>
      <c r="C369" t="str">
        <f>"39"</f>
        <v>39</v>
      </c>
      <c r="D369" t="str">
        <f>"Stella"</f>
        <v>Stella</v>
      </c>
    </row>
    <row r="370" spans="1:4" x14ac:dyDescent="0.2">
      <c r="A370" t="str">
        <f>"369"</f>
        <v>369</v>
      </c>
      <c r="B370" t="str">
        <f>"-1.14"</f>
        <v>-1.14</v>
      </c>
      <c r="C370" t="str">
        <f>"19"</f>
        <v>19</v>
      </c>
      <c r="D370" t="str">
        <f>"Hell Songs"</f>
        <v>Hell Songs</v>
      </c>
    </row>
    <row r="371" spans="1:4" x14ac:dyDescent="0.2">
      <c r="A371" t="str">
        <f>"370"</f>
        <v>370</v>
      </c>
      <c r="B371" t="str">
        <f>"0.84"</f>
        <v>0.84</v>
      </c>
      <c r="C371" t="str">
        <f>"32"</f>
        <v>32</v>
      </c>
      <c r="D371" t="str">
        <f>"FutureSex / LoveSounds"</f>
        <v>FutureSex / LoveSounds</v>
      </c>
    </row>
    <row r="372" spans="1:4" x14ac:dyDescent="0.2">
      <c r="A372" t="str">
        <f>"371"</f>
        <v>371</v>
      </c>
      <c r="B372" t="str">
        <f>"0.87"</f>
        <v>0.87</v>
      </c>
      <c r="C372" t="str">
        <f>"31"</f>
        <v>31</v>
      </c>
      <c r="D372" t="str">
        <f>"Fading Trails"</f>
        <v>Fading Trails</v>
      </c>
    </row>
    <row r="373" spans="1:4" x14ac:dyDescent="0.2">
      <c r="A373" t="str">
        <f>"372"</f>
        <v>372</v>
      </c>
      <c r="B373" t="str">
        <f>"0.36"</f>
        <v>0.36</v>
      </c>
      <c r="C373" t="str">
        <f>"60"</f>
        <v>60</v>
      </c>
      <c r="D373" t="str">
        <f>"Dance Away the Terror"</f>
        <v>Dance Away the Terror</v>
      </c>
    </row>
    <row r="374" spans="1:4" x14ac:dyDescent="0.2">
      <c r="A374" t="str">
        <f>"373"</f>
        <v>373</v>
      </c>
      <c r="B374" t="str">
        <f>"0.17"</f>
        <v>0.17</v>
      </c>
      <c r="C374" t="str">
        <f>"27"</f>
        <v>27</v>
      </c>
      <c r="D374" t="str">
        <f>"Acoustics"</f>
        <v>Acoustics</v>
      </c>
    </row>
    <row r="375" spans="1:4" x14ac:dyDescent="0.2">
      <c r="A375" t="str">
        <f>"374"</f>
        <v>374</v>
      </c>
      <c r="B375" t="str">
        <f>"0.46"</f>
        <v>0.46</v>
      </c>
      <c r="C375" t="str">
        <f>"32"</f>
        <v>32</v>
      </c>
      <c r="D375" t="str">
        <f>"Peeping Tom"</f>
        <v>Peeping Tom</v>
      </c>
    </row>
    <row r="376" spans="1:4" x14ac:dyDescent="0.2">
      <c r="A376" t="str">
        <f>"375"</f>
        <v>375</v>
      </c>
      <c r="B376" t="str">
        <f>"-0.57"</f>
        <v>-0.57</v>
      </c>
      <c r="C376" t="str">
        <f>"33"</f>
        <v>33</v>
      </c>
      <c r="D376" t="str">
        <f>"Pieces of the People We Love"</f>
        <v>Pieces of the People We Love</v>
      </c>
    </row>
    <row r="377" spans="1:4" x14ac:dyDescent="0.2">
      <c r="A377" t="str">
        <f>"376"</f>
        <v>376</v>
      </c>
      <c r="B377" t="str">
        <f>"-0.35"</f>
        <v>-0.35</v>
      </c>
      <c r="C377" t="str">
        <f>"94"</f>
        <v>94</v>
      </c>
      <c r="D377" t="str">
        <f>"Amputechture"</f>
        <v>Amputechture</v>
      </c>
    </row>
    <row r="378" spans="1:4" x14ac:dyDescent="0.2">
      <c r="A378" t="str">
        <f>"377"</f>
        <v>377</v>
      </c>
      <c r="B378" t="str">
        <f>"1.17"</f>
        <v>1.17</v>
      </c>
      <c r="C378" t="str">
        <f>"34"</f>
        <v>34</v>
      </c>
      <c r="D378" t="str">
        <f>"Lanzafame"</f>
        <v>Lanzafame</v>
      </c>
    </row>
    <row r="379" spans="1:4" x14ac:dyDescent="0.2">
      <c r="A379" t="str">
        <f>"378"</f>
        <v>378</v>
      </c>
      <c r="B379" t="str">
        <f>"0.38"</f>
        <v>0.38</v>
      </c>
      <c r="C379" t="str">
        <f>"29"</f>
        <v>29</v>
      </c>
      <c r="D379" t="str">
        <f>"Make Love to the Judges With Your Eyes"</f>
        <v>Make Love to the Judges With Your Eyes</v>
      </c>
    </row>
    <row r="380" spans="1:4" x14ac:dyDescent="0.2">
      <c r="A380" t="str">
        <f>"379"</f>
        <v>379</v>
      </c>
      <c r="B380" t="str">
        <f>"0.65"</f>
        <v>0.65</v>
      </c>
      <c r="C380" t="str">
        <f>"20"</f>
        <v>20</v>
      </c>
      <c r="D380" t="str">
        <f>"Love &amp; Other Planets"</f>
        <v>Love &amp; Other Planets</v>
      </c>
    </row>
    <row r="381" spans="1:4" x14ac:dyDescent="0.2">
      <c r="A381" t="str">
        <f>"380"</f>
        <v>380</v>
      </c>
      <c r="B381" t="str">
        <f>"-0.04"</f>
        <v>-0.04</v>
      </c>
      <c r="C381" t="str">
        <f>"87"</f>
        <v>87</v>
      </c>
      <c r="D381" t="str">
        <f>"I Am Not Afraid of You and I Will Beat Your Ass"</f>
        <v>I Am Not Afraid of You and I Will Beat Your Ass</v>
      </c>
    </row>
    <row r="382" spans="1:4" x14ac:dyDescent="0.2">
      <c r="A382" t="str">
        <f>"381"</f>
        <v>381</v>
      </c>
      <c r="B382" t="str">
        <f>"-0.39"</f>
        <v>-0.39</v>
      </c>
      <c r="C382" t="str">
        <f>"73"</f>
        <v>73</v>
      </c>
      <c r="D382" t="str">
        <f>"Magic Potion"</f>
        <v>Magic Potion</v>
      </c>
    </row>
    <row r="383" spans="1:4" x14ac:dyDescent="0.2">
      <c r="A383" t="str">
        <f>"382"</f>
        <v>382</v>
      </c>
      <c r="B383" t="str">
        <f>"0.98"</f>
        <v>0.98</v>
      </c>
      <c r="C383" t="str">
        <f>"20"</f>
        <v>20</v>
      </c>
      <c r="D383" t="str">
        <f>"The Wee Hours Revue"</f>
        <v>The Wee Hours Revue</v>
      </c>
    </row>
    <row r="384" spans="1:4" x14ac:dyDescent="0.2">
      <c r="A384" t="str">
        <f>"383"</f>
        <v>383</v>
      </c>
      <c r="B384" t="str">
        <f>"0.6"</f>
        <v>0.6</v>
      </c>
      <c r="C384" t="str">
        <f>"23"</f>
        <v>23</v>
      </c>
      <c r="D384" t="str">
        <f>"Another Thought"</f>
        <v>Another Thought</v>
      </c>
    </row>
    <row r="385" spans="1:4" x14ac:dyDescent="0.2">
      <c r="A385" t="str">
        <f>"384"</f>
        <v>384</v>
      </c>
      <c r="B385" t="str">
        <f>"0.15"</f>
        <v>0.15</v>
      </c>
      <c r="C385" t="str">
        <f>"66"</f>
        <v>66</v>
      </c>
      <c r="D385" t="str">
        <f>"Ethnic Minority Music of Northeast Cambodia"</f>
        <v>Ethnic Minority Music of Northeast Cambodia</v>
      </c>
    </row>
    <row r="386" spans="1:4" x14ac:dyDescent="0.2">
      <c r="A386" t="str">
        <f>"385"</f>
        <v>385</v>
      </c>
      <c r="B386" t="str">
        <f>"1.17"</f>
        <v>1.17</v>
      </c>
      <c r="C386" t="str">
        <f>"37"</f>
        <v>37</v>
      </c>
      <c r="D386" t="str">
        <f>"Pet Sounds: 40th Anniversary"</f>
        <v>Pet Sounds: 40th Anniversary</v>
      </c>
    </row>
    <row r="387" spans="1:4" x14ac:dyDescent="0.2">
      <c r="A387" t="str">
        <f>"386"</f>
        <v>386</v>
      </c>
      <c r="B387" t="str">
        <f>"0.14"</f>
        <v>0.14</v>
      </c>
      <c r="C387" t="str">
        <f>"21"</f>
        <v>21</v>
      </c>
      <c r="D387" t="str">
        <f>"Nautical Antiques"</f>
        <v>Nautical Antiques</v>
      </c>
    </row>
    <row r="388" spans="1:4" x14ac:dyDescent="0.2">
      <c r="A388" t="str">
        <f>"387"</f>
        <v>387</v>
      </c>
      <c r="B388" t="str">
        <f>"1.22"</f>
        <v>1.22</v>
      </c>
      <c r="C388" t="str">
        <f>"48"</f>
        <v>48</v>
      </c>
      <c r="D388" t="str">
        <f>"Post Cro-Magnon Drift"</f>
        <v>Post Cro-Magnon Drift</v>
      </c>
    </row>
    <row r="389" spans="1:4" x14ac:dyDescent="0.2">
      <c r="A389" t="str">
        <f>"388"</f>
        <v>388</v>
      </c>
      <c r="B389" t="str">
        <f>"1.41"</f>
        <v>1.41</v>
      </c>
      <c r="C389" t="str">
        <f>"40"</f>
        <v>40</v>
      </c>
      <c r="D389" t="str">
        <f>"Sing Song EP"</f>
        <v>Sing Song EP</v>
      </c>
    </row>
    <row r="390" spans="1:4" x14ac:dyDescent="0.2">
      <c r="A390" t="str">
        <f>"389"</f>
        <v>389</v>
      </c>
      <c r="B390" t="str">
        <f>"0.21"</f>
        <v>0.21</v>
      </c>
      <c r="C390" t="str">
        <f>"22"</f>
        <v>22</v>
      </c>
      <c r="D390" t="str">
        <f>"Three's Co."</f>
        <v>Three's Co.</v>
      </c>
    </row>
    <row r="391" spans="1:4" x14ac:dyDescent="0.2">
      <c r="A391" t="str">
        <f>"390"</f>
        <v>390</v>
      </c>
      <c r="B391" t="str">
        <f>"0.56"</f>
        <v>0.56</v>
      </c>
      <c r="C391" t="str">
        <f>"24"</f>
        <v>24</v>
      </c>
      <c r="D391" t="str">
        <f>"B'Day"</f>
        <v>B'Day</v>
      </c>
    </row>
    <row r="392" spans="1:4" x14ac:dyDescent="0.2">
      <c r="A392" t="str">
        <f>"391"</f>
        <v>391</v>
      </c>
      <c r="B392" t="str">
        <f>"-0.93"</f>
        <v>-0.93</v>
      </c>
      <c r="C392" t="str">
        <f>"77"</f>
        <v>77</v>
      </c>
      <c r="D392" t="str">
        <f>"Varcharz"</f>
        <v>Varcharz</v>
      </c>
    </row>
    <row r="393" spans="1:4" x14ac:dyDescent="0.2">
      <c r="A393" t="str">
        <f>"392"</f>
        <v>392</v>
      </c>
      <c r="B393" t="str">
        <f>"0.07"</f>
        <v>0.07</v>
      </c>
      <c r="C393" t="str">
        <f>"69"</f>
        <v>69</v>
      </c>
      <c r="D393" t="str">
        <f>"Living Room"</f>
        <v>Living Room</v>
      </c>
    </row>
    <row r="394" spans="1:4" x14ac:dyDescent="0.2">
      <c r="A394" t="str">
        <f>"393"</f>
        <v>393</v>
      </c>
      <c r="B394" t="str">
        <f>"0.34"</f>
        <v>0.34</v>
      </c>
      <c r="C394" t="str">
        <f>"22"</f>
        <v>22</v>
      </c>
      <c r="D394" t="str">
        <f>"K1"</f>
        <v>K1</v>
      </c>
    </row>
    <row r="395" spans="1:4" x14ac:dyDescent="0.2">
      <c r="A395" t="str">
        <f>"394"</f>
        <v>394</v>
      </c>
      <c r="B395" t="str">
        <f>"-0.49"</f>
        <v>-0.49</v>
      </c>
      <c r="C395" t="str">
        <f>"24"</f>
        <v>24</v>
      </c>
      <c r="D395" t="str">
        <f>"Reaper of Souls"</f>
        <v>Reaper of Souls</v>
      </c>
    </row>
    <row r="396" spans="1:4" x14ac:dyDescent="0.2">
      <c r="A396" t="str">
        <f>"395"</f>
        <v>395</v>
      </c>
      <c r="B396" t="str">
        <f>"-0.01"</f>
        <v>-0.01</v>
      </c>
      <c r="C396" t="str">
        <f>"111"</f>
        <v>111</v>
      </c>
      <c r="D396" t="str">
        <f>"Yellow House"</f>
        <v>Yellow House</v>
      </c>
    </row>
    <row r="397" spans="1:4" x14ac:dyDescent="0.2">
      <c r="A397" t="str">
        <f>"396"</f>
        <v>396</v>
      </c>
      <c r="B397" t="str">
        <f>"1.23"</f>
        <v>1.23</v>
      </c>
      <c r="C397" t="str">
        <f>"33"</f>
        <v>33</v>
      </c>
      <c r="D397" t="str">
        <f>"Serene Velocity: A Stereolab Anthology"</f>
        <v>Serene Velocity: A Stereolab Anthology</v>
      </c>
    </row>
    <row r="398" spans="1:4" x14ac:dyDescent="0.2">
      <c r="A398" t="str">
        <f>"397"</f>
        <v>397</v>
      </c>
      <c r="B398" t="str">
        <f>"0.32"</f>
        <v>0.32</v>
      </c>
      <c r="C398" t="str">
        <f>"70"</f>
        <v>70</v>
      </c>
      <c r="D398" t="str">
        <f>"Zeno Beach"</f>
        <v>Zeno Beach</v>
      </c>
    </row>
    <row r="399" spans="1:4" x14ac:dyDescent="0.2">
      <c r="A399" t="str">
        <f>"398"</f>
        <v>398</v>
      </c>
      <c r="B399" t="str">
        <f>"-0.57"</f>
        <v>-0.57</v>
      </c>
      <c r="C399" t="str">
        <f>"52"</f>
        <v>52</v>
      </c>
      <c r="D399" t="str">
        <f>"Live in: Nerd Rage!"</f>
        <v>Live in: Nerd Rage!</v>
      </c>
    </row>
    <row r="400" spans="1:4" x14ac:dyDescent="0.2">
      <c r="A400" t="str">
        <f>"399"</f>
        <v>399</v>
      </c>
      <c r="B400" t="str">
        <f>"0.43"</f>
        <v>0.43</v>
      </c>
      <c r="C400" t="str">
        <f>"76"</f>
        <v>76</v>
      </c>
      <c r="D400" t="str">
        <f>"Gravity Won't Get You High"</f>
        <v>Gravity Won't Get You High</v>
      </c>
    </row>
    <row r="401" spans="1:4" x14ac:dyDescent="0.2">
      <c r="A401" t="str">
        <f>"400"</f>
        <v>400</v>
      </c>
      <c r="B401" t="str">
        <f>"0.07"</f>
        <v>0.07</v>
      </c>
      <c r="C401" t="str">
        <f>"100"</f>
        <v>100</v>
      </c>
      <c r="D401" t="str">
        <f>"Crazy Itch Radio"</f>
        <v>Crazy Itch Radio</v>
      </c>
    </row>
    <row r="402" spans="1:4" x14ac:dyDescent="0.2">
      <c r="A402" t="str">
        <f>"401"</f>
        <v>401</v>
      </c>
      <c r="B402" t="str">
        <f>"0.51"</f>
        <v>0.51</v>
      </c>
      <c r="C402" t="str">
        <f>"35"</f>
        <v>35</v>
      </c>
      <c r="D402" t="str">
        <f>"Ultimate Prince"</f>
        <v>Ultimate Prince</v>
      </c>
    </row>
    <row r="403" spans="1:4" x14ac:dyDescent="0.2">
      <c r="A403" t="str">
        <f>"402"</f>
        <v>402</v>
      </c>
      <c r="B403" t="str">
        <f>"1.38"</f>
        <v>1.38</v>
      </c>
      <c r="C403" t="str">
        <f>"16"</f>
        <v>16</v>
      </c>
      <c r="D403" t="str">
        <f>"To the Races"</f>
        <v>To the Races</v>
      </c>
    </row>
    <row r="404" spans="1:4" x14ac:dyDescent="0.2">
      <c r="A404" t="str">
        <f>"403"</f>
        <v>403</v>
      </c>
      <c r="B404" t="str">
        <f>"0.02"</f>
        <v>0.02</v>
      </c>
      <c r="C404" t="str">
        <f>"102"</f>
        <v>102</v>
      </c>
      <c r="D404" t="str">
        <f>"Rogue's Gallery"</f>
        <v>Rogue's Gallery</v>
      </c>
    </row>
    <row r="405" spans="1:4" x14ac:dyDescent="0.2">
      <c r="A405" t="str">
        <f>"404"</f>
        <v>404</v>
      </c>
      <c r="B405" t="str">
        <f>"0.18"</f>
        <v>0.18</v>
      </c>
      <c r="C405" t="str">
        <f>"23"</f>
        <v>23</v>
      </c>
      <c r="D405" t="str">
        <f>"Feeling the Fall"</f>
        <v>Feeling the Fall</v>
      </c>
    </row>
    <row r="406" spans="1:4" x14ac:dyDescent="0.2">
      <c r="A406" t="str">
        <f>"405"</f>
        <v>405</v>
      </c>
      <c r="B406" t="str">
        <f>"0.88"</f>
        <v>0.88</v>
      </c>
      <c r="C406" t="str">
        <f>"37"</f>
        <v>37</v>
      </c>
      <c r="D406" t="str">
        <f>"Paris 1919"</f>
        <v>Paris 1919</v>
      </c>
    </row>
    <row r="407" spans="1:4" x14ac:dyDescent="0.2">
      <c r="A407" t="str">
        <f>"406"</f>
        <v>406</v>
      </c>
      <c r="B407" t="str">
        <f>"0.17"</f>
        <v>0.17</v>
      </c>
      <c r="C407" t="str">
        <f>"30"</f>
        <v>30</v>
      </c>
      <c r="D407" t="str">
        <f>"1968"</f>
        <v>1968</v>
      </c>
    </row>
    <row r="408" spans="1:4" x14ac:dyDescent="0.2">
      <c r="A408" t="str">
        <f>"407"</f>
        <v>407</v>
      </c>
      <c r="B408" t="str">
        <f>"-0.23"</f>
        <v>-0.23</v>
      </c>
      <c r="C408" t="str">
        <f>"90"</f>
        <v>90</v>
      </c>
      <c r="D408" t="str">
        <f>"Good God! A Gospel Funk Hymnal"</f>
        <v>Good God! A Gospel Funk Hymnal</v>
      </c>
    </row>
    <row r="409" spans="1:4" x14ac:dyDescent="0.2">
      <c r="A409" t="str">
        <f>"408"</f>
        <v>408</v>
      </c>
      <c r="B409" t="str">
        <f>"0.16"</f>
        <v>0.16</v>
      </c>
      <c r="C409" t="str">
        <f>"29"</f>
        <v>29</v>
      </c>
      <c r="D409" t="str">
        <f>"Complete Studio Recordings 1982-1984"</f>
        <v>Complete Studio Recordings 1982-1984</v>
      </c>
    </row>
    <row r="410" spans="1:4" x14ac:dyDescent="0.2">
      <c r="A410" t="str">
        <f>"409"</f>
        <v>409</v>
      </c>
      <c r="B410" t="str">
        <f>"0.13"</f>
        <v>0.13</v>
      </c>
      <c r="C410" t="str">
        <f>"21"</f>
        <v>21</v>
      </c>
      <c r="D410" t="str">
        <f>"A Little Place in the Wilderness"</f>
        <v>A Little Place in the Wilderness</v>
      </c>
    </row>
    <row r="411" spans="1:4" x14ac:dyDescent="0.2">
      <c r="A411" t="str">
        <f>"410"</f>
        <v>410</v>
      </c>
      <c r="B411" t="str">
        <f>"-0.43"</f>
        <v>-0.43</v>
      </c>
      <c r="C411" t="str">
        <f>"113"</f>
        <v>113</v>
      </c>
      <c r="D411" t="str">
        <f>"Game Theory"</f>
        <v>Game Theory</v>
      </c>
    </row>
    <row r="412" spans="1:4" x14ac:dyDescent="0.2">
      <c r="A412" t="str">
        <f>"411"</f>
        <v>411</v>
      </c>
      <c r="B412" t="str">
        <f>"0.48"</f>
        <v>0.48</v>
      </c>
      <c r="C412" t="str">
        <f>"87"</f>
        <v>87</v>
      </c>
      <c r="D412" t="str">
        <f>"Live at KEXP Volume 2"</f>
        <v>Live at KEXP Volume 2</v>
      </c>
    </row>
    <row r="413" spans="1:4" x14ac:dyDescent="0.2">
      <c r="A413" t="str">
        <f>"412"</f>
        <v>412</v>
      </c>
      <c r="B413" t="str">
        <f>"0.48"</f>
        <v>0.48</v>
      </c>
      <c r="C413" t="str">
        <f>"55"</f>
        <v>55</v>
      </c>
      <c r="D413" t="str">
        <f>"Oxytocin"</f>
        <v>Oxytocin</v>
      </c>
    </row>
    <row r="414" spans="1:4" x14ac:dyDescent="0.2">
      <c r="A414" t="str">
        <f>"413"</f>
        <v>413</v>
      </c>
      <c r="B414" t="str">
        <f>"-0.17"</f>
        <v>-0.17</v>
      </c>
      <c r="C414" t="str">
        <f>"58"</f>
        <v>58</v>
      </c>
      <c r="D414" t="str">
        <f>"All This Time"</f>
        <v>All This Time</v>
      </c>
    </row>
    <row r="415" spans="1:4" x14ac:dyDescent="0.2">
      <c r="A415" t="str">
        <f>"414"</f>
        <v>414</v>
      </c>
      <c r="B415" t="str">
        <f>"0.05"</f>
        <v>0.05</v>
      </c>
      <c r="C415" t="str">
        <f>"67"</f>
        <v>67</v>
      </c>
      <c r="D415" t="str">
        <f>"One Day It Will Please Us to Remember Even This"</f>
        <v>One Day It Will Please Us to Remember Even This</v>
      </c>
    </row>
    <row r="416" spans="1:4" x14ac:dyDescent="0.2">
      <c r="A416" t="str">
        <f>"415"</f>
        <v>415</v>
      </c>
      <c r="B416" t="str">
        <f>"1.16"</f>
        <v>1.16</v>
      </c>
      <c r="C416" t="str">
        <f>"72"</f>
        <v>72</v>
      </c>
      <c r="D416" t="str">
        <f>"Post-War"</f>
        <v>Post-War</v>
      </c>
    </row>
    <row r="417" spans="1:4" x14ac:dyDescent="0.2">
      <c r="A417" t="str">
        <f>"416"</f>
        <v>416</v>
      </c>
      <c r="B417" t="str">
        <f>"0.12"</f>
        <v>0.12</v>
      </c>
      <c r="C417" t="str">
        <f>"25"</f>
        <v>25</v>
      </c>
      <c r="D417" t="str">
        <f>"Kelis Was Here"</f>
        <v>Kelis Was Here</v>
      </c>
    </row>
    <row r="418" spans="1:4" x14ac:dyDescent="0.2">
      <c r="A418" t="str">
        <f>"417"</f>
        <v>417</v>
      </c>
      <c r="B418" t="str">
        <f>"-0.36"</f>
        <v>-0.36</v>
      </c>
      <c r="C418" t="str">
        <f>"134"</f>
        <v>134</v>
      </c>
      <c r="D418" t="str">
        <f>"Ashes Against the Grain"</f>
        <v>Ashes Against the Grain</v>
      </c>
    </row>
    <row r="419" spans="1:4" x14ac:dyDescent="0.2">
      <c r="A419" t="str">
        <f>"418"</f>
        <v>418</v>
      </c>
      <c r="B419" t="str">
        <f>"-0.34"</f>
        <v>-0.34</v>
      </c>
      <c r="C419" t="str">
        <f>"18"</f>
        <v>18</v>
      </c>
      <c r="D419" t="str">
        <f>"The Sad Part"</f>
        <v>The Sad Part</v>
      </c>
    </row>
    <row r="420" spans="1:4" x14ac:dyDescent="0.2">
      <c r="A420" t="str">
        <f>"419"</f>
        <v>419</v>
      </c>
      <c r="B420" t="str">
        <f>"-0.84"</f>
        <v>-0.84</v>
      </c>
      <c r="C420" t="str">
        <f>"42"</f>
        <v>42</v>
      </c>
      <c r="D420" t="str">
        <f>"A Million Microphones"</f>
        <v>A Million Microphones</v>
      </c>
    </row>
    <row r="421" spans="1:4" x14ac:dyDescent="0.2">
      <c r="A421" t="str">
        <f>"420"</f>
        <v>420</v>
      </c>
      <c r="B421" t="str">
        <f>"0.79"</f>
        <v>0.79</v>
      </c>
      <c r="C421" t="str">
        <f>"21"</f>
        <v>21</v>
      </c>
      <c r="D421" t="str">
        <f>"Modern Times"</f>
        <v>Modern Times</v>
      </c>
    </row>
    <row r="422" spans="1:4" x14ac:dyDescent="0.2">
      <c r="A422" t="str">
        <f>"421"</f>
        <v>421</v>
      </c>
      <c r="B422" t="str">
        <f>"0.37"</f>
        <v>0.37</v>
      </c>
      <c r="C422" t="str">
        <f>"30"</f>
        <v>30</v>
      </c>
      <c r="D422" t="str">
        <f>"Thunder Down Under"</f>
        <v>Thunder Down Under</v>
      </c>
    </row>
    <row r="423" spans="1:4" x14ac:dyDescent="0.2">
      <c r="A423" t="str">
        <f>"422"</f>
        <v>422</v>
      </c>
      <c r="B423" t="str">
        <f>"0.07"</f>
        <v>0.07</v>
      </c>
      <c r="C423" t="str">
        <f>"19"</f>
        <v>19</v>
      </c>
      <c r="D423" t="str">
        <f>"Digital Disco 3"</f>
        <v>Digital Disco 3</v>
      </c>
    </row>
    <row r="424" spans="1:4" x14ac:dyDescent="0.2">
      <c r="A424" t="str">
        <f>"423"</f>
        <v>423</v>
      </c>
      <c r="B424" t="str">
        <f>"-0.13"</f>
        <v>-0.13</v>
      </c>
      <c r="C424" t="str">
        <f>"52"</f>
        <v>52</v>
      </c>
      <c r="D424" t="str">
        <f>"Garden Cities of To-morrow"</f>
        <v>Garden Cities of To-morrow</v>
      </c>
    </row>
    <row r="425" spans="1:4" x14ac:dyDescent="0.2">
      <c r="A425" t="str">
        <f>"424"</f>
        <v>424</v>
      </c>
      <c r="B425" t="str">
        <f>"-0.35"</f>
        <v>-0.35</v>
      </c>
      <c r="C425" t="str">
        <f>"20"</f>
        <v>20</v>
      </c>
      <c r="D425" t="str">
        <f>"Sorry About the Flowers"</f>
        <v>Sorry About the Flowers</v>
      </c>
    </row>
    <row r="426" spans="1:4" x14ac:dyDescent="0.2">
      <c r="A426" t="str">
        <f>"425"</f>
        <v>425</v>
      </c>
      <c r="B426" t="str">
        <f>"0.89"</f>
        <v>0.89</v>
      </c>
      <c r="C426" t="str">
        <f>"85"</f>
        <v>85</v>
      </c>
      <c r="D426" t="str">
        <f>"The Future Crayon"</f>
        <v>The Future Crayon</v>
      </c>
    </row>
    <row r="427" spans="1:4" x14ac:dyDescent="0.2">
      <c r="A427" t="str">
        <f>"426"</f>
        <v>426</v>
      </c>
      <c r="B427" t="str">
        <f>"-1.18"</f>
        <v>-1.18</v>
      </c>
      <c r="C427" t="str">
        <f>"60"</f>
        <v>60</v>
      </c>
      <c r="D427" t="str">
        <f>"Damaged"</f>
        <v>Damaged</v>
      </c>
    </row>
    <row r="428" spans="1:4" x14ac:dyDescent="0.2">
      <c r="A428" t="str">
        <f>"427"</f>
        <v>427</v>
      </c>
      <c r="B428" t="str">
        <f>"-0.63"</f>
        <v>-0.63</v>
      </c>
      <c r="C428" t="str">
        <f>"60"</f>
        <v>60</v>
      </c>
      <c r="D428" t="s">
        <v>9</v>
      </c>
    </row>
    <row r="429" spans="1:4" x14ac:dyDescent="0.2">
      <c r="A429" t="str">
        <f>"428"</f>
        <v>428</v>
      </c>
      <c r="B429" t="str">
        <f>"0.24"</f>
        <v>0.24</v>
      </c>
      <c r="C429" t="str">
        <f>"27"</f>
        <v>27</v>
      </c>
      <c r="D429" t="str">
        <f>"Folk Off!"</f>
        <v>Folk Off!</v>
      </c>
    </row>
    <row r="430" spans="1:4" x14ac:dyDescent="0.2">
      <c r="A430" t="str">
        <f>"429"</f>
        <v>429</v>
      </c>
      <c r="B430" t="str">
        <f>"0.4"</f>
        <v>0.4</v>
      </c>
      <c r="C430" t="str">
        <f>"25"</f>
        <v>25</v>
      </c>
      <c r="D430" t="str">
        <f>"New Attitude EP"</f>
        <v>New Attitude EP</v>
      </c>
    </row>
    <row r="431" spans="1:4" x14ac:dyDescent="0.2">
      <c r="A431" t="str">
        <f>"430"</f>
        <v>430</v>
      </c>
      <c r="B431" t="str">
        <f>"0.63"</f>
        <v>0.63</v>
      </c>
      <c r="C431" t="str">
        <f>"47"</f>
        <v>47</v>
      </c>
      <c r="D431" t="str">
        <f>"The Top"</f>
        <v>The Top</v>
      </c>
    </row>
    <row r="432" spans="1:4" x14ac:dyDescent="0.2">
      <c r="A432" t="str">
        <f>"431"</f>
        <v>431</v>
      </c>
      <c r="B432" t="str">
        <f>"-0.75"</f>
        <v>-0.75</v>
      </c>
      <c r="C432" t="str">
        <f>"26"</f>
        <v>26</v>
      </c>
      <c r="D432" t="str">
        <f>"Let Me Go Let Me Go Let Me Go"</f>
        <v>Let Me Go Let Me Go Let Me Go</v>
      </c>
    </row>
    <row r="433" spans="1:4" x14ac:dyDescent="0.2">
      <c r="A433" t="str">
        <f>"432"</f>
        <v>432</v>
      </c>
      <c r="B433" t="str">
        <f>"-0.89"</f>
        <v>-0.89</v>
      </c>
      <c r="C433" t="str">
        <f>"26"</f>
        <v>26</v>
      </c>
      <c r="D433" t="str">
        <f>"Exoteric"</f>
        <v>Exoteric</v>
      </c>
    </row>
    <row r="434" spans="1:4" x14ac:dyDescent="0.2">
      <c r="A434" t="str">
        <f>"433"</f>
        <v>433</v>
      </c>
      <c r="B434" t="str">
        <f>"-0.41"</f>
        <v>-0.41</v>
      </c>
      <c r="C434" t="str">
        <f>"24"</f>
        <v>24</v>
      </c>
      <c r="D434" t="str">
        <f>"No Midnight"</f>
        <v>No Midnight</v>
      </c>
    </row>
    <row r="435" spans="1:4" x14ac:dyDescent="0.2">
      <c r="A435" t="str">
        <f>"434"</f>
        <v>434</v>
      </c>
      <c r="B435" t="str">
        <f>"-0.24"</f>
        <v>-0.24</v>
      </c>
      <c r="C435" t="str">
        <f>"67"</f>
        <v>67</v>
      </c>
      <c r="D435" t="str">
        <f>"Bring That Beat Back"</f>
        <v>Bring That Beat Back</v>
      </c>
    </row>
    <row r="436" spans="1:4" x14ac:dyDescent="0.2">
      <c r="A436" t="str">
        <f>"435"</f>
        <v>435</v>
      </c>
      <c r="B436" t="str">
        <f>"-0.97"</f>
        <v>-0.97</v>
      </c>
      <c r="C436" t="str">
        <f>"57"</f>
        <v>57</v>
      </c>
      <c r="D436" t="str">
        <f>"Get Lonely"</f>
        <v>Get Lonely</v>
      </c>
    </row>
    <row r="437" spans="1:4" x14ac:dyDescent="0.2">
      <c r="A437" t="str">
        <f>"436"</f>
        <v>436</v>
      </c>
      <c r="B437" t="str">
        <f>"0.32"</f>
        <v>0.32</v>
      </c>
      <c r="C437" t="str">
        <f>"64"</f>
        <v>64</v>
      </c>
      <c r="D437" t="str">
        <f>"Skelliconnection"</f>
        <v>Skelliconnection</v>
      </c>
    </row>
    <row r="438" spans="1:4" x14ac:dyDescent="0.2">
      <c r="A438" t="str">
        <f>"437"</f>
        <v>437</v>
      </c>
      <c r="B438" t="str">
        <f>"-1.22"</f>
        <v>-1.22</v>
      </c>
      <c r="C438" t="str">
        <f>"35"</f>
        <v>35</v>
      </c>
      <c r="D438" t="str">
        <f>"Born and Raised in Compton: The Greatest Hits"</f>
        <v>Born and Raised in Compton: The Greatest Hits</v>
      </c>
    </row>
    <row r="439" spans="1:4" x14ac:dyDescent="0.2">
      <c r="A439" t="str">
        <f>"438"</f>
        <v>438</v>
      </c>
      <c r="B439" t="str">
        <f>"-1.25"</f>
        <v>-1.25</v>
      </c>
      <c r="C439" t="str">
        <f>"26"</f>
        <v>26</v>
      </c>
      <c r="D439" t="str">
        <f>"The Triumphs and Travails of Orphan Mae"</f>
        <v>The Triumphs and Travails of Orphan Mae</v>
      </c>
    </row>
    <row r="440" spans="1:4" x14ac:dyDescent="0.2">
      <c r="A440" t="str">
        <f>"439"</f>
        <v>439</v>
      </c>
      <c r="B440" t="str">
        <f>"0.72"</f>
        <v>0.72</v>
      </c>
      <c r="C440" t="str">
        <f>"44"</f>
        <v>44</v>
      </c>
      <c r="D440" t="str">
        <f>"Songs From the Coal Mine Canary"</f>
        <v>Songs From the Coal Mine Canary</v>
      </c>
    </row>
    <row r="441" spans="1:4" x14ac:dyDescent="0.2">
      <c r="A441" t="str">
        <f>"440"</f>
        <v>440</v>
      </c>
      <c r="B441" t="str">
        <f>"-0.53"</f>
        <v>-0.53</v>
      </c>
      <c r="C441" t="str">
        <f>"33"</f>
        <v>33</v>
      </c>
      <c r="D441" t="str">
        <f>"Happy Hollow"</f>
        <v>Happy Hollow</v>
      </c>
    </row>
    <row r="442" spans="1:4" x14ac:dyDescent="0.2">
      <c r="A442" t="str">
        <f>"441"</f>
        <v>441</v>
      </c>
      <c r="B442" t="str">
        <f>"0.84"</f>
        <v>0.84</v>
      </c>
      <c r="C442" t="str">
        <f>"34"</f>
        <v>34</v>
      </c>
      <c r="D442" t="str">
        <f>"The Shining"</f>
        <v>The Shining</v>
      </c>
    </row>
    <row r="443" spans="1:4" x14ac:dyDescent="0.2">
      <c r="A443" t="str">
        <f>"442"</f>
        <v>442</v>
      </c>
      <c r="B443" t="str">
        <f>"1.61"</f>
        <v>1.61</v>
      </c>
      <c r="C443" t="str">
        <f>"20"</f>
        <v>20</v>
      </c>
      <c r="D443" t="str">
        <f>"Second Attention"</f>
        <v>Second Attention</v>
      </c>
    </row>
    <row r="444" spans="1:4" x14ac:dyDescent="0.2">
      <c r="A444" t="str">
        <f>"443"</f>
        <v>443</v>
      </c>
      <c r="B444" t="str">
        <f>"-0.48"</f>
        <v>-0.48</v>
      </c>
      <c r="C444" t="str">
        <f>"23"</f>
        <v>23</v>
      </c>
      <c r="D444" t="str">
        <f>"Young Mountain"</f>
        <v>Young Mountain</v>
      </c>
    </row>
    <row r="445" spans="1:4" x14ac:dyDescent="0.2">
      <c r="A445" t="str">
        <f>"444"</f>
        <v>444</v>
      </c>
      <c r="B445" t="str">
        <f>"0.97"</f>
        <v>0.97</v>
      </c>
      <c r="C445" t="str">
        <f>"47"</f>
        <v>47</v>
      </c>
      <c r="D445" t="s">
        <v>10</v>
      </c>
    </row>
    <row r="446" spans="1:4" x14ac:dyDescent="0.2">
      <c r="A446" t="str">
        <f>"445"</f>
        <v>445</v>
      </c>
      <c r="B446" t="str">
        <f>"-0.04"</f>
        <v>-0.04</v>
      </c>
      <c r="C446" t="str">
        <f>"19"</f>
        <v>19</v>
      </c>
      <c r="D446" t="s">
        <v>11</v>
      </c>
    </row>
    <row r="447" spans="1:4" x14ac:dyDescent="0.2">
      <c r="A447" t="str">
        <f>"446"</f>
        <v>446</v>
      </c>
      <c r="B447" t="str">
        <f>"0.44"</f>
        <v>0.44</v>
      </c>
      <c r="C447" t="str">
        <f>"25"</f>
        <v>25</v>
      </c>
      <c r="D447" t="str">
        <f>"Bring Me the Workhorse"</f>
        <v>Bring Me the Workhorse</v>
      </c>
    </row>
    <row r="448" spans="1:4" x14ac:dyDescent="0.2">
      <c r="A448" t="str">
        <f>"447"</f>
        <v>447</v>
      </c>
      <c r="B448" t="str">
        <f>"-0.57"</f>
        <v>-0.57</v>
      </c>
      <c r="C448" t="str">
        <f>"57"</f>
        <v>57</v>
      </c>
      <c r="D448" t="str">
        <f>"All Versus All"</f>
        <v>All Versus All</v>
      </c>
    </row>
    <row r="449" spans="1:4" x14ac:dyDescent="0.2">
      <c r="A449" t="str">
        <f>"448"</f>
        <v>448</v>
      </c>
      <c r="B449" t="str">
        <f>"-0.75"</f>
        <v>-0.75</v>
      </c>
      <c r="C449" t="str">
        <f>"55"</f>
        <v>55</v>
      </c>
      <c r="D449" t="str">
        <f>"Anti-Anti"</f>
        <v>Anti-Anti</v>
      </c>
    </row>
    <row r="450" spans="1:4" x14ac:dyDescent="0.2">
      <c r="A450" t="str">
        <f>"449"</f>
        <v>449</v>
      </c>
      <c r="B450" t="str">
        <f>"-0.81"</f>
        <v>-0.81</v>
      </c>
      <c r="C450" t="str">
        <f>"22"</f>
        <v>22</v>
      </c>
      <c r="D450" t="str">
        <f>"Schmotime"</f>
        <v>Schmotime</v>
      </c>
    </row>
    <row r="451" spans="1:4" x14ac:dyDescent="0.2">
      <c r="A451" t="str">
        <f>"450"</f>
        <v>450</v>
      </c>
      <c r="B451" t="str">
        <f>"-0.14"</f>
        <v>-0.14</v>
      </c>
      <c r="C451" t="str">
        <f>"14"</f>
        <v>14</v>
      </c>
      <c r="D451" t="str">
        <f>"Kill Them With Kindness"</f>
        <v>Kill Them With Kindness</v>
      </c>
    </row>
    <row r="452" spans="1:4" x14ac:dyDescent="0.2">
      <c r="A452" t="str">
        <f>"451"</f>
        <v>451</v>
      </c>
      <c r="B452" t="str">
        <f>"0.19"</f>
        <v>0.19</v>
      </c>
      <c r="C452" t="str">
        <f>"90"</f>
        <v>90</v>
      </c>
      <c r="D452" t="str">
        <f>"Idlewild"</f>
        <v>Idlewild</v>
      </c>
    </row>
    <row r="453" spans="1:4" x14ac:dyDescent="0.2">
      <c r="A453" t="str">
        <f>"452"</f>
        <v>452</v>
      </c>
      <c r="B453" t="str">
        <f>"-0.19"</f>
        <v>-0.19</v>
      </c>
      <c r="C453" t="str">
        <f>"49"</f>
        <v>49</v>
      </c>
      <c r="D453" t="str">
        <f>"Classics"</f>
        <v>Classics</v>
      </c>
    </row>
    <row r="454" spans="1:4" x14ac:dyDescent="0.2">
      <c r="A454" t="str">
        <f>"453"</f>
        <v>453</v>
      </c>
      <c r="B454" t="str">
        <f>"0.98"</f>
        <v>0.98</v>
      </c>
      <c r="C454" t="str">
        <f>"64"</f>
        <v>64</v>
      </c>
      <c r="D454" t="str">
        <f>"In Concert Volume One"</f>
        <v>In Concert Volume One</v>
      </c>
    </row>
    <row r="455" spans="1:4" x14ac:dyDescent="0.2">
      <c r="A455" t="str">
        <f>"454"</f>
        <v>454</v>
      </c>
      <c r="B455" t="str">
        <f>"-0.19"</f>
        <v>-0.19</v>
      </c>
      <c r="C455" t="str">
        <f>"61"</f>
        <v>61</v>
      </c>
      <c r="D455" t="str">
        <f>"Listennn...The Album"</f>
        <v>Listennn...The Album</v>
      </c>
    </row>
    <row r="456" spans="1:4" x14ac:dyDescent="0.2">
      <c r="A456" t="str">
        <f>"455"</f>
        <v>455</v>
      </c>
      <c r="B456" t="str">
        <f>"-0.25"</f>
        <v>-0.25</v>
      </c>
      <c r="C456" t="str">
        <f>"136"</f>
        <v>136</v>
      </c>
      <c r="D456" t="str">
        <f>"A Lazarus Taxon"</f>
        <v>A Lazarus Taxon</v>
      </c>
    </row>
    <row r="457" spans="1:4" x14ac:dyDescent="0.2">
      <c r="A457" t="str">
        <f>"456"</f>
        <v>456</v>
      </c>
      <c r="B457" t="str">
        <f>"0.06"</f>
        <v>0.06</v>
      </c>
      <c r="C457" t="str">
        <f>"20"</f>
        <v>20</v>
      </c>
      <c r="D457" t="str">
        <f>"The Complete BBC Peel Sessions"</f>
        <v>The Complete BBC Peel Sessions</v>
      </c>
    </row>
    <row r="458" spans="1:4" x14ac:dyDescent="0.2">
      <c r="A458" t="str">
        <f>"457"</f>
        <v>457</v>
      </c>
      <c r="B458" t="str">
        <f>"-0.25"</f>
        <v>-0.25</v>
      </c>
      <c r="C458" t="str">
        <f>"19"</f>
        <v>19</v>
      </c>
      <c r="D458" t="str">
        <f>"A Lesson in Crime EP"</f>
        <v>A Lesson in Crime EP</v>
      </c>
    </row>
    <row r="459" spans="1:4" x14ac:dyDescent="0.2">
      <c r="A459" t="str">
        <f>"458"</f>
        <v>458</v>
      </c>
      <c r="B459" t="str">
        <f>"0.08"</f>
        <v>0.08</v>
      </c>
      <c r="C459" t="str">
        <f>"23"</f>
        <v>23</v>
      </c>
      <c r="D459" t="str">
        <f>"Bande a Part"</f>
        <v>Bande a Part</v>
      </c>
    </row>
    <row r="460" spans="1:4" x14ac:dyDescent="0.2">
      <c r="A460" t="str">
        <f>"459"</f>
        <v>459</v>
      </c>
      <c r="B460" t="str">
        <f>"-0.31"</f>
        <v>-0.31</v>
      </c>
      <c r="C460" t="str">
        <f>"51"</f>
        <v>51</v>
      </c>
      <c r="D460" t="str">
        <f>"Port of Miami"</f>
        <v>Port of Miami</v>
      </c>
    </row>
    <row r="461" spans="1:4" x14ac:dyDescent="0.2">
      <c r="A461" t="str">
        <f>"460"</f>
        <v>460</v>
      </c>
      <c r="B461" t="str">
        <f>"0.99"</f>
        <v>0.99</v>
      </c>
      <c r="C461" t="str">
        <f>"35"</f>
        <v>35</v>
      </c>
      <c r="D461" t="str">
        <f>"So This Is Goodbye"</f>
        <v>So This Is Goodbye</v>
      </c>
    </row>
    <row r="462" spans="1:4" x14ac:dyDescent="0.2">
      <c r="A462" t="str">
        <f>"461"</f>
        <v>461</v>
      </c>
      <c r="B462" t="str">
        <f>"0.51"</f>
        <v>0.51</v>
      </c>
      <c r="C462" t="str">
        <f>"31"</f>
        <v>31</v>
      </c>
      <c r="D462" t="str">
        <f>"Made In Brooklyn"</f>
        <v>Made In Brooklyn</v>
      </c>
    </row>
    <row r="463" spans="1:4" x14ac:dyDescent="0.2">
      <c r="A463" t="str">
        <f>"462"</f>
        <v>462</v>
      </c>
      <c r="B463" t="str">
        <f>"-0.5"</f>
        <v>-0.5</v>
      </c>
      <c r="C463" t="str">
        <f>"30"</f>
        <v>30</v>
      </c>
      <c r="D463" t="str">
        <f>"Solo Guitar"</f>
        <v>Solo Guitar</v>
      </c>
    </row>
    <row r="464" spans="1:4" x14ac:dyDescent="0.2">
      <c r="A464" t="str">
        <f>"463"</f>
        <v>463</v>
      </c>
      <c r="B464" t="str">
        <f>"0.91"</f>
        <v>0.91</v>
      </c>
      <c r="C464" t="str">
        <f>"26"</f>
        <v>26</v>
      </c>
      <c r="D464" t="str">
        <f>"Kick Up the Dust"</f>
        <v>Kick Up the Dust</v>
      </c>
    </row>
    <row r="465" spans="1:4" x14ac:dyDescent="0.2">
      <c r="A465" t="str">
        <f>"464"</f>
        <v>464</v>
      </c>
      <c r="B465" t="str">
        <f>"0.5"</f>
        <v>0.5</v>
      </c>
      <c r="C465" t="str">
        <f>"21"</f>
        <v>21</v>
      </c>
      <c r="D465" t="str">
        <f>"Impeccable Blahs"</f>
        <v>Impeccable Blahs</v>
      </c>
    </row>
    <row r="466" spans="1:4" x14ac:dyDescent="0.2">
      <c r="A466" t="str">
        <f>"465"</f>
        <v>465</v>
      </c>
      <c r="B466" t="str">
        <f>"-0.89"</f>
        <v>-0.89</v>
      </c>
      <c r="C466" t="str">
        <f>"20"</f>
        <v>20</v>
      </c>
      <c r="D466" t="str">
        <f>"Alter"</f>
        <v>Alter</v>
      </c>
    </row>
    <row r="467" spans="1:4" x14ac:dyDescent="0.2">
      <c r="A467" t="str">
        <f>"466"</f>
        <v>466</v>
      </c>
      <c r="B467" t="str">
        <f>"0.56"</f>
        <v>0.56</v>
      </c>
      <c r="C467" t="str">
        <f>"36"</f>
        <v>36</v>
      </c>
      <c r="D467" t="str">
        <f>"Let Me Introduce My Friends"</f>
        <v>Let Me Introduce My Friends</v>
      </c>
    </row>
    <row r="468" spans="1:4" x14ac:dyDescent="0.2">
      <c r="A468" t="str">
        <f>"467"</f>
        <v>467</v>
      </c>
      <c r="B468" t="str">
        <f>"0.79"</f>
        <v>0.79</v>
      </c>
      <c r="C468" t="str">
        <f>"25"</f>
        <v>25</v>
      </c>
      <c r="D468" t="str">
        <f>"Avatar"</f>
        <v>Avatar</v>
      </c>
    </row>
    <row r="469" spans="1:4" x14ac:dyDescent="0.2">
      <c r="A469" t="str">
        <f>"468"</f>
        <v>468</v>
      </c>
      <c r="B469" t="str">
        <f>"0.42"</f>
        <v>0.42</v>
      </c>
      <c r="C469" t="str">
        <f>"18"</f>
        <v>18</v>
      </c>
      <c r="D469" t="str">
        <f>"Flashlights"</f>
        <v>Flashlights</v>
      </c>
    </row>
    <row r="470" spans="1:4" x14ac:dyDescent="0.2">
      <c r="A470" t="str">
        <f>"469"</f>
        <v>469</v>
      </c>
      <c r="B470" t="str">
        <f>"0.96"</f>
        <v>0.96</v>
      </c>
      <c r="C470" t="str">
        <f>"16"</f>
        <v>16</v>
      </c>
      <c r="D470" t="str">
        <f>"When I Live by the Garden and the Sea EP"</f>
        <v>When I Live by the Garden and the Sea EP</v>
      </c>
    </row>
    <row r="471" spans="1:4" x14ac:dyDescent="0.2">
      <c r="A471" t="str">
        <f>"470"</f>
        <v>470</v>
      </c>
      <c r="B471" t="str">
        <f>"0.75"</f>
        <v>0.75</v>
      </c>
      <c r="C471" t="str">
        <f>"26"</f>
        <v>26</v>
      </c>
      <c r="D471" t="str">
        <f>"And the Glass-Handed Kites"</f>
        <v>And the Glass-Handed Kites</v>
      </c>
    </row>
    <row r="472" spans="1:4" x14ac:dyDescent="0.2">
      <c r="A472" t="str">
        <f>"471"</f>
        <v>471</v>
      </c>
      <c r="B472" t="str">
        <f>"-0.45"</f>
        <v>-0.45</v>
      </c>
      <c r="C472" t="str">
        <f>"28"</f>
        <v>28</v>
      </c>
      <c r="D472" t="str">
        <f>"The Cursed Sleep EP"</f>
        <v>The Cursed Sleep EP</v>
      </c>
    </row>
    <row r="473" spans="1:4" x14ac:dyDescent="0.2">
      <c r="A473" t="str">
        <f>"472"</f>
        <v>472</v>
      </c>
      <c r="B473" t="str">
        <f>"0.01"</f>
        <v>0.01</v>
      </c>
      <c r="C473" t="str">
        <f>"76"</f>
        <v>76</v>
      </c>
      <c r="D473" t="str">
        <f>"A Love Moderne"</f>
        <v>A Love Moderne</v>
      </c>
    </row>
    <row r="474" spans="1:4" x14ac:dyDescent="0.2">
      <c r="A474" t="str">
        <f>"473"</f>
        <v>473</v>
      </c>
      <c r="B474" t="str">
        <f>"0.53"</f>
        <v>0.53</v>
      </c>
      <c r="C474" t="str">
        <f>"18"</f>
        <v>18</v>
      </c>
      <c r="D474" t="str">
        <f>"Dial 0"</f>
        <v>Dial 0</v>
      </c>
    </row>
    <row r="475" spans="1:4" x14ac:dyDescent="0.2">
      <c r="A475" t="str">
        <f>"474"</f>
        <v>474</v>
      </c>
      <c r="B475" t="str">
        <f>"-0.25"</f>
        <v>-0.25</v>
      </c>
      <c r="C475" t="str">
        <f>"75"</f>
        <v>75</v>
      </c>
      <c r="D475" t="str">
        <f>"Kalas"</f>
        <v>Kalas</v>
      </c>
    </row>
    <row r="476" spans="1:4" x14ac:dyDescent="0.2">
      <c r="A476" t="str">
        <f>"475"</f>
        <v>475</v>
      </c>
      <c r="B476" t="str">
        <f>"0.53"</f>
        <v>0.53</v>
      </c>
      <c r="C476" t="str">
        <f>"50"</f>
        <v>50</v>
      </c>
      <c r="D476" t="str">
        <f>"III"</f>
        <v>III</v>
      </c>
    </row>
    <row r="477" spans="1:4" x14ac:dyDescent="0.2">
      <c r="A477" t="str">
        <f>"476"</f>
        <v>476</v>
      </c>
      <c r="B477" t="str">
        <f>"0.4"</f>
        <v>0.4</v>
      </c>
      <c r="C477" t="str">
        <f>"78"</f>
        <v>78</v>
      </c>
      <c r="D477" t="str">
        <f>"Sæglópur EP"</f>
        <v>Sæglópur EP</v>
      </c>
    </row>
    <row r="478" spans="1:4" x14ac:dyDescent="0.2">
      <c r="A478" t="str">
        <f>"477"</f>
        <v>477</v>
      </c>
      <c r="B478" t="str">
        <f>"-0.64"</f>
        <v>-0.64</v>
      </c>
      <c r="C478" t="str">
        <f>"75"</f>
        <v>75</v>
      </c>
      <c r="D478" t="str">
        <f>"Alternation"</f>
        <v>Alternation</v>
      </c>
    </row>
    <row r="479" spans="1:4" x14ac:dyDescent="0.2">
      <c r="A479" t="str">
        <f>"478"</f>
        <v>478</v>
      </c>
      <c r="B479" t="str">
        <f>"-0.79"</f>
        <v>-0.79</v>
      </c>
      <c r="C479" t="str">
        <f>"29"</f>
        <v>29</v>
      </c>
      <c r="D479" t="str">
        <f>"Have It All"</f>
        <v>Have It All</v>
      </c>
    </row>
    <row r="480" spans="1:4" x14ac:dyDescent="0.2">
      <c r="A480" t="str">
        <f>"479"</f>
        <v>479</v>
      </c>
      <c r="B480" t="str">
        <f>"-0.15"</f>
        <v>-0.15</v>
      </c>
      <c r="C480" t="str">
        <f>"27"</f>
        <v>27</v>
      </c>
      <c r="D480" t="str">
        <f>"Tam"</f>
        <v>Tam</v>
      </c>
    </row>
    <row r="481" spans="1:4" x14ac:dyDescent="0.2">
      <c r="A481" t="str">
        <f>"480"</f>
        <v>480</v>
      </c>
      <c r="B481" t="str">
        <f>"0.68"</f>
        <v>0.68</v>
      </c>
      <c r="C481" t="str">
        <f>"37"</f>
        <v>37</v>
      </c>
      <c r="D481" t="str">
        <f>"Nightlife"</f>
        <v>Nightlife</v>
      </c>
    </row>
    <row r="482" spans="1:4" x14ac:dyDescent="0.2">
      <c r="A482" t="str">
        <f>"481"</f>
        <v>481</v>
      </c>
      <c r="B482" t="str">
        <f>"-0.19"</f>
        <v>-0.19</v>
      </c>
      <c r="C482" t="str">
        <f>"48"</f>
        <v>48</v>
      </c>
      <c r="D482" t="str">
        <f>"Psychocandy"</f>
        <v>Psychocandy</v>
      </c>
    </row>
    <row r="483" spans="1:4" x14ac:dyDescent="0.2">
      <c r="A483" t="str">
        <f>"482"</f>
        <v>482</v>
      </c>
      <c r="B483" t="str">
        <f>"0.96"</f>
        <v>0.96</v>
      </c>
      <c r="C483" t="str">
        <f>"24"</f>
        <v>24</v>
      </c>
      <c r="D483" t="str">
        <f>"Lunafied"</f>
        <v>Lunafied</v>
      </c>
    </row>
    <row r="484" spans="1:4" x14ac:dyDescent="0.2">
      <c r="A484" t="str">
        <f>"483"</f>
        <v>483</v>
      </c>
      <c r="B484" t="str">
        <f>"1.2"</f>
        <v>1.2</v>
      </c>
      <c r="C484" t="str">
        <f>"27"</f>
        <v>27</v>
      </c>
      <c r="D484" t="str">
        <f>"Savane"</f>
        <v>Savane</v>
      </c>
    </row>
    <row r="485" spans="1:4" x14ac:dyDescent="0.2">
      <c r="A485" t="str">
        <f>"484"</f>
        <v>484</v>
      </c>
      <c r="B485" t="str">
        <f>"0.25"</f>
        <v>0.25</v>
      </c>
      <c r="C485" t="str">
        <f>"31"</f>
        <v>31</v>
      </c>
      <c r="D485" t="s">
        <v>12</v>
      </c>
    </row>
    <row r="486" spans="1:4" x14ac:dyDescent="0.2">
      <c r="A486" t="str">
        <f>"485"</f>
        <v>485</v>
      </c>
      <c r="B486" t="str">
        <f>"-0.13"</f>
        <v>-0.13</v>
      </c>
      <c r="C486" t="str">
        <f>"100"</f>
        <v>100</v>
      </c>
      <c r="D486" t="str">
        <f>"Winter Women/Holy Ghost Language School"</f>
        <v>Winter Women/Holy Ghost Language School</v>
      </c>
    </row>
    <row r="487" spans="1:4" x14ac:dyDescent="0.2">
      <c r="A487" t="str">
        <f>"486"</f>
        <v>486</v>
      </c>
      <c r="B487" t="str">
        <f>"0.18"</f>
        <v>0.18</v>
      </c>
      <c r="C487" t="str">
        <f>"32"</f>
        <v>32</v>
      </c>
      <c r="D487" t="str">
        <f>"Tu Mi Piaci EP"</f>
        <v>Tu Mi Piaci EP</v>
      </c>
    </row>
    <row r="488" spans="1:4" x14ac:dyDescent="0.2">
      <c r="A488" t="str">
        <f>"487"</f>
        <v>487</v>
      </c>
      <c r="B488" t="str">
        <f>"0.26"</f>
        <v>0.26</v>
      </c>
      <c r="C488" t="str">
        <f>"51"</f>
        <v>51</v>
      </c>
      <c r="D488" t="str">
        <f>"Putting the Days to Bed"</f>
        <v>Putting the Days to Bed</v>
      </c>
    </row>
    <row r="489" spans="1:4" x14ac:dyDescent="0.2">
      <c r="A489" t="str">
        <f>"488"</f>
        <v>488</v>
      </c>
      <c r="B489" t="str">
        <f>"-1.19"</f>
        <v>-1.19</v>
      </c>
      <c r="C489" t="str">
        <f>"13"</f>
        <v>13</v>
      </c>
      <c r="D489" t="str">
        <f>"Ladyhawk"</f>
        <v>Ladyhawk</v>
      </c>
    </row>
    <row r="490" spans="1:4" x14ac:dyDescent="0.2">
      <c r="A490" t="str">
        <f>"489"</f>
        <v>489</v>
      </c>
      <c r="B490" t="str">
        <f>"-0.67"</f>
        <v>-0.67</v>
      </c>
      <c r="C490" t="str">
        <f>"41"</f>
        <v>41</v>
      </c>
      <c r="D490" t="str">
        <f>"Something Real"</f>
        <v>Something Real</v>
      </c>
    </row>
    <row r="491" spans="1:4" x14ac:dyDescent="0.2">
      <c r="A491" t="str">
        <f>"490"</f>
        <v>490</v>
      </c>
      <c r="B491" t="str">
        <f>"-0.36"</f>
        <v>-0.36</v>
      </c>
      <c r="C491" t="str">
        <f>"36"</f>
        <v>36</v>
      </c>
      <c r="D491" t="str">
        <f>"3/5"</f>
        <v>3/5</v>
      </c>
    </row>
    <row r="492" spans="1:4" x14ac:dyDescent="0.2">
      <c r="A492" t="str">
        <f>"491"</f>
        <v>491</v>
      </c>
      <c r="B492" t="str">
        <f>"1.07"</f>
        <v>1.07</v>
      </c>
      <c r="C492" t="str">
        <f>"27"</f>
        <v>27</v>
      </c>
      <c r="D492" t="str">
        <f>"Rides the Subway EP"</f>
        <v>Rides the Subway EP</v>
      </c>
    </row>
    <row r="493" spans="1:4" x14ac:dyDescent="0.2">
      <c r="A493" t="str">
        <f>"492"</f>
        <v>492</v>
      </c>
      <c r="B493" t="str">
        <f>"0.13"</f>
        <v>0.13</v>
      </c>
      <c r="C493" t="str">
        <f>"58"</f>
        <v>58</v>
      </c>
      <c r="D493" t="str">
        <f>"An Announcement To Answer"</f>
        <v>An Announcement To Answer</v>
      </c>
    </row>
    <row r="494" spans="1:4" x14ac:dyDescent="0.2">
      <c r="A494" t="str">
        <f>"493"</f>
        <v>493</v>
      </c>
      <c r="B494" t="str">
        <f>"0.6"</f>
        <v>0.6</v>
      </c>
      <c r="C494" t="str">
        <f>"56"</f>
        <v>56</v>
      </c>
      <c r="D494" t="str">
        <f>"Honeysuckle"</f>
        <v>Honeysuckle</v>
      </c>
    </row>
    <row r="495" spans="1:4" x14ac:dyDescent="0.2">
      <c r="A495" t="str">
        <f>"494"</f>
        <v>494</v>
      </c>
      <c r="B495" t="str">
        <f>"-0.91"</f>
        <v>-0.91</v>
      </c>
      <c r="C495" t="str">
        <f>"26"</f>
        <v>26</v>
      </c>
      <c r="D495" t="str">
        <f>"Weird Feelings"</f>
        <v>Weird Feelings</v>
      </c>
    </row>
    <row r="496" spans="1:4" x14ac:dyDescent="0.2">
      <c r="A496" t="str">
        <f>"495"</f>
        <v>495</v>
      </c>
      <c r="B496" t="str">
        <f>"0.17"</f>
        <v>0.17</v>
      </c>
      <c r="C496" t="str">
        <f>"18"</f>
        <v>18</v>
      </c>
      <c r="D496" t="str">
        <f>"Telephono"</f>
        <v>Telephono</v>
      </c>
    </row>
    <row r="497" spans="1:4" x14ac:dyDescent="0.2">
      <c r="A497" t="str">
        <f>"496"</f>
        <v>496</v>
      </c>
      <c r="B497" t="str">
        <f>"0.02"</f>
        <v>0.02</v>
      </c>
      <c r="C497" t="str">
        <f>"27"</f>
        <v>27</v>
      </c>
      <c r="D497" t="str">
        <f>"Singular"</f>
        <v>Singular</v>
      </c>
    </row>
    <row r="498" spans="1:4" x14ac:dyDescent="0.2">
      <c r="A498" t="str">
        <f>"497"</f>
        <v>497</v>
      </c>
      <c r="B498" t="str">
        <f>"1.18"</f>
        <v>1.18</v>
      </c>
      <c r="C498" t="str">
        <f>"21"</f>
        <v>21</v>
      </c>
      <c r="D498" t="str">
        <f>"Huge EP"</f>
        <v>Huge EP</v>
      </c>
    </row>
    <row r="499" spans="1:4" x14ac:dyDescent="0.2">
      <c r="A499" t="str">
        <f>"498"</f>
        <v>498</v>
      </c>
      <c r="B499" t="str">
        <f>"0.37"</f>
        <v>0.37</v>
      </c>
      <c r="C499" t="str">
        <f>"57"</f>
        <v>57</v>
      </c>
      <c r="D499" t="str">
        <f>"Hello Master"</f>
        <v>Hello Master</v>
      </c>
    </row>
    <row r="500" spans="1:4" x14ac:dyDescent="0.2">
      <c r="A500" t="str">
        <f>"499"</f>
        <v>499</v>
      </c>
      <c r="B500" t="str">
        <f>"0.13"</f>
        <v>0.13</v>
      </c>
      <c r="C500" t="str">
        <f>"47"</f>
        <v>47</v>
      </c>
      <c r="D500" t="str">
        <f>"Give Me a Wall"</f>
        <v>Give Me a Wall</v>
      </c>
    </row>
    <row r="501" spans="1:4" x14ac:dyDescent="0.2">
      <c r="A501" t="str">
        <f>"500"</f>
        <v>500</v>
      </c>
      <c r="B501" t="str">
        <f>"0.89"</f>
        <v>0.89</v>
      </c>
      <c r="C501" t="str">
        <f>"33"</f>
        <v>33</v>
      </c>
      <c r="D501" t="str">
        <f>"Through the Windowpane"</f>
        <v>Through the Windowpane</v>
      </c>
    </row>
    <row r="502" spans="1:4" x14ac:dyDescent="0.2">
      <c r="A502" t="str">
        <f>"501"</f>
        <v>501</v>
      </c>
      <c r="B502" t="str">
        <f>"-0.09"</f>
        <v>-0.09</v>
      </c>
      <c r="C502" t="str">
        <f>"73"</f>
        <v>73</v>
      </c>
      <c r="D502" t="str">
        <f>"Feedback"</f>
        <v>Feedback</v>
      </c>
    </row>
    <row r="503" spans="1:4" x14ac:dyDescent="0.2">
      <c r="A503" t="str">
        <f>"502"</f>
        <v>502</v>
      </c>
      <c r="B503" t="str">
        <f>"0.65"</f>
        <v>0.65</v>
      </c>
      <c r="C503" t="str">
        <f>"52"</f>
        <v>52</v>
      </c>
      <c r="D503" t="str">
        <f>"Speed of the Whippoorwill"</f>
        <v>Speed of the Whippoorwill</v>
      </c>
    </row>
    <row r="504" spans="1:4" x14ac:dyDescent="0.2">
      <c r="A504" t="str">
        <f>"503"</f>
        <v>503</v>
      </c>
      <c r="B504" t="str">
        <f>"-0.54"</f>
        <v>-0.54</v>
      </c>
      <c r="C504" t="str">
        <f>"64"</f>
        <v>64</v>
      </c>
      <c r="D504" t="str">
        <f>"Bongo"</f>
        <v>Bongo</v>
      </c>
    </row>
    <row r="505" spans="1:4" x14ac:dyDescent="0.2">
      <c r="A505" t="str">
        <f>"504"</f>
        <v>504</v>
      </c>
      <c r="B505" t="str">
        <f>"0.13"</f>
        <v>0.13</v>
      </c>
      <c r="C505" t="str">
        <f>"61"</f>
        <v>61</v>
      </c>
      <c r="D505" t="str">
        <f>"Tooth &amp; Claw"</f>
        <v>Tooth &amp; Claw</v>
      </c>
    </row>
    <row r="506" spans="1:4" x14ac:dyDescent="0.2">
      <c r="A506" t="str">
        <f>"505"</f>
        <v>505</v>
      </c>
      <c r="B506" t="str">
        <f>"-0.13"</f>
        <v>-0.13</v>
      </c>
      <c r="C506" t="str">
        <f>"19"</f>
        <v>19</v>
      </c>
      <c r="D506" t="str">
        <f>"The Looks"</f>
        <v>The Looks</v>
      </c>
    </row>
    <row r="507" spans="1:4" x14ac:dyDescent="0.2">
      <c r="A507" t="str">
        <f>"506"</f>
        <v>506</v>
      </c>
      <c r="B507" t="str">
        <f>"-0.81"</f>
        <v>-0.81</v>
      </c>
      <c r="C507" t="str">
        <f>"31"</f>
        <v>31</v>
      </c>
      <c r="D507" t="str">
        <f>"Another Fine Day"</f>
        <v>Another Fine Day</v>
      </c>
    </row>
    <row r="508" spans="1:4" x14ac:dyDescent="0.2">
      <c r="A508" t="str">
        <f>"507"</f>
        <v>507</v>
      </c>
      <c r="B508" t="str">
        <f>"1.15"</f>
        <v>1.15</v>
      </c>
      <c r="C508" t="str">
        <f>"22"</f>
        <v>22</v>
      </c>
      <c r="D508" t="str">
        <f>"Jag Vet Hur Man Väntar"</f>
        <v>Jag Vet Hur Man Väntar</v>
      </c>
    </row>
    <row r="509" spans="1:4" x14ac:dyDescent="0.2">
      <c r="A509" t="str">
        <f>"508"</f>
        <v>508</v>
      </c>
      <c r="B509" t="str">
        <f>"-0.84"</f>
        <v>-0.84</v>
      </c>
      <c r="C509" t="str">
        <f>"18"</f>
        <v>18</v>
      </c>
      <c r="D509" t="str">
        <f>"Vesikansi"</f>
        <v>Vesikansi</v>
      </c>
    </row>
    <row r="510" spans="1:4" x14ac:dyDescent="0.2">
      <c r="A510" t="str">
        <f>"509"</f>
        <v>509</v>
      </c>
      <c r="B510" t="str">
        <f>"0.42"</f>
        <v>0.42</v>
      </c>
      <c r="C510" t="str">
        <f>"60"</f>
        <v>60</v>
      </c>
      <c r="D510" t="str">
        <f>"Danceflaw"</f>
        <v>Danceflaw</v>
      </c>
    </row>
    <row r="511" spans="1:4" x14ac:dyDescent="0.2">
      <c r="A511" t="str">
        <f>"510"</f>
        <v>510</v>
      </c>
      <c r="B511" t="str">
        <f>"1.11"</f>
        <v>1.11</v>
      </c>
      <c r="C511" t="str">
        <f>"35"</f>
        <v>35</v>
      </c>
      <c r="D511" t="str">
        <f>"We Are the Pipettes"</f>
        <v>We Are the Pipettes</v>
      </c>
    </row>
    <row r="512" spans="1:4" x14ac:dyDescent="0.2">
      <c r="A512" t="str">
        <f>"511"</f>
        <v>511</v>
      </c>
      <c r="B512" t="str">
        <f>"-0.78"</f>
        <v>-0.78</v>
      </c>
      <c r="C512" t="str">
        <f>"26"</f>
        <v>26</v>
      </c>
      <c r="D512" t="str">
        <f>"Love Rhymes With Hideous Car Wreck EP"</f>
        <v>Love Rhymes With Hideous Car Wreck EP</v>
      </c>
    </row>
    <row r="513" spans="1:4" x14ac:dyDescent="0.2">
      <c r="A513" t="str">
        <f>"512"</f>
        <v>512</v>
      </c>
      <c r="B513" t="str">
        <f>"-0.49"</f>
        <v>-0.49</v>
      </c>
      <c r="C513" t="str">
        <f>"55"</f>
        <v>55</v>
      </c>
      <c r="D513" t="str">
        <f>"Landscape of Bone"</f>
        <v>Landscape of Bone</v>
      </c>
    </row>
    <row r="514" spans="1:4" x14ac:dyDescent="0.2">
      <c r="A514" t="str">
        <f>"513"</f>
        <v>513</v>
      </c>
      <c r="B514" t="str">
        <f>"0.35"</f>
        <v>0.35</v>
      </c>
      <c r="C514" t="str">
        <f>"23"</f>
        <v>23</v>
      </c>
      <c r="D514" t="str">
        <f>"World-Class Listening Problem"</f>
        <v>World-Class Listening Problem</v>
      </c>
    </row>
    <row r="515" spans="1:4" x14ac:dyDescent="0.2">
      <c r="A515" t="str">
        <f>"514"</f>
        <v>514</v>
      </c>
      <c r="B515" t="str">
        <f>"-0.03"</f>
        <v>-0.03</v>
      </c>
      <c r="C515" t="str">
        <f>"32"</f>
        <v>32</v>
      </c>
      <c r="D515" t="str">
        <f>"First Nation"</f>
        <v>First Nation</v>
      </c>
    </row>
    <row r="516" spans="1:4" x14ac:dyDescent="0.2">
      <c r="A516" t="str">
        <f>"515"</f>
        <v>515</v>
      </c>
      <c r="B516" t="str">
        <f>"-0.37"</f>
        <v>-0.37</v>
      </c>
      <c r="C516" t="str">
        <f>"41"</f>
        <v>41</v>
      </c>
      <c r="D516" t="str">
        <f>"Surrounded"</f>
        <v>Surrounded</v>
      </c>
    </row>
    <row r="517" spans="1:4" x14ac:dyDescent="0.2">
      <c r="A517" t="str">
        <f>"516"</f>
        <v>516</v>
      </c>
      <c r="B517" t="str">
        <f>"0.39"</f>
        <v>0.39</v>
      </c>
      <c r="C517" t="str">
        <f>"59"</f>
        <v>59</v>
      </c>
      <c r="D517" t="str">
        <f>"The Trials of Van Occupanther"</f>
        <v>The Trials of Van Occupanther</v>
      </c>
    </row>
    <row r="518" spans="1:4" x14ac:dyDescent="0.2">
      <c r="A518" t="str">
        <f>"517"</f>
        <v>517</v>
      </c>
      <c r="B518" t="str">
        <f>"0.99"</f>
        <v>0.99</v>
      </c>
      <c r="C518" t="str">
        <f>"30"</f>
        <v>30</v>
      </c>
      <c r="D518" t="str">
        <f>"Jamaica to Toronto: Soul Funk &amp; Reggae 1967-1974"</f>
        <v>Jamaica to Toronto: Soul Funk &amp; Reggae 1967-1974</v>
      </c>
    </row>
    <row r="519" spans="1:4" x14ac:dyDescent="0.2">
      <c r="A519" t="str">
        <f>"518"</f>
        <v>518</v>
      </c>
      <c r="B519" t="str">
        <f>"0.67"</f>
        <v>0.67</v>
      </c>
      <c r="C519" t="str">
        <f>"25"</f>
        <v>25</v>
      </c>
      <c r="D519" t="str">
        <f>"Gold &amp; Wax"</f>
        <v>Gold &amp; Wax</v>
      </c>
    </row>
    <row r="520" spans="1:4" x14ac:dyDescent="0.2">
      <c r="A520" t="str">
        <f>"519"</f>
        <v>519</v>
      </c>
      <c r="B520" t="str">
        <f>"0.28"</f>
        <v>0.28</v>
      </c>
      <c r="C520" t="str">
        <f>"29"</f>
        <v>29</v>
      </c>
      <c r="D520" t="str">
        <f>"Monochrome"</f>
        <v>Monochrome</v>
      </c>
    </row>
    <row r="521" spans="1:4" x14ac:dyDescent="0.2">
      <c r="A521" t="str">
        <f>"520"</f>
        <v>520</v>
      </c>
      <c r="B521" t="str">
        <f>"-0.88"</f>
        <v>-0.88</v>
      </c>
      <c r="C521" t="str">
        <f>"76"</f>
        <v>76</v>
      </c>
      <c r="D521" t="str">
        <f>"In My Mind"</f>
        <v>In My Mind</v>
      </c>
    </row>
    <row r="522" spans="1:4" x14ac:dyDescent="0.2">
      <c r="A522" t="str">
        <f>"521"</f>
        <v>521</v>
      </c>
      <c r="B522" t="str">
        <f>"-1.26"</f>
        <v>-1.26</v>
      </c>
      <c r="C522" t="str">
        <f>"111"</f>
        <v>111</v>
      </c>
      <c r="D522" t="str">
        <f>"Spunk"</f>
        <v>Spunk</v>
      </c>
    </row>
    <row r="523" spans="1:4" x14ac:dyDescent="0.2">
      <c r="A523" t="str">
        <f>"522"</f>
        <v>522</v>
      </c>
      <c r="B523" t="str">
        <f>"0.11"</f>
        <v>0.11</v>
      </c>
      <c r="C523" t="str">
        <f>"81"</f>
        <v>81</v>
      </c>
      <c r="D523" t="str">
        <f>"The Lost Takoma Sessions"</f>
        <v>The Lost Takoma Sessions</v>
      </c>
    </row>
    <row r="524" spans="1:4" x14ac:dyDescent="0.2">
      <c r="A524" t="str">
        <f>"523"</f>
        <v>523</v>
      </c>
      <c r="B524" t="str">
        <f>"1.35"</f>
        <v>1.35</v>
      </c>
      <c r="C524" t="str">
        <f>"17"</f>
        <v>17</v>
      </c>
      <c r="D524" t="str">
        <f>"WWI"</f>
        <v>WWI</v>
      </c>
    </row>
    <row r="525" spans="1:4" x14ac:dyDescent="0.2">
      <c r="A525" t="str">
        <f>"524"</f>
        <v>524</v>
      </c>
      <c r="B525" t="str">
        <f>"-0.86"</f>
        <v>-0.86</v>
      </c>
      <c r="C525" t="str">
        <f>"70"</f>
        <v>70</v>
      </c>
      <c r="D525" t="s">
        <v>13</v>
      </c>
    </row>
    <row r="526" spans="1:4" x14ac:dyDescent="0.2">
      <c r="A526" t="str">
        <f>"525"</f>
        <v>525</v>
      </c>
      <c r="B526" t="str">
        <f>"-0.12"</f>
        <v>-0.12</v>
      </c>
      <c r="C526" t="str">
        <f>"128"</f>
        <v>128</v>
      </c>
      <c r="D526" t="str">
        <f>"Apple Box"</f>
        <v>Apple Box</v>
      </c>
    </row>
    <row r="527" spans="1:4" x14ac:dyDescent="0.2">
      <c r="A527" t="str">
        <f>"526"</f>
        <v>526</v>
      </c>
      <c r="B527" t="str">
        <f>"-0.36"</f>
        <v>-0.36</v>
      </c>
      <c r="C527" t="str">
        <f>"60"</f>
        <v>60</v>
      </c>
      <c r="D527" t="str">
        <f>"Razorlight"</f>
        <v>Razorlight</v>
      </c>
    </row>
    <row r="528" spans="1:4" x14ac:dyDescent="0.2">
      <c r="A528" t="str">
        <f>"527"</f>
        <v>527</v>
      </c>
      <c r="B528" t="str">
        <f>"-0.32"</f>
        <v>-0.32</v>
      </c>
      <c r="C528" t="str">
        <f>"87"</f>
        <v>87</v>
      </c>
      <c r="D528" t="str">
        <f>"Black Ships Ate the Sky"</f>
        <v>Black Ships Ate the Sky</v>
      </c>
    </row>
    <row r="529" spans="1:4" x14ac:dyDescent="0.2">
      <c r="A529" t="str">
        <f>"528"</f>
        <v>528</v>
      </c>
      <c r="B529" t="str">
        <f>"-1.39"</f>
        <v>-1.39</v>
      </c>
      <c r="C529" t="str">
        <f>"43"</f>
        <v>43</v>
      </c>
      <c r="D529" t="str">
        <f>"Gone Out of Your Mind"</f>
        <v>Gone Out of Your Mind</v>
      </c>
    </row>
    <row r="530" spans="1:4" x14ac:dyDescent="0.2">
      <c r="A530" t="str">
        <f>"529"</f>
        <v>529</v>
      </c>
      <c r="B530" t="str">
        <f>"-1.31"</f>
        <v>-1.31</v>
      </c>
      <c r="C530" t="str">
        <f>"62"</f>
        <v>62</v>
      </c>
      <c r="D530" t="str">
        <f>"Maelstrom"</f>
        <v>Maelstrom</v>
      </c>
    </row>
    <row r="531" spans="1:4" x14ac:dyDescent="0.2">
      <c r="A531" t="str">
        <f>"530"</f>
        <v>530</v>
      </c>
      <c r="B531" t="str">
        <f>"0.92"</f>
        <v>0.92</v>
      </c>
      <c r="C531" t="str">
        <f>"39"</f>
        <v>39</v>
      </c>
      <c r="D531" t="str">
        <f>"Speak &amp; Spell"</f>
        <v>Speak &amp; Spell</v>
      </c>
    </row>
    <row r="532" spans="1:4" x14ac:dyDescent="0.2">
      <c r="A532" t="str">
        <f>"531"</f>
        <v>531</v>
      </c>
      <c r="B532" t="str">
        <f>"-0.57"</f>
        <v>-0.57</v>
      </c>
      <c r="C532" t="str">
        <f>"93"</f>
        <v>93</v>
      </c>
      <c r="D532" t="str">
        <f>"Blue Collar"</f>
        <v>Blue Collar</v>
      </c>
    </row>
    <row r="533" spans="1:4" x14ac:dyDescent="0.2">
      <c r="A533" t="str">
        <f>"532"</f>
        <v>532</v>
      </c>
      <c r="B533" t="str">
        <f>"0.62"</f>
        <v>0.62</v>
      </c>
      <c r="C533" t="str">
        <f>"72"</f>
        <v>72</v>
      </c>
      <c r="D533" t="str">
        <f>"Hit by a Train: The Best of Old 97's"</f>
        <v>Hit by a Train: The Best of Old 97's</v>
      </c>
    </row>
    <row r="534" spans="1:4" x14ac:dyDescent="0.2">
      <c r="A534" t="str">
        <f>"533"</f>
        <v>533</v>
      </c>
      <c r="B534" t="str">
        <f>"1.48"</f>
        <v>1.48</v>
      </c>
      <c r="C534" t="str">
        <f>"59"</f>
        <v>59</v>
      </c>
      <c r="D534" t="str">
        <f>"A.R.C."</f>
        <v>A.R.C.</v>
      </c>
    </row>
    <row r="535" spans="1:4" x14ac:dyDescent="0.2">
      <c r="A535" t="str">
        <f>"534"</f>
        <v>534</v>
      </c>
      <c r="B535" t="str">
        <f>"-0.57"</f>
        <v>-0.57</v>
      </c>
      <c r="C535" t="str">
        <f>"70"</f>
        <v>70</v>
      </c>
      <c r="D535" t="str">
        <f>"Fewer Moving Parts EP"</f>
        <v>Fewer Moving Parts EP</v>
      </c>
    </row>
    <row r="536" spans="1:4" x14ac:dyDescent="0.2">
      <c r="A536" t="str">
        <f>"535"</f>
        <v>535</v>
      </c>
      <c r="B536" t="str">
        <f>"0.42"</f>
        <v>0.42</v>
      </c>
      <c r="C536" t="str">
        <f>"67"</f>
        <v>67</v>
      </c>
      <c r="D536" t="str">
        <f>"Mistake Mistake Mistake Mistake"</f>
        <v>Mistake Mistake Mistake Mistake</v>
      </c>
    </row>
    <row r="537" spans="1:4" x14ac:dyDescent="0.2">
      <c r="A537" t="str">
        <f>"536"</f>
        <v>536</v>
      </c>
      <c r="B537" t="str">
        <f>"0.65"</f>
        <v>0.65</v>
      </c>
      <c r="C537" t="str">
        <f>"49"</f>
        <v>49</v>
      </c>
      <c r="D537" t="str">
        <f>"Two Thousand"</f>
        <v>Two Thousand</v>
      </c>
    </row>
    <row r="538" spans="1:4" x14ac:dyDescent="0.2">
      <c r="A538" t="str">
        <f>"537"</f>
        <v>537</v>
      </c>
      <c r="B538" t="str">
        <f>"-0.46"</f>
        <v>-0.46</v>
      </c>
      <c r="C538" t="str">
        <f>"26"</f>
        <v>26</v>
      </c>
      <c r="D538" t="str">
        <f>"Tower of Love"</f>
        <v>Tower of Love</v>
      </c>
    </row>
    <row r="539" spans="1:4" x14ac:dyDescent="0.2">
      <c r="A539" t="str">
        <f>"538"</f>
        <v>538</v>
      </c>
      <c r="B539" t="str">
        <f>"-0.06"</f>
        <v>-0.06</v>
      </c>
      <c r="C539" t="str">
        <f>"21"</f>
        <v>21</v>
      </c>
      <c r="D539" t="str">
        <f>"New Heavy"</f>
        <v>New Heavy</v>
      </c>
    </row>
    <row r="540" spans="1:4" x14ac:dyDescent="0.2">
      <c r="A540" t="str">
        <f>"539"</f>
        <v>539</v>
      </c>
      <c r="B540" t="str">
        <f>"-1"</f>
        <v>-1</v>
      </c>
      <c r="C540" t="str">
        <f>"23"</f>
        <v>23</v>
      </c>
      <c r="D540" t="str">
        <f>"The Cool Death of Island Raiders"</f>
        <v>The Cool Death of Island Raiders</v>
      </c>
    </row>
    <row r="541" spans="1:4" x14ac:dyDescent="0.2">
      <c r="A541" t="str">
        <f>"540"</f>
        <v>540</v>
      </c>
      <c r="B541" t="str">
        <f>"0.44"</f>
        <v>0.44</v>
      </c>
      <c r="C541" t="str">
        <f>"106"</f>
        <v>106</v>
      </c>
      <c r="D541" t="s">
        <v>14</v>
      </c>
    </row>
    <row r="542" spans="1:4" x14ac:dyDescent="0.2">
      <c r="A542" t="str">
        <f>"541"</f>
        <v>541</v>
      </c>
      <c r="B542" t="str">
        <f>"-0.22"</f>
        <v>-0.22</v>
      </c>
      <c r="C542" t="str">
        <f>"32"</f>
        <v>32</v>
      </c>
      <c r="D542" t="str">
        <f>"Rough Trade Shops: Singer Songwriter 1"</f>
        <v>Rough Trade Shops: Singer Songwriter 1</v>
      </c>
    </row>
    <row r="543" spans="1:4" x14ac:dyDescent="0.2">
      <c r="A543" t="str">
        <f>"542"</f>
        <v>542</v>
      </c>
      <c r="B543" t="str">
        <f>"0.16"</f>
        <v>0.16</v>
      </c>
      <c r="C543" t="str">
        <f>"62"</f>
        <v>62</v>
      </c>
      <c r="D543" t="str">
        <f>"Stranger on the Sofa"</f>
        <v>Stranger on the Sofa</v>
      </c>
    </row>
    <row r="544" spans="1:4" x14ac:dyDescent="0.2">
      <c r="A544" t="str">
        <f>"543"</f>
        <v>543</v>
      </c>
      <c r="B544" t="str">
        <f>"-0.73"</f>
        <v>-0.73</v>
      </c>
      <c r="C544" t="str">
        <f>"84"</f>
        <v>84</v>
      </c>
      <c r="D544" t="str">
        <f>"Two/Three"</f>
        <v>Two/Three</v>
      </c>
    </row>
    <row r="545" spans="1:4" x14ac:dyDescent="0.2">
      <c r="A545" t="str">
        <f>"544"</f>
        <v>544</v>
      </c>
      <c r="B545" t="str">
        <f>"-0.82"</f>
        <v>-0.82</v>
      </c>
      <c r="C545" t="str">
        <f>"28"</f>
        <v>28</v>
      </c>
      <c r="D545" t="str">
        <f>"Public Radio"</f>
        <v>Public Radio</v>
      </c>
    </row>
    <row r="546" spans="1:4" x14ac:dyDescent="0.2">
      <c r="A546" t="str">
        <f>"545"</f>
        <v>545</v>
      </c>
      <c r="B546" t="str">
        <f>"0"</f>
        <v>0</v>
      </c>
      <c r="C546" t="str">
        <f>"26"</f>
        <v>26</v>
      </c>
      <c r="D546" t="str">
        <f>"Night Ripper"</f>
        <v>Night Ripper</v>
      </c>
    </row>
    <row r="547" spans="1:4" x14ac:dyDescent="0.2">
      <c r="A547" t="str">
        <f>"546"</f>
        <v>546</v>
      </c>
      <c r="B547" t="str">
        <f>"0.28"</f>
        <v>0.28</v>
      </c>
      <c r="C547" t="str">
        <f>"65"</f>
        <v>65</v>
      </c>
      <c r="D547" t="str">
        <f>"Shapes and Sizes"</f>
        <v>Shapes and Sizes</v>
      </c>
    </row>
    <row r="548" spans="1:4" x14ac:dyDescent="0.2">
      <c r="A548" t="str">
        <f>"547"</f>
        <v>547</v>
      </c>
      <c r="B548" t="str">
        <f>"0.35"</f>
        <v>0.35</v>
      </c>
      <c r="C548" t="str">
        <f>"34"</f>
        <v>34</v>
      </c>
      <c r="D548" t="str">
        <f>"Musique Pour 3 Femmes Enceintes"</f>
        <v>Musique Pour 3 Femmes Enceintes</v>
      </c>
    </row>
    <row r="549" spans="1:4" x14ac:dyDescent="0.2">
      <c r="A549" t="str">
        <f>"548"</f>
        <v>548</v>
      </c>
      <c r="B549" t="str">
        <f>"0.43"</f>
        <v>0.43</v>
      </c>
      <c r="C549" t="str">
        <f>"23"</f>
        <v>23</v>
      </c>
      <c r="D549" t="s">
        <v>15</v>
      </c>
    </row>
    <row r="550" spans="1:4" x14ac:dyDescent="0.2">
      <c r="A550" t="str">
        <f>"549"</f>
        <v>549</v>
      </c>
      <c r="B550" t="str">
        <f>"-0.82"</f>
        <v>-0.82</v>
      </c>
      <c r="C550" t="str">
        <f>"57"</f>
        <v>57</v>
      </c>
      <c r="D550" t="str">
        <f>"Think About Life"</f>
        <v>Think About Life</v>
      </c>
    </row>
    <row r="551" spans="1:4" x14ac:dyDescent="0.2">
      <c r="A551" t="str">
        <f>"550"</f>
        <v>550</v>
      </c>
      <c r="B551" t="str">
        <f>"-1.36"</f>
        <v>-1.36</v>
      </c>
      <c r="C551" t="str">
        <f>"34"</f>
        <v>34</v>
      </c>
      <c r="D551" t="str">
        <f>"The Future Is Inter-Disciplinary or Not at All"</f>
        <v>The Future Is Inter-Disciplinary or Not at All</v>
      </c>
    </row>
    <row r="552" spans="1:4" x14ac:dyDescent="0.2">
      <c r="A552" t="str">
        <f>"551"</f>
        <v>551</v>
      </c>
      <c r="B552" t="str">
        <f>"0.24"</f>
        <v>0.24</v>
      </c>
      <c r="C552" t="str">
        <f>"22"</f>
        <v>22</v>
      </c>
      <c r="D552" t="s">
        <v>16</v>
      </c>
    </row>
    <row r="553" spans="1:4" x14ac:dyDescent="0.2">
      <c r="A553" t="str">
        <f>"552"</f>
        <v>552</v>
      </c>
      <c r="B553" t="str">
        <f>"-1.5"</f>
        <v>-1.5</v>
      </c>
      <c r="C553" t="str">
        <f>"33"</f>
        <v>33</v>
      </c>
      <c r="D553" t="str">
        <f>"A Call and Response"</f>
        <v>A Call and Response</v>
      </c>
    </row>
    <row r="554" spans="1:4" x14ac:dyDescent="0.2">
      <c r="A554" t="str">
        <f>"553"</f>
        <v>553</v>
      </c>
      <c r="B554" t="str">
        <f>"-0.44"</f>
        <v>-0.44</v>
      </c>
      <c r="C554" t="str">
        <f>"48"</f>
        <v>48</v>
      </c>
      <c r="D554" t="str">
        <f>"Blessphemy (of the Peace-Beast Feastgiver and the Bear-Warp Kumite)"</f>
        <v>Blessphemy (of the Peace-Beast Feastgiver and the Bear-Warp Kumite)</v>
      </c>
    </row>
    <row r="555" spans="1:4" x14ac:dyDescent="0.2">
      <c r="A555" t="str">
        <f>"554"</f>
        <v>554</v>
      </c>
      <c r="B555" t="str">
        <f>"-0.82"</f>
        <v>-0.82</v>
      </c>
      <c r="C555" t="str">
        <f>"20"</f>
        <v>20</v>
      </c>
      <c r="D555" t="str">
        <f>"In Bocca al Lupo"</f>
        <v>In Bocca al Lupo</v>
      </c>
    </row>
    <row r="556" spans="1:4" x14ac:dyDescent="0.2">
      <c r="A556" t="str">
        <f>"555"</f>
        <v>555</v>
      </c>
      <c r="B556" t="str">
        <f>"-0.22"</f>
        <v>-0.22</v>
      </c>
      <c r="C556" t="str">
        <f>"30"</f>
        <v>30</v>
      </c>
      <c r="D556" t="str">
        <f>"Start Breaking My Heart"</f>
        <v>Start Breaking My Heart</v>
      </c>
    </row>
    <row r="557" spans="1:4" x14ac:dyDescent="0.2">
      <c r="A557" t="str">
        <f>"556"</f>
        <v>556</v>
      </c>
      <c r="B557" t="str">
        <f>"-0.84"</f>
        <v>-0.84</v>
      </c>
      <c r="C557" t="str">
        <f>"95"</f>
        <v>95</v>
      </c>
      <c r="D557" t="str">
        <f>"Impeach My Bush"</f>
        <v>Impeach My Bush</v>
      </c>
    </row>
    <row r="558" spans="1:4" x14ac:dyDescent="0.2">
      <c r="A558" t="str">
        <f>"557"</f>
        <v>557</v>
      </c>
      <c r="B558" t="str">
        <f>"0.94"</f>
        <v>0.94</v>
      </c>
      <c r="C558" t="str">
        <f>"20"</f>
        <v>20</v>
      </c>
      <c r="D558" t="str">
        <f>"The Cairo Gang"</f>
        <v>The Cairo Gang</v>
      </c>
    </row>
    <row r="559" spans="1:4" x14ac:dyDescent="0.2">
      <c r="A559" t="str">
        <f>"558"</f>
        <v>558</v>
      </c>
      <c r="B559" t="str">
        <f>"-0.06"</f>
        <v>-0.06</v>
      </c>
      <c r="C559" t="str">
        <f>"53"</f>
        <v>53</v>
      </c>
      <c r="D559" t="str">
        <f>"Wastrels and Whippersnappers"</f>
        <v>Wastrels and Whippersnappers</v>
      </c>
    </row>
    <row r="560" spans="1:4" x14ac:dyDescent="0.2">
      <c r="A560" t="str">
        <f>"559"</f>
        <v>559</v>
      </c>
      <c r="B560" t="str">
        <f>"0.25"</f>
        <v>0.25</v>
      </c>
      <c r="C560" t="str">
        <f>"25"</f>
        <v>25</v>
      </c>
      <c r="D560" t="str">
        <f>"Chemical City"</f>
        <v>Chemical City</v>
      </c>
    </row>
    <row r="561" spans="1:4" x14ac:dyDescent="0.2">
      <c r="A561" t="str">
        <f>"560"</f>
        <v>560</v>
      </c>
      <c r="B561" t="str">
        <f>"-1.15"</f>
        <v>-1.15</v>
      </c>
      <c r="C561" t="str">
        <f>"104"</f>
        <v>104</v>
      </c>
      <c r="D561" t="str">
        <f>"Dronevil Final"</f>
        <v>Dronevil Final</v>
      </c>
    </row>
    <row r="562" spans="1:4" x14ac:dyDescent="0.2">
      <c r="A562" t="str">
        <f>"561"</f>
        <v>561</v>
      </c>
      <c r="B562" t="str">
        <f>"-0.1"</f>
        <v>-0.1</v>
      </c>
      <c r="C562" t="str">
        <f>"27"</f>
        <v>27</v>
      </c>
      <c r="D562" t="str">
        <f>"Cansei De Ser Sexy"</f>
        <v>Cansei De Ser Sexy</v>
      </c>
    </row>
    <row r="563" spans="1:4" x14ac:dyDescent="0.2">
      <c r="A563" t="str">
        <f>"562"</f>
        <v>562</v>
      </c>
      <c r="B563" t="str">
        <f>"-0.2"</f>
        <v>-0.2</v>
      </c>
      <c r="C563" t="str">
        <f>"20"</f>
        <v>20</v>
      </c>
      <c r="D563" t="str">
        <f>"Czar Nicholas Is Dead"</f>
        <v>Czar Nicholas Is Dead</v>
      </c>
    </row>
    <row r="564" spans="1:4" x14ac:dyDescent="0.2">
      <c r="A564" t="str">
        <f>"563"</f>
        <v>563</v>
      </c>
      <c r="B564" t="str">
        <f>"0.04"</f>
        <v>0.04</v>
      </c>
      <c r="C564" t="str">
        <f>"24"</f>
        <v>24</v>
      </c>
      <c r="D564" t="str">
        <f>"Brookland/Oaklyn"</f>
        <v>Brookland/Oaklyn</v>
      </c>
    </row>
    <row r="565" spans="1:4" x14ac:dyDescent="0.2">
      <c r="A565" t="str">
        <f>"564"</f>
        <v>564</v>
      </c>
      <c r="B565" t="str">
        <f>"-0.86"</f>
        <v>-0.86</v>
      </c>
      <c r="C565" t="str">
        <f>"14"</f>
        <v>14</v>
      </c>
      <c r="D565" t="str">
        <f>"How We Operate"</f>
        <v>How We Operate</v>
      </c>
    </row>
    <row r="566" spans="1:4" x14ac:dyDescent="0.2">
      <c r="A566" t="str">
        <f>"565"</f>
        <v>565</v>
      </c>
      <c r="B566" t="str">
        <f>"0.15"</f>
        <v>0.15</v>
      </c>
      <c r="C566" t="str">
        <f>"89"</f>
        <v>89</v>
      </c>
      <c r="D566" t="str">
        <f>"The Avalanche"</f>
        <v>The Avalanche</v>
      </c>
    </row>
    <row r="567" spans="1:4" x14ac:dyDescent="0.2">
      <c r="A567" t="str">
        <f>"566"</f>
        <v>566</v>
      </c>
      <c r="B567" t="str">
        <f>"-0.03"</f>
        <v>-0.03</v>
      </c>
      <c r="C567" t="str">
        <f>"22"</f>
        <v>22</v>
      </c>
      <c r="D567" t="str">
        <f>"Victory for the Comic Muse"</f>
        <v>Victory for the Comic Muse</v>
      </c>
    </row>
    <row r="568" spans="1:4" x14ac:dyDescent="0.2">
      <c r="A568" t="str">
        <f>"567"</f>
        <v>567</v>
      </c>
      <c r="B568" t="str">
        <f>"-0.04"</f>
        <v>-0.04</v>
      </c>
      <c r="C568" t="str">
        <f>"56"</f>
        <v>56</v>
      </c>
      <c r="D568" t="str">
        <f>"Queries"</f>
        <v>Queries</v>
      </c>
    </row>
    <row r="569" spans="1:4" x14ac:dyDescent="0.2">
      <c r="A569" t="str">
        <f>"568"</f>
        <v>568</v>
      </c>
      <c r="B569" t="str">
        <f>"-0.43"</f>
        <v>-0.43</v>
      </c>
      <c r="C569" t="str">
        <f>"17"</f>
        <v>17</v>
      </c>
      <c r="D569" t="str">
        <f>"Pretty Girls Make Raves EP"</f>
        <v>Pretty Girls Make Raves EP</v>
      </c>
    </row>
    <row r="570" spans="1:4" x14ac:dyDescent="0.2">
      <c r="A570" t="str">
        <f>"569"</f>
        <v>569</v>
      </c>
      <c r="B570" t="str">
        <f>"0.24"</f>
        <v>0.24</v>
      </c>
      <c r="C570" t="str">
        <f>"19"</f>
        <v>19</v>
      </c>
      <c r="D570" t="str">
        <f>"Floating World"</f>
        <v>Floating World</v>
      </c>
    </row>
    <row r="571" spans="1:4" x14ac:dyDescent="0.2">
      <c r="A571" t="str">
        <f>"570"</f>
        <v>570</v>
      </c>
      <c r="B571" t="str">
        <f>"-0.09"</f>
        <v>-0.09</v>
      </c>
      <c r="C571" t="str">
        <f>"92"</f>
        <v>92</v>
      </c>
      <c r="D571" t="str">
        <f>"The Eraser"</f>
        <v>The Eraser</v>
      </c>
    </row>
    <row r="572" spans="1:4" x14ac:dyDescent="0.2">
      <c r="A572" t="str">
        <f>"571"</f>
        <v>571</v>
      </c>
      <c r="B572" t="str">
        <f>"-0.81"</f>
        <v>-0.81</v>
      </c>
      <c r="C572" t="str">
        <f>"80"</f>
        <v>80</v>
      </c>
      <c r="D572" t="str">
        <f>"Greedy Baby"</f>
        <v>Greedy Baby</v>
      </c>
    </row>
    <row r="573" spans="1:4" x14ac:dyDescent="0.2">
      <c r="A573" t="str">
        <f>"572"</f>
        <v>572</v>
      </c>
      <c r="B573" t="str">
        <f>"1.44"</f>
        <v>1.44</v>
      </c>
      <c r="C573" t="str">
        <f>"44"</f>
        <v>44</v>
      </c>
      <c r="D573" t="s">
        <v>17</v>
      </c>
    </row>
    <row r="574" spans="1:4" x14ac:dyDescent="0.2">
      <c r="A574" t="str">
        <f>"573"</f>
        <v>573</v>
      </c>
      <c r="B574" t="str">
        <f>"0.36"</f>
        <v>0.36</v>
      </c>
      <c r="C574" t="str">
        <f>"20"</f>
        <v>20</v>
      </c>
      <c r="D574" t="str">
        <f>"Hearts"</f>
        <v>Hearts</v>
      </c>
    </row>
    <row r="575" spans="1:4" x14ac:dyDescent="0.2">
      <c r="A575" t="str">
        <f>"574"</f>
        <v>574</v>
      </c>
      <c r="B575" t="str">
        <f>"-1.08"</f>
        <v>-1.08</v>
      </c>
      <c r="C575" t="str">
        <f>"17"</f>
        <v>17</v>
      </c>
      <c r="D575" t="str">
        <f>"Civilian"</f>
        <v>Civilian</v>
      </c>
    </row>
    <row r="576" spans="1:4" x14ac:dyDescent="0.2">
      <c r="A576" t="str">
        <f>"575"</f>
        <v>575</v>
      </c>
      <c r="B576" t="str">
        <f>"-0.71"</f>
        <v>-0.71</v>
      </c>
      <c r="C576" t="str">
        <f>"48"</f>
        <v>48</v>
      </c>
      <c r="D576" t="str">
        <f>"I'm Going to Tell You a Secret"</f>
        <v>I'm Going to Tell You a Secret</v>
      </c>
    </row>
    <row r="577" spans="1:4" x14ac:dyDescent="0.2">
      <c r="A577" t="str">
        <f>"576"</f>
        <v>576</v>
      </c>
      <c r="B577" t="str">
        <f>"1.19"</f>
        <v>1.19</v>
      </c>
      <c r="C577" t="str">
        <f>"21"</f>
        <v>21</v>
      </c>
      <c r="D577" t="str">
        <f>"Happy New Year"</f>
        <v>Happy New Year</v>
      </c>
    </row>
    <row r="578" spans="1:4" x14ac:dyDescent="0.2">
      <c r="A578" t="str">
        <f>"577"</f>
        <v>577</v>
      </c>
      <c r="B578" t="str">
        <f>"1.41"</f>
        <v>1.41</v>
      </c>
      <c r="C578" t="str">
        <f>"16"</f>
        <v>16</v>
      </c>
      <c r="D578" t="str">
        <f>"Come Into Our House"</f>
        <v>Come Into Our House</v>
      </c>
    </row>
    <row r="579" spans="1:4" x14ac:dyDescent="0.2">
      <c r="A579" t="str">
        <f>"578"</f>
        <v>578</v>
      </c>
      <c r="B579" t="str">
        <f>"0.38"</f>
        <v>0.38</v>
      </c>
      <c r="C579" t="str">
        <f>"23"</f>
        <v>23</v>
      </c>
      <c r="D579" t="str">
        <f>"The Gersch"</f>
        <v>The Gersch</v>
      </c>
    </row>
    <row r="580" spans="1:4" x14ac:dyDescent="0.2">
      <c r="A580" t="str">
        <f>"579"</f>
        <v>579</v>
      </c>
      <c r="B580" t="str">
        <f>"0.06"</f>
        <v>0.06</v>
      </c>
      <c r="C580" t="str">
        <f>"42"</f>
        <v>42</v>
      </c>
      <c r="D580" t="str">
        <f>"The River in Reverse"</f>
        <v>The River in Reverse</v>
      </c>
    </row>
    <row r="581" spans="1:4" x14ac:dyDescent="0.2">
      <c r="A581" t="str">
        <f>"580"</f>
        <v>580</v>
      </c>
      <c r="B581" t="str">
        <f>"-0.24"</f>
        <v>-0.24</v>
      </c>
      <c r="C581" t="str">
        <f>"68"</f>
        <v>68</v>
      </c>
      <c r="D581" t="str">
        <f>"American V: A Hundred Highways"</f>
        <v>American V: A Hundred Highways</v>
      </c>
    </row>
    <row r="582" spans="1:4" x14ac:dyDescent="0.2">
      <c r="A582" t="str">
        <f>"581"</f>
        <v>581</v>
      </c>
      <c r="B582" t="str">
        <f>"-0.81"</f>
        <v>-0.81</v>
      </c>
      <c r="C582" t="str">
        <f>"22"</f>
        <v>22</v>
      </c>
      <c r="D582" t="str">
        <f>"Safe as Houses"</f>
        <v>Safe as Houses</v>
      </c>
    </row>
    <row r="583" spans="1:4" x14ac:dyDescent="0.2">
      <c r="A583" t="str">
        <f>"582"</f>
        <v>582</v>
      </c>
      <c r="B583" t="str">
        <f>"1.05"</f>
        <v>1.05</v>
      </c>
      <c r="C583" t="str">
        <f>"67"</f>
        <v>67</v>
      </c>
      <c r="D583" t="str">
        <f>"Hefty Digest + Prefuse 73 Mixtape"</f>
        <v>Hefty Digest + Prefuse 73 Mixtape</v>
      </c>
    </row>
    <row r="584" spans="1:4" x14ac:dyDescent="0.2">
      <c r="A584" t="str">
        <f>"583"</f>
        <v>583</v>
      </c>
      <c r="B584" t="str">
        <f>"-0.5"</f>
        <v>-0.5</v>
      </c>
      <c r="C584" t="str">
        <f>"18"</f>
        <v>18</v>
      </c>
      <c r="D584" t="str">
        <f>"I Was Born at Night"</f>
        <v>I Was Born at Night</v>
      </c>
    </row>
    <row r="585" spans="1:4" x14ac:dyDescent="0.2">
      <c r="A585" t="str">
        <f>"584"</f>
        <v>584</v>
      </c>
      <c r="B585" t="str">
        <f>"-2.1"</f>
        <v>-2.1</v>
      </c>
      <c r="C585" t="str">
        <f>"18"</f>
        <v>18</v>
      </c>
      <c r="D585" t="s">
        <v>18</v>
      </c>
    </row>
    <row r="586" spans="1:4" x14ac:dyDescent="0.2">
      <c r="A586" t="str">
        <f>"585"</f>
        <v>585</v>
      </c>
      <c r="B586" t="str">
        <f>"0.36"</f>
        <v>0.36</v>
      </c>
      <c r="C586" t="str">
        <f>"94"</f>
        <v>94</v>
      </c>
      <c r="D586" t="str">
        <f>"Return to Cookie Mountain"</f>
        <v>Return to Cookie Mountain</v>
      </c>
    </row>
    <row r="587" spans="1:4" x14ac:dyDescent="0.2">
      <c r="A587" t="str">
        <f>"586"</f>
        <v>586</v>
      </c>
      <c r="B587" t="str">
        <f>"-0.8"</f>
        <v>-0.8</v>
      </c>
      <c r="C587" t="str">
        <f>"75"</f>
        <v>75</v>
      </c>
      <c r="D587" t="str">
        <f>"Black Holes and Revelations"</f>
        <v>Black Holes and Revelations</v>
      </c>
    </row>
    <row r="588" spans="1:4" x14ac:dyDescent="0.2">
      <c r="A588" t="str">
        <f>"587"</f>
        <v>587</v>
      </c>
      <c r="B588" t="str">
        <f>"-0.82"</f>
        <v>-0.82</v>
      </c>
      <c r="C588" t="str">
        <f>"20"</f>
        <v>20</v>
      </c>
      <c r="D588" t="str">
        <f>"Prayer of Death"</f>
        <v>Prayer of Death</v>
      </c>
    </row>
    <row r="589" spans="1:4" x14ac:dyDescent="0.2">
      <c r="A589" t="str">
        <f>"588"</f>
        <v>588</v>
      </c>
      <c r="B589" t="str">
        <f>"0.64"</f>
        <v>0.64</v>
      </c>
      <c r="C589" t="str">
        <f>"24"</f>
        <v>24</v>
      </c>
      <c r="D589" t="str">
        <f>"Suicide Squeeze Records: Slaying Since 1996"</f>
        <v>Suicide Squeeze Records: Slaying Since 1996</v>
      </c>
    </row>
    <row r="590" spans="1:4" x14ac:dyDescent="0.2">
      <c r="A590" t="str">
        <f>"589"</f>
        <v>589</v>
      </c>
      <c r="B590" t="str">
        <f>"0.27"</f>
        <v>0.27</v>
      </c>
      <c r="C590" t="str">
        <f>"26"</f>
        <v>26</v>
      </c>
      <c r="D590" t="str">
        <f>"Last Days of Wonder"</f>
        <v>Last Days of Wonder</v>
      </c>
    </row>
    <row r="591" spans="1:4" x14ac:dyDescent="0.2">
      <c r="A591" t="str">
        <f>"590"</f>
        <v>590</v>
      </c>
      <c r="B591" t="str">
        <f>"0.13"</f>
        <v>0.13</v>
      </c>
      <c r="C591" t="str">
        <f>"25"</f>
        <v>25</v>
      </c>
      <c r="D591" t="str">
        <f>"Rockin' Bones: 1950s Punk and Rockabilly"</f>
        <v>Rockin' Bones: 1950s Punk and Rockabilly</v>
      </c>
    </row>
    <row r="592" spans="1:4" x14ac:dyDescent="0.2">
      <c r="A592" t="str">
        <f>"591"</f>
        <v>591</v>
      </c>
      <c r="B592" t="str">
        <f>"-0.26"</f>
        <v>-0.26</v>
      </c>
      <c r="C592" t="str">
        <f>"90"</f>
        <v>90</v>
      </c>
      <c r="D592" t="str">
        <f>"This Is My Demo"</f>
        <v>This Is My Demo</v>
      </c>
    </row>
    <row r="593" spans="1:4" x14ac:dyDescent="0.2">
      <c r="A593" t="str">
        <f>"592"</f>
        <v>592</v>
      </c>
      <c r="B593" t="str">
        <f>"-0.41"</f>
        <v>-0.41</v>
      </c>
      <c r="C593" t="str">
        <f>"44"</f>
        <v>44</v>
      </c>
      <c r="D593" t="str">
        <f>"You Can't Break the Strings in Our Olympic Hearts"</f>
        <v>You Can't Break the Strings in Our Olympic Hearts</v>
      </c>
    </row>
    <row r="594" spans="1:4" x14ac:dyDescent="0.2">
      <c r="A594" t="str">
        <f>"593"</f>
        <v>593</v>
      </c>
      <c r="B594" t="str">
        <f>"-0.59"</f>
        <v>-0.59</v>
      </c>
      <c r="C594" t="str">
        <f>"27"</f>
        <v>27</v>
      </c>
      <c r="D594" t="str">
        <f>"The Baby and the Satellite EP"</f>
        <v>The Baby and the Satellite EP</v>
      </c>
    </row>
    <row r="595" spans="1:4" x14ac:dyDescent="0.2">
      <c r="A595" t="str">
        <f>"594"</f>
        <v>594</v>
      </c>
      <c r="B595" t="str">
        <f>"-0.41"</f>
        <v>-0.41</v>
      </c>
      <c r="C595" t="str">
        <f>"28"</f>
        <v>28</v>
      </c>
      <c r="D595" t="str">
        <f>"Movie Monster"</f>
        <v>Movie Monster</v>
      </c>
    </row>
    <row r="596" spans="1:4" x14ac:dyDescent="0.2">
      <c r="A596" t="str">
        <f>"595"</f>
        <v>595</v>
      </c>
      <c r="B596" t="str">
        <f>"-0.84"</f>
        <v>-0.84</v>
      </c>
      <c r="C596" t="str">
        <f>"37"</f>
        <v>37</v>
      </c>
      <c r="D596" t="str">
        <f>"The Big Bang"</f>
        <v>The Big Bang</v>
      </c>
    </row>
    <row r="597" spans="1:4" x14ac:dyDescent="0.2">
      <c r="A597" t="str">
        <f>"596"</f>
        <v>596</v>
      </c>
      <c r="B597" t="str">
        <f>"0.18"</f>
        <v>0.18</v>
      </c>
      <c r="C597" t="str">
        <f>"29"</f>
        <v>29</v>
      </c>
      <c r="D597" t="str">
        <f>"Death Row’s Greatest Hits: The Chronicles"</f>
        <v>Death Row’s Greatest Hits: The Chronicles</v>
      </c>
    </row>
    <row r="598" spans="1:4" x14ac:dyDescent="0.2">
      <c r="A598" t="str">
        <f>"597"</f>
        <v>597</v>
      </c>
      <c r="B598" t="str">
        <f>"0.24"</f>
        <v>0.24</v>
      </c>
      <c r="C598" t="str">
        <f>"37"</f>
        <v>37</v>
      </c>
      <c r="D598" t="str">
        <f>"The Reprise Sessions"</f>
        <v>The Reprise Sessions</v>
      </c>
    </row>
    <row r="599" spans="1:4" x14ac:dyDescent="0.2">
      <c r="A599" t="str">
        <f>"598"</f>
        <v>598</v>
      </c>
      <c r="B599" t="str">
        <f>"-0.36"</f>
        <v>-0.36</v>
      </c>
      <c r="C599" t="str">
        <f>"18"</f>
        <v>18</v>
      </c>
      <c r="D599" t="str">
        <f>"Good World"</f>
        <v>Good World</v>
      </c>
    </row>
    <row r="600" spans="1:4" x14ac:dyDescent="0.2">
      <c r="A600" t="str">
        <f>"599"</f>
        <v>599</v>
      </c>
      <c r="B600" t="str">
        <f>"0.55"</f>
        <v>0.55</v>
      </c>
      <c r="C600" t="str">
        <f>"87"</f>
        <v>87</v>
      </c>
      <c r="D600" t="str">
        <f>"Howlin' Rain"</f>
        <v>Howlin' Rain</v>
      </c>
    </row>
    <row r="601" spans="1:4" x14ac:dyDescent="0.2">
      <c r="A601" t="str">
        <f>"600"</f>
        <v>600</v>
      </c>
      <c r="B601" t="str">
        <f>"-0.38"</f>
        <v>-0.38</v>
      </c>
      <c r="C601" t="str">
        <f>"32"</f>
        <v>32</v>
      </c>
      <c r="D601" t="str">
        <f>"Gainsbourg…et Caetera"</f>
        <v>Gainsbourg…et Caetera</v>
      </c>
    </row>
    <row r="602" spans="1:4" x14ac:dyDescent="0.2">
      <c r="A602" t="str">
        <f>"601"</f>
        <v>601</v>
      </c>
      <c r="B602" t="str">
        <f>"-0.66"</f>
        <v>-0.66</v>
      </c>
      <c r="C602" t="str">
        <f>"82"</f>
        <v>82</v>
      </c>
      <c r="D602" t="str">
        <f>"The Return of Dr. Octagon"</f>
        <v>The Return of Dr. Octagon</v>
      </c>
    </row>
    <row r="603" spans="1:4" x14ac:dyDescent="0.2">
      <c r="A603" t="str">
        <f>"602"</f>
        <v>602</v>
      </c>
      <c r="B603" t="str">
        <f>"-1.62"</f>
        <v>-1.62</v>
      </c>
      <c r="C603" t="str">
        <f>"67"</f>
        <v>67</v>
      </c>
      <c r="D603" t="str">
        <f>"Actual Fucking"</f>
        <v>Actual Fucking</v>
      </c>
    </row>
    <row r="604" spans="1:4" x14ac:dyDescent="0.2">
      <c r="A604" t="str">
        <f>"603"</f>
        <v>603</v>
      </c>
      <c r="B604" t="str">
        <f>"0.45"</f>
        <v>0.45</v>
      </c>
      <c r="C604" t="str">
        <f>"22"</f>
        <v>22</v>
      </c>
      <c r="D604" t="str">
        <f>"One River"</f>
        <v>One River</v>
      </c>
    </row>
    <row r="605" spans="1:4" x14ac:dyDescent="0.2">
      <c r="A605" t="str">
        <f>"604"</f>
        <v>604</v>
      </c>
      <c r="B605" t="str">
        <f>"0.36"</f>
        <v>0.36</v>
      </c>
      <c r="C605" t="str">
        <f>"52"</f>
        <v>52</v>
      </c>
      <c r="D605" t="s">
        <v>19</v>
      </c>
    </row>
    <row r="606" spans="1:4" x14ac:dyDescent="0.2">
      <c r="A606" t="str">
        <f>"605"</f>
        <v>605</v>
      </c>
      <c r="B606" t="str">
        <f>"-0.45"</f>
        <v>-0.45</v>
      </c>
      <c r="C606" t="str">
        <f>"24"</f>
        <v>24</v>
      </c>
      <c r="D606" t="str">
        <f>"PCP Torpedo / AnbRX"</f>
        <v>PCP Torpedo / AnbRX</v>
      </c>
    </row>
    <row r="607" spans="1:4" x14ac:dyDescent="0.2">
      <c r="A607" t="str">
        <f>"606"</f>
        <v>606</v>
      </c>
      <c r="B607" t="str">
        <f>"-0.51"</f>
        <v>-0.51</v>
      </c>
      <c r="C607" t="str">
        <f>"127"</f>
        <v>127</v>
      </c>
      <c r="D607" t="str">
        <f>"Out of Cold Storage"</f>
        <v>Out of Cold Storage</v>
      </c>
    </row>
    <row r="608" spans="1:4" x14ac:dyDescent="0.2">
      <c r="A608" t="str">
        <f>"607"</f>
        <v>607</v>
      </c>
      <c r="B608" t="str">
        <f>"0.68"</f>
        <v>0.68</v>
      </c>
      <c r="C608" t="str">
        <f>"44"</f>
        <v>44</v>
      </c>
      <c r="D608" t="str">
        <f>"Greatest Hits: Why Try Harder"</f>
        <v>Greatest Hits: Why Try Harder</v>
      </c>
    </row>
    <row r="609" spans="1:4" x14ac:dyDescent="0.2">
      <c r="A609" t="str">
        <f>"608"</f>
        <v>608</v>
      </c>
      <c r="B609" t="str">
        <f>"0.85"</f>
        <v>0.85</v>
      </c>
      <c r="C609" t="str">
        <f>"89"</f>
        <v>89</v>
      </c>
      <c r="D609" t="str">
        <f>"Puzzles Like You"</f>
        <v>Puzzles Like You</v>
      </c>
    </row>
    <row r="610" spans="1:4" x14ac:dyDescent="0.2">
      <c r="A610" t="str">
        <f>"609"</f>
        <v>609</v>
      </c>
      <c r="B610" t="str">
        <f>"-0.84"</f>
        <v>-0.84</v>
      </c>
      <c r="C610" t="str">
        <f>"25"</f>
        <v>25</v>
      </c>
      <c r="D610" t="str">
        <f>"Wonder Waltz"</f>
        <v>Wonder Waltz</v>
      </c>
    </row>
    <row r="611" spans="1:4" x14ac:dyDescent="0.2">
      <c r="A611" t="str">
        <f>"610"</f>
        <v>610</v>
      </c>
      <c r="B611" t="str">
        <f>"0.76"</f>
        <v>0.76</v>
      </c>
      <c r="C611" t="str">
        <f>"33"</f>
        <v>33</v>
      </c>
      <c r="D611" t="str">
        <f>"DJ Kicks"</f>
        <v>DJ Kicks</v>
      </c>
    </row>
    <row r="612" spans="1:4" x14ac:dyDescent="0.2">
      <c r="A612" t="str">
        <f>"611"</f>
        <v>611</v>
      </c>
      <c r="B612" t="str">
        <f>"0.67"</f>
        <v>0.67</v>
      </c>
      <c r="C612" t="str">
        <f>"41"</f>
        <v>41</v>
      </c>
      <c r="D612" t="str">
        <f>"Citrus"</f>
        <v>Citrus</v>
      </c>
    </row>
    <row r="613" spans="1:4" x14ac:dyDescent="0.2">
      <c r="A613" t="str">
        <f>"612"</f>
        <v>612</v>
      </c>
      <c r="B613" t="str">
        <f>"0.03"</f>
        <v>0.03</v>
      </c>
      <c r="C613" t="str">
        <f>"19"</f>
        <v>19</v>
      </c>
      <c r="D613" t="str">
        <f>"Curse Your Little Heart EP"</f>
        <v>Curse Your Little Heart EP</v>
      </c>
    </row>
    <row r="614" spans="1:4" x14ac:dyDescent="0.2">
      <c r="A614" t="str">
        <f>"613"</f>
        <v>613</v>
      </c>
      <c r="B614" t="str">
        <f>"-1.4"</f>
        <v>-1.4</v>
      </c>
      <c r="C614" t="str">
        <f>"30"</f>
        <v>30</v>
      </c>
      <c r="D614" t="str">
        <f>"Dead Man Walking: Music From and Inspired by the Motion Picture"</f>
        <v>Dead Man Walking: Music From and Inspired by the Motion Picture</v>
      </c>
    </row>
    <row r="615" spans="1:4" x14ac:dyDescent="0.2">
      <c r="A615" t="str">
        <f>"614"</f>
        <v>614</v>
      </c>
      <c r="B615" t="str">
        <f>"-0.65"</f>
        <v>-0.65</v>
      </c>
      <c r="C615" t="str">
        <f>"25"</f>
        <v>25</v>
      </c>
      <c r="D615" t="str">
        <f>"New Joc City"</f>
        <v>New Joc City</v>
      </c>
    </row>
    <row r="616" spans="1:4" x14ac:dyDescent="0.2">
      <c r="A616" t="str">
        <f>"615"</f>
        <v>615</v>
      </c>
      <c r="B616" t="str">
        <f>"0.35"</f>
        <v>0.35</v>
      </c>
      <c r="C616" t="str">
        <f>"108"</f>
        <v>108</v>
      </c>
      <c r="D616" t="str">
        <f>"Brightblack Morning Light"</f>
        <v>Brightblack Morning Light</v>
      </c>
    </row>
    <row r="617" spans="1:4" x14ac:dyDescent="0.2">
      <c r="A617" t="str">
        <f>"616"</f>
        <v>616</v>
      </c>
      <c r="B617" t="str">
        <f>"-0.69"</f>
        <v>-0.69</v>
      </c>
      <c r="C617" t="str">
        <f>"90"</f>
        <v>90</v>
      </c>
      <c r="D617" t="str">
        <f>"Loose"</f>
        <v>Loose</v>
      </c>
    </row>
    <row r="618" spans="1:4" x14ac:dyDescent="0.2">
      <c r="A618" t="str">
        <f>"617"</f>
        <v>617</v>
      </c>
      <c r="B618" t="str">
        <f>"-0.02"</f>
        <v>-0.02</v>
      </c>
      <c r="C618" t="str">
        <f>"21"</f>
        <v>21</v>
      </c>
      <c r="D618" t="str">
        <f>"The Shine of Dried Electric Leaves"</f>
        <v>The Shine of Dried Electric Leaves</v>
      </c>
    </row>
    <row r="619" spans="1:4" x14ac:dyDescent="0.2">
      <c r="A619" t="str">
        <f>"618"</f>
        <v>618</v>
      </c>
      <c r="B619" t="str">
        <f>"-0.49"</f>
        <v>-0.49</v>
      </c>
      <c r="C619" t="str">
        <f>"22"</f>
        <v>22</v>
      </c>
      <c r="D619" t="str">
        <f>"Every Eleven Seconds"</f>
        <v>Every Eleven Seconds</v>
      </c>
    </row>
    <row r="620" spans="1:4" x14ac:dyDescent="0.2">
      <c r="A620" t="str">
        <f>"619"</f>
        <v>619</v>
      </c>
      <c r="B620" t="str">
        <f>"0.28"</f>
        <v>0.28</v>
      </c>
      <c r="C620" t="str">
        <f>"38"</f>
        <v>38</v>
      </c>
      <c r="D620" t="str">
        <f>"Last Secrets"</f>
        <v>Last Secrets</v>
      </c>
    </row>
    <row r="621" spans="1:4" x14ac:dyDescent="0.2">
      <c r="A621" t="str">
        <f>"620"</f>
        <v>620</v>
      </c>
      <c r="B621" t="str">
        <f>"-0.01"</f>
        <v>-0.01</v>
      </c>
      <c r="C621" t="str">
        <f>"89"</f>
        <v>89</v>
      </c>
      <c r="D621" t="str">
        <f>"Dedication 2"</f>
        <v>Dedication 2</v>
      </c>
    </row>
    <row r="622" spans="1:4" x14ac:dyDescent="0.2">
      <c r="A622" t="str">
        <f>"621"</f>
        <v>621</v>
      </c>
      <c r="B622" t="str">
        <f>"-0.31"</f>
        <v>-0.31</v>
      </c>
      <c r="C622" t="str">
        <f>"20"</f>
        <v>20</v>
      </c>
      <c r="D622" t="str">
        <f>"Hallelujah Sirens"</f>
        <v>Hallelujah Sirens</v>
      </c>
    </row>
    <row r="623" spans="1:4" x14ac:dyDescent="0.2">
      <c r="A623" t="str">
        <f>"622"</f>
        <v>622</v>
      </c>
      <c r="B623" t="str">
        <f>"0.33"</f>
        <v>0.33</v>
      </c>
      <c r="C623" t="str">
        <f>"30"</f>
        <v>30</v>
      </c>
      <c r="D623" t="str">
        <f>"Introduction"</f>
        <v>Introduction</v>
      </c>
    </row>
    <row r="624" spans="1:4" x14ac:dyDescent="0.2">
      <c r="A624" t="str">
        <f>"623"</f>
        <v>623</v>
      </c>
      <c r="B624" t="str">
        <f>"1.01"</f>
        <v>1.01</v>
      </c>
      <c r="C624" t="str">
        <f>"23"</f>
        <v>23</v>
      </c>
      <c r="D624" t="str">
        <f>"Adventures in the Underground Journey to the Stars"</f>
        <v>Adventures in the Underground Journey to the Stars</v>
      </c>
    </row>
    <row r="625" spans="1:4" x14ac:dyDescent="0.2">
      <c r="A625" t="str">
        <f>"624"</f>
        <v>624</v>
      </c>
      <c r="B625" t="str">
        <f>"-0.16"</f>
        <v>-0.16</v>
      </c>
      <c r="C625" t="str">
        <f>"24"</f>
        <v>24</v>
      </c>
      <c r="D625" t="str">
        <f>"Everything Wants to Be Used for What It Was Made for"</f>
        <v>Everything Wants to Be Used for What It Was Made for</v>
      </c>
    </row>
    <row r="626" spans="1:4" x14ac:dyDescent="0.2">
      <c r="A626" t="str">
        <f>"625"</f>
        <v>625</v>
      </c>
      <c r="B626" t="str">
        <f>"0.56"</f>
        <v>0.56</v>
      </c>
      <c r="C626" t="str">
        <f>"41"</f>
        <v>41</v>
      </c>
      <c r="D626" t="str">
        <f>"Zero: A Martin Hannett Story 1977-1991"</f>
        <v>Zero: A Martin Hannett Story 1977-1991</v>
      </c>
    </row>
    <row r="627" spans="1:4" x14ac:dyDescent="0.2">
      <c r="A627" t="str">
        <f>"626"</f>
        <v>626</v>
      </c>
      <c r="B627" t="str">
        <f>"0.17"</f>
        <v>0.17</v>
      </c>
      <c r="C627" t="str">
        <f>"24"</f>
        <v>24</v>
      </c>
      <c r="D627" t="str">
        <f>"Burial"</f>
        <v>Burial</v>
      </c>
    </row>
    <row r="628" spans="1:4" x14ac:dyDescent="0.2">
      <c r="A628" t="str">
        <f>"627"</f>
        <v>627</v>
      </c>
      <c r="B628" t="str">
        <f>"-1.07"</f>
        <v>-1.07</v>
      </c>
      <c r="C628" t="str">
        <f>"21"</f>
        <v>21</v>
      </c>
      <c r="D628" t="str">
        <f>"Now You Are One of Us"</f>
        <v>Now You Are One of Us</v>
      </c>
    </row>
    <row r="629" spans="1:4" x14ac:dyDescent="0.2">
      <c r="A629" t="str">
        <f>"628"</f>
        <v>628</v>
      </c>
      <c r="B629" t="str">
        <f>"0.21"</f>
        <v>0.21</v>
      </c>
      <c r="C629" t="str">
        <f>"21"</f>
        <v>21</v>
      </c>
      <c r="D629" t="str">
        <f>"Free to Stay"</f>
        <v>Free to Stay</v>
      </c>
    </row>
    <row r="630" spans="1:4" x14ac:dyDescent="0.2">
      <c r="A630" t="str">
        <f>"629"</f>
        <v>629</v>
      </c>
      <c r="B630" t="str">
        <f>"-1.38"</f>
        <v>-1.38</v>
      </c>
      <c r="C630" t="str">
        <f>"24"</f>
        <v>24</v>
      </c>
      <c r="D630" t="str">
        <f>"It's Alive"</f>
        <v>It's Alive</v>
      </c>
    </row>
    <row r="631" spans="1:4" x14ac:dyDescent="0.2">
      <c r="A631" t="str">
        <f>"630"</f>
        <v>630</v>
      </c>
      <c r="B631" t="str">
        <f>"0.53"</f>
        <v>0.53</v>
      </c>
      <c r="C631" t="str">
        <f>"58"</f>
        <v>58</v>
      </c>
      <c r="D631" t="str">
        <f>"Fast Man Raider Man"</f>
        <v>Fast Man Raider Man</v>
      </c>
    </row>
    <row r="632" spans="1:4" x14ac:dyDescent="0.2">
      <c r="A632" t="str">
        <f>"631"</f>
        <v>631</v>
      </c>
      <c r="B632" t="str">
        <f>"1.19"</f>
        <v>1.19</v>
      </c>
      <c r="C632" t="str">
        <f>"59"</f>
        <v>59</v>
      </c>
      <c r="D632" t="str">
        <f>"The Grass Is Always Greener"</f>
        <v>The Grass Is Always Greener</v>
      </c>
    </row>
    <row r="633" spans="1:4" x14ac:dyDescent="0.2">
      <c r="A633" t="str">
        <f>"632"</f>
        <v>632</v>
      </c>
      <c r="B633" t="str">
        <f>"-1.13"</f>
        <v>-1.13</v>
      </c>
      <c r="C633" t="str">
        <f>"17"</f>
        <v>17</v>
      </c>
      <c r="D633" t="str">
        <f>"Leaving Songs"</f>
        <v>Leaving Songs</v>
      </c>
    </row>
    <row r="634" spans="1:4" x14ac:dyDescent="0.2">
      <c r="A634" t="str">
        <f>"633"</f>
        <v>633</v>
      </c>
      <c r="B634" t="str">
        <f>"-0.98"</f>
        <v>-0.98</v>
      </c>
      <c r="C634" t="str">
        <f>"16"</f>
        <v>16</v>
      </c>
      <c r="D634" t="str">
        <f>"In the City of Sleep"</f>
        <v>In the City of Sleep</v>
      </c>
    </row>
    <row r="635" spans="1:4" x14ac:dyDescent="0.2">
      <c r="A635" t="str">
        <f>"634"</f>
        <v>634</v>
      </c>
      <c r="B635" t="str">
        <f>"-0.25"</f>
        <v>-0.25</v>
      </c>
      <c r="C635" t="str">
        <f>"21"</f>
        <v>21</v>
      </c>
      <c r="D635" t="str">
        <f>"Beams"</f>
        <v>Beams</v>
      </c>
    </row>
    <row r="636" spans="1:4" x14ac:dyDescent="0.2">
      <c r="A636" t="str">
        <f>"635"</f>
        <v>635</v>
      </c>
      <c r="B636" t="str">
        <f>"-0.5"</f>
        <v>-0.5</v>
      </c>
      <c r="C636" t="str">
        <f>"23"</f>
        <v>23</v>
      </c>
      <c r="D636" t="str">
        <f>"Under the Iron Sea"</f>
        <v>Under the Iron Sea</v>
      </c>
    </row>
    <row r="637" spans="1:4" x14ac:dyDescent="0.2">
      <c r="A637" t="str">
        <f>"636"</f>
        <v>636</v>
      </c>
      <c r="B637" t="str">
        <f>"2.08"</f>
        <v>2.08</v>
      </c>
      <c r="C637" t="str">
        <f>"22"</f>
        <v>22</v>
      </c>
      <c r="D637" t="str">
        <f>"Best of Luna"</f>
        <v>Best of Luna</v>
      </c>
    </row>
    <row r="638" spans="1:4" x14ac:dyDescent="0.2">
      <c r="A638" t="str">
        <f>"637"</f>
        <v>637</v>
      </c>
      <c r="B638" t="str">
        <f>"0.15"</f>
        <v>0.15</v>
      </c>
      <c r="C638" t="str">
        <f>"18"</f>
        <v>18</v>
      </c>
      <c r="D638" t="str">
        <f>"Chulahoma: The Songs of Junior Kimbrough EP"</f>
        <v>Chulahoma: The Songs of Junior Kimbrough EP</v>
      </c>
    </row>
    <row r="639" spans="1:4" x14ac:dyDescent="0.2">
      <c r="A639" t="str">
        <f>"638"</f>
        <v>638</v>
      </c>
      <c r="B639" t="str">
        <f>"-0.73"</f>
        <v>-0.73</v>
      </c>
      <c r="C639" t="str">
        <f>"17"</f>
        <v>17</v>
      </c>
      <c r="D639" t="str">
        <f>"Double Death"</f>
        <v>Double Death</v>
      </c>
    </row>
    <row r="640" spans="1:4" x14ac:dyDescent="0.2">
      <c r="A640" t="str">
        <f>"639"</f>
        <v>639</v>
      </c>
      <c r="B640" t="str">
        <f>"1.06"</f>
        <v>1.06</v>
      </c>
      <c r="C640" t="str">
        <f>"24"</f>
        <v>24</v>
      </c>
      <c r="D640" t="str">
        <f>"The Line of Nine"</f>
        <v>The Line of Nine</v>
      </c>
    </row>
    <row r="641" spans="1:4" x14ac:dyDescent="0.2">
      <c r="A641" t="str">
        <f>"640"</f>
        <v>640</v>
      </c>
      <c r="B641" t="str">
        <f>"0"</f>
        <v>0</v>
      </c>
      <c r="C641" t="str">
        <f>"26"</f>
        <v>26</v>
      </c>
      <c r="D641" t="str">
        <f>"Yeti #3"</f>
        <v>Yeti #3</v>
      </c>
    </row>
    <row r="642" spans="1:4" x14ac:dyDescent="0.2">
      <c r="A642" t="str">
        <f>"641"</f>
        <v>641</v>
      </c>
      <c r="B642" t="str">
        <f>"-0.54"</f>
        <v>-0.54</v>
      </c>
      <c r="C642" t="str">
        <f>"25"</f>
        <v>25</v>
      </c>
      <c r="D642" t="str">
        <f>"The Garden"</f>
        <v>The Garden</v>
      </c>
    </row>
    <row r="643" spans="1:4" x14ac:dyDescent="0.2">
      <c r="A643" t="str">
        <f>"642"</f>
        <v>642</v>
      </c>
      <c r="B643" t="str">
        <f>"0.48"</f>
        <v>0.48</v>
      </c>
      <c r="C643" t="str">
        <f>"25"</f>
        <v>25</v>
      </c>
      <c r="D643" t="str">
        <f>"Mother of Thousands"</f>
        <v>Mother of Thousands</v>
      </c>
    </row>
    <row r="644" spans="1:4" x14ac:dyDescent="0.2">
      <c r="A644" t="str">
        <f>"643"</f>
        <v>643</v>
      </c>
      <c r="B644" t="str">
        <f>"0.05"</f>
        <v>0.05</v>
      </c>
      <c r="C644" t="str">
        <f>"22"</f>
        <v>22</v>
      </c>
      <c r="D644" t="str">
        <f>"Pet Grief"</f>
        <v>Pet Grief</v>
      </c>
    </row>
    <row r="645" spans="1:4" x14ac:dyDescent="0.2">
      <c r="A645" t="str">
        <f>"644"</f>
        <v>644</v>
      </c>
      <c r="B645" t="str">
        <f>"0.23"</f>
        <v>0.23</v>
      </c>
      <c r="C645" t="str">
        <f>"14"</f>
        <v>14</v>
      </c>
      <c r="D645" t="str">
        <f>"Ticket Crystals"</f>
        <v>Ticket Crystals</v>
      </c>
    </row>
    <row r="646" spans="1:4" x14ac:dyDescent="0.2">
      <c r="A646" t="str">
        <f>"645"</f>
        <v>645</v>
      </c>
      <c r="B646" t="str">
        <f>"-0.65"</f>
        <v>-0.65</v>
      </c>
      <c r="C646" t="str">
        <f>"37"</f>
        <v>37</v>
      </c>
      <c r="D646" t="str">
        <f>"Mo' Mega"</f>
        <v>Mo' Mega</v>
      </c>
    </row>
    <row r="647" spans="1:4" x14ac:dyDescent="0.2">
      <c r="A647" t="str">
        <f>"646"</f>
        <v>646</v>
      </c>
      <c r="B647" t="str">
        <f>"-0.25"</f>
        <v>-0.25</v>
      </c>
      <c r="C647" t="str">
        <f>"46"</f>
        <v>46</v>
      </c>
      <c r="D647" t="str">
        <f>"Salvador"</f>
        <v>Salvador</v>
      </c>
    </row>
    <row r="648" spans="1:4" x14ac:dyDescent="0.2">
      <c r="A648" t="str">
        <f>"647"</f>
        <v>647</v>
      </c>
      <c r="B648" t="str">
        <f>"0.74"</f>
        <v>0.74</v>
      </c>
      <c r="C648" t="str">
        <f>"38"</f>
        <v>38</v>
      </c>
      <c r="D648" t="str">
        <f>"Eccentric Soul: The Big Mack Label"</f>
        <v>Eccentric Soul: The Big Mack Label</v>
      </c>
    </row>
    <row r="649" spans="1:4" x14ac:dyDescent="0.2">
      <c r="A649" t="str">
        <f>"648"</f>
        <v>648</v>
      </c>
      <c r="B649" t="str">
        <f>"-0.3"</f>
        <v>-0.3</v>
      </c>
      <c r="C649" t="str">
        <f>"17"</f>
        <v>17</v>
      </c>
      <c r="D649" t="str">
        <f>"Comments of the Inner Chorus"</f>
        <v>Comments of the Inner Chorus</v>
      </c>
    </row>
    <row r="650" spans="1:4" x14ac:dyDescent="0.2">
      <c r="A650" t="str">
        <f>"649"</f>
        <v>649</v>
      </c>
      <c r="B650" t="str">
        <f>"0.27"</f>
        <v>0.27</v>
      </c>
      <c r="C650" t="str">
        <f>"18"</f>
        <v>18</v>
      </c>
      <c r="D650" t="str">
        <f>"Springtime Can Kill You"</f>
        <v>Springtime Can Kill You</v>
      </c>
    </row>
    <row r="651" spans="1:4" x14ac:dyDescent="0.2">
      <c r="A651" t="str">
        <f>"650"</f>
        <v>650</v>
      </c>
      <c r="B651" t="str">
        <f>"0.34"</f>
        <v>0.34</v>
      </c>
      <c r="C651" t="str">
        <f>"79"</f>
        <v>79</v>
      </c>
      <c r="D651" t="str">
        <f>"Rock Bottom Riser EP"</f>
        <v>Rock Bottom Riser EP</v>
      </c>
    </row>
    <row r="652" spans="1:4" x14ac:dyDescent="0.2">
      <c r="A652" t="str">
        <f>"651"</f>
        <v>651</v>
      </c>
      <c r="B652" t="str">
        <f>"0.73"</f>
        <v>0.73</v>
      </c>
      <c r="C652" t="str">
        <f>"18"</f>
        <v>18</v>
      </c>
      <c r="D652" t="str">
        <f>"Desert Doughnuts"</f>
        <v>Desert Doughnuts</v>
      </c>
    </row>
    <row r="653" spans="1:4" x14ac:dyDescent="0.2">
      <c r="A653" t="str">
        <f>"652"</f>
        <v>652</v>
      </c>
      <c r="B653" t="str">
        <f>"1.08"</f>
        <v>1.08</v>
      </c>
      <c r="C653" t="str">
        <f>"27"</f>
        <v>27</v>
      </c>
      <c r="D653" t="str">
        <f>"Fisherman Style"</f>
        <v>Fisherman Style</v>
      </c>
    </row>
    <row r="654" spans="1:4" x14ac:dyDescent="0.2">
      <c r="A654" t="str">
        <f>"653"</f>
        <v>653</v>
      </c>
      <c r="B654" t="str">
        <f>"-0.05"</f>
        <v>-0.05</v>
      </c>
      <c r="C654" t="str">
        <f>"26"</f>
        <v>26</v>
      </c>
      <c r="D654" t="s">
        <v>20</v>
      </c>
    </row>
    <row r="655" spans="1:4" x14ac:dyDescent="0.2">
      <c r="A655" t="str">
        <f>"654"</f>
        <v>654</v>
      </c>
      <c r="B655" t="str">
        <f>"-0.27"</f>
        <v>-0.27</v>
      </c>
      <c r="C655" t="str">
        <f>"23"</f>
        <v>23</v>
      </c>
      <c r="D655" t="str">
        <f>"All at Once"</f>
        <v>All at Once</v>
      </c>
    </row>
    <row r="656" spans="1:4" x14ac:dyDescent="0.2">
      <c r="A656" t="str">
        <f>"655"</f>
        <v>655</v>
      </c>
      <c r="B656" t="str">
        <f>"-0.44"</f>
        <v>-0.44</v>
      </c>
      <c r="C656" t="str">
        <f>"52"</f>
        <v>52</v>
      </c>
      <c r="D656" t="str">
        <f>"Don't You Know Who I Think I Was?: The Best of The Replacements"</f>
        <v>Don't You Know Who I Think I Was?: The Best of The Replacements</v>
      </c>
    </row>
    <row r="657" spans="1:4" x14ac:dyDescent="0.2">
      <c r="A657" t="str">
        <f>"656"</f>
        <v>656</v>
      </c>
      <c r="B657" t="str">
        <f>"-0.5"</f>
        <v>-0.5</v>
      </c>
      <c r="C657" t="str">
        <f>"17"</f>
        <v>17</v>
      </c>
      <c r="D657" t="str">
        <f>"So Gone"</f>
        <v>So Gone</v>
      </c>
    </row>
    <row r="658" spans="1:4" x14ac:dyDescent="0.2">
      <c r="A658" t="str">
        <f>"657"</f>
        <v>657</v>
      </c>
      <c r="B658" t="str">
        <f>"-1.33"</f>
        <v>-1.33</v>
      </c>
      <c r="C658" t="str">
        <f>"22"</f>
        <v>22</v>
      </c>
      <c r="D658" t="str">
        <f>"Fuel on Fire"</f>
        <v>Fuel on Fire</v>
      </c>
    </row>
    <row r="659" spans="1:4" x14ac:dyDescent="0.2">
      <c r="A659" t="str">
        <f>"658"</f>
        <v>658</v>
      </c>
      <c r="B659" t="str">
        <f>"-0.58"</f>
        <v>-0.58</v>
      </c>
      <c r="C659" t="str">
        <f>"38"</f>
        <v>38</v>
      </c>
      <c r="D659" t="str">
        <f>"Hidden City of Taurmond"</f>
        <v>Hidden City of Taurmond</v>
      </c>
    </row>
    <row r="660" spans="1:4" x14ac:dyDescent="0.2">
      <c r="A660" t="str">
        <f>"659"</f>
        <v>659</v>
      </c>
      <c r="B660" t="str">
        <f>"-0.05"</f>
        <v>-0.05</v>
      </c>
      <c r="C660" t="str">
        <f>"25"</f>
        <v>25</v>
      </c>
      <c r="D660" t="str">
        <f>"Houdini Live 2005: A Live History of Gluttony and Lust"</f>
        <v>Houdini Live 2005: A Live History of Gluttony and Lust</v>
      </c>
    </row>
    <row r="661" spans="1:4" x14ac:dyDescent="0.2">
      <c r="A661" t="str">
        <f>"660"</f>
        <v>660</v>
      </c>
      <c r="B661" t="str">
        <f>"0.28"</f>
        <v>0.28</v>
      </c>
      <c r="C661" t="str">
        <f>"36"</f>
        <v>36</v>
      </c>
      <c r="D661" t="str">
        <f>"Rather Ripped"</f>
        <v>Rather Ripped</v>
      </c>
    </row>
    <row r="662" spans="1:4" x14ac:dyDescent="0.2">
      <c r="A662" t="str">
        <f>"661"</f>
        <v>661</v>
      </c>
      <c r="B662" t="str">
        <f>"0.09"</f>
        <v>0.09</v>
      </c>
      <c r="C662" t="str">
        <f>"32"</f>
        <v>32</v>
      </c>
      <c r="D662" t="str">
        <f>"Begin to Hope"</f>
        <v>Begin to Hope</v>
      </c>
    </row>
    <row r="663" spans="1:4" x14ac:dyDescent="0.2">
      <c r="A663" t="str">
        <f>"662"</f>
        <v>662</v>
      </c>
      <c r="B663" t="str">
        <f>"0.49"</f>
        <v>0.49</v>
      </c>
      <c r="C663" t="str">
        <f>"39"</f>
        <v>39</v>
      </c>
      <c r="D663" t="str">
        <f>"Bottoms of Barrels"</f>
        <v>Bottoms of Barrels</v>
      </c>
    </row>
    <row r="664" spans="1:4" x14ac:dyDescent="0.2">
      <c r="A664" t="str">
        <f>"663"</f>
        <v>663</v>
      </c>
      <c r="B664" t="str">
        <f>"-0.33"</f>
        <v>-0.33</v>
      </c>
      <c r="C664" t="str">
        <f>"26"</f>
        <v>26</v>
      </c>
      <c r="D664" t="str">
        <f>"Color Wheel"</f>
        <v>Color Wheel</v>
      </c>
    </row>
    <row r="665" spans="1:4" x14ac:dyDescent="0.2">
      <c r="A665" t="str">
        <f>"664"</f>
        <v>664</v>
      </c>
      <c r="B665" t="str">
        <f>"-1.06"</f>
        <v>-1.06</v>
      </c>
      <c r="C665" t="str">
        <f>"28"</f>
        <v>28</v>
      </c>
      <c r="D665" t="str">
        <f>"Blood Money"</f>
        <v>Blood Money</v>
      </c>
    </row>
    <row r="666" spans="1:4" x14ac:dyDescent="0.2">
      <c r="A666" t="str">
        <f>"665"</f>
        <v>665</v>
      </c>
      <c r="B666" t="str">
        <f>"-0.19"</f>
        <v>-0.19</v>
      </c>
      <c r="C666" t="str">
        <f>"24"</f>
        <v>24</v>
      </c>
      <c r="D666" t="str">
        <f>"The Occult Hymn EP"</f>
        <v>The Occult Hymn EP</v>
      </c>
    </row>
    <row r="667" spans="1:4" x14ac:dyDescent="0.2">
      <c r="A667" t="str">
        <f>"666"</f>
        <v>666</v>
      </c>
      <c r="B667" t="str">
        <f>"0.13"</f>
        <v>0.13</v>
      </c>
      <c r="C667" t="str">
        <f>"44"</f>
        <v>44</v>
      </c>
      <c r="D667" t="str">
        <f>"Son of Schmilsson"</f>
        <v>Son of Schmilsson</v>
      </c>
    </row>
    <row r="668" spans="1:4" x14ac:dyDescent="0.2">
      <c r="A668" t="str">
        <f>"667"</f>
        <v>667</v>
      </c>
      <c r="B668" t="str">
        <f>"-0.32"</f>
        <v>-0.32</v>
      </c>
      <c r="C668" t="str">
        <f>"22"</f>
        <v>22</v>
      </c>
      <c r="D668" t="str">
        <f>"Ok-Oyot System"</f>
        <v>Ok-Oyot System</v>
      </c>
    </row>
    <row r="669" spans="1:4" x14ac:dyDescent="0.2">
      <c r="A669" t="str">
        <f>"668"</f>
        <v>668</v>
      </c>
      <c r="B669" t="str">
        <f>"0.17"</f>
        <v>0.17</v>
      </c>
      <c r="C669" t="str">
        <f>"15"</f>
        <v>15</v>
      </c>
      <c r="D669" t="str">
        <f>"Ache Hornes"</f>
        <v>Ache Hornes</v>
      </c>
    </row>
    <row r="670" spans="1:4" x14ac:dyDescent="0.2">
      <c r="A670" t="str">
        <f>"669"</f>
        <v>669</v>
      </c>
      <c r="B670" t="str">
        <f>"-0.39"</f>
        <v>-0.39</v>
      </c>
      <c r="C670" t="str">
        <f>"25"</f>
        <v>25</v>
      </c>
      <c r="D670" t="str">
        <f>"Cast Away the Clouds"</f>
        <v>Cast Away the Clouds</v>
      </c>
    </row>
    <row r="671" spans="1:4" x14ac:dyDescent="0.2">
      <c r="A671" t="str">
        <f>"670"</f>
        <v>670</v>
      </c>
      <c r="B671" t="str">
        <f>"-1.06"</f>
        <v>-1.06</v>
      </c>
      <c r="C671" t="str">
        <f>"43"</f>
        <v>43</v>
      </c>
      <c r="D671" t="str">
        <f>"The Sun Awakens"</f>
        <v>The Sun Awakens</v>
      </c>
    </row>
    <row r="672" spans="1:4" x14ac:dyDescent="0.2">
      <c r="A672" t="str">
        <f>"671"</f>
        <v>671</v>
      </c>
      <c r="B672" t="str">
        <f>"1.44"</f>
        <v>1.44</v>
      </c>
      <c r="C672" t="str">
        <f>"21"</f>
        <v>21</v>
      </c>
      <c r="D672" t="str">
        <f>"Who Loves the Sun OST"</f>
        <v>Who Loves the Sun OST</v>
      </c>
    </row>
    <row r="673" spans="1:4" x14ac:dyDescent="0.2">
      <c r="A673" t="str">
        <f>"672"</f>
        <v>672</v>
      </c>
      <c r="B673" t="str">
        <f>"1.83"</f>
        <v>1.83</v>
      </c>
      <c r="C673" t="str">
        <f>"16"</f>
        <v>16</v>
      </c>
      <c r="D673" t="str">
        <f>"Conference of the Birds"</f>
        <v>Conference of the Birds</v>
      </c>
    </row>
    <row r="674" spans="1:4" x14ac:dyDescent="0.2">
      <c r="A674" t="str">
        <f>"673"</f>
        <v>673</v>
      </c>
      <c r="B674" t="str">
        <f>"0.4"</f>
        <v>0.4</v>
      </c>
      <c r="C674" t="str">
        <f>"32"</f>
        <v>32</v>
      </c>
      <c r="D674" t="str">
        <f>"The Only Thing I Ever Wanted"</f>
        <v>The Only Thing I Ever Wanted</v>
      </c>
    </row>
    <row r="675" spans="1:4" x14ac:dyDescent="0.2">
      <c r="A675" t="str">
        <f>"674"</f>
        <v>674</v>
      </c>
      <c r="B675" t="str">
        <f>"0.21"</f>
        <v>0.21</v>
      </c>
      <c r="C675" t="str">
        <f>"18"</f>
        <v>18</v>
      </c>
      <c r="D675" t="str">
        <f>"The Ultimate Destroyer"</f>
        <v>The Ultimate Destroyer</v>
      </c>
    </row>
    <row r="676" spans="1:4" x14ac:dyDescent="0.2">
      <c r="A676" t="str">
        <f>"675"</f>
        <v>675</v>
      </c>
      <c r="B676" t="str">
        <f>"-1.23"</f>
        <v>-1.23</v>
      </c>
      <c r="C676" t="str">
        <f>"26"</f>
        <v>26</v>
      </c>
      <c r="D676" t="str">
        <f>"A Punch Up the Bracket"</f>
        <v>A Punch Up the Bracket</v>
      </c>
    </row>
    <row r="677" spans="1:4" x14ac:dyDescent="0.2">
      <c r="A677" t="str">
        <f>"676"</f>
        <v>676</v>
      </c>
      <c r="B677" t="str">
        <f>"-0.36"</f>
        <v>-0.36</v>
      </c>
      <c r="C677" t="str">
        <f>"32"</f>
        <v>32</v>
      </c>
      <c r="D677" t="str">
        <f>"El Perro del Mar"</f>
        <v>El Perro del Mar</v>
      </c>
    </row>
    <row r="678" spans="1:4" x14ac:dyDescent="0.2">
      <c r="A678" t="str">
        <f>"677"</f>
        <v>677</v>
      </c>
      <c r="B678" t="str">
        <f>"-0.35"</f>
        <v>-0.35</v>
      </c>
      <c r="C678" t="str">
        <f>"32"</f>
        <v>32</v>
      </c>
      <c r="D678" t="s">
        <v>21</v>
      </c>
    </row>
    <row r="679" spans="1:4" x14ac:dyDescent="0.2">
      <c r="A679" t="str">
        <f>"678"</f>
        <v>678</v>
      </c>
      <c r="B679" t="str">
        <f>"-0.23"</f>
        <v>-0.23</v>
      </c>
      <c r="C679" t="str">
        <f>"24"</f>
        <v>24</v>
      </c>
      <c r="D679" t="str">
        <f>"Derdang Derdang"</f>
        <v>Derdang Derdang</v>
      </c>
    </row>
    <row r="680" spans="1:4" x14ac:dyDescent="0.2">
      <c r="A680" t="str">
        <f>"679"</f>
        <v>679</v>
      </c>
      <c r="B680" t="str">
        <f>"0.35"</f>
        <v>0.35</v>
      </c>
      <c r="C680" t="str">
        <f>"32"</f>
        <v>32</v>
      </c>
      <c r="D680" t="str">
        <f>"Plume"</f>
        <v>Plume</v>
      </c>
    </row>
    <row r="681" spans="1:4" x14ac:dyDescent="0.2">
      <c r="A681" t="str">
        <f>"680"</f>
        <v>680</v>
      </c>
      <c r="B681" t="str">
        <f>"-0.85"</f>
        <v>-0.85</v>
      </c>
      <c r="C681" t="str">
        <f>"22"</f>
        <v>22</v>
      </c>
      <c r="D681" t="str">
        <f>"Riot City Blues"</f>
        <v>Riot City Blues</v>
      </c>
    </row>
    <row r="682" spans="1:4" x14ac:dyDescent="0.2">
      <c r="A682" t="str">
        <f>"681"</f>
        <v>681</v>
      </c>
      <c r="B682" t="str">
        <f>"-0.58"</f>
        <v>-0.58</v>
      </c>
      <c r="C682" t="str">
        <f>"24"</f>
        <v>24</v>
      </c>
      <c r="D682" t="str">
        <f>"Be Your Own Pet"</f>
        <v>Be Your Own Pet</v>
      </c>
    </row>
    <row r="683" spans="1:4" x14ac:dyDescent="0.2">
      <c r="A683" t="str">
        <f>"682"</f>
        <v>682</v>
      </c>
      <c r="B683" t="str">
        <f>"1.34"</f>
        <v>1.34</v>
      </c>
      <c r="C683" t="str">
        <f>"20"</f>
        <v>20</v>
      </c>
      <c r="D683" t="str">
        <f>"Me Myself and Rye"</f>
        <v>Me Myself and Rye</v>
      </c>
    </row>
    <row r="684" spans="1:4" x14ac:dyDescent="0.2">
      <c r="A684" t="str">
        <f>"683"</f>
        <v>683</v>
      </c>
      <c r="B684" t="str">
        <f>"0.94"</f>
        <v>0.94</v>
      </c>
      <c r="C684" t="str">
        <f>"17"</f>
        <v>17</v>
      </c>
      <c r="D684" t="str">
        <f>"Gypsum Strings"</f>
        <v>Gypsum Strings</v>
      </c>
    </row>
    <row r="685" spans="1:4" x14ac:dyDescent="0.2">
      <c r="A685" t="str">
        <f>"684"</f>
        <v>684</v>
      </c>
      <c r="B685" t="str">
        <f>"0"</f>
        <v>0</v>
      </c>
      <c r="C685" t="str">
        <f>"18"</f>
        <v>18</v>
      </c>
      <c r="D685" t="str">
        <f>"The Last of the Rock Stars"</f>
        <v>The Last of the Rock Stars</v>
      </c>
    </row>
    <row r="686" spans="1:4" x14ac:dyDescent="0.2">
      <c r="A686" t="str">
        <f>"685"</f>
        <v>685</v>
      </c>
      <c r="B686" t="str">
        <f>"0.76"</f>
        <v>0.76</v>
      </c>
      <c r="C686" t="str">
        <f>"35"</f>
        <v>35</v>
      </c>
      <c r="D686" t="str">
        <f>"Let's Get Out of This Country"</f>
        <v>Let's Get Out of This Country</v>
      </c>
    </row>
    <row r="687" spans="1:4" x14ac:dyDescent="0.2">
      <c r="A687" t="str">
        <f>"686"</f>
        <v>686</v>
      </c>
      <c r="B687" t="str">
        <f>"1.1"</f>
        <v>1.1</v>
      </c>
      <c r="C687" t="str">
        <f>"25"</f>
        <v>25</v>
      </c>
      <c r="D687" t="s">
        <v>22</v>
      </c>
    </row>
    <row r="688" spans="1:4" x14ac:dyDescent="0.2">
      <c r="A688" t="str">
        <f>"687"</f>
        <v>687</v>
      </c>
      <c r="B688" t="str">
        <f>"0.71"</f>
        <v>0.71</v>
      </c>
      <c r="C688" t="str">
        <f>"16"</f>
        <v>16</v>
      </c>
      <c r="D688" t="s">
        <v>23</v>
      </c>
    </row>
    <row r="689" spans="1:4" x14ac:dyDescent="0.2">
      <c r="A689" t="str">
        <f>"688"</f>
        <v>688</v>
      </c>
      <c r="B689" t="str">
        <f>"0.53"</f>
        <v>0.53</v>
      </c>
      <c r="C689" t="str">
        <f>"22"</f>
        <v>22</v>
      </c>
      <c r="D689" t="str">
        <f>"The Purple Album"</f>
        <v>The Purple Album</v>
      </c>
    </row>
    <row r="690" spans="1:4" x14ac:dyDescent="0.2">
      <c r="A690" t="str">
        <f>"689"</f>
        <v>689</v>
      </c>
      <c r="B690" t="str">
        <f>"-0.49"</f>
        <v>-0.49</v>
      </c>
      <c r="C690" t="str">
        <f>"27"</f>
        <v>27</v>
      </c>
      <c r="D690" t="str">
        <f>"Enemies Like This"</f>
        <v>Enemies Like This</v>
      </c>
    </row>
    <row r="691" spans="1:4" x14ac:dyDescent="0.2">
      <c r="A691" t="str">
        <f>"690"</f>
        <v>690</v>
      </c>
      <c r="B691" t="str">
        <f>"1"</f>
        <v>1</v>
      </c>
      <c r="C691" t="str">
        <f>"52"</f>
        <v>52</v>
      </c>
      <c r="D691" t="str">
        <f>"Scale"</f>
        <v>Scale</v>
      </c>
    </row>
    <row r="692" spans="1:4" x14ac:dyDescent="0.2">
      <c r="A692" t="str">
        <f>"691"</f>
        <v>691</v>
      </c>
      <c r="B692" t="str">
        <f>"0.54"</f>
        <v>0.54</v>
      </c>
      <c r="C692" t="str">
        <f>"25"</f>
        <v>25</v>
      </c>
      <c r="D692" t="s">
        <v>24</v>
      </c>
    </row>
    <row r="693" spans="1:4" x14ac:dyDescent="0.2">
      <c r="A693" t="str">
        <f>"692"</f>
        <v>692</v>
      </c>
      <c r="B693" t="str">
        <f>"-0.1"</f>
        <v>-0.1</v>
      </c>
      <c r="C693" t="str">
        <f>"25"</f>
        <v>25</v>
      </c>
      <c r="D693" t="str">
        <f>"Diadem of 12 Stars"</f>
        <v>Diadem of 12 Stars</v>
      </c>
    </row>
    <row r="694" spans="1:4" x14ac:dyDescent="0.2">
      <c r="A694" t="str">
        <f>"693"</f>
        <v>693</v>
      </c>
      <c r="B694" t="str">
        <f>"0.38"</f>
        <v>0.38</v>
      </c>
      <c r="C694" t="str">
        <f>"18"</f>
        <v>18</v>
      </c>
      <c r="D694" t="str">
        <f>"Tulenkantaja"</f>
        <v>Tulenkantaja</v>
      </c>
    </row>
    <row r="695" spans="1:4" x14ac:dyDescent="0.2">
      <c r="A695" t="str">
        <f>"694"</f>
        <v>694</v>
      </c>
      <c r="B695" t="str">
        <f>"0.91"</f>
        <v>0.91</v>
      </c>
      <c r="C695" t="str">
        <f>"20"</f>
        <v>20</v>
      </c>
      <c r="D695" t="str">
        <f>"Enter"</f>
        <v>Enter</v>
      </c>
    </row>
    <row r="696" spans="1:4" x14ac:dyDescent="0.2">
      <c r="A696" t="str">
        <f>"695"</f>
        <v>695</v>
      </c>
      <c r="B696" t="str">
        <f>"-0.27"</f>
        <v>-0.27</v>
      </c>
      <c r="C696" t="str">
        <f>"36"</f>
        <v>36</v>
      </c>
      <c r="D696" t="str">
        <f>"Son"</f>
        <v>Son</v>
      </c>
    </row>
    <row r="697" spans="1:4" x14ac:dyDescent="0.2">
      <c r="A697" t="str">
        <f>"696"</f>
        <v>696</v>
      </c>
      <c r="B697" t="str">
        <f>"0.26"</f>
        <v>0.26</v>
      </c>
      <c r="C697" t="str">
        <f>"20"</f>
        <v>20</v>
      </c>
      <c r="D697" t="str">
        <f>"Multiply Additions"</f>
        <v>Multiply Additions</v>
      </c>
    </row>
    <row r="698" spans="1:4" x14ac:dyDescent="0.2">
      <c r="A698" t="str">
        <f>"697"</f>
        <v>697</v>
      </c>
      <c r="B698" t="str">
        <f>"1.56"</f>
        <v>1.56</v>
      </c>
      <c r="C698" t="str">
        <f>"21"</f>
        <v>21</v>
      </c>
      <c r="D698" t="str">
        <f>"A Vintage Burden"</f>
        <v>A Vintage Burden</v>
      </c>
    </row>
    <row r="699" spans="1:4" x14ac:dyDescent="0.2">
      <c r="A699" t="str">
        <f>"698"</f>
        <v>698</v>
      </c>
      <c r="B699" t="str">
        <f>"1.04"</f>
        <v>1.04</v>
      </c>
      <c r="C699" t="str">
        <f>"24"</f>
        <v>24</v>
      </c>
      <c r="D699" t="str">
        <f>"Oh No! Oh My!"</f>
        <v>Oh No! Oh My!</v>
      </c>
    </row>
    <row r="700" spans="1:4" x14ac:dyDescent="0.2">
      <c r="A700" t="str">
        <f>"699"</f>
        <v>699</v>
      </c>
      <c r="B700" t="str">
        <f>"-0.04"</f>
        <v>-0.04</v>
      </c>
      <c r="C700" t="str">
        <f>"33"</f>
        <v>33</v>
      </c>
      <c r="D700" t="str">
        <f>"Hundred Million Light Years"</f>
        <v>Hundred Million Light Years</v>
      </c>
    </row>
    <row r="701" spans="1:4" x14ac:dyDescent="0.2">
      <c r="A701" t="str">
        <f>"700"</f>
        <v>700</v>
      </c>
      <c r="B701" t="str">
        <f>"0.98"</f>
        <v>0.98</v>
      </c>
      <c r="C701" t="str">
        <f>"24"</f>
        <v>24</v>
      </c>
      <c r="D701" t="str">
        <f>"Honey From the Tombs"</f>
        <v>Honey From the Tombs</v>
      </c>
    </row>
    <row r="702" spans="1:4" x14ac:dyDescent="0.2">
      <c r="A702" t="str">
        <f>"701"</f>
        <v>701</v>
      </c>
      <c r="B702" t="str">
        <f>"0.84"</f>
        <v>0.84</v>
      </c>
      <c r="C702" t="str">
        <f>"41"</f>
        <v>41</v>
      </c>
      <c r="D702" t="s">
        <v>25</v>
      </c>
    </row>
    <row r="703" spans="1:4" x14ac:dyDescent="0.2">
      <c r="A703" t="str">
        <f>"702"</f>
        <v>702</v>
      </c>
      <c r="B703" t="str">
        <f>"0.72"</f>
        <v>0.72</v>
      </c>
      <c r="C703" t="str">
        <f>"21"</f>
        <v>21</v>
      </c>
      <c r="D703" t="str">
        <f>"New Tones"</f>
        <v>New Tones</v>
      </c>
    </row>
    <row r="704" spans="1:4" x14ac:dyDescent="0.2">
      <c r="A704" t="str">
        <f>"703"</f>
        <v>703</v>
      </c>
      <c r="B704" t="str">
        <f>"-0.04"</f>
        <v>-0.04</v>
      </c>
      <c r="C704" t="str">
        <f>"20"</f>
        <v>20</v>
      </c>
      <c r="D704" t="str">
        <f>"Beneath Confederate Lake"</f>
        <v>Beneath Confederate Lake</v>
      </c>
    </row>
    <row r="705" spans="1:4" x14ac:dyDescent="0.2">
      <c r="A705" t="str">
        <f>"704"</f>
        <v>704</v>
      </c>
      <c r="B705" t="str">
        <f>"0.25"</f>
        <v>0.25</v>
      </c>
      <c r="C705" t="str">
        <f>"25"</f>
        <v>25</v>
      </c>
      <c r="D705" t="str">
        <f>"Feu Thérèse"</f>
        <v>Feu Thérèse</v>
      </c>
    </row>
    <row r="706" spans="1:4" x14ac:dyDescent="0.2">
      <c r="A706" t="str">
        <f>"705"</f>
        <v>705</v>
      </c>
      <c r="B706" t="str">
        <f>"-0.32"</f>
        <v>-0.32</v>
      </c>
      <c r="C706" t="str">
        <f>"24"</f>
        <v>24</v>
      </c>
      <c r="D706" t="str">
        <f>"Untitled EP"</f>
        <v>Untitled EP</v>
      </c>
    </row>
    <row r="707" spans="1:4" x14ac:dyDescent="0.2">
      <c r="A707" t="str">
        <f>"706"</f>
        <v>706</v>
      </c>
      <c r="B707" t="str">
        <f>"0.6"</f>
        <v>0.6</v>
      </c>
      <c r="C707" t="str">
        <f>"36"</f>
        <v>36</v>
      </c>
      <c r="D707" t="str">
        <f>"Fundamental"</f>
        <v>Fundamental</v>
      </c>
    </row>
    <row r="708" spans="1:4" x14ac:dyDescent="0.2">
      <c r="A708" t="str">
        <f>"707"</f>
        <v>707</v>
      </c>
      <c r="B708" t="str">
        <f>"-0.56"</f>
        <v>-0.56</v>
      </c>
      <c r="C708" t="str">
        <f>"19"</f>
        <v>19</v>
      </c>
      <c r="D708" t="str">
        <f>"Mobile"</f>
        <v>Mobile</v>
      </c>
    </row>
    <row r="709" spans="1:4" x14ac:dyDescent="0.2">
      <c r="A709" t="str">
        <f>"708"</f>
        <v>708</v>
      </c>
      <c r="B709" t="str">
        <f>"1.88"</f>
        <v>1.88</v>
      </c>
      <c r="C709" t="str">
        <f>"27"</f>
        <v>27</v>
      </c>
      <c r="D709" t="s">
        <v>26</v>
      </c>
    </row>
    <row r="710" spans="1:4" x14ac:dyDescent="0.2">
      <c r="A710" t="str">
        <f>"709"</f>
        <v>709</v>
      </c>
      <c r="B710" t="str">
        <f>"-0.75"</f>
        <v>-0.75</v>
      </c>
      <c r="C710" t="str">
        <f>"38"</f>
        <v>38</v>
      </c>
      <c r="D710" t="str">
        <f>"Detail From the Mountain Side EP"</f>
        <v>Detail From the Mountain Side EP</v>
      </c>
    </row>
    <row r="711" spans="1:4" x14ac:dyDescent="0.2">
      <c r="A711" t="str">
        <f>"710"</f>
        <v>710</v>
      </c>
      <c r="B711" t="str">
        <f>"1.79"</f>
        <v>1.79</v>
      </c>
      <c r="C711" t="str">
        <f>"16"</f>
        <v>16</v>
      </c>
      <c r="D711" t="str">
        <f>"Trans Canada Highway EP"</f>
        <v>Trans Canada Highway EP</v>
      </c>
    </row>
    <row r="712" spans="1:4" x14ac:dyDescent="0.2">
      <c r="A712" t="str">
        <f>"711"</f>
        <v>711</v>
      </c>
      <c r="B712" t="str">
        <f>"0.68"</f>
        <v>0.68</v>
      </c>
      <c r="C712" t="str">
        <f>"38"</f>
        <v>38</v>
      </c>
      <c r="D712" t="str">
        <f>"Personal File"</f>
        <v>Personal File</v>
      </c>
    </row>
    <row r="713" spans="1:4" x14ac:dyDescent="0.2">
      <c r="A713" t="str">
        <f>"712"</f>
        <v>712</v>
      </c>
      <c r="B713" t="str">
        <f>"0.54"</f>
        <v>0.54</v>
      </c>
      <c r="C713" t="str">
        <f>"22"</f>
        <v>22</v>
      </c>
      <c r="D713" t="str">
        <f>"To Find Me Gone"</f>
        <v>To Find Me Gone</v>
      </c>
    </row>
    <row r="714" spans="1:4" x14ac:dyDescent="0.2">
      <c r="A714" t="str">
        <f>"713"</f>
        <v>713</v>
      </c>
      <c r="B714" t="str">
        <f>"-1.16"</f>
        <v>-1.16</v>
      </c>
      <c r="C714" t="str">
        <f>"33"</f>
        <v>33</v>
      </c>
      <c r="D714" t="str">
        <f>"Wolves in Wolves' Clothing"</f>
        <v>Wolves in Wolves' Clothing</v>
      </c>
    </row>
    <row r="715" spans="1:4" x14ac:dyDescent="0.2">
      <c r="A715" t="str">
        <f>"714"</f>
        <v>714</v>
      </c>
      <c r="B715" t="str">
        <f>"-0.96"</f>
        <v>-0.96</v>
      </c>
      <c r="C715" t="str">
        <f>"22"</f>
        <v>22</v>
      </c>
      <c r="D715" t="str">
        <f>"Imaad Wasif"</f>
        <v>Imaad Wasif</v>
      </c>
    </row>
    <row r="716" spans="1:4" x14ac:dyDescent="0.2">
      <c r="A716" t="str">
        <f>"715"</f>
        <v>715</v>
      </c>
      <c r="B716" t="str">
        <f>"-0.35"</f>
        <v>-0.35</v>
      </c>
      <c r="C716" t="str">
        <f>"22"</f>
        <v>22</v>
      </c>
      <c r="D716" t="str">
        <f>"Macy's Day Bird / Black With Green Leaves"</f>
        <v>Macy's Day Bird / Black With Green Leaves</v>
      </c>
    </row>
    <row r="717" spans="1:4" x14ac:dyDescent="0.2">
      <c r="A717" t="str">
        <f>"716"</f>
        <v>716</v>
      </c>
      <c r="B717" t="str">
        <f>"-0.61"</f>
        <v>-0.61</v>
      </c>
      <c r="C717" t="str">
        <f>"28"</f>
        <v>28</v>
      </c>
      <c r="D717" t="str">
        <f>"Audio Assault Course"</f>
        <v>Audio Assault Course</v>
      </c>
    </row>
    <row r="718" spans="1:4" x14ac:dyDescent="0.2">
      <c r="A718" t="str">
        <f>"717"</f>
        <v>717</v>
      </c>
      <c r="B718" t="str">
        <f>"0.6"</f>
        <v>0.6</v>
      </c>
      <c r="C718" t="str">
        <f>"31"</f>
        <v>31</v>
      </c>
      <c r="D718" t="str">
        <f>"The Warning"</f>
        <v>The Warning</v>
      </c>
    </row>
    <row r="719" spans="1:4" x14ac:dyDescent="0.2">
      <c r="A719" t="str">
        <f>"718"</f>
        <v>718</v>
      </c>
      <c r="B719" t="str">
        <f>"0.75"</f>
        <v>0.75</v>
      </c>
      <c r="C719" t="str">
        <f>"18"</f>
        <v>18</v>
      </c>
      <c r="D719" t="str">
        <f>"A Temporary Dive"</f>
        <v>A Temporary Dive</v>
      </c>
    </row>
    <row r="720" spans="1:4" x14ac:dyDescent="0.2">
      <c r="A720" t="str">
        <f>"719"</f>
        <v>719</v>
      </c>
      <c r="B720" t="str">
        <f>"0.48"</f>
        <v>0.48</v>
      </c>
      <c r="C720" t="str">
        <f>"24"</f>
        <v>24</v>
      </c>
      <c r="D720" t="str">
        <f>"Look at Who You're Talking To"</f>
        <v>Look at Who You're Talking To</v>
      </c>
    </row>
    <row r="721" spans="1:4" x14ac:dyDescent="0.2">
      <c r="A721" t="str">
        <f>"720"</f>
        <v>720</v>
      </c>
      <c r="B721" t="str">
        <f>"-0.12"</f>
        <v>-0.12</v>
      </c>
      <c r="C721" t="str">
        <f>"33"</f>
        <v>33</v>
      </c>
      <c r="D721" t="str">
        <f>"The Trip"</f>
        <v>The Trip</v>
      </c>
    </row>
    <row r="722" spans="1:4" x14ac:dyDescent="0.2">
      <c r="A722" t="str">
        <f>"721"</f>
        <v>721</v>
      </c>
      <c r="B722" t="str">
        <f>"1.54"</f>
        <v>1.54</v>
      </c>
      <c r="C722" t="str">
        <f>"20"</f>
        <v>20</v>
      </c>
      <c r="D722" t="str">
        <f>"It's Never Been Like That"</f>
        <v>It's Never Been Like That</v>
      </c>
    </row>
    <row r="723" spans="1:4" x14ac:dyDescent="0.2">
      <c r="A723" t="str">
        <f>"722"</f>
        <v>722</v>
      </c>
      <c r="B723" t="str">
        <f>"-0.6"</f>
        <v>-0.6</v>
      </c>
      <c r="C723" t="str">
        <f>"40"</f>
        <v>40</v>
      </c>
      <c r="D723" t="str">
        <f>"Sexteen"</f>
        <v>Sexteen</v>
      </c>
    </row>
    <row r="724" spans="1:4" x14ac:dyDescent="0.2">
      <c r="A724" t="str">
        <f>"723"</f>
        <v>723</v>
      </c>
      <c r="B724" t="str">
        <f>"-1.21"</f>
        <v>-1.21</v>
      </c>
      <c r="C724" t="str">
        <f>"25"</f>
        <v>25</v>
      </c>
      <c r="D724" t="str">
        <f>"Passover"</f>
        <v>Passover</v>
      </c>
    </row>
    <row r="725" spans="1:4" x14ac:dyDescent="0.2">
      <c r="A725" t="str">
        <f>"724"</f>
        <v>724</v>
      </c>
      <c r="B725" t="str">
        <f>"-0.77"</f>
        <v>-0.77</v>
      </c>
      <c r="C725" t="str">
        <f>"20"</f>
        <v>20</v>
      </c>
      <c r="D725" t="str">
        <f>"Lightning Ghost"</f>
        <v>Lightning Ghost</v>
      </c>
    </row>
    <row r="726" spans="1:4" x14ac:dyDescent="0.2">
      <c r="A726" t="str">
        <f>"725"</f>
        <v>725</v>
      </c>
      <c r="B726" t="str">
        <f>"-1"</f>
        <v>-1</v>
      </c>
      <c r="C726" t="str">
        <f>"15"</f>
        <v>15</v>
      </c>
      <c r="D726" t="str">
        <f>"Simpatico"</f>
        <v>Simpatico</v>
      </c>
    </row>
    <row r="727" spans="1:4" x14ac:dyDescent="0.2">
      <c r="A727" t="str">
        <f>"726"</f>
        <v>726</v>
      </c>
      <c r="B727" t="str">
        <f>"0.64"</f>
        <v>0.64</v>
      </c>
      <c r="C727" t="str">
        <f>"29"</f>
        <v>29</v>
      </c>
      <c r="D727" t="str">
        <f>"The Obliterati"</f>
        <v>The Obliterati</v>
      </c>
    </row>
    <row r="728" spans="1:4" x14ac:dyDescent="0.2">
      <c r="A728" t="str">
        <f>"727"</f>
        <v>727</v>
      </c>
      <c r="B728" t="str">
        <f>"-0.11"</f>
        <v>-0.11</v>
      </c>
      <c r="C728" t="str">
        <f>"20"</f>
        <v>20</v>
      </c>
      <c r="D728" t="str">
        <f>"Blues and Boogie Shoes"</f>
        <v>Blues and Boogie Shoes</v>
      </c>
    </row>
    <row r="729" spans="1:4" x14ac:dyDescent="0.2">
      <c r="A729" t="str">
        <f>"728"</f>
        <v>728</v>
      </c>
      <c r="B729" t="str">
        <f>"0.92"</f>
        <v>0.92</v>
      </c>
      <c r="C729" t="str">
        <f>"26"</f>
        <v>26</v>
      </c>
      <c r="D729" t="str">
        <f>"The Dividing Island"</f>
        <v>The Dividing Island</v>
      </c>
    </row>
    <row r="730" spans="1:4" x14ac:dyDescent="0.2">
      <c r="A730" t="str">
        <f>"729"</f>
        <v>729</v>
      </c>
      <c r="B730" t="str">
        <f>"-0.35"</f>
        <v>-0.35</v>
      </c>
      <c r="C730" t="str">
        <f>"32"</f>
        <v>32</v>
      </c>
      <c r="D730" t="str">
        <f>"Asceticists 2006"</f>
        <v>Asceticists 2006</v>
      </c>
    </row>
    <row r="731" spans="1:4" x14ac:dyDescent="0.2">
      <c r="A731" t="str">
        <f>"730"</f>
        <v>730</v>
      </c>
      <c r="B731" t="str">
        <f>"-0.42"</f>
        <v>-0.42</v>
      </c>
      <c r="C731" t="str">
        <f>"22"</f>
        <v>22</v>
      </c>
      <c r="D731" t="str">
        <f>"Australia / New Zealand Tour EP"</f>
        <v>Australia / New Zealand Tour EP</v>
      </c>
    </row>
    <row r="732" spans="1:4" x14ac:dyDescent="0.2">
      <c r="A732" t="str">
        <f>"731"</f>
        <v>731</v>
      </c>
      <c r="B732" t="str">
        <f>"0.98"</f>
        <v>0.98</v>
      </c>
      <c r="C732" t="str">
        <f>"24"</f>
        <v>24</v>
      </c>
      <c r="D732" t="str">
        <f>"A Hundred Miles Off"</f>
        <v>A Hundred Miles Off</v>
      </c>
    </row>
    <row r="733" spans="1:4" x14ac:dyDescent="0.2">
      <c r="A733" t="str">
        <f>"732"</f>
        <v>732</v>
      </c>
      <c r="B733" t="str">
        <f>"0.39"</f>
        <v>0.39</v>
      </c>
      <c r="C733" t="str">
        <f>"22"</f>
        <v>22</v>
      </c>
      <c r="D733" t="str">
        <f>"Eyes Open"</f>
        <v>Eyes Open</v>
      </c>
    </row>
    <row r="734" spans="1:4" x14ac:dyDescent="0.2">
      <c r="A734" t="str">
        <f>"733"</f>
        <v>733</v>
      </c>
      <c r="B734" t="str">
        <f>"0.18"</f>
        <v>0.18</v>
      </c>
      <c r="C734" t="str">
        <f>"27"</f>
        <v>27</v>
      </c>
      <c r="D734" t="str">
        <f>"Wow Twist"</f>
        <v>Wow Twist</v>
      </c>
    </row>
    <row r="735" spans="1:4" x14ac:dyDescent="0.2">
      <c r="A735" t="str">
        <f>"734"</f>
        <v>734</v>
      </c>
      <c r="B735" t="str">
        <f>"-0.02"</f>
        <v>-0.02</v>
      </c>
      <c r="C735" t="str">
        <f>"19"</f>
        <v>19</v>
      </c>
      <c r="D735" t="str">
        <f>"Songs From the Year of Our Demise"</f>
        <v>Songs From the Year of Our Demise</v>
      </c>
    </row>
    <row r="736" spans="1:4" x14ac:dyDescent="0.2">
      <c r="A736" t="str">
        <f>"735"</f>
        <v>735</v>
      </c>
      <c r="B736" t="str">
        <f>"-0.08"</f>
        <v>-0.08</v>
      </c>
      <c r="C736" t="str">
        <f>"35"</f>
        <v>35</v>
      </c>
      <c r="D736" t="str">
        <f>"Green Mind"</f>
        <v>Green Mind</v>
      </c>
    </row>
    <row r="737" spans="1:4" x14ac:dyDescent="0.2">
      <c r="A737" t="str">
        <f>"736"</f>
        <v>736</v>
      </c>
      <c r="B737" t="str">
        <f>"0.47"</f>
        <v>0.47</v>
      </c>
      <c r="C737" t="str">
        <f>"27"</f>
        <v>27</v>
      </c>
      <c r="D737" t="str">
        <f>"Tasankokaiku"</f>
        <v>Tasankokaiku</v>
      </c>
    </row>
    <row r="738" spans="1:4" x14ac:dyDescent="0.2">
      <c r="A738" t="str">
        <f>"737"</f>
        <v>737</v>
      </c>
      <c r="B738" t="str">
        <f>"-0.06"</f>
        <v>-0.06</v>
      </c>
      <c r="C738" t="str">
        <f>"43"</f>
        <v>43</v>
      </c>
      <c r="D738" t="str">
        <f>"A Life Without Fear"</f>
        <v>A Life Without Fear</v>
      </c>
    </row>
    <row r="739" spans="1:4" x14ac:dyDescent="0.2">
      <c r="A739" t="str">
        <f>"738"</f>
        <v>738</v>
      </c>
      <c r="B739" t="str">
        <f>"0.19"</f>
        <v>0.19</v>
      </c>
      <c r="C739" t="str">
        <f>"41"</f>
        <v>41</v>
      </c>
      <c r="D739" t="str">
        <f>"Killa Season"</f>
        <v>Killa Season</v>
      </c>
    </row>
    <row r="740" spans="1:4" x14ac:dyDescent="0.2">
      <c r="A740" t="str">
        <f>"739"</f>
        <v>739</v>
      </c>
      <c r="B740" t="str">
        <f>"0.53"</f>
        <v>0.53</v>
      </c>
      <c r="C740" t="str">
        <f>"18"</f>
        <v>18</v>
      </c>
      <c r="D740" t="str">
        <f>"The Spell"</f>
        <v>The Spell</v>
      </c>
    </row>
    <row r="741" spans="1:4" x14ac:dyDescent="0.2">
      <c r="A741" t="str">
        <f>"740"</f>
        <v>740</v>
      </c>
      <c r="B741" t="str">
        <f>"-0.32"</f>
        <v>-0.32</v>
      </c>
      <c r="C741" t="str">
        <f>"19"</f>
        <v>19</v>
      </c>
      <c r="D741" t="str">
        <f>"Monster of the Absolute"</f>
        <v>Monster of the Absolute</v>
      </c>
    </row>
    <row r="742" spans="1:4" x14ac:dyDescent="0.2">
      <c r="A742" t="str">
        <f>"741"</f>
        <v>741</v>
      </c>
      <c r="B742" t="str">
        <f>"-0.48"</f>
        <v>-0.48</v>
      </c>
      <c r="C742" t="str">
        <f>"26"</f>
        <v>26</v>
      </c>
      <c r="D742" t="str">
        <f>"The Invisible Deck"</f>
        <v>The Invisible Deck</v>
      </c>
    </row>
    <row r="743" spans="1:4" x14ac:dyDescent="0.2">
      <c r="A743" t="str">
        <f>"742"</f>
        <v>742</v>
      </c>
      <c r="B743" t="str">
        <f>"0.2"</f>
        <v>0.2</v>
      </c>
      <c r="C743" t="str">
        <f>"29"</f>
        <v>29</v>
      </c>
      <c r="D743" t="str">
        <f>"Beneath Waves"</f>
        <v>Beneath Waves</v>
      </c>
    </row>
    <row r="744" spans="1:4" x14ac:dyDescent="0.2">
      <c r="A744" t="str">
        <f>"743"</f>
        <v>743</v>
      </c>
      <c r="B744" t="str">
        <f>"-1.53"</f>
        <v>-1.53</v>
      </c>
      <c r="C744" t="str">
        <f>"23"</f>
        <v>23</v>
      </c>
      <c r="D744" t="str">
        <f>"Detroit: The Dream Is Dead -- the Collected Works of a Midwest Hardcore Noise Band 1982"</f>
        <v>Detroit: The Dream Is Dead -- the Collected Works of a Midwest Hardcore Noise Band 1982</v>
      </c>
    </row>
    <row r="745" spans="1:4" x14ac:dyDescent="0.2">
      <c r="A745" t="str">
        <f>"744"</f>
        <v>744</v>
      </c>
      <c r="B745" t="str">
        <f>"-0.16"</f>
        <v>-0.16</v>
      </c>
      <c r="C745" t="str">
        <f>"22"</f>
        <v>22</v>
      </c>
      <c r="D745" t="str">
        <f>"Music to Fall Asleep"</f>
        <v>Music to Fall Asleep</v>
      </c>
    </row>
    <row r="746" spans="1:4" x14ac:dyDescent="0.2">
      <c r="A746" t="str">
        <f>"745"</f>
        <v>745</v>
      </c>
      <c r="B746" t="str">
        <f>"0.28"</f>
        <v>0.28</v>
      </c>
      <c r="C746" t="str">
        <f>"17"</f>
        <v>17</v>
      </c>
      <c r="D746" t="str">
        <f>"II"</f>
        <v>II</v>
      </c>
    </row>
    <row r="747" spans="1:4" x14ac:dyDescent="0.2">
      <c r="A747" t="str">
        <f>"746"</f>
        <v>746</v>
      </c>
      <c r="B747" t="str">
        <f>"0.63"</f>
        <v>0.63</v>
      </c>
      <c r="C747" t="str">
        <f>"29"</f>
        <v>29</v>
      </c>
      <c r="D747" t="str">
        <f>"Powder Burns"</f>
        <v>Powder Burns</v>
      </c>
    </row>
    <row r="748" spans="1:4" x14ac:dyDescent="0.2">
      <c r="A748" t="str">
        <f>"747"</f>
        <v>747</v>
      </c>
      <c r="B748" t="str">
        <f>"0.18"</f>
        <v>0.18</v>
      </c>
      <c r="C748" t="str">
        <f>"25"</f>
        <v>25</v>
      </c>
      <c r="D748" t="str">
        <f>"Pick a Bigger Weapon"</f>
        <v>Pick a Bigger Weapon</v>
      </c>
    </row>
    <row r="749" spans="1:4" x14ac:dyDescent="0.2">
      <c r="A749" t="str">
        <f>"748"</f>
        <v>748</v>
      </c>
      <c r="B749" t="str">
        <f>"0.97"</f>
        <v>0.97</v>
      </c>
      <c r="C749" t="str">
        <f>"18"</f>
        <v>18</v>
      </c>
      <c r="D749" t="str">
        <f>"Do the Musiking"</f>
        <v>Do the Musiking</v>
      </c>
    </row>
    <row r="750" spans="1:4" x14ac:dyDescent="0.2">
      <c r="A750" t="str">
        <f>"749"</f>
        <v>749</v>
      </c>
      <c r="B750" t="str">
        <f>"0.44"</f>
        <v>0.44</v>
      </c>
      <c r="C750" t="str">
        <f>"12"</f>
        <v>12</v>
      </c>
      <c r="D750" t="str">
        <f>"The Worthnothings EP"</f>
        <v>The Worthnothings EP</v>
      </c>
    </row>
    <row r="751" spans="1:4" x14ac:dyDescent="0.2">
      <c r="A751" t="str">
        <f>"750"</f>
        <v>750</v>
      </c>
      <c r="B751" t="str">
        <f>"0.12"</f>
        <v>0.12</v>
      </c>
      <c r="C751" t="str">
        <f>"30"</f>
        <v>30</v>
      </c>
      <c r="D751" t="str">
        <f>"News &amp; Tributes"</f>
        <v>News &amp; Tributes</v>
      </c>
    </row>
    <row r="752" spans="1:4" x14ac:dyDescent="0.2">
      <c r="A752" t="str">
        <f>"751"</f>
        <v>751</v>
      </c>
      <c r="B752" t="str">
        <f>"-0.38"</f>
        <v>-0.38</v>
      </c>
      <c r="C752" t="str">
        <f>"27"</f>
        <v>27</v>
      </c>
      <c r="D752" t="str">
        <f>"The Sound the Hare Heard"</f>
        <v>The Sound the Hare Heard</v>
      </c>
    </row>
    <row r="753" spans="1:4" x14ac:dyDescent="0.2">
      <c r="A753" t="str">
        <f>"752"</f>
        <v>752</v>
      </c>
      <c r="B753" t="str">
        <f>"-0.52"</f>
        <v>-0.52</v>
      </c>
      <c r="C753" t="str">
        <f>"20"</f>
        <v>20</v>
      </c>
      <c r="D753" t="str">
        <f>"1-2-3"</f>
        <v>1-2-3</v>
      </c>
    </row>
    <row r="754" spans="1:4" x14ac:dyDescent="0.2">
      <c r="A754" t="str">
        <f>"753"</f>
        <v>753</v>
      </c>
      <c r="B754" t="str">
        <f>"-0.74"</f>
        <v>-0.74</v>
      </c>
      <c r="C754" t="str">
        <f>"22"</f>
        <v>22</v>
      </c>
      <c r="D754" t="str">
        <f>"Yes! Tinnitus!"</f>
        <v>Yes! Tinnitus!</v>
      </c>
    </row>
    <row r="755" spans="1:4" x14ac:dyDescent="0.2">
      <c r="A755" t="str">
        <f>"754"</f>
        <v>754</v>
      </c>
      <c r="B755" t="str">
        <f>"-1.29"</f>
        <v>-1.29</v>
      </c>
      <c r="C755" t="str">
        <f>"24"</f>
        <v>24</v>
      </c>
      <c r="D755" t="str">
        <f>"The Mezzanine"</f>
        <v>The Mezzanine</v>
      </c>
    </row>
    <row r="756" spans="1:4" x14ac:dyDescent="0.2">
      <c r="A756" t="str">
        <f>"755"</f>
        <v>755</v>
      </c>
      <c r="B756" t="str">
        <f>"0.6"</f>
        <v>0.6</v>
      </c>
      <c r="C756" t="str">
        <f>"26"</f>
        <v>26</v>
      </c>
      <c r="D756" t="str">
        <f>"Broken Boy Soldiers"</f>
        <v>Broken Boy Soldiers</v>
      </c>
    </row>
    <row r="757" spans="1:4" x14ac:dyDescent="0.2">
      <c r="A757" t="str">
        <f>"756"</f>
        <v>756</v>
      </c>
      <c r="B757" t="str">
        <f>"0.13"</f>
        <v>0.13</v>
      </c>
      <c r="C757" t="str">
        <f>"28"</f>
        <v>28</v>
      </c>
      <c r="D757" t="str">
        <f>"Extended Play"</f>
        <v>Extended Play</v>
      </c>
    </row>
    <row r="758" spans="1:4" x14ac:dyDescent="0.2">
      <c r="A758" t="str">
        <f>"757"</f>
        <v>757</v>
      </c>
      <c r="B758" t="str">
        <f>"-0.6"</f>
        <v>-0.6</v>
      </c>
      <c r="C758" t="str">
        <f>"57"</f>
        <v>57</v>
      </c>
      <c r="D758" t="str">
        <f>"Waterloo to Anywhere"</f>
        <v>Waterloo to Anywhere</v>
      </c>
    </row>
    <row r="759" spans="1:4" x14ac:dyDescent="0.2">
      <c r="A759" t="str">
        <f>"758"</f>
        <v>758</v>
      </c>
      <c r="B759" t="str">
        <f>"0.55"</f>
        <v>0.55</v>
      </c>
      <c r="C759" t="str">
        <f>"20"</f>
        <v>20</v>
      </c>
      <c r="D759" t="str">
        <f>"Seclusion"</f>
        <v>Seclusion</v>
      </c>
    </row>
    <row r="760" spans="1:4" x14ac:dyDescent="0.2">
      <c r="A760" t="str">
        <f>"759"</f>
        <v>759</v>
      </c>
      <c r="B760" t="str">
        <f>"1.38"</f>
        <v>1.38</v>
      </c>
      <c r="C760" t="str">
        <f>"27"</f>
        <v>27</v>
      </c>
      <c r="D760" t="str">
        <f>"Sewn"</f>
        <v>Sewn</v>
      </c>
    </row>
    <row r="761" spans="1:4" x14ac:dyDescent="0.2">
      <c r="A761" t="str">
        <f>"760"</f>
        <v>760</v>
      </c>
      <c r="B761" t="str">
        <f>"0.83"</f>
        <v>0.83</v>
      </c>
      <c r="C761" t="str">
        <f>"54"</f>
        <v>54</v>
      </c>
      <c r="D761" t="str">
        <f>"Gulag Orkestar"</f>
        <v>Gulag Orkestar</v>
      </c>
    </row>
    <row r="762" spans="1:4" x14ac:dyDescent="0.2">
      <c r="A762" t="str">
        <f>"761"</f>
        <v>761</v>
      </c>
      <c r="B762" t="str">
        <f>"-0.19"</f>
        <v>-0.19</v>
      </c>
      <c r="C762" t="str">
        <f>"25"</f>
        <v>25</v>
      </c>
      <c r="D762" t="str">
        <f>"Black Gold"</f>
        <v>Black Gold</v>
      </c>
    </row>
    <row r="763" spans="1:4" x14ac:dyDescent="0.2">
      <c r="A763" t="str">
        <f>"762"</f>
        <v>762</v>
      </c>
      <c r="B763" t="str">
        <f>"0.15"</f>
        <v>0.15</v>
      </c>
      <c r="C763" t="str">
        <f>"23"</f>
        <v>23</v>
      </c>
      <c r="D763" t="str">
        <f>"Keep Breathing"</f>
        <v>Keep Breathing</v>
      </c>
    </row>
    <row r="764" spans="1:4" x14ac:dyDescent="0.2">
      <c r="A764" t="str">
        <f>"763"</f>
        <v>763</v>
      </c>
      <c r="B764" t="str">
        <f>"0.03"</f>
        <v>0.03</v>
      </c>
      <c r="C764" t="str">
        <f>"38"</f>
        <v>38</v>
      </c>
      <c r="D764" t="str">
        <f>"Remember That I Love You"</f>
        <v>Remember That I Love You</v>
      </c>
    </row>
    <row r="765" spans="1:4" x14ac:dyDescent="0.2">
      <c r="A765" t="str">
        <f>"764"</f>
        <v>764</v>
      </c>
      <c r="B765" t="str">
        <f>"0.33"</f>
        <v>0.33</v>
      </c>
      <c r="C765" t="str">
        <f>"27"</f>
        <v>27</v>
      </c>
      <c r="D765" t="str">
        <f>"His Hands"</f>
        <v>His Hands</v>
      </c>
    </row>
    <row r="766" spans="1:4" x14ac:dyDescent="0.2">
      <c r="A766" t="str">
        <f>"765"</f>
        <v>765</v>
      </c>
      <c r="B766" t="str">
        <f>"0.87"</f>
        <v>0.87</v>
      </c>
      <c r="C766" t="str">
        <f>"30"</f>
        <v>30</v>
      </c>
      <c r="D766" t="str">
        <f>"Ships"</f>
        <v>Ships</v>
      </c>
    </row>
    <row r="767" spans="1:4" x14ac:dyDescent="0.2">
      <c r="A767" t="str">
        <f>"766"</f>
        <v>766</v>
      </c>
      <c r="B767" t="str">
        <f>"-0.09"</f>
        <v>-0.09</v>
      </c>
      <c r="C767" t="str">
        <f>"43"</f>
        <v>43</v>
      </c>
      <c r="D767" t="str">
        <f>"Surprise"</f>
        <v>Surprise</v>
      </c>
    </row>
    <row r="768" spans="1:4" x14ac:dyDescent="0.2">
      <c r="A768" t="str">
        <f>"767"</f>
        <v>767</v>
      </c>
      <c r="B768" t="str">
        <f>"0.4"</f>
        <v>0.4</v>
      </c>
      <c r="C768" t="str">
        <f>"22"</f>
        <v>22</v>
      </c>
      <c r="D768" t="str">
        <f>"Fort Recovery"</f>
        <v>Fort Recovery</v>
      </c>
    </row>
    <row r="769" spans="1:4" x14ac:dyDescent="0.2">
      <c r="A769" t="str">
        <f>"768"</f>
        <v>768</v>
      </c>
      <c r="B769" t="str">
        <f>"0.15"</f>
        <v>0.15</v>
      </c>
      <c r="C769" t="str">
        <f>"30"</f>
        <v>30</v>
      </c>
      <c r="D769" t="str">
        <f>"The Million Colour Revolution"</f>
        <v>The Million Colour Revolution</v>
      </c>
    </row>
    <row r="770" spans="1:4" x14ac:dyDescent="0.2">
      <c r="A770" t="str">
        <f>"769"</f>
        <v>769</v>
      </c>
      <c r="B770" t="str">
        <f>"-0.32"</f>
        <v>-0.32</v>
      </c>
      <c r="C770" t="str">
        <f>"19"</f>
        <v>19</v>
      </c>
      <c r="D770" t="str">
        <f>"Miastenia"</f>
        <v>Miastenia</v>
      </c>
    </row>
    <row r="771" spans="1:4" x14ac:dyDescent="0.2">
      <c r="A771" t="str">
        <f>"770"</f>
        <v>770</v>
      </c>
      <c r="B771" t="str">
        <f>"-0.13"</f>
        <v>-0.13</v>
      </c>
      <c r="C771" t="str">
        <f>"44"</f>
        <v>44</v>
      </c>
      <c r="D771" t="str">
        <f>"The Drift"</f>
        <v>The Drift</v>
      </c>
    </row>
    <row r="772" spans="1:4" x14ac:dyDescent="0.2">
      <c r="A772" t="str">
        <f>"771"</f>
        <v>771</v>
      </c>
      <c r="B772" t="str">
        <f>"0.34"</f>
        <v>0.34</v>
      </c>
      <c r="C772" t="str">
        <f>"58"</f>
        <v>58</v>
      </c>
      <c r="D772" t="str">
        <f>"The Rose Has Teeth in the Mouth of a Beast"</f>
        <v>The Rose Has Teeth in the Mouth of a Beast</v>
      </c>
    </row>
    <row r="773" spans="1:4" x14ac:dyDescent="0.2">
      <c r="A773" t="str">
        <f>"772"</f>
        <v>772</v>
      </c>
      <c r="B773" t="str">
        <f>"0.28"</f>
        <v>0.28</v>
      </c>
      <c r="C773" t="str">
        <f>"14"</f>
        <v>14</v>
      </c>
      <c r="D773" t="str">
        <f>"Sur La Mer Samp-Le-Mer"</f>
        <v>Sur La Mer Samp-Le-Mer</v>
      </c>
    </row>
    <row r="774" spans="1:4" x14ac:dyDescent="0.2">
      <c r="A774" t="str">
        <f>"773"</f>
        <v>773</v>
      </c>
      <c r="B774" t="str">
        <f>"0.08"</f>
        <v>0.08</v>
      </c>
      <c r="C774" t="str">
        <f>"25"</f>
        <v>25</v>
      </c>
      <c r="D774" t="str">
        <f>"Soft Money"</f>
        <v>Soft Money</v>
      </c>
    </row>
    <row r="775" spans="1:4" x14ac:dyDescent="0.2">
      <c r="A775" t="str">
        <f>"774"</f>
        <v>774</v>
      </c>
      <c r="B775" t="str">
        <f>"-0.47"</f>
        <v>-0.47</v>
      </c>
      <c r="C775" t="str">
        <f>"22"</f>
        <v>22</v>
      </c>
      <c r="D775" t="str">
        <f>"Cities"</f>
        <v>Cities</v>
      </c>
    </row>
    <row r="776" spans="1:4" x14ac:dyDescent="0.2">
      <c r="A776" t="str">
        <f>"775"</f>
        <v>775</v>
      </c>
      <c r="B776" t="str">
        <f>"-0.45"</f>
        <v>-0.45</v>
      </c>
      <c r="C776" t="str">
        <f>"63"</f>
        <v>63</v>
      </c>
      <c r="D776" t="str">
        <f>"Just Like the Fambly Cat"</f>
        <v>Just Like the Fambly Cat</v>
      </c>
    </row>
    <row r="777" spans="1:4" x14ac:dyDescent="0.2">
      <c r="A777" t="str">
        <f>"776"</f>
        <v>776</v>
      </c>
      <c r="B777" t="str">
        <f>"-0.35"</f>
        <v>-0.35</v>
      </c>
      <c r="C777" t="str">
        <f>"100"</f>
        <v>100</v>
      </c>
      <c r="D777" t="str">
        <f>"Stadium Arcadium"</f>
        <v>Stadium Arcadium</v>
      </c>
    </row>
    <row r="778" spans="1:4" x14ac:dyDescent="0.2">
      <c r="A778" t="str">
        <f>"777"</f>
        <v>777</v>
      </c>
      <c r="B778" t="str">
        <f>"0"</f>
        <v>0</v>
      </c>
      <c r="C778" t="str">
        <f>"23"</f>
        <v>23</v>
      </c>
      <c r="D778" t="str">
        <f>"Palo Santo"</f>
        <v>Palo Santo</v>
      </c>
    </row>
    <row r="779" spans="1:4" x14ac:dyDescent="0.2">
      <c r="A779" t="str">
        <f>"778"</f>
        <v>778</v>
      </c>
      <c r="B779" t="str">
        <f>"-0.24"</f>
        <v>-0.24</v>
      </c>
      <c r="C779" t="str">
        <f>"61"</f>
        <v>61</v>
      </c>
      <c r="D779" t="str">
        <f>"Long Dry Cold"</f>
        <v>Long Dry Cold</v>
      </c>
    </row>
    <row r="780" spans="1:4" x14ac:dyDescent="0.2">
      <c r="A780" t="str">
        <f>"779"</f>
        <v>779</v>
      </c>
      <c r="B780" t="str">
        <f>"0.14"</f>
        <v>0.14</v>
      </c>
      <c r="C780" t="str">
        <f>"16"</f>
        <v>16</v>
      </c>
      <c r="D780" t="str">
        <f>"A Gilded Age EP"</f>
        <v>A Gilded Age EP</v>
      </c>
    </row>
    <row r="781" spans="1:4" x14ac:dyDescent="0.2">
      <c r="A781" t="str">
        <f>"780"</f>
        <v>780</v>
      </c>
      <c r="B781" t="str">
        <f>"-0.27"</f>
        <v>-0.27</v>
      </c>
      <c r="C781" t="str">
        <f>"39"</f>
        <v>39</v>
      </c>
      <c r="D781" t="str">
        <f>"St. Elsewhere"</f>
        <v>St. Elsewhere</v>
      </c>
    </row>
    <row r="782" spans="1:4" x14ac:dyDescent="0.2">
      <c r="A782" t="str">
        <f>"781"</f>
        <v>781</v>
      </c>
      <c r="B782" t="str">
        <f>"0.83"</f>
        <v>0.83</v>
      </c>
      <c r="C782" t="str">
        <f>"17"</f>
        <v>17</v>
      </c>
      <c r="D782" t="str">
        <f>"Without Feathers"</f>
        <v>Without Feathers</v>
      </c>
    </row>
    <row r="783" spans="1:4" x14ac:dyDescent="0.2">
      <c r="A783" t="str">
        <f>"782"</f>
        <v>782</v>
      </c>
      <c r="B783" t="str">
        <f>"0.82"</f>
        <v>0.82</v>
      </c>
      <c r="C783" t="str">
        <f>"21"</f>
        <v>21</v>
      </c>
      <c r="D783" t="str">
        <f>"DJ-Kicks: The Exclusives"</f>
        <v>DJ-Kicks: The Exclusives</v>
      </c>
    </row>
    <row r="784" spans="1:4" x14ac:dyDescent="0.2">
      <c r="A784" t="str">
        <f>"783"</f>
        <v>783</v>
      </c>
      <c r="B784" t="str">
        <f>"-0.34"</f>
        <v>-0.34</v>
      </c>
      <c r="C784" t="str">
        <f>"42"</f>
        <v>42</v>
      </c>
      <c r="D784" t="str">
        <f>"Shred Earthship"</f>
        <v>Shred Earthship</v>
      </c>
    </row>
    <row r="785" spans="1:4" x14ac:dyDescent="0.2">
      <c r="A785" t="str">
        <f>"784"</f>
        <v>784</v>
      </c>
      <c r="B785" t="str">
        <f>"-0.26"</f>
        <v>-0.26</v>
      </c>
      <c r="C785" t="str">
        <f>"21"</f>
        <v>21</v>
      </c>
      <c r="D785" t="str">
        <f>"Only"</f>
        <v>Only</v>
      </c>
    </row>
    <row r="786" spans="1:4" x14ac:dyDescent="0.2">
      <c r="A786" t="str">
        <f>"785"</f>
        <v>785</v>
      </c>
      <c r="B786" t="str">
        <f>"0.02"</f>
        <v>0.02</v>
      </c>
      <c r="C786" t="str">
        <f>"38"</f>
        <v>38</v>
      </c>
      <c r="D786" t="str">
        <f>"Pink Flag"</f>
        <v>Pink Flag</v>
      </c>
    </row>
    <row r="787" spans="1:4" x14ac:dyDescent="0.2">
      <c r="A787" t="str">
        <f>"786"</f>
        <v>786</v>
      </c>
      <c r="B787" t="str">
        <f>"0.31"</f>
        <v>0.31</v>
      </c>
      <c r="C787" t="str">
        <f>"43"</f>
        <v>43</v>
      </c>
      <c r="D787" t="str">
        <f>"The Bloody Hand"</f>
        <v>The Bloody Hand</v>
      </c>
    </row>
    <row r="788" spans="1:4" x14ac:dyDescent="0.2">
      <c r="A788" t="str">
        <f>"787"</f>
        <v>787</v>
      </c>
      <c r="B788" t="str">
        <f>"-0.26"</f>
        <v>-0.26</v>
      </c>
      <c r="C788" t="str">
        <f>"35"</f>
        <v>35</v>
      </c>
      <c r="D788" t="str">
        <f>"Silver EP"</f>
        <v>Silver EP</v>
      </c>
    </row>
    <row r="789" spans="1:4" x14ac:dyDescent="0.2">
      <c r="A789" t="str">
        <f>"788"</f>
        <v>788</v>
      </c>
      <c r="B789" t="str">
        <f>"1.13"</f>
        <v>1.13</v>
      </c>
      <c r="C789" t="str">
        <f>"26"</f>
        <v>26</v>
      </c>
      <c r="D789" t="str">
        <f>"Ideal Lives"</f>
        <v>Ideal Lives</v>
      </c>
    </row>
    <row r="790" spans="1:4" x14ac:dyDescent="0.2">
      <c r="A790" t="str">
        <f>"789"</f>
        <v>789</v>
      </c>
      <c r="B790" t="str">
        <f>"0.31"</f>
        <v>0.31</v>
      </c>
      <c r="C790" t="str">
        <f>"74"</f>
        <v>74</v>
      </c>
      <c r="D790" t="str">
        <f>"Meds"</f>
        <v>Meds</v>
      </c>
    </row>
    <row r="791" spans="1:4" x14ac:dyDescent="0.2">
      <c r="A791" t="str">
        <f>"790"</f>
        <v>790</v>
      </c>
      <c r="B791" t="str">
        <f>"-0.76"</f>
        <v>-0.76</v>
      </c>
      <c r="C791" t="str">
        <f>"34"</f>
        <v>34</v>
      </c>
      <c r="D791" t="str">
        <f>"Volume 1"</f>
        <v>Volume 1</v>
      </c>
    </row>
    <row r="792" spans="1:4" x14ac:dyDescent="0.2">
      <c r="A792" t="str">
        <f>"791"</f>
        <v>791</v>
      </c>
      <c r="B792" t="str">
        <f>"0.5"</f>
        <v>0.5</v>
      </c>
      <c r="C792" t="str">
        <f>"37"</f>
        <v>37</v>
      </c>
      <c r="D792" t="str">
        <f>"Orchestra of Bubbles"</f>
        <v>Orchestra of Bubbles</v>
      </c>
    </row>
    <row r="793" spans="1:4" x14ac:dyDescent="0.2">
      <c r="A793" t="str">
        <f>"792"</f>
        <v>792</v>
      </c>
      <c r="B793" t="str">
        <f>"0.34"</f>
        <v>0.34</v>
      </c>
      <c r="C793" t="str">
        <f>"35"</f>
        <v>35</v>
      </c>
      <c r="D793" t="str">
        <f>"Shut Up I Am Dreaming"</f>
        <v>Shut Up I Am Dreaming</v>
      </c>
    </row>
    <row r="794" spans="1:4" x14ac:dyDescent="0.2">
      <c r="A794" t="str">
        <f>"793"</f>
        <v>793</v>
      </c>
      <c r="B794" t="str">
        <f>"-0.6"</f>
        <v>-0.6</v>
      </c>
      <c r="C794" t="str">
        <f>"30"</f>
        <v>30</v>
      </c>
      <c r="D794" t="str">
        <f>"Breaking Kayfabe"</f>
        <v>Breaking Kayfabe</v>
      </c>
    </row>
    <row r="795" spans="1:4" x14ac:dyDescent="0.2">
      <c r="A795" t="str">
        <f>"794"</f>
        <v>794</v>
      </c>
      <c r="B795" t="str">
        <f>"-1"</f>
        <v>-1</v>
      </c>
      <c r="C795" t="str">
        <f>"17"</f>
        <v>17</v>
      </c>
      <c r="D795" t="str">
        <f>"In Praise of Shadows"</f>
        <v>In Praise of Shadows</v>
      </c>
    </row>
    <row r="796" spans="1:4" x14ac:dyDescent="0.2">
      <c r="A796" t="str">
        <f>"795"</f>
        <v>795</v>
      </c>
      <c r="B796" t="str">
        <f>"-0.22"</f>
        <v>-0.22</v>
      </c>
      <c r="C796" t="str">
        <f>"56"</f>
        <v>56</v>
      </c>
      <c r="D796" t="str">
        <f>"Pearl Jam"</f>
        <v>Pearl Jam</v>
      </c>
    </row>
    <row r="797" spans="1:4" x14ac:dyDescent="0.2">
      <c r="A797" t="str">
        <f>"796"</f>
        <v>796</v>
      </c>
      <c r="B797" t="str">
        <f>"-0.81"</f>
        <v>-0.81</v>
      </c>
      <c r="C797" t="str">
        <f>"70"</f>
        <v>70</v>
      </c>
      <c r="D797" t="str">
        <f>"Fabric 27"</f>
        <v>Fabric 27</v>
      </c>
    </row>
    <row r="798" spans="1:4" x14ac:dyDescent="0.2">
      <c r="A798" t="str">
        <f>"797"</f>
        <v>797</v>
      </c>
      <c r="B798" t="str">
        <f>"-0.07"</f>
        <v>-0.07</v>
      </c>
      <c r="C798" t="str">
        <f>"41"</f>
        <v>41</v>
      </c>
      <c r="D798" t="str">
        <f>"The Secret Miracle Fountain"</f>
        <v>The Secret Miracle Fountain</v>
      </c>
    </row>
    <row r="799" spans="1:4" x14ac:dyDescent="0.2">
      <c r="A799" t="str">
        <f>"798"</f>
        <v>798</v>
      </c>
      <c r="B799" t="str">
        <f>"-0.05"</f>
        <v>-0.05</v>
      </c>
      <c r="C799" t="str">
        <f>"33"</f>
        <v>33</v>
      </c>
      <c r="D799" t="str">
        <f>"Greatest Hits 1970-1978"</f>
        <v>Greatest Hits 1970-1978</v>
      </c>
    </row>
    <row r="800" spans="1:4" x14ac:dyDescent="0.2">
      <c r="A800" t="str">
        <f>"799"</f>
        <v>799</v>
      </c>
      <c r="B800" t="str">
        <f>"-0.27"</f>
        <v>-0.27</v>
      </c>
      <c r="C800" t="str">
        <f>"53"</f>
        <v>53</v>
      </c>
      <c r="D800" t="str">
        <f>"Yoyoyoyoyo"</f>
        <v>Yoyoyoyoyo</v>
      </c>
    </row>
    <row r="801" spans="1:4" x14ac:dyDescent="0.2">
      <c r="A801" t="str">
        <f>"800"</f>
        <v>800</v>
      </c>
      <c r="B801" t="str">
        <f>"-0.27"</f>
        <v>-0.27</v>
      </c>
      <c r="C801" t="str">
        <f>"81"</f>
        <v>81</v>
      </c>
      <c r="D801" t="s">
        <v>27</v>
      </c>
    </row>
    <row r="802" spans="1:4" x14ac:dyDescent="0.2">
      <c r="A802" t="str">
        <f>"801"</f>
        <v>801</v>
      </c>
      <c r="B802" t="str">
        <f>"-0.35"</f>
        <v>-0.35</v>
      </c>
      <c r="C802" t="str">
        <f>"27"</f>
        <v>27</v>
      </c>
      <c r="D802" t="str">
        <f>"He Poos Clouds"</f>
        <v>He Poos Clouds</v>
      </c>
    </row>
    <row r="803" spans="1:4" x14ac:dyDescent="0.2">
      <c r="A803" t="str">
        <f>"802"</f>
        <v>802</v>
      </c>
      <c r="B803" t="str">
        <f>"0.13"</f>
        <v>0.13</v>
      </c>
      <c r="C803" t="str">
        <f>"33"</f>
        <v>33</v>
      </c>
      <c r="D803" t="str">
        <f>"What Day Is It?"</f>
        <v>What Day Is It?</v>
      </c>
    </row>
    <row r="804" spans="1:4" x14ac:dyDescent="0.2">
      <c r="A804" t="str">
        <f>"803"</f>
        <v>803</v>
      </c>
      <c r="B804" t="str">
        <f>"-0.75"</f>
        <v>-0.75</v>
      </c>
      <c r="C804" t="str">
        <f>"31"</f>
        <v>31</v>
      </c>
      <c r="D804" t="str">
        <f>"Dear John"</f>
        <v>Dear John</v>
      </c>
    </row>
    <row r="805" spans="1:4" x14ac:dyDescent="0.2">
      <c r="A805" t="str">
        <f>"804"</f>
        <v>804</v>
      </c>
      <c r="B805" t="str">
        <f>"0.05"</f>
        <v>0.05</v>
      </c>
      <c r="C805" t="str">
        <f>"52"</f>
        <v>52</v>
      </c>
      <c r="D805" t="str">
        <f>"Kick"</f>
        <v>Kick</v>
      </c>
    </row>
    <row r="806" spans="1:4" x14ac:dyDescent="0.2">
      <c r="A806" t="str">
        <f>"805"</f>
        <v>805</v>
      </c>
      <c r="B806" t="str">
        <f>"-0.07"</f>
        <v>-0.07</v>
      </c>
      <c r="C806" t="str">
        <f>"28"</f>
        <v>28</v>
      </c>
      <c r="D806" t="str">
        <f>"Living With War"</f>
        <v>Living With War</v>
      </c>
    </row>
    <row r="807" spans="1:4" x14ac:dyDescent="0.2">
      <c r="A807" t="str">
        <f>"806"</f>
        <v>806</v>
      </c>
      <c r="B807" t="str">
        <f>"-0.33"</f>
        <v>-0.33</v>
      </c>
      <c r="C807" t="str">
        <f>"22"</f>
        <v>22</v>
      </c>
      <c r="D807" t="str">
        <f>"Rio Grande Blood"</f>
        <v>Rio Grande Blood</v>
      </c>
    </row>
    <row r="808" spans="1:4" x14ac:dyDescent="0.2">
      <c r="A808" t="str">
        <f>"807"</f>
        <v>807</v>
      </c>
      <c r="B808" t="str">
        <f>"-0.78"</f>
        <v>-0.78</v>
      </c>
      <c r="C808" t="str">
        <f>"19"</f>
        <v>19</v>
      </c>
      <c r="D808" t="str">
        <f>"Our Love Will Destroy the World"</f>
        <v>Our Love Will Destroy the World</v>
      </c>
    </row>
    <row r="809" spans="1:4" x14ac:dyDescent="0.2">
      <c r="A809" t="str">
        <f>"808"</f>
        <v>808</v>
      </c>
      <c r="B809" t="str">
        <f>"0.26"</f>
        <v>0.26</v>
      </c>
      <c r="C809" t="str">
        <f>"29"</f>
        <v>29</v>
      </c>
      <c r="D809" t="str">
        <f>"Meme"</f>
        <v>Meme</v>
      </c>
    </row>
    <row r="810" spans="1:4" x14ac:dyDescent="0.2">
      <c r="A810" t="str">
        <f>"809"</f>
        <v>809</v>
      </c>
      <c r="B810" t="str">
        <f>"-0.93"</f>
        <v>-0.93</v>
      </c>
      <c r="C810" t="str">
        <f>"23"</f>
        <v>23</v>
      </c>
      <c r="D810" t="str">
        <f>"There Is a Difference"</f>
        <v>There Is a Difference</v>
      </c>
    </row>
    <row r="811" spans="1:4" x14ac:dyDescent="0.2">
      <c r="A811" t="str">
        <f>"810"</f>
        <v>810</v>
      </c>
      <c r="B811" t="str">
        <f>"0.38"</f>
        <v>0.38</v>
      </c>
      <c r="C811" t="str">
        <f>"40"</f>
        <v>40</v>
      </c>
      <c r="D811" t="str">
        <f>"Welcome to My World"</f>
        <v>Welcome to My World</v>
      </c>
    </row>
    <row r="812" spans="1:4" x14ac:dyDescent="0.2">
      <c r="A812" t="str">
        <f>"811"</f>
        <v>811</v>
      </c>
      <c r="B812" t="str">
        <f>"0.38"</f>
        <v>0.38</v>
      </c>
      <c r="C812" t="str">
        <f>"40"</f>
        <v>40</v>
      </c>
      <c r="D812" t="str">
        <f>"All the Young Dudes"</f>
        <v>All the Young Dudes</v>
      </c>
    </row>
    <row r="813" spans="1:4" x14ac:dyDescent="0.2">
      <c r="A813" t="str">
        <f>"812"</f>
        <v>812</v>
      </c>
      <c r="B813" t="str">
        <f>"-0.51"</f>
        <v>-0.51</v>
      </c>
      <c r="C813" t="str">
        <f>"89"</f>
        <v>89</v>
      </c>
      <c r="D813" t="str">
        <f>"Monsieur Gainsbourg Revisited"</f>
        <v>Monsieur Gainsbourg Revisited</v>
      </c>
    </row>
    <row r="814" spans="1:4" x14ac:dyDescent="0.2">
      <c r="A814" t="str">
        <f>"813"</f>
        <v>813</v>
      </c>
      <c r="B814" t="str">
        <f>"-0.55"</f>
        <v>-0.55</v>
      </c>
      <c r="C814" t="str">
        <f>"17"</f>
        <v>17</v>
      </c>
      <c r="D814" t="str">
        <f>"Psychic Secession"</f>
        <v>Psychic Secession</v>
      </c>
    </row>
    <row r="815" spans="1:4" x14ac:dyDescent="0.2">
      <c r="A815" t="str">
        <f>"814"</f>
        <v>814</v>
      </c>
      <c r="B815" t="str">
        <f>"0.38"</f>
        <v>0.38</v>
      </c>
      <c r="C815" t="str">
        <f>"91"</f>
        <v>91</v>
      </c>
      <c r="D815" t="str">
        <f>"Somewhere in the Swamps of Jersey"</f>
        <v>Somewhere in the Swamps of Jersey</v>
      </c>
    </row>
    <row r="816" spans="1:4" x14ac:dyDescent="0.2">
      <c r="A816" t="str">
        <f>"815"</f>
        <v>815</v>
      </c>
      <c r="B816" t="str">
        <f>"1.68"</f>
        <v>1.68</v>
      </c>
      <c r="C816" t="str">
        <f>"37"</f>
        <v>37</v>
      </c>
      <c r="D816" t="str">
        <f>"Yo La Tengo Is Murdering the Classics"</f>
        <v>Yo La Tengo Is Murdering the Classics</v>
      </c>
    </row>
    <row r="817" spans="1:4" x14ac:dyDescent="0.2">
      <c r="A817" t="str">
        <f>"816"</f>
        <v>816</v>
      </c>
      <c r="B817" t="str">
        <f>"-0.01"</f>
        <v>-0.01</v>
      </c>
      <c r="C817" t="str">
        <f>"25"</f>
        <v>25</v>
      </c>
      <c r="D817" t="str">
        <f>"Catastrophe Keeps Us Together"</f>
        <v>Catastrophe Keeps Us Together</v>
      </c>
    </row>
    <row r="818" spans="1:4" x14ac:dyDescent="0.2">
      <c r="A818" t="str">
        <f>"817"</f>
        <v>817</v>
      </c>
      <c r="B818" t="str">
        <f>"-0.2"</f>
        <v>-0.2</v>
      </c>
      <c r="C818" t="str">
        <f>"38"</f>
        <v>38</v>
      </c>
      <c r="D818" t="str">
        <f>"Idol Tryouts Two: Ghostly International Vol. Two"</f>
        <v>Idol Tryouts Two: Ghostly International Vol. Two</v>
      </c>
    </row>
    <row r="819" spans="1:4" x14ac:dyDescent="0.2">
      <c r="A819" t="str">
        <f>"818"</f>
        <v>818</v>
      </c>
      <c r="B819" t="str">
        <f>"0.04"</f>
        <v>0.04</v>
      </c>
      <c r="C819" t="str">
        <f>"25"</f>
        <v>25</v>
      </c>
      <c r="D819" t="str">
        <f>"Hind Hind Legs"</f>
        <v>Hind Hind Legs</v>
      </c>
    </row>
    <row r="820" spans="1:4" x14ac:dyDescent="0.2">
      <c r="A820" t="str">
        <f>"819"</f>
        <v>819</v>
      </c>
      <c r="B820" t="str">
        <f>"0.04"</f>
        <v>0.04</v>
      </c>
      <c r="C820" t="str">
        <f>"49"</f>
        <v>49</v>
      </c>
      <c r="D820" t="str">
        <f>"Röyksopp's Night Out"</f>
        <v>Röyksopp's Night Out</v>
      </c>
    </row>
    <row r="821" spans="1:4" x14ac:dyDescent="0.2">
      <c r="A821" t="str">
        <f>"820"</f>
        <v>820</v>
      </c>
      <c r="B821" t="str">
        <f>"-0.3"</f>
        <v>-0.3</v>
      </c>
      <c r="C821" t="str">
        <f>"20"</f>
        <v>20</v>
      </c>
      <c r="D821" t="str">
        <f>"Who the Fuck Are Arctic Monkeys? EP"</f>
        <v>Who the Fuck Are Arctic Monkeys? EP</v>
      </c>
    </row>
    <row r="822" spans="1:4" x14ac:dyDescent="0.2">
      <c r="A822" t="str">
        <f>"821"</f>
        <v>821</v>
      </c>
      <c r="B822" t="str">
        <f>"-0.15"</f>
        <v>-0.15</v>
      </c>
      <c r="C822" t="str">
        <f>"28"</f>
        <v>28</v>
      </c>
      <c r="D822" t="str">
        <f>"Back to the Web"</f>
        <v>Back to the Web</v>
      </c>
    </row>
    <row r="823" spans="1:4" x14ac:dyDescent="0.2">
      <c r="A823" t="str">
        <f>"822"</f>
        <v>822</v>
      </c>
      <c r="B823" t="str">
        <f>"1.23"</f>
        <v>1.23</v>
      </c>
      <c r="C823" t="str">
        <f>"19"</f>
        <v>19</v>
      </c>
      <c r="D823" t="str">
        <f>"Cosmology of Eye"</f>
        <v>Cosmology of Eye</v>
      </c>
    </row>
    <row r="824" spans="1:4" x14ac:dyDescent="0.2">
      <c r="A824" t="str">
        <f>"823"</f>
        <v>823</v>
      </c>
      <c r="B824" t="str">
        <f>"0.14"</f>
        <v>0.14</v>
      </c>
      <c r="C824" t="str">
        <f>"30"</f>
        <v>30</v>
      </c>
      <c r="D824" t="str">
        <f>"Zeroes and Ones"</f>
        <v>Zeroes and Ones</v>
      </c>
    </row>
    <row r="825" spans="1:4" x14ac:dyDescent="0.2">
      <c r="A825" t="str">
        <f>"824"</f>
        <v>824</v>
      </c>
      <c r="B825" t="str">
        <f>"-0.48"</f>
        <v>-0.48</v>
      </c>
      <c r="C825" t="str">
        <f>"34"</f>
        <v>34</v>
      </c>
      <c r="D825" t="str">
        <f>"My Ghetto Report Card"</f>
        <v>My Ghetto Report Card</v>
      </c>
    </row>
    <row r="826" spans="1:4" x14ac:dyDescent="0.2">
      <c r="A826" t="str">
        <f>"825"</f>
        <v>825</v>
      </c>
      <c r="B826" t="str">
        <f>"-0.17"</f>
        <v>-0.17</v>
      </c>
      <c r="C826" t="str">
        <f>"24"</f>
        <v>24</v>
      </c>
      <c r="D826" t="str">
        <f>"Open Season"</f>
        <v>Open Season</v>
      </c>
    </row>
    <row r="827" spans="1:4" x14ac:dyDescent="0.2">
      <c r="A827" t="str">
        <f>"826"</f>
        <v>826</v>
      </c>
      <c r="B827" t="str">
        <f>"0.55"</f>
        <v>0.55</v>
      </c>
      <c r="C827" t="str">
        <f>"10"</f>
        <v>10</v>
      </c>
      <c r="D827" t="str">
        <f>"Wolfmother"</f>
        <v>Wolfmother</v>
      </c>
    </row>
    <row r="828" spans="1:4" x14ac:dyDescent="0.2">
      <c r="A828" t="str">
        <f>"827"</f>
        <v>827</v>
      </c>
      <c r="B828" t="str">
        <f>"0.88"</f>
        <v>0.88</v>
      </c>
      <c r="C828" t="str">
        <f>"75"</f>
        <v>75</v>
      </c>
      <c r="D828" t="str">
        <f>"Sound on Sound"</f>
        <v>Sound on Sound</v>
      </c>
    </row>
    <row r="829" spans="1:4" x14ac:dyDescent="0.2">
      <c r="A829" t="str">
        <f>"828"</f>
        <v>828</v>
      </c>
      <c r="B829" t="str">
        <f>"1.54"</f>
        <v>1.54</v>
      </c>
      <c r="C829" t="str">
        <f>"63"</f>
        <v>63</v>
      </c>
      <c r="D829" t="str">
        <f>"Hokane"</f>
        <v>Hokane</v>
      </c>
    </row>
    <row r="830" spans="1:4" x14ac:dyDescent="0.2">
      <c r="A830" t="str">
        <f>"829"</f>
        <v>829</v>
      </c>
      <c r="B830" t="str">
        <f>"-0.51"</f>
        <v>-0.51</v>
      </c>
      <c r="C830" t="str">
        <f>"25"</f>
        <v>25</v>
      </c>
      <c r="D830" t="str">
        <f>"Gold Brick"</f>
        <v>Gold Brick</v>
      </c>
    </row>
    <row r="831" spans="1:4" x14ac:dyDescent="0.2">
      <c r="A831" t="str">
        <f>"830"</f>
        <v>830</v>
      </c>
      <c r="B831" t="str">
        <f>"0.54"</f>
        <v>0.54</v>
      </c>
      <c r="C831" t="str">
        <f>"26"</f>
        <v>26</v>
      </c>
      <c r="D831" t="str">
        <f>"We Shall Overcome: The Seeger Sessions"</f>
        <v>We Shall Overcome: The Seeger Sessions</v>
      </c>
    </row>
    <row r="832" spans="1:4" x14ac:dyDescent="0.2">
      <c r="A832" t="str">
        <f>"831"</f>
        <v>831</v>
      </c>
      <c r="B832" t="str">
        <f>"-0.19"</f>
        <v>-0.19</v>
      </c>
      <c r="C832" t="str">
        <f>"27"</f>
        <v>27</v>
      </c>
      <c r="D832" t="str">
        <f>"Drowaton"</f>
        <v>Drowaton</v>
      </c>
    </row>
    <row r="833" spans="1:4" x14ac:dyDescent="0.2">
      <c r="A833" t="str">
        <f>"832"</f>
        <v>832</v>
      </c>
      <c r="B833" t="str">
        <f>"0.88"</f>
        <v>0.88</v>
      </c>
      <c r="C833" t="str">
        <f>"16"</f>
        <v>16</v>
      </c>
      <c r="D833" t="str">
        <f>"Second Guessing"</f>
        <v>Second Guessing</v>
      </c>
    </row>
    <row r="834" spans="1:4" x14ac:dyDescent="0.2">
      <c r="A834" t="str">
        <f>"833"</f>
        <v>833</v>
      </c>
      <c r="B834" t="str">
        <f>"-0.63"</f>
        <v>-0.63</v>
      </c>
      <c r="C834" t="str">
        <f>"60"</f>
        <v>60</v>
      </c>
      <c r="D834" t="str">
        <f>"Expressions (2012 A.U.)"</f>
        <v>Expressions (2012 A.U.)</v>
      </c>
    </row>
    <row r="835" spans="1:4" x14ac:dyDescent="0.2">
      <c r="A835" t="str">
        <f>"834"</f>
        <v>834</v>
      </c>
      <c r="B835" t="str">
        <f>"0"</f>
        <v>0</v>
      </c>
      <c r="C835" t="str">
        <f>"24"</f>
        <v>24</v>
      </c>
      <c r="D835" t="str">
        <f>"Tum"</f>
        <v>Tum</v>
      </c>
    </row>
    <row r="836" spans="1:4" x14ac:dyDescent="0.2">
      <c r="A836" t="str">
        <f>"835"</f>
        <v>835</v>
      </c>
      <c r="B836" t="str">
        <f>"-0.09"</f>
        <v>-0.09</v>
      </c>
      <c r="C836" t="str">
        <f>"56"</f>
        <v>56</v>
      </c>
      <c r="D836" t="s">
        <v>28</v>
      </c>
    </row>
    <row r="837" spans="1:4" x14ac:dyDescent="0.2">
      <c r="A837" t="str">
        <f>"836"</f>
        <v>836</v>
      </c>
      <c r="B837" t="str">
        <f>"0.13"</f>
        <v>0.13</v>
      </c>
      <c r="C837" t="str">
        <f>"20"</f>
        <v>20</v>
      </c>
      <c r="D837" t="str">
        <f>"Movements"</f>
        <v>Movements</v>
      </c>
    </row>
    <row r="838" spans="1:4" x14ac:dyDescent="0.2">
      <c r="A838" t="str">
        <f>"837"</f>
        <v>837</v>
      </c>
      <c r="B838" t="str">
        <f>"0.4"</f>
        <v>0.4</v>
      </c>
      <c r="C838" t="str">
        <f>"58"</f>
        <v>58</v>
      </c>
      <c r="D838" t="str">
        <f>"Beat Konducta Vol. 1-2: Movie Scenes"</f>
        <v>Beat Konducta Vol. 1-2: Movie Scenes</v>
      </c>
    </row>
    <row r="839" spans="1:4" x14ac:dyDescent="0.2">
      <c r="A839" t="str">
        <f>"838"</f>
        <v>838</v>
      </c>
      <c r="B839" t="str">
        <f>"0.02"</f>
        <v>0.02</v>
      </c>
      <c r="C839" t="str">
        <f>"46"</f>
        <v>46</v>
      </c>
      <c r="D839" t="str">
        <f>"Beautiful Losers: Singles and Compilation Tracks 1994-1999"</f>
        <v>Beautiful Losers: Singles and Compilation Tracks 1994-1999</v>
      </c>
    </row>
    <row r="840" spans="1:4" x14ac:dyDescent="0.2">
      <c r="A840" t="str">
        <f>"839"</f>
        <v>839</v>
      </c>
      <c r="B840" t="str">
        <f>"-1.85"</f>
        <v>-1.85</v>
      </c>
      <c r="C840" t="str">
        <f>"20"</f>
        <v>20</v>
      </c>
      <c r="D840" t="str">
        <f>"Pregnant Babies Pregnant With Pregnant Babies"</f>
        <v>Pregnant Babies Pregnant With Pregnant Babies</v>
      </c>
    </row>
    <row r="841" spans="1:4" x14ac:dyDescent="0.2">
      <c r="A841" t="str">
        <f>"840"</f>
        <v>840</v>
      </c>
      <c r="B841" t="str">
        <f>"0.21"</f>
        <v>0.21</v>
      </c>
      <c r="C841" t="str">
        <f>"49"</f>
        <v>49</v>
      </c>
      <c r="D841" t="s">
        <v>29</v>
      </c>
    </row>
    <row r="842" spans="1:4" x14ac:dyDescent="0.2">
      <c r="A842" t="str">
        <f>"841"</f>
        <v>841</v>
      </c>
      <c r="B842" t="str">
        <f>"-0.86"</f>
        <v>-0.86</v>
      </c>
      <c r="C842" t="str">
        <f>"28"</f>
        <v>28</v>
      </c>
      <c r="D842" t="str">
        <f>"Home to Oblivion: An Elliott Smith Tribute"</f>
        <v>Home to Oblivion: An Elliott Smith Tribute</v>
      </c>
    </row>
    <row r="843" spans="1:4" x14ac:dyDescent="0.2">
      <c r="A843" t="str">
        <f>"842"</f>
        <v>842</v>
      </c>
      <c r="B843" t="str">
        <f>"-0.29"</f>
        <v>-0.29</v>
      </c>
      <c r="C843" t="str">
        <f>"19"</f>
        <v>19</v>
      </c>
      <c r="D843" t="str">
        <f>"Making Dens"</f>
        <v>Making Dens</v>
      </c>
    </row>
    <row r="844" spans="1:4" x14ac:dyDescent="0.2">
      <c r="A844" t="str">
        <f>"843"</f>
        <v>843</v>
      </c>
      <c r="B844" t="str">
        <f>"1.31"</f>
        <v>1.31</v>
      </c>
      <c r="C844" t="str">
        <f>"16"</f>
        <v>16</v>
      </c>
      <c r="D844" t="str">
        <f>"Genki Shock!"</f>
        <v>Genki Shock!</v>
      </c>
    </row>
    <row r="845" spans="1:4" x14ac:dyDescent="0.2">
      <c r="A845" t="str">
        <f>"844"</f>
        <v>844</v>
      </c>
      <c r="B845" t="str">
        <f>"0.82"</f>
        <v>0.82</v>
      </c>
      <c r="C845" t="str">
        <f>"34"</f>
        <v>34</v>
      </c>
      <c r="D845" t="str">
        <f>"Body Stories"</f>
        <v>Body Stories</v>
      </c>
    </row>
    <row r="846" spans="1:4" x14ac:dyDescent="0.2">
      <c r="A846" t="str">
        <f>"845"</f>
        <v>845</v>
      </c>
      <c r="B846" t="str">
        <f>"0.18"</f>
        <v>0.18</v>
      </c>
      <c r="C846" t="str">
        <f>"26"</f>
        <v>26</v>
      </c>
      <c r="D846" t="str">
        <f>"Chosen Lords"</f>
        <v>Chosen Lords</v>
      </c>
    </row>
    <row r="847" spans="1:4" x14ac:dyDescent="0.2">
      <c r="A847" t="str">
        <f>"846"</f>
        <v>846</v>
      </c>
      <c r="B847" t="str">
        <f>"1.79"</f>
        <v>1.79</v>
      </c>
      <c r="C847" t="str">
        <f>"37"</f>
        <v>37</v>
      </c>
      <c r="D847" t="s">
        <v>30</v>
      </c>
    </row>
    <row r="848" spans="1:4" x14ac:dyDescent="0.2">
      <c r="A848" t="str">
        <f>"847"</f>
        <v>847</v>
      </c>
      <c r="B848" t="str">
        <f>"0.15"</f>
        <v>0.15</v>
      </c>
      <c r="C848" t="str">
        <f>"23"</f>
        <v>23</v>
      </c>
      <c r="D848" t="str">
        <f>"EmbryoNNCK"</f>
        <v>EmbryoNNCK</v>
      </c>
    </row>
    <row r="849" spans="1:4" x14ac:dyDescent="0.2">
      <c r="A849" t="str">
        <f>"848"</f>
        <v>848</v>
      </c>
      <c r="B849" t="str">
        <f>"-2.14"</f>
        <v>-2.14</v>
      </c>
      <c r="C849" t="str">
        <f>"25"</f>
        <v>25</v>
      </c>
      <c r="D849" t="str">
        <f>"Nothing Positive Only Negative"</f>
        <v>Nothing Positive Only Negative</v>
      </c>
    </row>
    <row r="850" spans="1:4" x14ac:dyDescent="0.2">
      <c r="A850" t="str">
        <f>"849"</f>
        <v>849</v>
      </c>
      <c r="B850" t="str">
        <f>"0.3"</f>
        <v>0.3</v>
      </c>
      <c r="C850" t="str">
        <f>"40"</f>
        <v>40</v>
      </c>
      <c r="D850" t="str">
        <f>"Estudando o Pagode: Na Opereta Segregamulher e Amor"</f>
        <v>Estudando o Pagode: Na Opereta Segregamulher e Amor</v>
      </c>
    </row>
    <row r="851" spans="1:4" x14ac:dyDescent="0.2">
      <c r="A851" t="str">
        <f>"850"</f>
        <v>850</v>
      </c>
      <c r="B851" t="str">
        <f>"-1.2"</f>
        <v>-1.2</v>
      </c>
      <c r="C851" t="str">
        <f>"22"</f>
        <v>22</v>
      </c>
      <c r="D851" t="str">
        <f>"Curses"</f>
        <v>Curses</v>
      </c>
    </row>
    <row r="852" spans="1:4" x14ac:dyDescent="0.2">
      <c r="A852" t="str">
        <f>"851"</f>
        <v>851</v>
      </c>
      <c r="B852" t="str">
        <f>"0.28"</f>
        <v>0.28</v>
      </c>
      <c r="C852" t="str">
        <f>"114"</f>
        <v>114</v>
      </c>
      <c r="D852" t="str">
        <f>"Bitter Tea"</f>
        <v>Bitter Tea</v>
      </c>
    </row>
    <row r="853" spans="1:4" x14ac:dyDescent="0.2">
      <c r="A853" t="str">
        <f>"852"</f>
        <v>852</v>
      </c>
      <c r="B853" t="str">
        <f>"-0.22"</f>
        <v>-0.22</v>
      </c>
      <c r="C853" t="str">
        <f>"44"</f>
        <v>44</v>
      </c>
      <c r="D853" t="str">
        <f>"Exit Music: Songs With Radio Heads"</f>
        <v>Exit Music: Songs With Radio Heads</v>
      </c>
    </row>
    <row r="854" spans="1:4" x14ac:dyDescent="0.2">
      <c r="A854" t="str">
        <f>"853"</f>
        <v>853</v>
      </c>
      <c r="B854" t="str">
        <f>"-0.5"</f>
        <v>-0.5</v>
      </c>
      <c r="C854" t="str">
        <f>"30"</f>
        <v>30</v>
      </c>
      <c r="D854" t="str">
        <f>"A Blessing and a Curse"</f>
        <v>A Blessing and a Curse</v>
      </c>
    </row>
    <row r="855" spans="1:4" x14ac:dyDescent="0.2">
      <c r="A855" t="str">
        <f>"854"</f>
        <v>854</v>
      </c>
      <c r="B855" t="str">
        <f>"-0.46"</f>
        <v>-0.46</v>
      </c>
      <c r="C855" t="str">
        <f>"19"</f>
        <v>19</v>
      </c>
      <c r="D855" t="str">
        <f>"SeieS"</f>
        <v>SeieS</v>
      </c>
    </row>
    <row r="856" spans="1:4" x14ac:dyDescent="0.2">
      <c r="A856" t="str">
        <f>"855"</f>
        <v>855</v>
      </c>
      <c r="B856" t="str">
        <f>"-0.94"</f>
        <v>-0.94</v>
      </c>
      <c r="C856" t="str">
        <f>"17"</f>
        <v>17</v>
      </c>
      <c r="D856" t="str">
        <f>"Socialize"</f>
        <v>Socialize</v>
      </c>
    </row>
    <row r="857" spans="1:4" x14ac:dyDescent="0.2">
      <c r="A857" t="str">
        <f>"856"</f>
        <v>856</v>
      </c>
      <c r="B857" t="str">
        <f>"-0.53"</f>
        <v>-0.53</v>
      </c>
      <c r="C857" t="str">
        <f>"29"</f>
        <v>29</v>
      </c>
      <c r="D857" t="str">
        <f>"20 Years of Weird: Flaming Lips 1986-2006"</f>
        <v>20 Years of Weird: Flaming Lips 1986-2006</v>
      </c>
    </row>
    <row r="858" spans="1:4" x14ac:dyDescent="0.2">
      <c r="A858" t="str">
        <f>"857"</f>
        <v>857</v>
      </c>
      <c r="B858" t="str">
        <f>"1.35"</f>
        <v>1.35</v>
      </c>
      <c r="C858" t="str">
        <f>"21"</f>
        <v>21</v>
      </c>
      <c r="D858" t="s">
        <v>31</v>
      </c>
    </row>
    <row r="859" spans="1:4" x14ac:dyDescent="0.2">
      <c r="A859" t="str">
        <f>"858"</f>
        <v>858</v>
      </c>
      <c r="B859" t="str">
        <f>"-0.42"</f>
        <v>-0.42</v>
      </c>
      <c r="C859" t="str">
        <f>"74"</f>
        <v>74</v>
      </c>
      <c r="D859" t="str">
        <f>"Go Commando With"</f>
        <v>Go Commando With</v>
      </c>
    </row>
    <row r="860" spans="1:4" x14ac:dyDescent="0.2">
      <c r="A860" t="str">
        <f>"859"</f>
        <v>859</v>
      </c>
      <c r="B860" t="str">
        <f>"-0.04"</f>
        <v>-0.04</v>
      </c>
      <c r="C860" t="str">
        <f>"54"</f>
        <v>54</v>
      </c>
      <c r="D860" t="str">
        <f>"Subtítulo"</f>
        <v>Subtítulo</v>
      </c>
    </row>
    <row r="861" spans="1:4" x14ac:dyDescent="0.2">
      <c r="A861" t="str">
        <f>"860"</f>
        <v>860</v>
      </c>
      <c r="B861" t="str">
        <f>"0.45"</f>
        <v>0.45</v>
      </c>
      <c r="C861" t="str">
        <f>"30"</f>
        <v>30</v>
      </c>
      <c r="D861" t="str">
        <f>"Skeleton"</f>
        <v>Skeleton</v>
      </c>
    </row>
    <row r="862" spans="1:4" x14ac:dyDescent="0.2">
      <c r="A862" t="str">
        <f>"861"</f>
        <v>861</v>
      </c>
      <c r="B862" t="str">
        <f>"-0.39"</f>
        <v>-0.39</v>
      </c>
      <c r="C862" t="str">
        <f>"28"</f>
        <v>28</v>
      </c>
      <c r="D862" t="str">
        <f>"The Decline of the Country and Western Civilization (1993-99)"</f>
        <v>The Decline of the Country and Western Civilization (1993-99)</v>
      </c>
    </row>
    <row r="863" spans="1:4" x14ac:dyDescent="0.2">
      <c r="A863" t="str">
        <f>"862"</f>
        <v>862</v>
      </c>
      <c r="B863" t="str">
        <f>"0.25"</f>
        <v>0.25</v>
      </c>
      <c r="C863" t="str">
        <f>"35"</f>
        <v>35</v>
      </c>
      <c r="D863" t="str">
        <f>"Dixie"</f>
        <v>Dixie</v>
      </c>
    </row>
    <row r="864" spans="1:4" x14ac:dyDescent="0.2">
      <c r="A864" t="str">
        <f>"863"</f>
        <v>863</v>
      </c>
      <c r="B864" t="str">
        <f>"1.25"</f>
        <v>1.25</v>
      </c>
      <c r="C864" t="str">
        <f>"23"</f>
        <v>23</v>
      </c>
      <c r="D864" t="str">
        <f>"Chops"</f>
        <v>Chops</v>
      </c>
    </row>
    <row r="865" spans="1:4" x14ac:dyDescent="0.2">
      <c r="A865" t="str">
        <f>"864"</f>
        <v>864</v>
      </c>
      <c r="B865" t="str">
        <f>"-0.32"</f>
        <v>-0.32</v>
      </c>
      <c r="C865" t="str">
        <f>"27"</f>
        <v>27</v>
      </c>
      <c r="D865" t="str">
        <f>"Vessel States"</f>
        <v>Vessel States</v>
      </c>
    </row>
    <row r="866" spans="1:4" x14ac:dyDescent="0.2">
      <c r="A866" t="str">
        <f>"865"</f>
        <v>865</v>
      </c>
      <c r="B866" t="str">
        <f>"0.83"</f>
        <v>0.83</v>
      </c>
      <c r="C866" t="str">
        <f>"29"</f>
        <v>29</v>
      </c>
      <c r="D866" t="str">
        <f>"Some Echoes"</f>
        <v>Some Echoes</v>
      </c>
    </row>
    <row r="867" spans="1:4" x14ac:dyDescent="0.2">
      <c r="A867" t="str">
        <f>"866"</f>
        <v>866</v>
      </c>
      <c r="B867" t="str">
        <f>"-0.63"</f>
        <v>-0.63</v>
      </c>
      <c r="C867" t="str">
        <f>"49"</f>
        <v>49</v>
      </c>
      <c r="D867" t="str">
        <f>"Kratitude"</f>
        <v>Kratitude</v>
      </c>
    </row>
    <row r="868" spans="1:4" x14ac:dyDescent="0.2">
      <c r="A868" t="str">
        <f>"867"</f>
        <v>867</v>
      </c>
      <c r="B868" t="str">
        <f>"-0.22"</f>
        <v>-0.22</v>
      </c>
      <c r="C868" t="str">
        <f>"22"</f>
        <v>22</v>
      </c>
      <c r="D868" t="str">
        <f>"Songs and Other Things"</f>
        <v>Songs and Other Things</v>
      </c>
    </row>
    <row r="869" spans="1:4" x14ac:dyDescent="0.2">
      <c r="A869" t="str">
        <f>"868"</f>
        <v>868</v>
      </c>
      <c r="B869" t="str">
        <f>"1.08"</f>
        <v>1.08</v>
      </c>
      <c r="C869" t="str">
        <f>"20"</f>
        <v>20</v>
      </c>
      <c r="D869" t="str">
        <f>"Garden Ruin"</f>
        <v>Garden Ruin</v>
      </c>
    </row>
    <row r="870" spans="1:4" x14ac:dyDescent="0.2">
      <c r="A870" t="str">
        <f>"869"</f>
        <v>869</v>
      </c>
      <c r="B870" t="str">
        <f>"0.83"</f>
        <v>0.83</v>
      </c>
      <c r="C870" t="str">
        <f>"18"</f>
        <v>18</v>
      </c>
      <c r="D870" t="str">
        <f>"A Wolf in Sheep's Clothing"</f>
        <v>A Wolf in Sheep's Clothing</v>
      </c>
    </row>
    <row r="871" spans="1:4" x14ac:dyDescent="0.2">
      <c r="A871" t="str">
        <f>"870"</f>
        <v>870</v>
      </c>
      <c r="B871" t="str">
        <f>"-0.52"</f>
        <v>-0.52</v>
      </c>
      <c r="C871" t="str">
        <f>"33"</f>
        <v>33</v>
      </c>
      <c r="D871" t="str">
        <f>"Élan Vital"</f>
        <v>Élan Vital</v>
      </c>
    </row>
    <row r="872" spans="1:4" x14ac:dyDescent="0.2">
      <c r="A872" t="str">
        <f>"871"</f>
        <v>871</v>
      </c>
      <c r="B872" t="str">
        <f>"-0.72"</f>
        <v>-0.72</v>
      </c>
      <c r="C872" t="str">
        <f>"40"</f>
        <v>40</v>
      </c>
      <c r="D872" t="str">
        <f>"Stay Afraid"</f>
        <v>Stay Afraid</v>
      </c>
    </row>
    <row r="873" spans="1:4" x14ac:dyDescent="0.2">
      <c r="A873" t="str">
        <f>"872"</f>
        <v>872</v>
      </c>
      <c r="B873" t="str">
        <f>"0.05"</f>
        <v>0.05</v>
      </c>
      <c r="C873" t="str">
        <f>"28"</f>
        <v>28</v>
      </c>
      <c r="D873" t="str">
        <f>"The Charm"</f>
        <v>The Charm</v>
      </c>
    </row>
    <row r="874" spans="1:4" x14ac:dyDescent="0.2">
      <c r="A874" t="str">
        <f>"873"</f>
        <v>873</v>
      </c>
      <c r="B874" t="str">
        <f>"-1.36"</f>
        <v>-1.36</v>
      </c>
      <c r="C874" t="str">
        <f>"19"</f>
        <v>19</v>
      </c>
      <c r="D874" t="str">
        <f>"The Martial Arts"</f>
        <v>The Martial Arts</v>
      </c>
    </row>
    <row r="875" spans="1:4" x14ac:dyDescent="0.2">
      <c r="A875" t="str">
        <f>"874"</f>
        <v>874</v>
      </c>
      <c r="B875" t="str">
        <f>"0.58"</f>
        <v>0.58</v>
      </c>
      <c r="C875" t="str">
        <f>"57"</f>
        <v>57</v>
      </c>
      <c r="D875" t="str">
        <f>"Color Strip"</f>
        <v>Color Strip</v>
      </c>
    </row>
    <row r="876" spans="1:4" x14ac:dyDescent="0.2">
      <c r="A876" t="str">
        <f>"875"</f>
        <v>875</v>
      </c>
      <c r="B876" t="str">
        <f>"-0.93"</f>
        <v>-0.93</v>
      </c>
      <c r="C876" t="str">
        <f>"35"</f>
        <v>35</v>
      </c>
      <c r="D876" t="str">
        <f>"The Hardest Way to Make an Easy Living"</f>
        <v>The Hardest Way to Make an Easy Living</v>
      </c>
    </row>
    <row r="877" spans="1:4" x14ac:dyDescent="0.2">
      <c r="A877" t="str">
        <f>"876"</f>
        <v>876</v>
      </c>
      <c r="B877" t="str">
        <f>"0.96"</f>
        <v>0.96</v>
      </c>
      <c r="C877" t="str">
        <f>"19"</f>
        <v>19</v>
      </c>
      <c r="D877" t="str">
        <f>"Death by Sexy"</f>
        <v>Death by Sexy</v>
      </c>
    </row>
    <row r="878" spans="1:4" x14ac:dyDescent="0.2">
      <c r="A878" t="str">
        <f>"877"</f>
        <v>877</v>
      </c>
      <c r="B878" t="str">
        <f>"-0.12"</f>
        <v>-0.12</v>
      </c>
      <c r="C878" t="str">
        <f>"24"</f>
        <v>24</v>
      </c>
      <c r="D878" t="str">
        <f>"Wind-Up Canary"</f>
        <v>Wind-Up Canary</v>
      </c>
    </row>
    <row r="879" spans="1:4" x14ac:dyDescent="0.2">
      <c r="A879" t="str">
        <f>"878"</f>
        <v>878</v>
      </c>
      <c r="B879" t="str">
        <f>"1.44"</f>
        <v>1.44</v>
      </c>
      <c r="C879" t="str">
        <f>"17"</f>
        <v>17</v>
      </c>
      <c r="D879" t="str">
        <f>"Mi and L'au"</f>
        <v>Mi and L'au</v>
      </c>
    </row>
    <row r="880" spans="1:4" x14ac:dyDescent="0.2">
      <c r="A880" t="str">
        <f>"879"</f>
        <v>879</v>
      </c>
      <c r="B880" t="str">
        <f>"0.46"</f>
        <v>0.46</v>
      </c>
      <c r="C880" t="str">
        <f>"54"</f>
        <v>54</v>
      </c>
      <c r="D880" t="str">
        <f>"Tales of the Forgotten Melodies"</f>
        <v>Tales of the Forgotten Melodies</v>
      </c>
    </row>
    <row r="881" spans="1:4" x14ac:dyDescent="0.2">
      <c r="A881" t="str">
        <f>"880"</f>
        <v>880</v>
      </c>
      <c r="B881" t="str">
        <f>"0.6"</f>
        <v>0.6</v>
      </c>
      <c r="C881" t="str">
        <f>"19"</f>
        <v>19</v>
      </c>
      <c r="D881" t="str">
        <f>"You in Reverse"</f>
        <v>You in Reverse</v>
      </c>
    </row>
    <row r="882" spans="1:4" x14ac:dyDescent="0.2">
      <c r="A882" t="str">
        <f>"881"</f>
        <v>881</v>
      </c>
      <c r="B882" t="str">
        <f>"-0.78"</f>
        <v>-0.78</v>
      </c>
      <c r="C882" t="str">
        <f>"31"</f>
        <v>31</v>
      </c>
      <c r="D882" t="str">
        <f>"Every Day Is Exactly the Same EP"</f>
        <v>Every Day Is Exactly the Same EP</v>
      </c>
    </row>
    <row r="883" spans="1:4" x14ac:dyDescent="0.2">
      <c r="A883" t="str">
        <f>"882"</f>
        <v>882</v>
      </c>
      <c r="B883" t="str">
        <f>"0.1"</f>
        <v>0.1</v>
      </c>
      <c r="C883" t="str">
        <f>"26"</f>
        <v>26</v>
      </c>
      <c r="D883" t="str">
        <f>"Syntoptikon"</f>
        <v>Syntoptikon</v>
      </c>
    </row>
    <row r="884" spans="1:4" x14ac:dyDescent="0.2">
      <c r="A884" t="str">
        <f>"883"</f>
        <v>883</v>
      </c>
      <c r="B884" t="str">
        <f>"1.11"</f>
        <v>1.11</v>
      </c>
      <c r="C884" t="str">
        <f>"11"</f>
        <v>11</v>
      </c>
      <c r="D884" t="str">
        <f>"They Think They Are the Robocop Kraus"</f>
        <v>They Think They Are the Robocop Kraus</v>
      </c>
    </row>
    <row r="885" spans="1:4" x14ac:dyDescent="0.2">
      <c r="A885" t="str">
        <f>"884"</f>
        <v>884</v>
      </c>
      <c r="B885" t="str">
        <f>"0.11"</f>
        <v>0.11</v>
      </c>
      <c r="C885" t="str">
        <f>"79"</f>
        <v>79</v>
      </c>
      <c r="D885" t="str">
        <f>"Demon"</f>
        <v>Demon</v>
      </c>
    </row>
    <row r="886" spans="1:4" x14ac:dyDescent="0.2">
      <c r="A886" t="str">
        <f>"885"</f>
        <v>885</v>
      </c>
      <c r="B886" t="str">
        <f>"-0.84"</f>
        <v>-0.84</v>
      </c>
      <c r="C886" t="str">
        <f>"20"</f>
        <v>20</v>
      </c>
      <c r="D886" t="str">
        <f>"Peregrine"</f>
        <v>Peregrine</v>
      </c>
    </row>
    <row r="887" spans="1:4" x14ac:dyDescent="0.2">
      <c r="A887" t="str">
        <f>"886"</f>
        <v>886</v>
      </c>
      <c r="B887" t="str">
        <f>"0.54"</f>
        <v>0.54</v>
      </c>
      <c r="C887" t="str">
        <f>"42"</f>
        <v>42</v>
      </c>
      <c r="D887" t="str">
        <f>"Cluster &amp; Eno"</f>
        <v>Cluster &amp; Eno</v>
      </c>
    </row>
    <row r="888" spans="1:4" x14ac:dyDescent="0.2">
      <c r="A888" t="str">
        <f>"887"</f>
        <v>887</v>
      </c>
      <c r="B888" t="str">
        <f>"0.72"</f>
        <v>0.72</v>
      </c>
      <c r="C888" t="str">
        <f>"13"</f>
        <v>13</v>
      </c>
      <c r="D888" t="str">
        <f>"That Striped Sunlight Sound"</f>
        <v>That Striped Sunlight Sound</v>
      </c>
    </row>
    <row r="889" spans="1:4" x14ac:dyDescent="0.2">
      <c r="A889" t="str">
        <f>"888"</f>
        <v>888</v>
      </c>
      <c r="B889" t="str">
        <f>"-0.07"</f>
        <v>-0.07</v>
      </c>
      <c r="C889" t="str">
        <f>"27"</f>
        <v>27</v>
      </c>
      <c r="D889" t="str">
        <f>"Show Your Bones"</f>
        <v>Show Your Bones</v>
      </c>
    </row>
    <row r="890" spans="1:4" x14ac:dyDescent="0.2">
      <c r="A890" t="str">
        <f>"889"</f>
        <v>889</v>
      </c>
      <c r="B890" t="str">
        <f>"0.76"</f>
        <v>0.76</v>
      </c>
      <c r="C890" t="str">
        <f>"23"</f>
        <v>23</v>
      </c>
      <c r="D890" t="str">
        <f>"The DFA Remixes: Chapter One"</f>
        <v>The DFA Remixes: Chapter One</v>
      </c>
    </row>
    <row r="891" spans="1:4" x14ac:dyDescent="0.2">
      <c r="A891" t="str">
        <f>"890"</f>
        <v>890</v>
      </c>
      <c r="B891" t="str">
        <f>"-0.18"</f>
        <v>-0.18</v>
      </c>
      <c r="C891" t="str">
        <f>"21"</f>
        <v>21</v>
      </c>
      <c r="D891" t="str">
        <f>"Ardent Fevers"</f>
        <v>Ardent Fevers</v>
      </c>
    </row>
    <row r="892" spans="1:4" x14ac:dyDescent="0.2">
      <c r="A892" t="str">
        <f>"891"</f>
        <v>891</v>
      </c>
      <c r="B892" t="str">
        <f>"0.46"</f>
        <v>0.46</v>
      </c>
      <c r="C892" t="str">
        <f>"43"</f>
        <v>43</v>
      </c>
      <c r="D892" t="str">
        <f>"Sonic Youth"</f>
        <v>Sonic Youth</v>
      </c>
    </row>
    <row r="893" spans="1:4" x14ac:dyDescent="0.2">
      <c r="A893" t="str">
        <f>"892"</f>
        <v>892</v>
      </c>
      <c r="B893" t="str">
        <f>"0.16"</f>
        <v>0.16</v>
      </c>
      <c r="C893" t="str">
        <f>"26"</f>
        <v>26</v>
      </c>
      <c r="D893" t="str">
        <f>"Return to the Sea"</f>
        <v>Return to the Sea</v>
      </c>
    </row>
    <row r="894" spans="1:4" x14ac:dyDescent="0.2">
      <c r="A894" t="str">
        <f>"893"</f>
        <v>893</v>
      </c>
      <c r="B894" t="str">
        <f>"-0.57"</f>
        <v>-0.57</v>
      </c>
      <c r="C894" t="str">
        <f>"29"</f>
        <v>29</v>
      </c>
      <c r="D894" t="str">
        <f>"Sex Brain EP"</f>
        <v>Sex Brain EP</v>
      </c>
    </row>
    <row r="895" spans="1:4" x14ac:dyDescent="0.2">
      <c r="A895" t="str">
        <f>"894"</f>
        <v>894</v>
      </c>
      <c r="B895" t="str">
        <f>"0.99"</f>
        <v>0.99</v>
      </c>
      <c r="C895" t="str">
        <f>"56"</f>
        <v>56</v>
      </c>
      <c r="D895" t="str">
        <f>"Sorry I Made You Cry"</f>
        <v>Sorry I Made You Cry</v>
      </c>
    </row>
    <row r="896" spans="1:4" x14ac:dyDescent="0.2">
      <c r="A896" t="str">
        <f>"895"</f>
        <v>895</v>
      </c>
      <c r="B896" t="str">
        <f>"0.23"</f>
        <v>0.23</v>
      </c>
      <c r="C896" t="str">
        <f>"29"</f>
        <v>29</v>
      </c>
      <c r="D896" t="str">
        <f>"Right About Now: The Official Sucka Free Mixtape"</f>
        <v>Right About Now: The Official Sucka Free Mixtape</v>
      </c>
    </row>
    <row r="897" spans="1:4" x14ac:dyDescent="0.2">
      <c r="A897" t="str">
        <f>"896"</f>
        <v>896</v>
      </c>
      <c r="B897" t="str">
        <f>"0"</f>
        <v>0</v>
      </c>
      <c r="C897" t="str">
        <f>"28"</f>
        <v>28</v>
      </c>
      <c r="D897" t="str">
        <f>"Musique Vol. 1 (1993-2005)"</f>
        <v>Musique Vol. 1 (1993-2005)</v>
      </c>
    </row>
    <row r="898" spans="1:4" x14ac:dyDescent="0.2">
      <c r="A898" t="str">
        <f>"897"</f>
        <v>897</v>
      </c>
      <c r="B898" t="str">
        <f>"0.03"</f>
        <v>0.03</v>
      </c>
      <c r="C898" t="str">
        <f>"28"</f>
        <v>28</v>
      </c>
      <c r="D898" t="str">
        <f>"King"</f>
        <v>King</v>
      </c>
    </row>
    <row r="899" spans="1:4" x14ac:dyDescent="0.2">
      <c r="A899" t="str">
        <f>"898"</f>
        <v>898</v>
      </c>
      <c r="B899" t="str">
        <f>"1.55"</f>
        <v>1.55</v>
      </c>
      <c r="C899" t="str">
        <f>"21"</f>
        <v>21</v>
      </c>
      <c r="D899" t="str">
        <f>"Here's My Song You Can Have It...I Don't Want It Anymore/Yours 4-Ever Nicolai Dunger"</f>
        <v>Here's My Song You Can Have It...I Don't Want It Anymore/Yours 4-Ever Nicolai Dunger</v>
      </c>
    </row>
    <row r="900" spans="1:4" x14ac:dyDescent="0.2">
      <c r="A900" t="str">
        <f>"899"</f>
        <v>899</v>
      </c>
      <c r="B900" t="str">
        <f>"-0.1"</f>
        <v>-0.1</v>
      </c>
      <c r="C900" t="str">
        <f>"21"</f>
        <v>21</v>
      </c>
      <c r="D900" t="str">
        <f>"Sweet Spot"</f>
        <v>Sweet Spot</v>
      </c>
    </row>
    <row r="901" spans="1:4" x14ac:dyDescent="0.2">
      <c r="A901" t="str">
        <f>"900"</f>
        <v>900</v>
      </c>
      <c r="B901" t="str">
        <f>"0.25"</f>
        <v>0.25</v>
      </c>
      <c r="C901" t="str">
        <f>"16"</f>
        <v>16</v>
      </c>
      <c r="D901" t="str">
        <f>"You Are There"</f>
        <v>You Are There</v>
      </c>
    </row>
    <row r="902" spans="1:4" x14ac:dyDescent="0.2">
      <c r="A902" t="str">
        <f>"901"</f>
        <v>901</v>
      </c>
      <c r="B902" t="str">
        <f>"0.11"</f>
        <v>0.11</v>
      </c>
      <c r="C902" t="str">
        <f>"36"</f>
        <v>36</v>
      </c>
      <c r="D902" t="str">
        <f>"Ringleader of the Tormentors"</f>
        <v>Ringleader of the Tormentors</v>
      </c>
    </row>
    <row r="903" spans="1:4" x14ac:dyDescent="0.2">
      <c r="A903" t="str">
        <f>"902"</f>
        <v>902</v>
      </c>
      <c r="B903" t="str">
        <f>"0.03"</f>
        <v>0.03</v>
      </c>
      <c r="C903" t="str">
        <f>"19"</f>
        <v>19</v>
      </c>
      <c r="D903" t="str">
        <f>"Things Go Better With RJ and Al"</f>
        <v>Things Go Better With RJ and Al</v>
      </c>
    </row>
    <row r="904" spans="1:4" x14ac:dyDescent="0.2">
      <c r="A904" t="str">
        <f>"903"</f>
        <v>903</v>
      </c>
      <c r="B904" t="str">
        <f>"-1.01"</f>
        <v>-1.01</v>
      </c>
      <c r="C904" t="str">
        <f>"24"</f>
        <v>24</v>
      </c>
      <c r="D904" t="str">
        <f>"Killing Time"</f>
        <v>Killing Time</v>
      </c>
    </row>
    <row r="905" spans="1:4" x14ac:dyDescent="0.2">
      <c r="A905" t="str">
        <f>"904"</f>
        <v>904</v>
      </c>
      <c r="B905" t="str">
        <f>"1.44"</f>
        <v>1.44</v>
      </c>
      <c r="C905" t="str">
        <f>"66"</f>
        <v>66</v>
      </c>
      <c r="D905" t="s">
        <v>32</v>
      </c>
    </row>
    <row r="906" spans="1:4" x14ac:dyDescent="0.2">
      <c r="A906" t="str">
        <f>"905"</f>
        <v>905</v>
      </c>
      <c r="B906" t="str">
        <f>"0.17"</f>
        <v>0.17</v>
      </c>
      <c r="C906" t="str">
        <f>"22"</f>
        <v>22</v>
      </c>
      <c r="D906" t="str">
        <f>"Dixie"</f>
        <v>Dixie</v>
      </c>
    </row>
    <row r="907" spans="1:4" x14ac:dyDescent="0.2">
      <c r="A907" t="str">
        <f>"906"</f>
        <v>906</v>
      </c>
      <c r="B907" t="str">
        <f>"1.02"</f>
        <v>1.02</v>
      </c>
      <c r="C907" t="str">
        <f>"19"</f>
        <v>19</v>
      </c>
      <c r="D907" t="str">
        <f>"Feathers"</f>
        <v>Feathers</v>
      </c>
    </row>
    <row r="908" spans="1:4" x14ac:dyDescent="0.2">
      <c r="A908" t="str">
        <f>"907"</f>
        <v>907</v>
      </c>
      <c r="B908" t="str">
        <f>"0.05"</f>
        <v>0.05</v>
      </c>
      <c r="C908" t="str">
        <f>"29"</f>
        <v>29</v>
      </c>
      <c r="D908" t="str">
        <f>"At War With the Mystics"</f>
        <v>At War With the Mystics</v>
      </c>
    </row>
    <row r="909" spans="1:4" x14ac:dyDescent="0.2">
      <c r="A909" t="str">
        <f>"908"</f>
        <v>908</v>
      </c>
      <c r="B909" t="str">
        <f>"0.09"</f>
        <v>0.09</v>
      </c>
      <c r="C909" t="str">
        <f>"66"</f>
        <v>66</v>
      </c>
      <c r="D909" t="str">
        <f>"Vision Valley"</f>
        <v>Vision Valley</v>
      </c>
    </row>
    <row r="910" spans="1:4" x14ac:dyDescent="0.2">
      <c r="A910" t="str">
        <f>"909"</f>
        <v>909</v>
      </c>
      <c r="B910" t="str">
        <f>"-0.79"</f>
        <v>-0.79</v>
      </c>
      <c r="C910" t="str">
        <f>"56"</f>
        <v>56</v>
      </c>
      <c r="D910" t="str">
        <f>"What You Will"</f>
        <v>What You Will</v>
      </c>
    </row>
    <row r="911" spans="1:4" x14ac:dyDescent="0.2">
      <c r="A911" t="str">
        <f>"910"</f>
        <v>910</v>
      </c>
      <c r="B911" t="str">
        <f>"0.38"</f>
        <v>0.38</v>
      </c>
      <c r="C911" t="str">
        <f>"46"</f>
        <v>46</v>
      </c>
      <c r="D911" t="str">
        <f>"Cannibal Sea"</f>
        <v>Cannibal Sea</v>
      </c>
    </row>
    <row r="912" spans="1:4" x14ac:dyDescent="0.2">
      <c r="A912" t="str">
        <f>"911"</f>
        <v>911</v>
      </c>
      <c r="B912" t="str">
        <f>"-0.3"</f>
        <v>-0.3</v>
      </c>
      <c r="C912" t="str">
        <f>"29"</f>
        <v>29</v>
      </c>
      <c r="D912" t="str">
        <f>"Starless and Bible Black Sabbath"</f>
        <v>Starless and Bible Black Sabbath</v>
      </c>
    </row>
    <row r="913" spans="1:4" x14ac:dyDescent="0.2">
      <c r="A913" t="str">
        <f>"912"</f>
        <v>912</v>
      </c>
      <c r="B913" t="str">
        <f>"1.03"</f>
        <v>1.03</v>
      </c>
      <c r="C913" t="str">
        <f>"60"</f>
        <v>60</v>
      </c>
      <c r="D913" t="str">
        <f>"Duper Sessions"</f>
        <v>Duper Sessions</v>
      </c>
    </row>
    <row r="914" spans="1:4" x14ac:dyDescent="0.2">
      <c r="A914" t="str">
        <f>"913"</f>
        <v>913</v>
      </c>
      <c r="B914" t="str">
        <f>"-1.17"</f>
        <v>-1.17</v>
      </c>
      <c r="C914" t="str">
        <f>"16"</f>
        <v>16</v>
      </c>
      <c r="D914" t="str">
        <f>"The Long Salt"</f>
        <v>The Long Salt</v>
      </c>
    </row>
    <row r="915" spans="1:4" x14ac:dyDescent="0.2">
      <c r="A915" t="str">
        <f>"914"</f>
        <v>914</v>
      </c>
      <c r="B915" t="str">
        <f>"0.16"</f>
        <v>0.16</v>
      </c>
      <c r="C915" t="str">
        <f>"21"</f>
        <v>21</v>
      </c>
      <c r="D915" t="str">
        <f>"Boo Hoo Hoo Boo"</f>
        <v>Boo Hoo Hoo Boo</v>
      </c>
    </row>
    <row r="916" spans="1:4" x14ac:dyDescent="0.2">
      <c r="A916" t="str">
        <f>"915"</f>
        <v>915</v>
      </c>
      <c r="B916" t="str">
        <f>"1.18"</f>
        <v>1.18</v>
      </c>
      <c r="C916" t="str">
        <f>"57"</f>
        <v>57</v>
      </c>
      <c r="D916" t="s">
        <v>33</v>
      </c>
    </row>
    <row r="917" spans="1:4" x14ac:dyDescent="0.2">
      <c r="A917" t="str">
        <f>"916"</f>
        <v>916</v>
      </c>
      <c r="B917" t="str">
        <f>"0.73"</f>
        <v>0.73</v>
      </c>
      <c r="C917" t="str">
        <f>"23"</f>
        <v>23</v>
      </c>
      <c r="D917" t="str">
        <f>"Wayfaring Strangers: Ladies From the Canyon"</f>
        <v>Wayfaring Strangers: Ladies From the Canyon</v>
      </c>
    </row>
    <row r="918" spans="1:4" x14ac:dyDescent="0.2">
      <c r="A918" t="str">
        <f>"917"</f>
        <v>917</v>
      </c>
      <c r="B918" t="str">
        <f>"0.38"</f>
        <v>0.38</v>
      </c>
      <c r="C918" t="str">
        <f>"23"</f>
        <v>23</v>
      </c>
      <c r="D918" t="str">
        <f>"Beat Romantic"</f>
        <v>Beat Romantic</v>
      </c>
    </row>
    <row r="919" spans="1:4" x14ac:dyDescent="0.2">
      <c r="A919" t="str">
        <f>"918"</f>
        <v>918</v>
      </c>
      <c r="B919" t="str">
        <f>"-0.15"</f>
        <v>-0.15</v>
      </c>
      <c r="C919" t="str">
        <f>"24"</f>
        <v>24</v>
      </c>
      <c r="D919" t="str">
        <f>"Out of the Ashes"</f>
        <v>Out of the Ashes</v>
      </c>
    </row>
    <row r="920" spans="1:4" x14ac:dyDescent="0.2">
      <c r="A920" t="str">
        <f>"919"</f>
        <v>919</v>
      </c>
      <c r="B920" t="str">
        <f>"0.52"</f>
        <v>0.52</v>
      </c>
      <c r="C920" t="str">
        <f>"55"</f>
        <v>55</v>
      </c>
      <c r="D920" t="str">
        <f>"Hand Cranked"</f>
        <v>Hand Cranked</v>
      </c>
    </row>
    <row r="921" spans="1:4" x14ac:dyDescent="0.2">
      <c r="A921" t="str">
        <f>"920"</f>
        <v>920</v>
      </c>
      <c r="B921" t="str">
        <f>"0.55"</f>
        <v>0.55</v>
      </c>
      <c r="C921" t="str">
        <f>"27"</f>
        <v>27</v>
      </c>
      <c r="D921" t="str">
        <f>"Raised By Wolves EP"</f>
        <v>Raised By Wolves EP</v>
      </c>
    </row>
    <row r="922" spans="1:4" x14ac:dyDescent="0.2">
      <c r="A922" t="str">
        <f>"921"</f>
        <v>921</v>
      </c>
      <c r="B922" t="str">
        <f>"-1.46"</f>
        <v>-1.46</v>
      </c>
      <c r="C922" t="str">
        <f>"30"</f>
        <v>30</v>
      </c>
      <c r="D922" t="str">
        <f>"Ten Silver Drops"</f>
        <v>Ten Silver Drops</v>
      </c>
    </row>
    <row r="923" spans="1:4" x14ac:dyDescent="0.2">
      <c r="A923" t="str">
        <f>"922"</f>
        <v>922</v>
      </c>
      <c r="B923" t="str">
        <f>"0.92"</f>
        <v>0.92</v>
      </c>
      <c r="C923" t="str">
        <f>"48"</f>
        <v>48</v>
      </c>
      <c r="D923" t="str">
        <f>"'Sno Angel Like You"</f>
        <v>'Sno Angel Like You</v>
      </c>
    </row>
    <row r="924" spans="1:4" x14ac:dyDescent="0.2">
      <c r="A924" t="str">
        <f>"923"</f>
        <v>923</v>
      </c>
      <c r="B924" t="str">
        <f>"0.41"</f>
        <v>0.41</v>
      </c>
      <c r="C924" t="str">
        <f>"48"</f>
        <v>48</v>
      </c>
      <c r="D924" t="str">
        <f>"Unlimited (1979-1983)"</f>
        <v>Unlimited (1979-1983)</v>
      </c>
    </row>
    <row r="925" spans="1:4" x14ac:dyDescent="0.2">
      <c r="A925" t="str">
        <f>"924"</f>
        <v>924</v>
      </c>
      <c r="B925" t="str">
        <f>"0.41"</f>
        <v>0.41</v>
      </c>
      <c r="C925" t="str">
        <f>"17"</f>
        <v>17</v>
      </c>
      <c r="D925" t="str">
        <f>"Mother's Daughter...and Other Songs"</f>
        <v>Mother's Daughter...and Other Songs</v>
      </c>
    </row>
    <row r="926" spans="1:4" x14ac:dyDescent="0.2">
      <c r="A926" t="str">
        <f>"925"</f>
        <v>925</v>
      </c>
      <c r="B926" t="str">
        <f>"0.27"</f>
        <v>0.27</v>
      </c>
      <c r="C926" t="str">
        <f>"43"</f>
        <v>43</v>
      </c>
      <c r="D926" t="str">
        <f>"Fishscale"</f>
        <v>Fishscale</v>
      </c>
    </row>
    <row r="927" spans="1:4" x14ac:dyDescent="0.2">
      <c r="A927" t="str">
        <f>"926"</f>
        <v>926</v>
      </c>
      <c r="B927" t="str">
        <f>"-0.03"</f>
        <v>-0.03</v>
      </c>
      <c r="C927" t="str">
        <f>"74"</f>
        <v>74</v>
      </c>
      <c r="D927" t="str">
        <f>"Collected"</f>
        <v>Collected</v>
      </c>
    </row>
    <row r="928" spans="1:4" x14ac:dyDescent="0.2">
      <c r="A928" t="str">
        <f>"927"</f>
        <v>927</v>
      </c>
      <c r="B928" t="str">
        <f>"-0.29"</f>
        <v>-0.29</v>
      </c>
      <c r="C928" t="str">
        <f>"23"</f>
        <v>23</v>
      </c>
      <c r="D928" t="str">
        <f>"Standing in the Way of Control"</f>
        <v>Standing in the Way of Control</v>
      </c>
    </row>
    <row r="929" spans="1:4" x14ac:dyDescent="0.2">
      <c r="A929" t="str">
        <f>"928"</f>
        <v>928</v>
      </c>
      <c r="B929" t="str">
        <f>"0.75"</f>
        <v>0.75</v>
      </c>
      <c r="C929" t="str">
        <f>"57"</f>
        <v>57</v>
      </c>
      <c r="D929" t="str">
        <f>"Tokyo"</f>
        <v>Tokyo</v>
      </c>
    </row>
    <row r="930" spans="1:4" x14ac:dyDescent="0.2">
      <c r="A930" t="str">
        <f>"929"</f>
        <v>929</v>
      </c>
      <c r="B930" t="str">
        <f>"-1.01"</f>
        <v>-1.01</v>
      </c>
      <c r="C930" t="str">
        <f>"58"</f>
        <v>58</v>
      </c>
      <c r="D930" t="str">
        <f>"We Are Not the Infadels"</f>
        <v>We Are Not the Infadels</v>
      </c>
    </row>
    <row r="931" spans="1:4" x14ac:dyDescent="0.2">
      <c r="A931" t="str">
        <f>"930"</f>
        <v>930</v>
      </c>
      <c r="B931" t="str">
        <f>"-1.28"</f>
        <v>-1.28</v>
      </c>
      <c r="C931" t="str">
        <f>"23"</f>
        <v>23</v>
      </c>
      <c r="D931" t="str">
        <f>"Reality Check"</f>
        <v>Reality Check</v>
      </c>
    </row>
    <row r="932" spans="1:4" x14ac:dyDescent="0.2">
      <c r="A932" t="str">
        <f>"931"</f>
        <v>931</v>
      </c>
      <c r="B932" t="str">
        <f>"-0.34"</f>
        <v>-0.34</v>
      </c>
      <c r="C932" t="str">
        <f>"56"</f>
        <v>56</v>
      </c>
      <c r="D932" t="str">
        <f>"In Colour"</f>
        <v>In Colour</v>
      </c>
    </row>
    <row r="933" spans="1:4" x14ac:dyDescent="0.2">
      <c r="A933" t="str">
        <f>"932"</f>
        <v>932</v>
      </c>
      <c r="B933" t="str">
        <f>"0.5"</f>
        <v>0.5</v>
      </c>
      <c r="C933" t="str">
        <f>"21"</f>
        <v>21</v>
      </c>
      <c r="D933" t="str">
        <f>"Box"</f>
        <v>Box</v>
      </c>
    </row>
    <row r="934" spans="1:4" x14ac:dyDescent="0.2">
      <c r="A934" t="str">
        <f>"933"</f>
        <v>933</v>
      </c>
      <c r="B934" t="str">
        <f>"-0.13"</f>
        <v>-0.13</v>
      </c>
      <c r="C934" t="str">
        <f>"40"</f>
        <v>40</v>
      </c>
      <c r="D934" t="str">
        <f>"What the Toll Tells"</f>
        <v>What the Toll Tells</v>
      </c>
    </row>
    <row r="935" spans="1:4" x14ac:dyDescent="0.2">
      <c r="A935" t="str">
        <f>"934"</f>
        <v>934</v>
      </c>
      <c r="B935" t="str">
        <f>"0.3"</f>
        <v>0.3</v>
      </c>
      <c r="C935" t="str">
        <f>"46"</f>
        <v>46</v>
      </c>
      <c r="D935" t="str">
        <f>"Judee Sill"</f>
        <v>Judee Sill</v>
      </c>
    </row>
    <row r="936" spans="1:4" x14ac:dyDescent="0.2">
      <c r="A936" t="str">
        <f>"935"</f>
        <v>935</v>
      </c>
      <c r="B936" t="str">
        <f>"-0.14"</f>
        <v>-0.14</v>
      </c>
      <c r="C936" t="str">
        <f>"49"</f>
        <v>49</v>
      </c>
      <c r="D936" t="str">
        <f>"My Life in the Bush of Ghosts"</f>
        <v>My Life in the Bush of Ghosts</v>
      </c>
    </row>
    <row r="937" spans="1:4" x14ac:dyDescent="0.2">
      <c r="A937" t="str">
        <f>"936"</f>
        <v>936</v>
      </c>
      <c r="B937" t="str">
        <f>"-0.11"</f>
        <v>-0.11</v>
      </c>
      <c r="C937" t="str">
        <f>"39"</f>
        <v>39</v>
      </c>
      <c r="D937" t="str">
        <f>"Notes and the Like"</f>
        <v>Notes and the Like</v>
      </c>
    </row>
    <row r="938" spans="1:4" x14ac:dyDescent="0.2">
      <c r="A938" t="str">
        <f>"937"</f>
        <v>937</v>
      </c>
      <c r="B938" t="str">
        <f>"0.9"</f>
        <v>0.9</v>
      </c>
      <c r="C938" t="str">
        <f>"47"</f>
        <v>47</v>
      </c>
      <c r="D938" t="str">
        <f>"Omni"</f>
        <v>Omni</v>
      </c>
    </row>
    <row r="939" spans="1:4" x14ac:dyDescent="0.2">
      <c r="A939" t="str">
        <f>"938"</f>
        <v>938</v>
      </c>
      <c r="B939" t="str">
        <f>"0.32"</f>
        <v>0.32</v>
      </c>
      <c r="C939" t="str">
        <f>"18"</f>
        <v>18</v>
      </c>
      <c r="D939" t="str">
        <f>"Bloom EP"</f>
        <v>Bloom EP</v>
      </c>
    </row>
    <row r="940" spans="1:4" x14ac:dyDescent="0.2">
      <c r="A940" t="str">
        <f>"939"</f>
        <v>939</v>
      </c>
      <c r="B940" t="str">
        <f>"-0.41"</f>
        <v>-0.41</v>
      </c>
      <c r="C940" t="str">
        <f>"18"</f>
        <v>18</v>
      </c>
      <c r="D940" t="str">
        <f>"From the Cliffs"</f>
        <v>From the Cliffs</v>
      </c>
    </row>
    <row r="941" spans="1:4" x14ac:dyDescent="0.2">
      <c r="A941" t="str">
        <f>"940"</f>
        <v>940</v>
      </c>
      <c r="B941" t="str">
        <f>"1.05"</f>
        <v>1.05</v>
      </c>
      <c r="C941" t="str">
        <f>"38"</f>
        <v>38</v>
      </c>
      <c r="D941" t="str">
        <f>"Bring It Back"</f>
        <v>Bring It Back</v>
      </c>
    </row>
    <row r="942" spans="1:4" x14ac:dyDescent="0.2">
      <c r="A942" t="str">
        <f>"941"</f>
        <v>941</v>
      </c>
      <c r="B942" t="str">
        <f>"0.46"</f>
        <v>0.46</v>
      </c>
      <c r="C942" t="str">
        <f>"70"</f>
        <v>70</v>
      </c>
      <c r="D942" t="str">
        <f>"See You on the Moon!: Songs for Kids of All Ages"</f>
        <v>See You on the Moon!: Songs for Kids of All Ages</v>
      </c>
    </row>
    <row r="943" spans="1:4" x14ac:dyDescent="0.2">
      <c r="A943" t="str">
        <f>"942"</f>
        <v>942</v>
      </c>
      <c r="B943" t="str">
        <f>"-0.35"</f>
        <v>-0.35</v>
      </c>
      <c r="C943" t="str">
        <f>"41"</f>
        <v>41</v>
      </c>
      <c r="D943" t="str">
        <f>"Ignatz"</f>
        <v>Ignatz</v>
      </c>
    </row>
    <row r="944" spans="1:4" x14ac:dyDescent="0.2">
      <c r="A944" t="str">
        <f>"943"</f>
        <v>943</v>
      </c>
      <c r="B944" t="str">
        <f>"-0.12"</f>
        <v>-0.12</v>
      </c>
      <c r="C944" t="str">
        <f>"54"</f>
        <v>54</v>
      </c>
      <c r="D944" t="str">
        <f>"The Tango Saloon"</f>
        <v>The Tango Saloon</v>
      </c>
    </row>
    <row r="945" spans="1:4" x14ac:dyDescent="0.2">
      <c r="A945" t="str">
        <f>"944"</f>
        <v>944</v>
      </c>
      <c r="B945" t="str">
        <f>"-0.23"</f>
        <v>-0.23</v>
      </c>
      <c r="C945" t="str">
        <f>"22"</f>
        <v>22</v>
      </c>
      <c r="D945" t="str">
        <f>"Cost"</f>
        <v>Cost</v>
      </c>
    </row>
    <row r="946" spans="1:4" x14ac:dyDescent="0.2">
      <c r="A946" t="str">
        <f>"945"</f>
        <v>945</v>
      </c>
      <c r="B946" t="str">
        <f>"0.79"</f>
        <v>0.79</v>
      </c>
      <c r="C946" t="str">
        <f>"14"</f>
        <v>14</v>
      </c>
      <c r="D946" t="str">
        <f>"Murray's Revenge"</f>
        <v>Murray's Revenge</v>
      </c>
    </row>
    <row r="947" spans="1:4" x14ac:dyDescent="0.2">
      <c r="A947" t="str">
        <f>"946"</f>
        <v>946</v>
      </c>
      <c r="B947" t="str">
        <f>"1.11"</f>
        <v>1.11</v>
      </c>
      <c r="C947" t="str">
        <f>"31"</f>
        <v>31</v>
      </c>
      <c r="D947" t="str">
        <f>"Detour Allure"</f>
        <v>Detour Allure</v>
      </c>
    </row>
    <row r="948" spans="1:4" x14ac:dyDescent="0.2">
      <c r="A948" t="str">
        <f>"947"</f>
        <v>947</v>
      </c>
      <c r="B948" t="str">
        <f>"-0.29"</f>
        <v>-0.29</v>
      </c>
      <c r="C948" t="str">
        <f>"83"</f>
        <v>83</v>
      </c>
      <c r="D948" t="str">
        <f>"Born Again in the USA"</f>
        <v>Born Again in the USA</v>
      </c>
    </row>
    <row r="949" spans="1:4" x14ac:dyDescent="0.2">
      <c r="A949" t="str">
        <f>"948"</f>
        <v>948</v>
      </c>
      <c r="B949" t="str">
        <f>"0.47"</f>
        <v>0.47</v>
      </c>
      <c r="C949" t="str">
        <f>"37"</f>
        <v>37</v>
      </c>
      <c r="D949" t="str">
        <f>"55:12"</f>
        <v>55:12</v>
      </c>
    </row>
    <row r="950" spans="1:4" x14ac:dyDescent="0.2">
      <c r="A950" t="str">
        <f>"949"</f>
        <v>949</v>
      </c>
      <c r="B950" t="str">
        <f>"0.27"</f>
        <v>0.27</v>
      </c>
      <c r="C950" t="str">
        <f>"16"</f>
        <v>16</v>
      </c>
      <c r="D950" t="str">
        <f>"When the Going Gets Dark"</f>
        <v>When the Going Gets Dark</v>
      </c>
    </row>
    <row r="951" spans="1:4" x14ac:dyDescent="0.2">
      <c r="A951" t="str">
        <f>"950"</f>
        <v>950</v>
      </c>
      <c r="B951" t="str">
        <f>"0.38"</f>
        <v>0.38</v>
      </c>
      <c r="C951" t="str">
        <f>"60"</f>
        <v>60</v>
      </c>
      <c r="D951" t="str">
        <f>"Invaders"</f>
        <v>Invaders</v>
      </c>
    </row>
    <row r="952" spans="1:4" x14ac:dyDescent="0.2">
      <c r="A952" t="str">
        <f>"951"</f>
        <v>951</v>
      </c>
      <c r="B952" t="str">
        <f>"-0.39"</f>
        <v>-0.39</v>
      </c>
      <c r="C952" t="str">
        <f>"86"</f>
        <v>86</v>
      </c>
      <c r="D952" t="str">
        <f>"In a Space Outta Sound"</f>
        <v>In a Space Outta Sound</v>
      </c>
    </row>
    <row r="953" spans="1:4" x14ac:dyDescent="0.2">
      <c r="A953" t="str">
        <f>"952"</f>
        <v>952</v>
      </c>
      <c r="B953" t="str">
        <f>"-0.18"</f>
        <v>-0.18</v>
      </c>
      <c r="C953" t="str">
        <f>"25"</f>
        <v>25</v>
      </c>
      <c r="D953" t="str">
        <f>"Dins"</f>
        <v>Dins</v>
      </c>
    </row>
    <row r="954" spans="1:4" x14ac:dyDescent="0.2">
      <c r="A954" t="str">
        <f>"953"</f>
        <v>953</v>
      </c>
      <c r="B954" t="str">
        <f>"0"</f>
        <v>0</v>
      </c>
      <c r="C954" t="str">
        <f>"26"</f>
        <v>26</v>
      </c>
      <c r="D954" t="str">
        <f>"3121"</f>
        <v>3121</v>
      </c>
    </row>
    <row r="955" spans="1:4" x14ac:dyDescent="0.2">
      <c r="A955" t="str">
        <f>"954"</f>
        <v>954</v>
      </c>
      <c r="B955" t="str">
        <f>"0.11"</f>
        <v>0.11</v>
      </c>
      <c r="C955" t="str">
        <f>"17"</f>
        <v>17</v>
      </c>
      <c r="D955" t="str">
        <f>"Orphanage"</f>
        <v>Orphanage</v>
      </c>
    </row>
    <row r="956" spans="1:4" x14ac:dyDescent="0.2">
      <c r="A956" t="str">
        <f>"955"</f>
        <v>955</v>
      </c>
      <c r="B956" t="str">
        <f>"0"</f>
        <v>0</v>
      </c>
      <c r="C956" t="str">
        <f>"53"</f>
        <v>53</v>
      </c>
      <c r="D956" t="str">
        <f>"Music for a French Elevator"</f>
        <v>Music for a French Elevator</v>
      </c>
    </row>
    <row r="957" spans="1:4" x14ac:dyDescent="0.2">
      <c r="A957" t="str">
        <f>"956"</f>
        <v>956</v>
      </c>
      <c r="B957" t="str">
        <f>"-1.5"</f>
        <v>-1.5</v>
      </c>
      <c r="C957" t="str">
        <f>"72"</f>
        <v>72</v>
      </c>
      <c r="D957" t="str">
        <f>"Jacket Full of Danger"</f>
        <v>Jacket Full of Danger</v>
      </c>
    </row>
    <row r="958" spans="1:4" x14ac:dyDescent="0.2">
      <c r="A958" t="str">
        <f>"957"</f>
        <v>957</v>
      </c>
      <c r="B958" t="str">
        <f>"0.28"</f>
        <v>0.28</v>
      </c>
      <c r="C958" t="str">
        <f>"37"</f>
        <v>37</v>
      </c>
      <c r="D958" t="str">
        <f>"Everything All the Time"</f>
        <v>Everything All the Time</v>
      </c>
    </row>
    <row r="959" spans="1:4" x14ac:dyDescent="0.2">
      <c r="A959" t="str">
        <f>"958"</f>
        <v>958</v>
      </c>
      <c r="B959" t="str">
        <f>"0.17"</f>
        <v>0.17</v>
      </c>
      <c r="C959" t="str">
        <f>"24"</f>
        <v>24</v>
      </c>
      <c r="D959" t="str">
        <f>"Bitter Honey"</f>
        <v>Bitter Honey</v>
      </c>
    </row>
    <row r="960" spans="1:4" x14ac:dyDescent="0.2">
      <c r="A960" t="str">
        <f>"959"</f>
        <v>959</v>
      </c>
      <c r="B960" t="str">
        <f>"0.7"</f>
        <v>0.7</v>
      </c>
      <c r="C960" t="str">
        <f>"23"</f>
        <v>23</v>
      </c>
      <c r="D960" t="str">
        <f>"Hello"</f>
        <v>Hello</v>
      </c>
    </row>
    <row r="961" spans="1:4" x14ac:dyDescent="0.2">
      <c r="A961" t="str">
        <f>"960"</f>
        <v>960</v>
      </c>
      <c r="B961" t="str">
        <f>"0.1"</f>
        <v>0.1</v>
      </c>
      <c r="C961" t="str">
        <f>"40"</f>
        <v>40</v>
      </c>
      <c r="D961" t="str">
        <f>"My Dark Places"</f>
        <v>My Dark Places</v>
      </c>
    </row>
    <row r="962" spans="1:4" x14ac:dyDescent="0.2">
      <c r="A962" t="str">
        <f>"961"</f>
        <v>961</v>
      </c>
      <c r="B962" t="str">
        <f>"0.54"</f>
        <v>0.54</v>
      </c>
      <c r="C962" t="str">
        <f>"22"</f>
        <v>22</v>
      </c>
      <c r="D962" t="str">
        <f>"The Black Dove"</f>
        <v>The Black Dove</v>
      </c>
    </row>
    <row r="963" spans="1:4" x14ac:dyDescent="0.2">
      <c r="A963" t="str">
        <f>"962"</f>
        <v>962</v>
      </c>
      <c r="B963" t="str">
        <f>"0.17"</f>
        <v>0.17</v>
      </c>
      <c r="C963" t="str">
        <f>"43"</f>
        <v>43</v>
      </c>
      <c r="D963" t="str">
        <f>"Pirate Radio"</f>
        <v>Pirate Radio</v>
      </c>
    </row>
    <row r="964" spans="1:4" x14ac:dyDescent="0.2">
      <c r="A964" t="str">
        <f>"963"</f>
        <v>963</v>
      </c>
      <c r="B964" t="str">
        <f>"-1.04"</f>
        <v>-1.04</v>
      </c>
      <c r="C964" t="str">
        <f>"44"</f>
        <v>44</v>
      </c>
      <c r="D964" t="str">
        <f>"Axis of Evol"</f>
        <v>Axis of Evol</v>
      </c>
    </row>
    <row r="965" spans="1:4" x14ac:dyDescent="0.2">
      <c r="A965" t="str">
        <f>"964"</f>
        <v>964</v>
      </c>
      <c r="B965" t="str">
        <f>"-1.31"</f>
        <v>-1.31</v>
      </c>
      <c r="C965" t="str">
        <f>"22"</f>
        <v>22</v>
      </c>
      <c r="D965" t="str">
        <f>"We Are Night Sky"</f>
        <v>We Are Night Sky</v>
      </c>
    </row>
    <row r="966" spans="1:4" x14ac:dyDescent="0.2">
      <c r="A966" t="str">
        <f>"965"</f>
        <v>965</v>
      </c>
      <c r="B966" t="str">
        <f>"0.45"</f>
        <v>0.45</v>
      </c>
      <c r="C966" t="str">
        <f>"95"</f>
        <v>95</v>
      </c>
      <c r="D966" t="str">
        <f>"Showtunes"</f>
        <v>Showtunes</v>
      </c>
    </row>
    <row r="967" spans="1:4" x14ac:dyDescent="0.2">
      <c r="A967" t="str">
        <f>"966"</f>
        <v>966</v>
      </c>
      <c r="B967" t="str">
        <f>"-0.44"</f>
        <v>-0.44</v>
      </c>
      <c r="C967" t="str">
        <f>"46"</f>
        <v>46</v>
      </c>
      <c r="D967" t="str">
        <f>"Oh Vanille/Ova Nil"</f>
        <v>Oh Vanille/Ova Nil</v>
      </c>
    </row>
    <row r="968" spans="1:4" x14ac:dyDescent="0.2">
      <c r="A968" t="str">
        <f>"967"</f>
        <v>967</v>
      </c>
      <c r="B968" t="str">
        <f>"1.01"</f>
        <v>1.01</v>
      </c>
      <c r="C968" t="str">
        <f>"43"</f>
        <v>43</v>
      </c>
      <c r="D968" t="str">
        <f>"Murmurs"</f>
        <v>Murmurs</v>
      </c>
    </row>
    <row r="969" spans="1:4" x14ac:dyDescent="0.2">
      <c r="A969" t="str">
        <f>"968"</f>
        <v>968</v>
      </c>
      <c r="B969" t="str">
        <f>"0.08"</f>
        <v>0.08</v>
      </c>
      <c r="C969" t="str">
        <f>"21"</f>
        <v>21</v>
      </c>
      <c r="D969" t="str">
        <f>"Codex Teenage Premonition"</f>
        <v>Codex Teenage Premonition</v>
      </c>
    </row>
    <row r="970" spans="1:4" x14ac:dyDescent="0.2">
      <c r="A970" t="str">
        <f>"969"</f>
        <v>969</v>
      </c>
      <c r="B970" t="str">
        <f>"0.57"</f>
        <v>0.57</v>
      </c>
      <c r="C970" t="str">
        <f>"28"</f>
        <v>28</v>
      </c>
      <c r="D970" t="str">
        <f>"Witch"</f>
        <v>Witch</v>
      </c>
    </row>
    <row r="971" spans="1:4" x14ac:dyDescent="0.2">
      <c r="A971" t="str">
        <f>"970"</f>
        <v>970</v>
      </c>
      <c r="B971" t="str">
        <f>"-1.18"</f>
        <v>-1.18</v>
      </c>
      <c r="C971" t="str">
        <f>"50"</f>
        <v>50</v>
      </c>
      <c r="D971" t="str">
        <f>"Rock &amp; Roll Is Dead"</f>
        <v>Rock &amp; Roll Is Dead</v>
      </c>
    </row>
    <row r="972" spans="1:4" x14ac:dyDescent="0.2">
      <c r="A972" t="str">
        <f>"971"</f>
        <v>971</v>
      </c>
      <c r="B972" t="str">
        <f>"-0.05"</f>
        <v>-0.05</v>
      </c>
      <c r="C972" t="str">
        <f>"63"</f>
        <v>63</v>
      </c>
      <c r="D972" t="str">
        <f>"Other People's Lives"</f>
        <v>Other People's Lives</v>
      </c>
    </row>
    <row r="973" spans="1:4" x14ac:dyDescent="0.2">
      <c r="A973" t="str">
        <f>"972"</f>
        <v>972</v>
      </c>
      <c r="B973" t="str">
        <f>"-0.78"</f>
        <v>-0.78</v>
      </c>
      <c r="C973" t="str">
        <f>"46"</f>
        <v>46</v>
      </c>
      <c r="D973" t="str">
        <f>"Heaven's Pregnant Teens"</f>
        <v>Heaven's Pregnant Teens</v>
      </c>
    </row>
    <row r="974" spans="1:4" x14ac:dyDescent="0.2">
      <c r="A974" t="str">
        <f>"973"</f>
        <v>973</v>
      </c>
      <c r="B974" t="str">
        <f>"-0.17"</f>
        <v>-0.17</v>
      </c>
      <c r="C974" t="str">
        <f>"26"</f>
        <v>26</v>
      </c>
      <c r="D974" t="str">
        <f>"Flat-Pack Philosophy"</f>
        <v>Flat-Pack Philosophy</v>
      </c>
    </row>
    <row r="975" spans="1:4" x14ac:dyDescent="0.2">
      <c r="A975" t="str">
        <f>"974"</f>
        <v>974</v>
      </c>
      <c r="B975" t="str">
        <f>"-0.64"</f>
        <v>-0.64</v>
      </c>
      <c r="C975" t="str">
        <f>"33"</f>
        <v>33</v>
      </c>
      <c r="D975" t="str">
        <f>"7"</f>
        <v>7</v>
      </c>
    </row>
    <row r="976" spans="1:4" x14ac:dyDescent="0.2">
      <c r="A976" t="str">
        <f>"975"</f>
        <v>975</v>
      </c>
      <c r="B976" t="str">
        <f>"0.8"</f>
        <v>0.8</v>
      </c>
      <c r="C976" t="str">
        <f>"50"</f>
        <v>50</v>
      </c>
      <c r="D976" t="str">
        <f>"Superstructure"</f>
        <v>Superstructure</v>
      </c>
    </row>
    <row r="977" spans="1:4" x14ac:dyDescent="0.2">
      <c r="A977" t="str">
        <f>"976"</f>
        <v>976</v>
      </c>
      <c r="B977" t="str">
        <f>"0.27"</f>
        <v>0.27</v>
      </c>
      <c r="C977" t="str">
        <f>"32"</f>
        <v>32</v>
      </c>
      <c r="D977" t="str">
        <f>"Hello Young Lovers"</f>
        <v>Hello Young Lovers</v>
      </c>
    </row>
    <row r="978" spans="1:4" x14ac:dyDescent="0.2">
      <c r="A978" t="str">
        <f>"977"</f>
        <v>977</v>
      </c>
      <c r="B978" t="str">
        <f>"-0.12"</f>
        <v>-0.12</v>
      </c>
      <c r="C978" t="str">
        <f>"18"</f>
        <v>18</v>
      </c>
      <c r="D978" t="str">
        <f>"Ballad of the Broken Seas"</f>
        <v>Ballad of the Broken Seas</v>
      </c>
    </row>
    <row r="979" spans="1:4" x14ac:dyDescent="0.2">
      <c r="A979" t="str">
        <f>"978"</f>
        <v>978</v>
      </c>
      <c r="B979" t="str">
        <f>"0.67"</f>
        <v>0.67</v>
      </c>
      <c r="C979" t="str">
        <f>"26"</f>
        <v>26</v>
      </c>
      <c r="D979" t="str">
        <f>"The Memphis Family Album: Music From Memphis Industries Vol. 2"</f>
        <v>The Memphis Family Album: Music From Memphis Industries Vol. 2</v>
      </c>
    </row>
    <row r="980" spans="1:4" x14ac:dyDescent="0.2">
      <c r="A980" t="str">
        <f>"979"</f>
        <v>979</v>
      </c>
      <c r="B980" t="str">
        <f>"-1.17"</f>
        <v>-1.17</v>
      </c>
      <c r="C980" t="str">
        <f>"25"</f>
        <v>25</v>
      </c>
      <c r="D980" t="str">
        <f>"Sound Mirrors"</f>
        <v>Sound Mirrors</v>
      </c>
    </row>
    <row r="981" spans="1:4" x14ac:dyDescent="0.2">
      <c r="A981" t="str">
        <f>"980"</f>
        <v>980</v>
      </c>
      <c r="B981" t="str">
        <f>"0.43"</f>
        <v>0.43</v>
      </c>
      <c r="C981" t="str">
        <f>"20"</f>
        <v>20</v>
      </c>
      <c r="D981" t="str">
        <f>"Halos &amp; Lassos"</f>
        <v>Halos &amp; Lassos</v>
      </c>
    </row>
    <row r="982" spans="1:4" x14ac:dyDescent="0.2">
      <c r="A982" t="str">
        <f>"981"</f>
        <v>981</v>
      </c>
      <c r="B982" t="str">
        <f>"-1.12"</f>
        <v>-1.12</v>
      </c>
      <c r="C982" t="str">
        <f>"44"</f>
        <v>44</v>
      </c>
      <c r="D982" t="str">
        <f>"Etiquette"</f>
        <v>Etiquette</v>
      </c>
    </row>
    <row r="983" spans="1:4" x14ac:dyDescent="0.2">
      <c r="A983" t="str">
        <f>"982"</f>
        <v>982</v>
      </c>
      <c r="B983" t="str">
        <f>"-0.67"</f>
        <v>-0.67</v>
      </c>
      <c r="C983" t="str">
        <f>"46"</f>
        <v>46</v>
      </c>
      <c r="D983" t="str">
        <f>"Dead Drunk"</f>
        <v>Dead Drunk</v>
      </c>
    </row>
    <row r="984" spans="1:4" x14ac:dyDescent="0.2">
      <c r="A984" t="str">
        <f>"983"</f>
        <v>983</v>
      </c>
      <c r="B984" t="str">
        <f>"-0.47"</f>
        <v>-0.47</v>
      </c>
      <c r="C984" t="str">
        <f>"47"</f>
        <v>47</v>
      </c>
      <c r="D984" t="str">
        <f>"Dave Chappelle's Block Party OST"</f>
        <v>Dave Chappelle's Block Party OST</v>
      </c>
    </row>
    <row r="985" spans="1:4" x14ac:dyDescent="0.2">
      <c r="A985" t="str">
        <f>"984"</f>
        <v>984</v>
      </c>
      <c r="B985" t="str">
        <f>"0.63"</f>
        <v>0.63</v>
      </c>
      <c r="C985" t="str">
        <f>"27"</f>
        <v>27</v>
      </c>
      <c r="D985" t="str">
        <f>"The Bird Who Continues to Eat the Rabbit's Flower"</f>
        <v>The Bird Who Continues to Eat the Rabbit's Flower</v>
      </c>
    </row>
    <row r="986" spans="1:4" x14ac:dyDescent="0.2">
      <c r="A986" t="str">
        <f>"985"</f>
        <v>985</v>
      </c>
      <c r="B986" t="str">
        <f>"0.79"</f>
        <v>0.79</v>
      </c>
      <c r="C986" t="str">
        <f>"25"</f>
        <v>25</v>
      </c>
      <c r="D986" t="str">
        <f>"Below the Branches"</f>
        <v>Below the Branches</v>
      </c>
    </row>
    <row r="987" spans="1:4" x14ac:dyDescent="0.2">
      <c r="A987" t="str">
        <f>"986"</f>
        <v>986</v>
      </c>
      <c r="B987" t="str">
        <f>"-0.63"</f>
        <v>-0.63</v>
      </c>
      <c r="C987" t="str">
        <f>"72"</f>
        <v>72</v>
      </c>
      <c r="D987" t="str">
        <f>"Youth"</f>
        <v>Youth</v>
      </c>
    </row>
    <row r="988" spans="1:4" x14ac:dyDescent="0.2">
      <c r="A988" t="str">
        <f>"987"</f>
        <v>987</v>
      </c>
      <c r="B988" t="str">
        <f>"-0.94"</f>
        <v>-0.94</v>
      </c>
      <c r="C988" t="str">
        <f>"23"</f>
        <v>23</v>
      </c>
      <c r="D988" t="str">
        <f>"Big Apple Rappin'"</f>
        <v>Big Apple Rappin'</v>
      </c>
    </row>
    <row r="989" spans="1:4" x14ac:dyDescent="0.2">
      <c r="A989" t="str">
        <f>"988"</f>
        <v>988</v>
      </c>
      <c r="B989" t="str">
        <f>"0.04"</f>
        <v>0.04</v>
      </c>
      <c r="C989" t="str">
        <f>"25"</f>
        <v>25</v>
      </c>
      <c r="D989" t="str">
        <f>"bluefolk"</f>
        <v>bluefolk</v>
      </c>
    </row>
    <row r="990" spans="1:4" x14ac:dyDescent="0.2">
      <c r="A990" t="str">
        <f>"989"</f>
        <v>989</v>
      </c>
      <c r="B990" t="str">
        <f>"-0.08"</f>
        <v>-0.08</v>
      </c>
      <c r="C990" t="str">
        <f>"28"</f>
        <v>28</v>
      </c>
      <c r="D990" t="str">
        <f>"Rubber Traits EP"</f>
        <v>Rubber Traits EP</v>
      </c>
    </row>
    <row r="991" spans="1:4" x14ac:dyDescent="0.2">
      <c r="A991" t="str">
        <f>"990"</f>
        <v>990</v>
      </c>
      <c r="B991" t="str">
        <f>"-0.9"</f>
        <v>-0.9</v>
      </c>
      <c r="C991" t="str">
        <f>"44"</f>
        <v>44</v>
      </c>
      <c r="D991" t="str">
        <f>"Would I Find Your Psychic Guideline"</f>
        <v>Would I Find Your Psychic Guideline</v>
      </c>
    </row>
    <row r="992" spans="1:4" x14ac:dyDescent="0.2">
      <c r="A992" t="str">
        <f>"991"</f>
        <v>991</v>
      </c>
      <c r="B992" t="str">
        <f>"0.25"</f>
        <v>0.25</v>
      </c>
      <c r="C992" t="str">
        <f>"49"</f>
        <v>49</v>
      </c>
      <c r="D992" t="str">
        <f>"Victimizer"</f>
        <v>Victimizer</v>
      </c>
    </row>
    <row r="993" spans="1:4" x14ac:dyDescent="0.2">
      <c r="A993" t="str">
        <f>"992"</f>
        <v>992</v>
      </c>
      <c r="B993" t="str">
        <f>"0.39"</f>
        <v>0.39</v>
      </c>
      <c r="C993" t="str">
        <f>"89"</f>
        <v>89</v>
      </c>
      <c r="D993" t="str">
        <f>"Greatest Hits: Sound and Vision"</f>
        <v>Greatest Hits: Sound and Vision</v>
      </c>
    </row>
    <row r="994" spans="1:4" x14ac:dyDescent="0.2">
      <c r="A994" t="str">
        <f>"993"</f>
        <v>993</v>
      </c>
      <c r="B994" t="str">
        <f>"0.2"</f>
        <v>0.2</v>
      </c>
      <c r="C994" t="str">
        <f>"33"</f>
        <v>33</v>
      </c>
      <c r="D994" t="str">
        <f>"Fabric 25"</f>
        <v>Fabric 25</v>
      </c>
    </row>
    <row r="995" spans="1:4" x14ac:dyDescent="0.2">
      <c r="A995" t="str">
        <f>"994"</f>
        <v>994</v>
      </c>
      <c r="B995" t="str">
        <f>"-0.31"</f>
        <v>-0.31</v>
      </c>
      <c r="C995" t="str">
        <f>"22"</f>
        <v>22</v>
      </c>
      <c r="D995" t="str">
        <f>"Dowsing Anemone With Copper Tongue"</f>
        <v>Dowsing Anemone With Copper Tongue</v>
      </c>
    </row>
    <row r="996" spans="1:4" x14ac:dyDescent="0.2">
      <c r="A996" t="str">
        <f>"995"</f>
        <v>995</v>
      </c>
      <c r="B996" t="str">
        <f>"-0.67"</f>
        <v>-0.67</v>
      </c>
      <c r="C996" t="str">
        <f>"24"</f>
        <v>24</v>
      </c>
      <c r="D996" t="str">
        <f>"Purple Blaze"</f>
        <v>Purple Blaze</v>
      </c>
    </row>
    <row r="997" spans="1:4" x14ac:dyDescent="0.2">
      <c r="A997" t="str">
        <f>"996"</f>
        <v>996</v>
      </c>
      <c r="B997" t="str">
        <f>"-0.51"</f>
        <v>-0.51</v>
      </c>
      <c r="C997" t="str">
        <f>"31"</f>
        <v>31</v>
      </c>
      <c r="D997" t="str">
        <f>"Not Alone"</f>
        <v>Not Alone</v>
      </c>
    </row>
    <row r="998" spans="1:4" x14ac:dyDescent="0.2">
      <c r="A998" t="str">
        <f>"997"</f>
        <v>997</v>
      </c>
      <c r="B998" t="str">
        <f>"0.37"</f>
        <v>0.37</v>
      </c>
      <c r="C998" t="str">
        <f>"69"</f>
        <v>69</v>
      </c>
      <c r="D998" t="str">
        <f>"Lisbon"</f>
        <v>Lisbon</v>
      </c>
    </row>
    <row r="999" spans="1:4" x14ac:dyDescent="0.2">
      <c r="A999" t="str">
        <f>"998"</f>
        <v>998</v>
      </c>
      <c r="B999" t="str">
        <f>"-0.25"</f>
        <v>-0.25</v>
      </c>
      <c r="C999" t="str">
        <f>"39"</f>
        <v>39</v>
      </c>
      <c r="D999" t="str">
        <f>"Dancing With Daggers"</f>
        <v>Dancing With Daggers</v>
      </c>
    </row>
    <row r="1000" spans="1:4" x14ac:dyDescent="0.2">
      <c r="A1000" t="str">
        <f>"999"</f>
        <v>999</v>
      </c>
      <c r="B1000" t="str">
        <f>"0.18"</f>
        <v>0.18</v>
      </c>
      <c r="C1000" t="str">
        <f>"38"</f>
        <v>38</v>
      </c>
      <c r="D1000" t="str">
        <f>"Fab Four Suture"</f>
        <v>Fab Four Suture</v>
      </c>
    </row>
    <row r="1001" spans="1:4" x14ac:dyDescent="0.2">
      <c r="A1001" t="str">
        <f>"1000"</f>
        <v>1000</v>
      </c>
      <c r="B1001" t="str">
        <f>"-0.2"</f>
        <v>-0.2</v>
      </c>
      <c r="C1001" t="str">
        <f>"26"</f>
        <v>26</v>
      </c>
      <c r="D1001" t="str">
        <f>"Love Travels at Illegal Speeds"</f>
        <v>Love Travels at Illegal Speeds</v>
      </c>
    </row>
    <row r="1002" spans="1:4" x14ac:dyDescent="0.2">
      <c r="A1002" t="str">
        <f>"1001"</f>
        <v>1001</v>
      </c>
      <c r="B1002" t="str">
        <f>"0.48"</f>
        <v>0.48</v>
      </c>
      <c r="C1002" t="str">
        <f>"51"</f>
        <v>51</v>
      </c>
      <c r="D1002" t="str">
        <f>"Minima Moralia"</f>
        <v>Minima Moralia</v>
      </c>
    </row>
    <row r="1003" spans="1:4" x14ac:dyDescent="0.2">
      <c r="A1003" t="str">
        <f>"1002"</f>
        <v>1002</v>
      </c>
      <c r="B1003" t="str">
        <f>"-0.54"</f>
        <v>-0.54</v>
      </c>
      <c r="C1003" t="str">
        <f>"17"</f>
        <v>17</v>
      </c>
      <c r="D1003" t="str">
        <f>"A Panegyric to the Things I Do Not Understand"</f>
        <v>A Panegyric to the Things I Do Not Understand</v>
      </c>
    </row>
    <row r="1004" spans="1:4" x14ac:dyDescent="0.2">
      <c r="A1004" t="str">
        <f>"1003"</f>
        <v>1003</v>
      </c>
      <c r="B1004" t="str">
        <f>"-0.15"</f>
        <v>-0.15</v>
      </c>
      <c r="C1004" t="str">
        <f>"53"</f>
        <v>53</v>
      </c>
      <c r="D1004" t="str">
        <f>"The Tourniquet"</f>
        <v>The Tourniquet</v>
      </c>
    </row>
    <row r="1005" spans="1:4" x14ac:dyDescent="0.2">
      <c r="A1005" t="str">
        <f>"1004"</f>
        <v>1004</v>
      </c>
      <c r="B1005" t="str">
        <f>"0.02"</f>
        <v>0.02</v>
      </c>
      <c r="C1005" t="str">
        <f>"39"</f>
        <v>39</v>
      </c>
      <c r="D1005" t="str">
        <f>"Fox Confessor Brings the Flood"</f>
        <v>Fox Confessor Brings the Flood</v>
      </c>
    </row>
    <row r="1006" spans="1:4" x14ac:dyDescent="0.2">
      <c r="A1006" t="str">
        <f>"1005"</f>
        <v>1005</v>
      </c>
      <c r="B1006" t="str">
        <f>"0.63"</f>
        <v>0.63</v>
      </c>
      <c r="C1006" t="str">
        <f>"33"</f>
        <v>33</v>
      </c>
      <c r="D1006" t="str">
        <f>"Fear Is on Our Side"</f>
        <v>Fear Is on Our Side</v>
      </c>
    </row>
    <row r="1007" spans="1:4" x14ac:dyDescent="0.2">
      <c r="A1007" t="str">
        <f>"1006"</f>
        <v>1006</v>
      </c>
      <c r="B1007" t="str">
        <f>"1.75"</f>
        <v>1.75</v>
      </c>
      <c r="C1007" t="str">
        <f>"21"</f>
        <v>21</v>
      </c>
      <c r="D1007" t="str">
        <f>"O True Believers"</f>
        <v>O True Believers</v>
      </c>
    </row>
    <row r="1008" spans="1:4" x14ac:dyDescent="0.2">
      <c r="A1008" t="str">
        <f>"1007"</f>
        <v>1007</v>
      </c>
      <c r="B1008" t="str">
        <f>"-0.59"</f>
        <v>-0.59</v>
      </c>
      <c r="C1008" t="str">
        <f>"29"</f>
        <v>29</v>
      </c>
      <c r="D1008" t="str">
        <f>"Ahead of the Lions"</f>
        <v>Ahead of the Lions</v>
      </c>
    </row>
    <row r="1009" spans="1:4" x14ac:dyDescent="0.2">
      <c r="A1009" t="str">
        <f>"1008"</f>
        <v>1008</v>
      </c>
      <c r="B1009" t="str">
        <f>"-0.18"</f>
        <v>-0.18</v>
      </c>
      <c r="C1009" t="str">
        <f>"22"</f>
        <v>22</v>
      </c>
      <c r="D1009" t="str">
        <f>"Where the Grass Grows Black"</f>
        <v>Where the Grass Grows Black</v>
      </c>
    </row>
    <row r="1010" spans="1:4" x14ac:dyDescent="0.2">
      <c r="A1010" t="str">
        <f>"1009"</f>
        <v>1009</v>
      </c>
      <c r="B1010" t="str">
        <f>"0.31"</f>
        <v>0.31</v>
      </c>
      <c r="C1010" t="str">
        <f>"51"</f>
        <v>51</v>
      </c>
      <c r="D1010" t="str">
        <f>"The Essential"</f>
        <v>The Essential</v>
      </c>
    </row>
    <row r="1011" spans="1:4" x14ac:dyDescent="0.2">
      <c r="A1011" t="str">
        <f>"1010"</f>
        <v>1010</v>
      </c>
      <c r="B1011" t="str">
        <f>"0.48"</f>
        <v>0.48</v>
      </c>
      <c r="C1011" t="str">
        <f>"22"</f>
        <v>22</v>
      </c>
      <c r="D1011" t="str">
        <f>"Mr. Beast"</f>
        <v>Mr. Beast</v>
      </c>
    </row>
    <row r="1012" spans="1:4" x14ac:dyDescent="0.2">
      <c r="A1012" t="str">
        <f>"1011"</f>
        <v>1011</v>
      </c>
      <c r="B1012" t="str">
        <f>"0.51"</f>
        <v>0.51</v>
      </c>
      <c r="C1012" t="str">
        <f>"31"</f>
        <v>31</v>
      </c>
      <c r="D1012" t="str">
        <f>"Under a Billion Suns"</f>
        <v>Under a Billion Suns</v>
      </c>
    </row>
    <row r="1013" spans="1:4" x14ac:dyDescent="0.2">
      <c r="A1013" t="str">
        <f>"1012"</f>
        <v>1012</v>
      </c>
      <c r="B1013" t="str">
        <f>"-0.64"</f>
        <v>-0.64</v>
      </c>
      <c r="C1013" t="str">
        <f>"16"</f>
        <v>16</v>
      </c>
      <c r="D1013" t="str">
        <f>"Gipsy Freedom"</f>
        <v>Gipsy Freedom</v>
      </c>
    </row>
    <row r="1014" spans="1:4" x14ac:dyDescent="0.2">
      <c r="A1014" t="str">
        <f>"1013"</f>
        <v>1013</v>
      </c>
      <c r="B1014" t="str">
        <f>"-1.68"</f>
        <v>-1.68</v>
      </c>
      <c r="C1014" t="str">
        <f>"70"</f>
        <v>70</v>
      </c>
      <c r="D1014" t="str">
        <f>"As Templar Nites"</f>
        <v>As Templar Nites</v>
      </c>
    </row>
    <row r="1015" spans="1:4" x14ac:dyDescent="0.2">
      <c r="A1015" t="str">
        <f>"1014"</f>
        <v>1014</v>
      </c>
      <c r="B1015" t="str">
        <f>"0.4"</f>
        <v>0.4</v>
      </c>
      <c r="C1015" t="str">
        <f>"96"</f>
        <v>96</v>
      </c>
      <c r="D1015" t="str">
        <f>"LateNightTales"</f>
        <v>LateNightTales</v>
      </c>
    </row>
    <row r="1016" spans="1:4" x14ac:dyDescent="0.2">
      <c r="A1016" t="str">
        <f>"1015"</f>
        <v>1015</v>
      </c>
      <c r="B1016" t="str">
        <f>"-0.08"</f>
        <v>-0.08</v>
      </c>
      <c r="C1016" t="str">
        <f>"30"</f>
        <v>30</v>
      </c>
      <c r="D1016" t="str">
        <f>"Weapons of Ass Destruction"</f>
        <v>Weapons of Ass Destruction</v>
      </c>
    </row>
    <row r="1017" spans="1:4" x14ac:dyDescent="0.2">
      <c r="A1017" t="str">
        <f>"1016"</f>
        <v>1016</v>
      </c>
      <c r="B1017" t="str">
        <f>"-0.05"</f>
        <v>-0.05</v>
      </c>
      <c r="C1017" t="str">
        <f>"19"</f>
        <v>19</v>
      </c>
      <c r="D1017" t="str">
        <f>"Please Come Back EP"</f>
        <v>Please Come Back EP</v>
      </c>
    </row>
    <row r="1018" spans="1:4" x14ac:dyDescent="0.2">
      <c r="A1018" t="str">
        <f>"1017"</f>
        <v>1017</v>
      </c>
      <c r="B1018" t="str">
        <f>"0.55"</f>
        <v>0.55</v>
      </c>
      <c r="C1018" t="str">
        <f>"29"</f>
        <v>29</v>
      </c>
      <c r="D1018" t="str">
        <f>"Babies Makin' Babies 2: Misery Strikes Back...No More Babies"</f>
        <v>Babies Makin' Babies 2: Misery Strikes Back...No More Babies</v>
      </c>
    </row>
    <row r="1019" spans="1:4" x14ac:dyDescent="0.2">
      <c r="A1019" t="str">
        <f>"1018"</f>
        <v>1018</v>
      </c>
      <c r="B1019" t="str">
        <f>"-0.91"</f>
        <v>-0.91</v>
      </c>
      <c r="C1019" t="str">
        <f>"31"</f>
        <v>31</v>
      </c>
      <c r="D1019" t="str">
        <f>"The Steady Hand"</f>
        <v>The Steady Hand</v>
      </c>
    </row>
    <row r="1020" spans="1:4" x14ac:dyDescent="0.2">
      <c r="A1020" t="str">
        <f>"1019"</f>
        <v>1019</v>
      </c>
      <c r="B1020" t="str">
        <f>"0.55"</f>
        <v>0.55</v>
      </c>
      <c r="C1020" t="str">
        <f>"26"</f>
        <v>26</v>
      </c>
      <c r="D1020" t="str">
        <f>"Mcluskyism"</f>
        <v>Mcluskyism</v>
      </c>
    </row>
    <row r="1021" spans="1:4" x14ac:dyDescent="0.2">
      <c r="A1021" t="str">
        <f>"1020"</f>
        <v>1020</v>
      </c>
      <c r="B1021" t="str">
        <f>"0.17"</f>
        <v>0.17</v>
      </c>
      <c r="C1021" t="str">
        <f>"34"</f>
        <v>34</v>
      </c>
      <c r="D1021" t="str">
        <f>"Mews Too: An Asthmatic Kitty Compilation"</f>
        <v>Mews Too: An Asthmatic Kitty Compilation</v>
      </c>
    </row>
    <row r="1022" spans="1:4" x14ac:dyDescent="0.2">
      <c r="A1022" t="str">
        <f>"1021"</f>
        <v>1021</v>
      </c>
      <c r="B1022" t="str">
        <f>"1.03"</f>
        <v>1.03</v>
      </c>
      <c r="C1022" t="str">
        <f>"17"</f>
        <v>17</v>
      </c>
      <c r="D1022" t="str">
        <f>"Snow"</f>
        <v>Snow</v>
      </c>
    </row>
    <row r="1023" spans="1:4" x14ac:dyDescent="0.2">
      <c r="A1023" t="str">
        <f>"1022"</f>
        <v>1022</v>
      </c>
      <c r="B1023" t="str">
        <f>"0.28"</f>
        <v>0.28</v>
      </c>
      <c r="C1023" t="str">
        <f>"23"</f>
        <v>23</v>
      </c>
      <c r="D1023" t="str">
        <f>"Ackrill/Venning '91"</f>
        <v>Ackrill/Venning '91</v>
      </c>
    </row>
    <row r="1024" spans="1:4" x14ac:dyDescent="0.2">
      <c r="A1024" t="str">
        <f>"1023"</f>
        <v>1023</v>
      </c>
      <c r="B1024" t="str">
        <f>"0"</f>
        <v>0</v>
      </c>
      <c r="C1024" t="str">
        <f>"18"</f>
        <v>18</v>
      </c>
      <c r="D1024" t="str">
        <f>"Electric President"</f>
        <v>Electric President</v>
      </c>
    </row>
    <row r="1025" spans="1:4" x14ac:dyDescent="0.2">
      <c r="A1025" t="str">
        <f>"1024"</f>
        <v>1024</v>
      </c>
      <c r="B1025" t="str">
        <f>"-0.03"</f>
        <v>-0.03</v>
      </c>
      <c r="C1025" t="str">
        <f>"44"</f>
        <v>44</v>
      </c>
      <c r="D1025" t="str">
        <f>"Strangers/Swinging Doors and The Bottle Let Me Down"</f>
        <v>Strangers/Swinging Doors and The Bottle Let Me Down</v>
      </c>
    </row>
    <row r="1026" spans="1:4" x14ac:dyDescent="0.2">
      <c r="A1026" t="str">
        <f>"1025"</f>
        <v>1025</v>
      </c>
      <c r="B1026" t="str">
        <f>"0.28"</f>
        <v>0.28</v>
      </c>
      <c r="C1026" t="str">
        <f>"31"</f>
        <v>31</v>
      </c>
      <c r="D1026" t="str">
        <f>"The Loon"</f>
        <v>The Loon</v>
      </c>
    </row>
    <row r="1027" spans="1:4" x14ac:dyDescent="0.2">
      <c r="A1027" t="str">
        <f>"1026"</f>
        <v>1026</v>
      </c>
      <c r="B1027" t="str">
        <f>"0.42"</f>
        <v>0.42</v>
      </c>
      <c r="C1027" t="str">
        <f>"23"</f>
        <v>23</v>
      </c>
      <c r="D1027" t="str">
        <f>"Untouchable Sound"</f>
        <v>Untouchable Sound</v>
      </c>
    </row>
    <row r="1028" spans="1:4" x14ac:dyDescent="0.2">
      <c r="A1028" t="str">
        <f>"1027"</f>
        <v>1027</v>
      </c>
      <c r="B1028" t="str">
        <f>"0.1"</f>
        <v>0.1</v>
      </c>
      <c r="C1028" t="str">
        <f>"19"</f>
        <v>19</v>
      </c>
      <c r="D1028" t="str">
        <f>"The Maginot Line"</f>
        <v>The Maginot Line</v>
      </c>
    </row>
    <row r="1029" spans="1:4" x14ac:dyDescent="0.2">
      <c r="A1029" t="str">
        <f>"1028"</f>
        <v>1028</v>
      </c>
      <c r="B1029" t="str">
        <f>"-0.18"</f>
        <v>-0.18</v>
      </c>
      <c r="C1029" t="str">
        <f>"21"</f>
        <v>21</v>
      </c>
      <c r="D1029" t="str">
        <f>"Soft and Loud"</f>
        <v>Soft and Loud</v>
      </c>
    </row>
    <row r="1030" spans="1:4" x14ac:dyDescent="0.2">
      <c r="A1030" t="str">
        <f>"1029"</f>
        <v>1029</v>
      </c>
      <c r="B1030" t="str">
        <f>"-0.55"</f>
        <v>-0.55</v>
      </c>
      <c r="C1030" t="str">
        <f>"23"</f>
        <v>23</v>
      </c>
      <c r="D1030" t="str">
        <f>"With Strings: Live at Town Hall"</f>
        <v>With Strings: Live at Town Hall</v>
      </c>
    </row>
    <row r="1031" spans="1:4" x14ac:dyDescent="0.2">
      <c r="A1031" t="str">
        <f>"1030"</f>
        <v>1030</v>
      </c>
      <c r="B1031" t="str">
        <f>"0.56"</f>
        <v>0.56</v>
      </c>
      <c r="C1031" t="str">
        <f>"39"</f>
        <v>39</v>
      </c>
      <c r="D1031" t="str">
        <f>"Call of the Mastodon"</f>
        <v>Call of the Mastodon</v>
      </c>
    </row>
    <row r="1032" spans="1:4" x14ac:dyDescent="0.2">
      <c r="A1032" t="str">
        <f>"1031"</f>
        <v>1031</v>
      </c>
      <c r="B1032" t="str">
        <f>"1.44"</f>
        <v>1.44</v>
      </c>
      <c r="C1032" t="str">
        <f>"23"</f>
        <v>23</v>
      </c>
      <c r="D1032" t="str">
        <f>"Rideau"</f>
        <v>Rideau</v>
      </c>
    </row>
    <row r="1033" spans="1:4" x14ac:dyDescent="0.2">
      <c r="A1033" t="str">
        <f>"1032"</f>
        <v>1032</v>
      </c>
      <c r="B1033" t="str">
        <f>"-0.47"</f>
        <v>-0.47</v>
      </c>
      <c r="C1033" t="str">
        <f>"30"</f>
        <v>30</v>
      </c>
      <c r="D1033" t="str">
        <f>"They Mean Us"</f>
        <v>They Mean Us</v>
      </c>
    </row>
    <row r="1034" spans="1:4" x14ac:dyDescent="0.2">
      <c r="A1034" t="str">
        <f>"1033"</f>
        <v>1033</v>
      </c>
      <c r="B1034" t="str">
        <f>"-0.91"</f>
        <v>-0.91</v>
      </c>
      <c r="C1034" t="str">
        <f>"32"</f>
        <v>32</v>
      </c>
      <c r="D1034" t="str">
        <f>"Kings &amp; Queens"</f>
        <v>Kings &amp; Queens</v>
      </c>
    </row>
    <row r="1035" spans="1:4" x14ac:dyDescent="0.2">
      <c r="A1035" t="str">
        <f>"1034"</f>
        <v>1034</v>
      </c>
      <c r="B1035" t="str">
        <f>"-0.64"</f>
        <v>-0.64</v>
      </c>
      <c r="C1035" t="str">
        <f>"34"</f>
        <v>34</v>
      </c>
      <c r="D1035" t="str">
        <f>"EP C / B EP"</f>
        <v>EP C / B EP</v>
      </c>
    </row>
    <row r="1036" spans="1:4" x14ac:dyDescent="0.2">
      <c r="A1036" t="str">
        <f>"1035"</f>
        <v>1035</v>
      </c>
      <c r="B1036" t="str">
        <f>"0.64"</f>
        <v>0.64</v>
      </c>
      <c r="C1036" t="str">
        <f>"39"</f>
        <v>39</v>
      </c>
      <c r="D1036" t="str">
        <f>"Sunset Rubdown EP"</f>
        <v>Sunset Rubdown EP</v>
      </c>
    </row>
    <row r="1037" spans="1:4" x14ac:dyDescent="0.2">
      <c r="A1037" t="str">
        <f>"1036"</f>
        <v>1036</v>
      </c>
      <c r="B1037" t="str">
        <f>"1.35"</f>
        <v>1.35</v>
      </c>
      <c r="C1037" t="str">
        <f>"108"</f>
        <v>108</v>
      </c>
      <c r="D1037" t="str">
        <f>"One Love at Studio One"</f>
        <v>One Love at Studio One</v>
      </c>
    </row>
    <row r="1038" spans="1:4" x14ac:dyDescent="0.2">
      <c r="A1038" t="str">
        <f>"1037"</f>
        <v>1037</v>
      </c>
      <c r="B1038" t="str">
        <f>"-0.17"</f>
        <v>-0.17</v>
      </c>
      <c r="C1038" t="str">
        <f>"45"</f>
        <v>45</v>
      </c>
      <c r="D1038" t="str">
        <f>"Punches"</f>
        <v>Punches</v>
      </c>
    </row>
    <row r="1039" spans="1:4" x14ac:dyDescent="0.2">
      <c r="A1039" t="str">
        <f>"1038"</f>
        <v>1038</v>
      </c>
      <c r="B1039" t="str">
        <f>"0.13"</f>
        <v>0.13</v>
      </c>
      <c r="C1039" t="str">
        <f>"44"</f>
        <v>44</v>
      </c>
      <c r="D1039" t="str">
        <f>"Everyone Into Position"</f>
        <v>Everyone Into Position</v>
      </c>
    </row>
    <row r="1040" spans="1:4" x14ac:dyDescent="0.2">
      <c r="A1040" t="str">
        <f>"1039"</f>
        <v>1039</v>
      </c>
      <c r="B1040" t="str">
        <f>"0.15"</f>
        <v>0.15</v>
      </c>
      <c r="C1040" t="str">
        <f>"44"</f>
        <v>44</v>
      </c>
      <c r="D1040" t="str">
        <f>"Drum's Not Dead"</f>
        <v>Drum's Not Dead</v>
      </c>
    </row>
    <row r="1041" spans="1:4" x14ac:dyDescent="0.2">
      <c r="A1041" t="str">
        <f>"1040"</f>
        <v>1040</v>
      </c>
      <c r="B1041" t="str">
        <f>"0.1"</f>
        <v>0.1</v>
      </c>
      <c r="C1041" t="str">
        <f>"77"</f>
        <v>77</v>
      </c>
      <c r="D1041" t="str">
        <f>"Everything Wrong Is Imaginary"</f>
        <v>Everything Wrong Is Imaginary</v>
      </c>
    </row>
    <row r="1042" spans="1:4" x14ac:dyDescent="0.2">
      <c r="A1042" t="str">
        <f>"1041"</f>
        <v>1041</v>
      </c>
      <c r="B1042" t="str">
        <f>"0.55"</f>
        <v>0.55</v>
      </c>
      <c r="C1042" t="str">
        <f>"23"</f>
        <v>23</v>
      </c>
      <c r="D1042" t="str">
        <f>"Tacoma Mockingbird"</f>
        <v>Tacoma Mockingbird</v>
      </c>
    </row>
    <row r="1043" spans="1:4" x14ac:dyDescent="0.2">
      <c r="A1043" t="str">
        <f>"1042"</f>
        <v>1042</v>
      </c>
      <c r="B1043" t="str">
        <f>"0.77"</f>
        <v>0.77</v>
      </c>
      <c r="C1043" t="str">
        <f>"21"</f>
        <v>21</v>
      </c>
      <c r="D1043" t="str">
        <f>"Future Women"</f>
        <v>Future Women</v>
      </c>
    </row>
    <row r="1044" spans="1:4" x14ac:dyDescent="0.2">
      <c r="A1044" t="str">
        <f>"1043"</f>
        <v>1043</v>
      </c>
      <c r="B1044" t="str">
        <f>"-0.03"</f>
        <v>-0.03</v>
      </c>
      <c r="C1044" t="str">
        <f>"62"</f>
        <v>62</v>
      </c>
      <c r="D1044" t="str">
        <f>"Inside In/Inside Out"</f>
        <v>Inside In/Inside Out</v>
      </c>
    </row>
    <row r="1045" spans="1:4" x14ac:dyDescent="0.2">
      <c r="A1045" t="str">
        <f>"1044"</f>
        <v>1044</v>
      </c>
      <c r="B1045" t="str">
        <f>"-0.28"</f>
        <v>-0.28</v>
      </c>
      <c r="C1045" t="str">
        <f>"35"</f>
        <v>35</v>
      </c>
      <c r="D1045" t="str">
        <f>"The Proposition OST"</f>
        <v>The Proposition OST</v>
      </c>
    </row>
    <row r="1046" spans="1:4" x14ac:dyDescent="0.2">
      <c r="A1046" t="str">
        <f>"1045"</f>
        <v>1045</v>
      </c>
      <c r="B1046" t="str">
        <f>"-0.17"</f>
        <v>-0.17</v>
      </c>
      <c r="C1046" t="str">
        <f>"33"</f>
        <v>33</v>
      </c>
      <c r="D1046" t="s">
        <v>34</v>
      </c>
    </row>
    <row r="1047" spans="1:4" x14ac:dyDescent="0.2">
      <c r="A1047" t="str">
        <f>"1046"</f>
        <v>1046</v>
      </c>
      <c r="B1047" t="str">
        <f>"0.23"</f>
        <v>0.23</v>
      </c>
      <c r="C1047" t="str">
        <f>"14"</f>
        <v>14</v>
      </c>
      <c r="D1047" t="str">
        <f>"Drowning in a Sea of Love"</f>
        <v>Drowning in a Sea of Love</v>
      </c>
    </row>
    <row r="1048" spans="1:4" x14ac:dyDescent="0.2">
      <c r="A1048" t="str">
        <f>"1047"</f>
        <v>1047</v>
      </c>
      <c r="B1048" t="str">
        <f>"0.08"</f>
        <v>0.08</v>
      </c>
      <c r="C1048" t="str">
        <f>"45"</f>
        <v>45</v>
      </c>
      <c r="D1048" t="str">
        <f>"Fantastic Success"</f>
        <v>Fantastic Success</v>
      </c>
    </row>
    <row r="1049" spans="1:4" x14ac:dyDescent="0.2">
      <c r="A1049" t="str">
        <f>"1048"</f>
        <v>1048</v>
      </c>
      <c r="B1049" t="str">
        <f>"0.47"</f>
        <v>0.47</v>
      </c>
      <c r="C1049" t="str">
        <f>"52"</f>
        <v>52</v>
      </c>
      <c r="D1049" t="str">
        <f>"Now Playing"</f>
        <v>Now Playing</v>
      </c>
    </row>
    <row r="1050" spans="1:4" x14ac:dyDescent="0.2">
      <c r="A1050" t="str">
        <f>"1049"</f>
        <v>1049</v>
      </c>
      <c r="B1050" t="str">
        <f>"0.47"</f>
        <v>0.47</v>
      </c>
      <c r="C1050" t="str">
        <f>"43"</f>
        <v>43</v>
      </c>
      <c r="D1050" t="str">
        <f>"Destroyer's Rubies"</f>
        <v>Destroyer's Rubies</v>
      </c>
    </row>
    <row r="1051" spans="1:4" x14ac:dyDescent="0.2">
      <c r="A1051" t="str">
        <f>"1050"</f>
        <v>1050</v>
      </c>
      <c r="B1051" t="str">
        <f>"-0.53"</f>
        <v>-0.53</v>
      </c>
      <c r="C1051" t="str">
        <f>"31"</f>
        <v>31</v>
      </c>
      <c r="D1051" t="str">
        <f>"Missing Songs"</f>
        <v>Missing Songs</v>
      </c>
    </row>
    <row r="1052" spans="1:4" x14ac:dyDescent="0.2">
      <c r="A1052" t="str">
        <f>"1051"</f>
        <v>1051</v>
      </c>
      <c r="B1052" t="str">
        <f>"0.12"</f>
        <v>0.12</v>
      </c>
      <c r="C1052" t="str">
        <f>"90"</f>
        <v>90</v>
      </c>
      <c r="D1052" t="str">
        <f>"Rough Trade Counter Culture 05"</f>
        <v>Rough Trade Counter Culture 05</v>
      </c>
    </row>
    <row r="1053" spans="1:4" x14ac:dyDescent="0.2">
      <c r="A1053" t="str">
        <f>"1052"</f>
        <v>1052</v>
      </c>
      <c r="B1053" t="str">
        <f>"0.24"</f>
        <v>0.24</v>
      </c>
      <c r="C1053" t="str">
        <f>"76"</f>
        <v>76</v>
      </c>
      <c r="D1053" t="str">
        <f>"Catch That Totem! (1998-2005)"</f>
        <v>Catch That Totem! (1998-2005)</v>
      </c>
    </row>
    <row r="1054" spans="1:4" x14ac:dyDescent="0.2">
      <c r="A1054" t="str">
        <f>"1053"</f>
        <v>1053</v>
      </c>
      <c r="B1054" t="str">
        <f>"0.09"</f>
        <v>0.09</v>
      </c>
      <c r="C1054" t="str">
        <f>"31"</f>
        <v>31</v>
      </c>
      <c r="D1054" t="str">
        <f>"Plague Dogs"</f>
        <v>Plague Dogs</v>
      </c>
    </row>
    <row r="1055" spans="1:4" x14ac:dyDescent="0.2">
      <c r="A1055" t="str">
        <f>"1054"</f>
        <v>1054</v>
      </c>
      <c r="B1055" t="str">
        <f>"0.94"</f>
        <v>0.94</v>
      </c>
      <c r="C1055" t="str">
        <f>"16"</f>
        <v>16</v>
      </c>
      <c r="D1055" t="str">
        <f>"Up Above"</f>
        <v>Up Above</v>
      </c>
    </row>
    <row r="1056" spans="1:4" x14ac:dyDescent="0.2">
      <c r="A1056" t="str">
        <f>"1055"</f>
        <v>1055</v>
      </c>
      <c r="B1056" t="str">
        <f>"-0.71"</f>
        <v>-0.71</v>
      </c>
      <c r="C1056" t="str">
        <f>"18"</f>
        <v>18</v>
      </c>
      <c r="D1056" t="str">
        <f>"Nomad Junk"</f>
        <v>Nomad Junk</v>
      </c>
    </row>
    <row r="1057" spans="1:4" x14ac:dyDescent="0.2">
      <c r="A1057" t="str">
        <f>"1056"</f>
        <v>1056</v>
      </c>
      <c r="B1057" t="str">
        <f>"0"</f>
        <v>0</v>
      </c>
      <c r="C1057" t="str">
        <f>"38"</f>
        <v>38</v>
      </c>
      <c r="D1057" t="str">
        <f>"When the Sun Is the Moon"</f>
        <v>When the Sun Is the Moon</v>
      </c>
    </row>
    <row r="1058" spans="1:4" x14ac:dyDescent="0.2">
      <c r="A1058" t="str">
        <f>"1057"</f>
        <v>1057</v>
      </c>
      <c r="B1058" t="str">
        <f>"0.48"</f>
        <v>0.48</v>
      </c>
      <c r="C1058" t="str">
        <f>"52"</f>
        <v>52</v>
      </c>
      <c r="D1058" t="str">
        <f>"X-Amounts"</f>
        <v>X-Amounts</v>
      </c>
    </row>
    <row r="1059" spans="1:4" x14ac:dyDescent="0.2">
      <c r="A1059" t="str">
        <f>"1058"</f>
        <v>1058</v>
      </c>
      <c r="B1059" t="str">
        <f>"-0.46"</f>
        <v>-0.46</v>
      </c>
      <c r="C1059" t="str">
        <f>"26"</f>
        <v>26</v>
      </c>
      <c r="D1059" t="str">
        <f>"Western Store"</f>
        <v>Western Store</v>
      </c>
    </row>
    <row r="1060" spans="1:4" x14ac:dyDescent="0.2">
      <c r="A1060" t="str">
        <f>"1059"</f>
        <v>1059</v>
      </c>
      <c r="B1060" t="str">
        <f>"-0.54"</f>
        <v>-0.54</v>
      </c>
      <c r="C1060" t="str">
        <f>"30"</f>
        <v>30</v>
      </c>
      <c r="D1060" t="str">
        <f>"Six Demon Bag"</f>
        <v>Six Demon Bag</v>
      </c>
    </row>
    <row r="1061" spans="1:4" x14ac:dyDescent="0.2">
      <c r="A1061" t="str">
        <f>"1060"</f>
        <v>1060</v>
      </c>
      <c r="B1061" t="str">
        <f>"-1.06"</f>
        <v>-1.06</v>
      </c>
      <c r="C1061" t="str">
        <f>"70"</f>
        <v>70</v>
      </c>
      <c r="D1061" t="str">
        <f>"The Lovvers"</f>
        <v>The Lovvers</v>
      </c>
    </row>
    <row r="1062" spans="1:4" x14ac:dyDescent="0.2">
      <c r="A1062" t="str">
        <f>"1061"</f>
        <v>1061</v>
      </c>
      <c r="B1062" t="str">
        <f>"1.14"</f>
        <v>1.14</v>
      </c>
      <c r="C1062" t="str">
        <f>"31"</f>
        <v>31</v>
      </c>
      <c r="D1062" t="str">
        <f>"Prog Is Not a Four Letter Word"</f>
        <v>Prog Is Not a Four Letter Word</v>
      </c>
    </row>
    <row r="1063" spans="1:4" x14ac:dyDescent="0.2">
      <c r="A1063" t="str">
        <f>"1062"</f>
        <v>1062</v>
      </c>
      <c r="B1063" t="str">
        <f>"-0.05"</f>
        <v>-0.05</v>
      </c>
      <c r="C1063" t="str">
        <f>"14"</f>
        <v>14</v>
      </c>
      <c r="D1063" t="str">
        <f>"All the Love I Could Find"</f>
        <v>All the Love I Could Find</v>
      </c>
    </row>
    <row r="1064" spans="1:4" x14ac:dyDescent="0.2">
      <c r="A1064" t="str">
        <f>"1063"</f>
        <v>1063</v>
      </c>
      <c r="B1064" t="str">
        <f>"0.96"</f>
        <v>0.96</v>
      </c>
      <c r="C1064" t="str">
        <f>"16"</f>
        <v>16</v>
      </c>
      <c r="D1064" t="str">
        <f>"Idols of Exile"</f>
        <v>Idols of Exile</v>
      </c>
    </row>
    <row r="1065" spans="1:4" x14ac:dyDescent="0.2">
      <c r="A1065" t="str">
        <f>"1064"</f>
        <v>1064</v>
      </c>
      <c r="B1065" t="str">
        <f>"0.55"</f>
        <v>0.55</v>
      </c>
      <c r="C1065" t="str">
        <f>"26"</f>
        <v>26</v>
      </c>
      <c r="D1065" t="str">
        <f>"Toy"</f>
        <v>Toy</v>
      </c>
    </row>
    <row r="1066" spans="1:4" x14ac:dyDescent="0.2">
      <c r="A1066" t="str">
        <f>"1065"</f>
        <v>1065</v>
      </c>
      <c r="B1066" t="str">
        <f>"-0.79"</f>
        <v>-0.79</v>
      </c>
      <c r="C1066" t="str">
        <f>"29"</f>
        <v>29</v>
      </c>
      <c r="D1066" t="str">
        <f>"Boa vs. Python"</f>
        <v>Boa vs. Python</v>
      </c>
    </row>
    <row r="1067" spans="1:4" x14ac:dyDescent="0.2">
      <c r="A1067" t="str">
        <f>"1066"</f>
        <v>1066</v>
      </c>
      <c r="B1067" t="str">
        <f>"0.86"</f>
        <v>0.86</v>
      </c>
      <c r="C1067" t="str">
        <f>"31"</f>
        <v>31</v>
      </c>
      <c r="D1067" t="str">
        <f>"Animalism"</f>
        <v>Animalism</v>
      </c>
    </row>
    <row r="1068" spans="1:4" x14ac:dyDescent="0.2">
      <c r="A1068" t="str">
        <f>"1067"</f>
        <v>1067</v>
      </c>
      <c r="B1068" t="str">
        <f>"-0.74"</f>
        <v>-0.74</v>
      </c>
      <c r="C1068" t="str">
        <f>"52"</f>
        <v>52</v>
      </c>
      <c r="D1068" t="str">
        <f>"The Color of Memory"</f>
        <v>The Color of Memory</v>
      </c>
    </row>
    <row r="1069" spans="1:4" x14ac:dyDescent="0.2">
      <c r="A1069" t="str">
        <f>"1068"</f>
        <v>1068</v>
      </c>
      <c r="B1069" t="str">
        <f>"0.22"</f>
        <v>0.22</v>
      </c>
      <c r="C1069" t="str">
        <f>"49"</f>
        <v>49</v>
      </c>
      <c r="D1069" t="str">
        <f>"Unfortunately"</f>
        <v>Unfortunately</v>
      </c>
    </row>
    <row r="1070" spans="1:4" x14ac:dyDescent="0.2">
      <c r="A1070" t="str">
        <f>"1069"</f>
        <v>1069</v>
      </c>
      <c r="B1070" t="str">
        <f>"0.9"</f>
        <v>0.9</v>
      </c>
      <c r="C1070" t="str">
        <f>"30"</f>
        <v>30</v>
      </c>
      <c r="D1070" t="str">
        <f>"Destroy Rock and Roll"</f>
        <v>Destroy Rock and Roll</v>
      </c>
    </row>
    <row r="1071" spans="1:4" x14ac:dyDescent="0.2">
      <c r="A1071" t="str">
        <f>"1070"</f>
        <v>1070</v>
      </c>
      <c r="B1071" t="str">
        <f>"0.87"</f>
        <v>0.87</v>
      </c>
      <c r="C1071" t="str">
        <f>"83"</f>
        <v>83</v>
      </c>
      <c r="D1071" t="str">
        <f>"Johnny Boy"</f>
        <v>Johnny Boy</v>
      </c>
    </row>
    <row r="1072" spans="1:4" x14ac:dyDescent="0.2">
      <c r="A1072" t="str">
        <f>"1071"</f>
        <v>1071</v>
      </c>
      <c r="B1072" t="str">
        <f>"0.36"</f>
        <v>0.36</v>
      </c>
      <c r="C1072" t="str">
        <f>"22"</f>
        <v>22</v>
      </c>
      <c r="D1072" t="str">
        <f>"Snow Borne Sorrow"</f>
        <v>Snow Borne Sorrow</v>
      </c>
    </row>
    <row r="1073" spans="1:4" x14ac:dyDescent="0.2">
      <c r="A1073" t="str">
        <f>"1072"</f>
        <v>1072</v>
      </c>
      <c r="B1073" t="str">
        <f>"0.51"</f>
        <v>0.51</v>
      </c>
      <c r="C1073" t="str">
        <f>"60"</f>
        <v>60</v>
      </c>
      <c r="D1073" t="str">
        <f>"Come Clarity"</f>
        <v>Come Clarity</v>
      </c>
    </row>
    <row r="1074" spans="1:4" x14ac:dyDescent="0.2">
      <c r="A1074" t="str">
        <f>"1073"</f>
        <v>1073</v>
      </c>
      <c r="B1074" t="str">
        <f>"-1.28"</f>
        <v>-1.28</v>
      </c>
      <c r="C1074" t="str">
        <f>"49"</f>
        <v>49</v>
      </c>
      <c r="D1074" t="str">
        <f>"Young for Eternity"</f>
        <v>Young for Eternity</v>
      </c>
    </row>
    <row r="1075" spans="1:4" x14ac:dyDescent="0.2">
      <c r="A1075" t="str">
        <f>"1074"</f>
        <v>1074</v>
      </c>
      <c r="B1075" t="str">
        <f>"-0.17"</f>
        <v>-0.17</v>
      </c>
      <c r="C1075" t="str">
        <f>"34"</f>
        <v>34</v>
      </c>
      <c r="D1075" t="str">
        <f>"Silent Shout"</f>
        <v>Silent Shout</v>
      </c>
    </row>
    <row r="1076" spans="1:4" x14ac:dyDescent="0.2">
      <c r="A1076" t="str">
        <f>"1075"</f>
        <v>1075</v>
      </c>
      <c r="B1076" t="str">
        <f>"1.18"</f>
        <v>1.18</v>
      </c>
      <c r="C1076" t="str">
        <f>"29"</f>
        <v>29</v>
      </c>
      <c r="D1076" t="str">
        <f>"I Am the Resurrection: A Tribute to John Fahey"</f>
        <v>I Am the Resurrection: A Tribute to John Fahey</v>
      </c>
    </row>
    <row r="1077" spans="1:4" x14ac:dyDescent="0.2">
      <c r="A1077" t="str">
        <f>"1076"</f>
        <v>1076</v>
      </c>
      <c r="B1077" t="str">
        <f>"-1.12"</f>
        <v>-1.12</v>
      </c>
      <c r="C1077" t="str">
        <f>"64"</f>
        <v>64</v>
      </c>
      <c r="D1077" t="str">
        <f>"Black Magic Show"</f>
        <v>Black Magic Show</v>
      </c>
    </row>
    <row r="1078" spans="1:4" x14ac:dyDescent="0.2">
      <c r="A1078" t="str">
        <f>"1077"</f>
        <v>1077</v>
      </c>
      <c r="B1078" t="str">
        <f>"-0.7"</f>
        <v>-0.7</v>
      </c>
      <c r="C1078" t="str">
        <f>"29"</f>
        <v>29</v>
      </c>
      <c r="D1078" t="str">
        <f>"Scalpel Slice"</f>
        <v>Scalpel Slice</v>
      </c>
    </row>
    <row r="1079" spans="1:4" x14ac:dyDescent="0.2">
      <c r="A1079" t="str">
        <f>"1078"</f>
        <v>1078</v>
      </c>
      <c r="B1079" t="str">
        <f>"0.11"</f>
        <v>0.11</v>
      </c>
      <c r="C1079" t="str">
        <f>"23"</f>
        <v>23</v>
      </c>
      <c r="D1079" t="str">
        <f>"No Word From Tom"</f>
        <v>No Word From Tom</v>
      </c>
    </row>
    <row r="1080" spans="1:4" x14ac:dyDescent="0.2">
      <c r="A1080" t="str">
        <f>"1079"</f>
        <v>1079</v>
      </c>
      <c r="B1080" t="str">
        <f>"-1.18"</f>
        <v>-1.18</v>
      </c>
      <c r="C1080" t="str">
        <f>"31"</f>
        <v>31</v>
      </c>
      <c r="D1080" t="str">
        <f>"Free in the Streets"</f>
        <v>Free in the Streets</v>
      </c>
    </row>
    <row r="1081" spans="1:4" x14ac:dyDescent="0.2">
      <c r="A1081" t="str">
        <f>"1080"</f>
        <v>1080</v>
      </c>
      <c r="B1081" t="str">
        <f>"0.74"</f>
        <v>0.74</v>
      </c>
      <c r="C1081" t="str">
        <f>"23"</f>
        <v>23</v>
      </c>
      <c r="D1081" t="str">
        <f>"Magnificent City"</f>
        <v>Magnificent City</v>
      </c>
    </row>
    <row r="1082" spans="1:4" x14ac:dyDescent="0.2">
      <c r="A1082" t="str">
        <f>"1081"</f>
        <v>1081</v>
      </c>
      <c r="B1082" t="str">
        <f>"0.88"</f>
        <v>0.88</v>
      </c>
      <c r="C1082" t="str">
        <f>"19"</f>
        <v>19</v>
      </c>
      <c r="D1082" t="str">
        <f>"We've"</f>
        <v>We've</v>
      </c>
    </row>
    <row r="1083" spans="1:4" x14ac:dyDescent="0.2">
      <c r="A1083" t="str">
        <f>"1082"</f>
        <v>1082</v>
      </c>
      <c r="B1083" t="str">
        <f>"-1.48"</f>
        <v>-1.48</v>
      </c>
      <c r="C1083" t="str">
        <f>"63"</f>
        <v>63</v>
      </c>
      <c r="D1083" t="str">
        <f>"Audition"</f>
        <v>Audition</v>
      </c>
    </row>
    <row r="1084" spans="1:4" x14ac:dyDescent="0.2">
      <c r="A1084" t="str">
        <f>"1083"</f>
        <v>1083</v>
      </c>
      <c r="B1084" t="str">
        <f>"-0.22"</f>
        <v>-0.22</v>
      </c>
      <c r="C1084" t="str">
        <f>"22"</f>
        <v>22</v>
      </c>
      <c r="D1084" t="str">
        <f>"Vampire Circus"</f>
        <v>Vampire Circus</v>
      </c>
    </row>
    <row r="1085" spans="1:4" x14ac:dyDescent="0.2">
      <c r="A1085" t="str">
        <f>"1084"</f>
        <v>1084</v>
      </c>
      <c r="B1085" t="str">
        <f>"0.42"</f>
        <v>0.42</v>
      </c>
      <c r="C1085" t="str">
        <f>"35"</f>
        <v>35</v>
      </c>
      <c r="D1085" t="str">
        <f>"Colin Meloy Sings trad. arr. Shirley Collins"</f>
        <v>Colin Meloy Sings trad. arr. Shirley Collins</v>
      </c>
    </row>
    <row r="1086" spans="1:4" x14ac:dyDescent="0.2">
      <c r="A1086" t="str">
        <f>"1085"</f>
        <v>1085</v>
      </c>
      <c r="B1086" t="str">
        <f>"-0.79"</f>
        <v>-0.79</v>
      </c>
      <c r="C1086" t="str">
        <f>"74"</f>
        <v>74</v>
      </c>
      <c r="D1086" t="str">
        <f>"The Minus 5"</f>
        <v>The Minus 5</v>
      </c>
    </row>
    <row r="1087" spans="1:4" x14ac:dyDescent="0.2">
      <c r="A1087" t="str">
        <f>"1086"</f>
        <v>1086</v>
      </c>
      <c r="B1087" t="str">
        <f>"-0.19"</f>
        <v>-0.19</v>
      </c>
      <c r="C1087" t="str">
        <f>"81"</f>
        <v>81</v>
      </c>
      <c r="D1087" t="str">
        <f>"Singles. Period. The Vinyl Years 1980-1990"</f>
        <v>Singles. Period. The Vinyl Years 1980-1990</v>
      </c>
    </row>
    <row r="1088" spans="1:4" x14ac:dyDescent="0.2">
      <c r="A1088" t="str">
        <f>"1087"</f>
        <v>1087</v>
      </c>
      <c r="B1088" t="str">
        <f>"0.74"</f>
        <v>0.74</v>
      </c>
      <c r="C1088" t="str">
        <f>"68"</f>
        <v>68</v>
      </c>
      <c r="D1088" t="str">
        <f>"Super Extra Gravity"</f>
        <v>Super Extra Gravity</v>
      </c>
    </row>
    <row r="1089" spans="1:4" x14ac:dyDescent="0.2">
      <c r="A1089" t="str">
        <f>"1088"</f>
        <v>1088</v>
      </c>
      <c r="B1089" t="str">
        <f>"0.22"</f>
        <v>0.22</v>
      </c>
      <c r="C1089" t="str">
        <f>"32"</f>
        <v>32</v>
      </c>
      <c r="D1089" t="str">
        <f>"Generation"</f>
        <v>Generation</v>
      </c>
    </row>
    <row r="1090" spans="1:4" x14ac:dyDescent="0.2">
      <c r="A1090" t="str">
        <f>"1089"</f>
        <v>1089</v>
      </c>
      <c r="B1090" t="str">
        <f>"-0.35"</f>
        <v>-0.35</v>
      </c>
      <c r="C1090" t="str">
        <f>"33"</f>
        <v>33</v>
      </c>
      <c r="D1090" t="str">
        <f>"To: Elliott / From: Portland"</f>
        <v>To: Elliott / From: Portland</v>
      </c>
    </row>
    <row r="1091" spans="1:4" x14ac:dyDescent="0.2">
      <c r="A1091" t="str">
        <f>"1090"</f>
        <v>1090</v>
      </c>
      <c r="B1091" t="str">
        <f>"-0.11"</f>
        <v>-0.11</v>
      </c>
      <c r="C1091" t="str">
        <f>"13"</f>
        <v>13</v>
      </c>
      <c r="D1091" t="str">
        <f>"October Language"</f>
        <v>October Language</v>
      </c>
    </row>
    <row r="1092" spans="1:4" x14ac:dyDescent="0.2">
      <c r="A1092" t="str">
        <f>"1091"</f>
        <v>1091</v>
      </c>
      <c r="B1092" t="str">
        <f>"0.33"</f>
        <v>0.33</v>
      </c>
      <c r="C1092" t="str">
        <f>"29"</f>
        <v>29</v>
      </c>
      <c r="D1092" t="str">
        <f>"Donuts"</f>
        <v>Donuts</v>
      </c>
    </row>
    <row r="1093" spans="1:4" x14ac:dyDescent="0.2">
      <c r="A1093" t="str">
        <f>"1092"</f>
        <v>1092</v>
      </c>
      <c r="B1093" t="str">
        <f>"0.27"</f>
        <v>0.27</v>
      </c>
      <c r="C1093" t="str">
        <f>"55"</f>
        <v>55</v>
      </c>
      <c r="D1093" t="str">
        <f>"Paquet Surprise"</f>
        <v>Paquet Surprise</v>
      </c>
    </row>
    <row r="1094" spans="1:4" x14ac:dyDescent="0.2">
      <c r="A1094" t="str">
        <f>"1093"</f>
        <v>1093</v>
      </c>
      <c r="B1094" t="str">
        <f>"0.32"</f>
        <v>0.32</v>
      </c>
      <c r="C1094" t="str">
        <f>"28"</f>
        <v>28</v>
      </c>
      <c r="D1094" t="str">
        <f>"Broom"</f>
        <v>Broom</v>
      </c>
    </row>
    <row r="1095" spans="1:4" x14ac:dyDescent="0.2">
      <c r="A1095" t="str">
        <f>"1094"</f>
        <v>1094</v>
      </c>
      <c r="B1095" t="str">
        <f>"0.03"</f>
        <v>0.03</v>
      </c>
      <c r="C1095" t="str">
        <f>"26"</f>
        <v>26</v>
      </c>
      <c r="D1095" t="str">
        <f>"Comfort of Strangers"</f>
        <v>Comfort of Strangers</v>
      </c>
    </row>
    <row r="1096" spans="1:4" x14ac:dyDescent="0.2">
      <c r="A1096" t="str">
        <f>"1095"</f>
        <v>1095</v>
      </c>
      <c r="B1096" t="str">
        <f>"0.26"</f>
        <v>0.26</v>
      </c>
      <c r="C1096" t="str">
        <f>"44"</f>
        <v>44</v>
      </c>
      <c r="D1096" t="str">
        <f>"Lantern"</f>
        <v>Lantern</v>
      </c>
    </row>
    <row r="1097" spans="1:4" x14ac:dyDescent="0.2">
      <c r="A1097" t="str">
        <f>"1096"</f>
        <v>1096</v>
      </c>
      <c r="B1097" t="str">
        <f>"0.58"</f>
        <v>0.58</v>
      </c>
      <c r="C1097" t="str">
        <f>"54"</f>
        <v>54</v>
      </c>
      <c r="D1097" t="str">
        <f>"Detrola"</f>
        <v>Detrola</v>
      </c>
    </row>
    <row r="1098" spans="1:4" x14ac:dyDescent="0.2">
      <c r="A1098" t="str">
        <f>"1097"</f>
        <v>1097</v>
      </c>
      <c r="B1098" t="str">
        <f>"1.27"</f>
        <v>1.27</v>
      </c>
      <c r="C1098" t="str">
        <f>"55"</f>
        <v>55</v>
      </c>
      <c r="D1098" t="str">
        <f>"Pop Ambient 2006"</f>
        <v>Pop Ambient 2006</v>
      </c>
    </row>
    <row r="1099" spans="1:4" x14ac:dyDescent="0.2">
      <c r="A1099" t="str">
        <f>"1098"</f>
        <v>1098</v>
      </c>
      <c r="B1099" t="str">
        <f>"1.8"</f>
        <v>1.8</v>
      </c>
      <c r="C1099" t="str">
        <f>"18"</f>
        <v>18</v>
      </c>
      <c r="D1099" t="str">
        <f>"Lindstrøm &amp; Prins Thomas"</f>
        <v>Lindstrøm &amp; Prins Thomas</v>
      </c>
    </row>
    <row r="1100" spans="1:4" x14ac:dyDescent="0.2">
      <c r="A1100" t="str">
        <f>"1099"</f>
        <v>1099</v>
      </c>
      <c r="B1100" t="str">
        <f>"-0.55"</f>
        <v>-0.55</v>
      </c>
      <c r="C1100" t="str">
        <f>"55"</f>
        <v>55</v>
      </c>
      <c r="D1100" t="str">
        <f>"She Wants Revenge"</f>
        <v>She Wants Revenge</v>
      </c>
    </row>
    <row r="1101" spans="1:4" x14ac:dyDescent="0.2">
      <c r="A1101" t="str">
        <f>"1100"</f>
        <v>1100</v>
      </c>
      <c r="B1101" t="str">
        <f>"-0.99"</f>
        <v>-0.99</v>
      </c>
      <c r="C1101" t="str">
        <f>"21"</f>
        <v>21</v>
      </c>
      <c r="D1101" t="str">
        <f>"Security Screenings"</f>
        <v>Security Screenings</v>
      </c>
    </row>
    <row r="1102" spans="1:4" x14ac:dyDescent="0.2">
      <c r="A1102" t="str">
        <f>"1101"</f>
        <v>1101</v>
      </c>
      <c r="B1102" t="str">
        <f>"1.56"</f>
        <v>1.56</v>
      </c>
      <c r="C1102" t="str">
        <f>"32"</f>
        <v>32</v>
      </c>
      <c r="D1102" t="str">
        <f>"The Best of Studio One"</f>
        <v>The Best of Studio One</v>
      </c>
    </row>
    <row r="1103" spans="1:4" x14ac:dyDescent="0.2">
      <c r="A1103" t="str">
        <f>"1102"</f>
        <v>1102</v>
      </c>
      <c r="B1103" t="str">
        <f>"1.31"</f>
        <v>1.31</v>
      </c>
      <c r="C1103" t="str">
        <f>"19"</f>
        <v>19</v>
      </c>
      <c r="D1103" t="str">
        <f>"Bells For Augustin Lesage"</f>
        <v>Bells For Augustin Lesage</v>
      </c>
    </row>
    <row r="1104" spans="1:4" x14ac:dyDescent="0.2">
      <c r="A1104" t="str">
        <f>"1103"</f>
        <v>1103</v>
      </c>
      <c r="B1104" t="str">
        <f>"-1.25"</f>
        <v>-1.25</v>
      </c>
      <c r="C1104" t="str">
        <f>"63"</f>
        <v>63</v>
      </c>
      <c r="D1104" t="str">
        <f>"Phoenician Flu and Ancient Ocean"</f>
        <v>Phoenician Flu and Ancient Ocean</v>
      </c>
    </row>
    <row r="1105" spans="1:4" x14ac:dyDescent="0.2">
      <c r="A1105" t="str">
        <f>"1104"</f>
        <v>1104</v>
      </c>
      <c r="B1105" t="str">
        <f>"0.04"</f>
        <v>0.04</v>
      </c>
      <c r="C1105" t="str">
        <f>"33"</f>
        <v>33</v>
      </c>
      <c r="D1105" t="str">
        <f>"Fahrenheit 1/15"</f>
        <v>Fahrenheit 1/15</v>
      </c>
    </row>
    <row r="1106" spans="1:4" x14ac:dyDescent="0.2">
      <c r="A1106" t="str">
        <f>"1105"</f>
        <v>1105</v>
      </c>
      <c r="B1106" t="str">
        <f>"0.15"</f>
        <v>0.15</v>
      </c>
      <c r="C1106" t="str">
        <f>"45"</f>
        <v>45</v>
      </c>
      <c r="D1106" t="str">
        <f>"Tanx"</f>
        <v>Tanx</v>
      </c>
    </row>
    <row r="1107" spans="1:4" x14ac:dyDescent="0.2">
      <c r="A1107" t="str">
        <f>"1106"</f>
        <v>1106</v>
      </c>
      <c r="B1107" t="str">
        <f>"0.7"</f>
        <v>0.7</v>
      </c>
      <c r="C1107" t="str">
        <f>"45"</f>
        <v>45</v>
      </c>
      <c r="D1107" t="str">
        <f>"The Life Pursuit"</f>
        <v>The Life Pursuit</v>
      </c>
    </row>
    <row r="1108" spans="1:4" x14ac:dyDescent="0.2">
      <c r="A1108" t="str">
        <f>"1107"</f>
        <v>1107</v>
      </c>
      <c r="B1108" t="str">
        <f>"-0.15"</f>
        <v>-0.15</v>
      </c>
      <c r="C1108" t="str">
        <f>"48"</f>
        <v>48</v>
      </c>
      <c r="D1108" t="str">
        <f>"Stay in the Shade EP"</f>
        <v>Stay in the Shade EP</v>
      </c>
    </row>
    <row r="1109" spans="1:4" x14ac:dyDescent="0.2">
      <c r="A1109" t="str">
        <f>"1108"</f>
        <v>1108</v>
      </c>
      <c r="B1109" t="str">
        <f>"0.5"</f>
        <v>0.5</v>
      </c>
      <c r="C1109" t="str">
        <f>"22"</f>
        <v>22</v>
      </c>
      <c r="D1109" t="str">
        <f>"3 Dead People After the Performance"</f>
        <v>3 Dead People After the Performance</v>
      </c>
    </row>
    <row r="1110" spans="1:4" x14ac:dyDescent="0.2">
      <c r="A1110" t="str">
        <f>"1109"</f>
        <v>1109</v>
      </c>
      <c r="B1110" t="str">
        <f>"-1.7"</f>
        <v>-1.7</v>
      </c>
      <c r="C1110" t="str">
        <f>"12"</f>
        <v>12</v>
      </c>
      <c r="D1110" t="str">
        <f>"The Dolls"</f>
        <v>The Dolls</v>
      </c>
    </row>
    <row r="1111" spans="1:4" x14ac:dyDescent="0.2">
      <c r="A1111" t="str">
        <f>"1110"</f>
        <v>1110</v>
      </c>
      <c r="B1111" t="str">
        <f>"0.07"</f>
        <v>0.07</v>
      </c>
      <c r="C1111" t="str">
        <f>"100"</f>
        <v>100</v>
      </c>
      <c r="D1111" t="str">
        <f>"Everything Ecstatic 2"</f>
        <v>Everything Ecstatic 2</v>
      </c>
    </row>
    <row r="1112" spans="1:4" x14ac:dyDescent="0.2">
      <c r="A1112" t="str">
        <f>"1111"</f>
        <v>1111</v>
      </c>
      <c r="B1112" t="str">
        <f>"1.05"</f>
        <v>1.05</v>
      </c>
      <c r="C1112" t="str">
        <f>"33"</f>
        <v>33</v>
      </c>
      <c r="D1112" t="str">
        <f>"Eccentric Soul: The Deep City Label"</f>
        <v>Eccentric Soul: The Deep City Label</v>
      </c>
    </row>
    <row r="1113" spans="1:4" x14ac:dyDescent="0.2">
      <c r="A1113" t="str">
        <f>"1112"</f>
        <v>1112</v>
      </c>
      <c r="B1113" t="str">
        <f>"-0.23"</f>
        <v>-0.23</v>
      </c>
      <c r="C1113" t="str">
        <f>"52"</f>
        <v>52</v>
      </c>
      <c r="D1113" t="str">
        <f>"Plastic Explosives"</f>
        <v>Plastic Explosives</v>
      </c>
    </row>
    <row r="1114" spans="1:4" x14ac:dyDescent="0.2">
      <c r="A1114" t="str">
        <f>"1113"</f>
        <v>1113</v>
      </c>
      <c r="B1114" t="str">
        <f>"-0.35"</f>
        <v>-0.35</v>
      </c>
      <c r="C1114" t="str">
        <f>"20"</f>
        <v>20</v>
      </c>
      <c r="D1114" t="str">
        <f>"Last Night Becomes This Morning"</f>
        <v>Last Night Becomes This Morning</v>
      </c>
    </row>
    <row r="1115" spans="1:4" x14ac:dyDescent="0.2">
      <c r="A1115" t="str">
        <f>"1114"</f>
        <v>1114</v>
      </c>
      <c r="B1115" t="str">
        <f>"1.08"</f>
        <v>1.08</v>
      </c>
      <c r="C1115" t="str">
        <f>"25"</f>
        <v>25</v>
      </c>
      <c r="D1115" t="str">
        <f>"Africa Unite: The Singles Collection"</f>
        <v>Africa Unite: The Singles Collection</v>
      </c>
    </row>
    <row r="1116" spans="1:4" x14ac:dyDescent="0.2">
      <c r="A1116" t="str">
        <f>"1115"</f>
        <v>1115</v>
      </c>
      <c r="B1116" t="str">
        <f>"-0.26"</f>
        <v>-0.26</v>
      </c>
      <c r="C1116" t="str">
        <f>"70"</f>
        <v>70</v>
      </c>
      <c r="D1116" t="str">
        <f>"Achso"</f>
        <v>Achso</v>
      </c>
    </row>
    <row r="1117" spans="1:4" x14ac:dyDescent="0.2">
      <c r="A1117" t="str">
        <f>"1116"</f>
        <v>1116</v>
      </c>
      <c r="B1117" t="str">
        <f>"0.63"</f>
        <v>0.63</v>
      </c>
      <c r="C1117" t="str">
        <f>"25"</f>
        <v>25</v>
      </c>
      <c r="D1117" t="str">
        <f>"Spirit Walk"</f>
        <v>Spirit Walk</v>
      </c>
    </row>
    <row r="1118" spans="1:4" x14ac:dyDescent="0.2">
      <c r="A1118" t="str">
        <f>"1117"</f>
        <v>1117</v>
      </c>
      <c r="B1118" t="str">
        <f>"-0.21"</f>
        <v>-0.21</v>
      </c>
      <c r="C1118" t="str">
        <f>"17"</f>
        <v>17</v>
      </c>
      <c r="D1118" t="str">
        <f>"Harpoon"</f>
        <v>Harpoon</v>
      </c>
    </row>
    <row r="1119" spans="1:4" x14ac:dyDescent="0.2">
      <c r="A1119" t="str">
        <f>"1118"</f>
        <v>1118</v>
      </c>
      <c r="B1119" t="str">
        <f>"0.01"</f>
        <v>0.01</v>
      </c>
      <c r="C1119" t="str">
        <f>"26"</f>
        <v>26</v>
      </c>
      <c r="D1119" t="str">
        <f>"Future Retro"</f>
        <v>Future Retro</v>
      </c>
    </row>
    <row r="1120" spans="1:4" x14ac:dyDescent="0.2">
      <c r="A1120" t="str">
        <f>"1119"</f>
        <v>1119</v>
      </c>
      <c r="B1120" t="str">
        <f>"0.03"</f>
        <v>0.03</v>
      </c>
      <c r="C1120" t="str">
        <f>"32"</f>
        <v>32</v>
      </c>
      <c r="D1120" t="str">
        <f>"Tropicália: A Brazilian Revolution in Sound"</f>
        <v>Tropicália: A Brazilian Revolution in Sound</v>
      </c>
    </row>
    <row r="1121" spans="1:4" x14ac:dyDescent="0.2">
      <c r="A1121" t="str">
        <f>"1120"</f>
        <v>1120</v>
      </c>
      <c r="B1121" t="str">
        <f>"-0.12"</f>
        <v>-0.12</v>
      </c>
      <c r="C1121" t="str">
        <f>"37"</f>
        <v>37</v>
      </c>
      <c r="D1121" t="s">
        <v>35</v>
      </c>
    </row>
    <row r="1122" spans="1:4" x14ac:dyDescent="0.2">
      <c r="A1122" t="str">
        <f>"1121"</f>
        <v>1121</v>
      </c>
      <c r="B1122" t="str">
        <f>"-0.02"</f>
        <v>-0.02</v>
      </c>
      <c r="C1122" t="str">
        <f>"20"</f>
        <v>20</v>
      </c>
      <c r="D1122" t="str">
        <f>"What Else Is There? EP"</f>
        <v>What Else Is There? EP</v>
      </c>
    </row>
    <row r="1123" spans="1:4" x14ac:dyDescent="0.2">
      <c r="A1123" t="str">
        <f>"1122"</f>
        <v>1122</v>
      </c>
      <c r="B1123" t="str">
        <f>"0.33"</f>
        <v>0.33</v>
      </c>
      <c r="C1123" t="str">
        <f>"38"</f>
        <v>38</v>
      </c>
      <c r="D1123" t="str">
        <f>"Perfect Pitch Black"</f>
        <v>Perfect Pitch Black</v>
      </c>
    </row>
    <row r="1124" spans="1:4" x14ac:dyDescent="0.2">
      <c r="A1124" t="str">
        <f>"1123"</f>
        <v>1123</v>
      </c>
      <c r="B1124" t="str">
        <f>"-1.03"</f>
        <v>-1.03</v>
      </c>
      <c r="C1124" t="str">
        <f>"31"</f>
        <v>31</v>
      </c>
      <c r="D1124" t="str">
        <f>"Oasis of Whispers"</f>
        <v>Oasis of Whispers</v>
      </c>
    </row>
    <row r="1125" spans="1:4" x14ac:dyDescent="0.2">
      <c r="A1125" t="str">
        <f>"1124"</f>
        <v>1124</v>
      </c>
      <c r="B1125" t="str">
        <f>"0.75"</f>
        <v>0.75</v>
      </c>
      <c r="C1125" t="str">
        <f>"16"</f>
        <v>16</v>
      </c>
      <c r="D1125" t="str">
        <f>"One"</f>
        <v>One</v>
      </c>
    </row>
    <row r="1126" spans="1:4" x14ac:dyDescent="0.2">
      <c r="A1126" t="str">
        <f>"1125"</f>
        <v>1125</v>
      </c>
      <c r="B1126" t="str">
        <f>"-0.1"</f>
        <v>-0.1</v>
      </c>
      <c r="C1126" t="str">
        <f>"27"</f>
        <v>27</v>
      </c>
      <c r="D1126" t="str">
        <f>"Breakupdown"</f>
        <v>Breakupdown</v>
      </c>
    </row>
    <row r="1127" spans="1:4" x14ac:dyDescent="0.2">
      <c r="A1127" t="str">
        <f>"1126"</f>
        <v>1126</v>
      </c>
      <c r="B1127" t="str">
        <f>"-0.85"</f>
        <v>-0.85</v>
      </c>
      <c r="C1127" t="str">
        <f>"42"</f>
        <v>42</v>
      </c>
      <c r="D1127" t="str">
        <f>"Keys to the World"</f>
        <v>Keys to the World</v>
      </c>
    </row>
    <row r="1128" spans="1:4" x14ac:dyDescent="0.2">
      <c r="A1128" t="str">
        <f>"1127"</f>
        <v>1127</v>
      </c>
      <c r="B1128" t="str">
        <f>"-0.23"</f>
        <v>-0.23</v>
      </c>
      <c r="C1128" t="str">
        <f>"16"</f>
        <v>16</v>
      </c>
      <c r="D1128" t="str">
        <f>"The Garden of Brokenness"</f>
        <v>The Garden of Brokenness</v>
      </c>
    </row>
    <row r="1129" spans="1:4" x14ac:dyDescent="0.2">
      <c r="A1129" t="str">
        <f>"1128"</f>
        <v>1128</v>
      </c>
      <c r="B1129" t="str">
        <f>"1.05"</f>
        <v>1.05</v>
      </c>
      <c r="C1129" t="str">
        <f>"16"</f>
        <v>16</v>
      </c>
      <c r="D1129" t="str">
        <f>"Levitation"</f>
        <v>Levitation</v>
      </c>
    </row>
    <row r="1130" spans="1:4" x14ac:dyDescent="0.2">
      <c r="A1130" t="str">
        <f>"1129"</f>
        <v>1129</v>
      </c>
      <c r="B1130" t="str">
        <f>"-0.15"</f>
        <v>-0.15</v>
      </c>
      <c r="C1130" t="str">
        <f>"28"</f>
        <v>28</v>
      </c>
      <c r="D1130" t="str">
        <f>"From a Compound Eye"</f>
        <v>From a Compound Eye</v>
      </c>
    </row>
    <row r="1131" spans="1:4" x14ac:dyDescent="0.2">
      <c r="A1131" t="str">
        <f>"1130"</f>
        <v>1130</v>
      </c>
      <c r="B1131" t="str">
        <f>"-0.39"</f>
        <v>-0.39</v>
      </c>
      <c r="C1131" t="str">
        <f>"58"</f>
        <v>58</v>
      </c>
      <c r="D1131" t="str">
        <f>"Makers"</f>
        <v>Makers</v>
      </c>
    </row>
    <row r="1132" spans="1:4" x14ac:dyDescent="0.2">
      <c r="A1132" t="str">
        <f>"1131"</f>
        <v>1131</v>
      </c>
      <c r="B1132" t="str">
        <f>"-0.77"</f>
        <v>-0.77</v>
      </c>
      <c r="C1132" t="str">
        <f>"21"</f>
        <v>21</v>
      </c>
      <c r="D1132" t="str">
        <f>"Sunbomber EP"</f>
        <v>Sunbomber EP</v>
      </c>
    </row>
    <row r="1133" spans="1:4" x14ac:dyDescent="0.2">
      <c r="A1133" t="str">
        <f>"1132"</f>
        <v>1132</v>
      </c>
      <c r="B1133" t="str">
        <f>"0.03"</f>
        <v>0.03</v>
      </c>
      <c r="C1133" t="str">
        <f>"137"</f>
        <v>137</v>
      </c>
      <c r="D1133" t="s">
        <v>36</v>
      </c>
    </row>
    <row r="1134" spans="1:4" x14ac:dyDescent="0.2">
      <c r="A1134" t="str">
        <f>"1133"</f>
        <v>1133</v>
      </c>
      <c r="B1134" t="str">
        <f>"-1.09"</f>
        <v>-1.09</v>
      </c>
      <c r="C1134" t="str">
        <f>"31"</f>
        <v>31</v>
      </c>
      <c r="D1134" t="str">
        <f>"Crusades"</f>
        <v>Crusades</v>
      </c>
    </row>
    <row r="1135" spans="1:4" x14ac:dyDescent="0.2">
      <c r="A1135" t="str">
        <f>"1134"</f>
        <v>1134</v>
      </c>
      <c r="B1135" t="str">
        <f>"0.65"</f>
        <v>0.65</v>
      </c>
      <c r="C1135" t="str">
        <f>"54"</f>
        <v>54</v>
      </c>
      <c r="D1135" t="str">
        <f>"Singles &amp; Sessions 1979-81"</f>
        <v>Singles &amp; Sessions 1979-81</v>
      </c>
    </row>
    <row r="1136" spans="1:4" x14ac:dyDescent="0.2">
      <c r="A1136" t="str">
        <f>"1135"</f>
        <v>1135</v>
      </c>
      <c r="B1136" t="str">
        <f>"-0.25"</f>
        <v>-0.25</v>
      </c>
      <c r="C1136" t="str">
        <f>"16"</f>
        <v>16</v>
      </c>
      <c r="D1136" t="str">
        <f>"Beautiful Seizure"</f>
        <v>Beautiful Seizure</v>
      </c>
    </row>
    <row r="1137" spans="1:4" x14ac:dyDescent="0.2">
      <c r="A1137" t="str">
        <f>"1136"</f>
        <v>1136</v>
      </c>
      <c r="B1137" t="str">
        <f>"-1.52"</f>
        <v>-1.52</v>
      </c>
      <c r="C1137" t="str">
        <f>"68"</f>
        <v>68</v>
      </c>
      <c r="D1137" t="str">
        <f>"Beyond Reinforced Jewel Case"</f>
        <v>Beyond Reinforced Jewel Case</v>
      </c>
    </row>
    <row r="1138" spans="1:4" x14ac:dyDescent="0.2">
      <c r="A1138" t="str">
        <f>"1137"</f>
        <v>1137</v>
      </c>
      <c r="B1138" t="str">
        <f>"0.92"</f>
        <v>0.92</v>
      </c>
      <c r="C1138" t="str">
        <f>"24"</f>
        <v>24</v>
      </c>
      <c r="D1138" t="str">
        <f>"Rabbit Fur Coat"</f>
        <v>Rabbit Fur Coat</v>
      </c>
    </row>
    <row r="1139" spans="1:4" x14ac:dyDescent="0.2">
      <c r="A1139" t="str">
        <f>"1138"</f>
        <v>1138</v>
      </c>
      <c r="B1139" t="str">
        <f>"0.4"</f>
        <v>0.4</v>
      </c>
      <c r="C1139" t="str">
        <f>"19"</f>
        <v>19</v>
      </c>
      <c r="D1139" t="str">
        <f>"IAO Chant From the Cosmic Inferno"</f>
        <v>IAO Chant From the Cosmic Inferno</v>
      </c>
    </row>
    <row r="1140" spans="1:4" x14ac:dyDescent="0.2">
      <c r="A1140" t="str">
        <f>"1139"</f>
        <v>1139</v>
      </c>
      <c r="B1140" t="str">
        <f>"0.66"</f>
        <v>0.66</v>
      </c>
      <c r="C1140" t="str">
        <f>"17"</f>
        <v>17</v>
      </c>
      <c r="D1140" t="s">
        <v>37</v>
      </c>
    </row>
    <row r="1141" spans="1:4" x14ac:dyDescent="0.2">
      <c r="A1141" t="str">
        <f>"1140"</f>
        <v>1140</v>
      </c>
      <c r="B1141" t="str">
        <f>"-1.06"</f>
        <v>-1.06</v>
      </c>
      <c r="C1141" t="str">
        <f>"23"</f>
        <v>23</v>
      </c>
      <c r="D1141" t="str">
        <f>"What Are You On?"</f>
        <v>What Are You On?</v>
      </c>
    </row>
    <row r="1142" spans="1:4" x14ac:dyDescent="0.2">
      <c r="A1142" t="str">
        <f>"1141"</f>
        <v>1141</v>
      </c>
      <c r="B1142" t="str">
        <f>"-1.22"</f>
        <v>-1.22</v>
      </c>
      <c r="C1142" t="str">
        <f>"27"</f>
        <v>27</v>
      </c>
      <c r="D1142" t="str">
        <f>"Zodiac Zoo"</f>
        <v>Zodiac Zoo</v>
      </c>
    </row>
    <row r="1143" spans="1:4" x14ac:dyDescent="0.2">
      <c r="A1143" t="str">
        <f>"1142"</f>
        <v>1142</v>
      </c>
      <c r="B1143" t="str">
        <f>"0.61"</f>
        <v>0.61</v>
      </c>
      <c r="C1143" t="str">
        <f>"49"</f>
        <v>49</v>
      </c>
      <c r="D1143" t="str">
        <f>"The Greatest"</f>
        <v>The Greatest</v>
      </c>
    </row>
    <row r="1144" spans="1:4" x14ac:dyDescent="0.2">
      <c r="A1144" t="str">
        <f>"1143"</f>
        <v>1143</v>
      </c>
      <c r="B1144" t="str">
        <f>"0.26"</f>
        <v>0.26</v>
      </c>
      <c r="C1144" t="str">
        <f>"51"</f>
        <v>51</v>
      </c>
      <c r="D1144" t="str">
        <f>"The Early Years"</f>
        <v>The Early Years</v>
      </c>
    </row>
    <row r="1145" spans="1:4" x14ac:dyDescent="0.2">
      <c r="A1145" t="str">
        <f>"1144"</f>
        <v>1144</v>
      </c>
      <c r="B1145" t="str">
        <f>"-0.62"</f>
        <v>-0.62</v>
      </c>
      <c r="C1145" t="str">
        <f>"54"</f>
        <v>54</v>
      </c>
      <c r="D1145" t="str">
        <f>"The Men Album"</f>
        <v>The Men Album</v>
      </c>
    </row>
    <row r="1146" spans="1:4" x14ac:dyDescent="0.2">
      <c r="A1146" t="str">
        <f>"1145"</f>
        <v>1145</v>
      </c>
      <c r="B1146" t="str">
        <f>"-0.38"</f>
        <v>-0.38</v>
      </c>
      <c r="C1146" t="str">
        <f>"50"</f>
        <v>50</v>
      </c>
      <c r="D1146" t="str">
        <f>"The Cellar Door Sessions 1970"</f>
        <v>The Cellar Door Sessions 1970</v>
      </c>
    </row>
    <row r="1147" spans="1:4" x14ac:dyDescent="0.2">
      <c r="A1147" t="str">
        <f>"1146"</f>
        <v>1146</v>
      </c>
      <c r="B1147" t="str">
        <f>"0.04"</f>
        <v>0.04</v>
      </c>
      <c r="C1147" t="str">
        <f>"18"</f>
        <v>18</v>
      </c>
      <c r="D1147" t="str">
        <f>"New York Noise 2"</f>
        <v>New York Noise 2</v>
      </c>
    </row>
    <row r="1148" spans="1:4" x14ac:dyDescent="0.2">
      <c r="A1148" t="str">
        <f>"1147"</f>
        <v>1147</v>
      </c>
      <c r="B1148" t="str">
        <f>"0.87"</f>
        <v>0.87</v>
      </c>
      <c r="C1148" t="str">
        <f>"33"</f>
        <v>33</v>
      </c>
      <c r="D1148" t="str">
        <f>"The Buddha Machine"</f>
        <v>The Buddha Machine</v>
      </c>
    </row>
    <row r="1149" spans="1:4" x14ac:dyDescent="0.2">
      <c r="A1149" t="str">
        <f>"1148"</f>
        <v>1148</v>
      </c>
      <c r="B1149" t="str">
        <f>"0.23"</f>
        <v>0.23</v>
      </c>
      <c r="C1149" t="str">
        <f>"15"</f>
        <v>15</v>
      </c>
      <c r="D1149" t="str">
        <f>"Arizona Amp and Alternator"</f>
        <v>Arizona Amp and Alternator</v>
      </c>
    </row>
    <row r="1150" spans="1:4" x14ac:dyDescent="0.2">
      <c r="A1150" t="str">
        <f>"1149"</f>
        <v>1149</v>
      </c>
      <c r="B1150" t="str">
        <f>"0.12"</f>
        <v>0.12</v>
      </c>
      <c r="C1150" t="str">
        <f>"36"</f>
        <v>36</v>
      </c>
      <c r="D1150" t="str">
        <f>"Rats! Sing! Sing!"</f>
        <v>Rats! Sing! Sing!</v>
      </c>
    </row>
    <row r="1151" spans="1:4" x14ac:dyDescent="0.2">
      <c r="A1151" t="str">
        <f>"1150"</f>
        <v>1150</v>
      </c>
      <c r="B1151" t="str">
        <f>"0.16"</f>
        <v>0.16</v>
      </c>
      <c r="C1151" t="str">
        <f>"107"</f>
        <v>107</v>
      </c>
      <c r="D1151" t="str">
        <f>"The Complete Guide To Insufficiency"</f>
        <v>The Complete Guide To Insufficiency</v>
      </c>
    </row>
    <row r="1152" spans="1:4" x14ac:dyDescent="0.2">
      <c r="A1152" t="str">
        <f>"1151"</f>
        <v>1151</v>
      </c>
      <c r="B1152" t="str">
        <f>"-0.64"</f>
        <v>-0.64</v>
      </c>
      <c r="C1152" t="str">
        <f>"31"</f>
        <v>31</v>
      </c>
      <c r="D1152" t="str">
        <f>"Funky Skunk"</f>
        <v>Funky Skunk</v>
      </c>
    </row>
    <row r="1153" spans="1:4" x14ac:dyDescent="0.2">
      <c r="A1153" t="str">
        <f>"1152"</f>
        <v>1152</v>
      </c>
      <c r="B1153" t="str">
        <f>"0.75"</f>
        <v>0.75</v>
      </c>
      <c r="C1153" t="str">
        <f>"27"</f>
        <v>27</v>
      </c>
      <c r="D1153" t="str">
        <f>"Hello Mom!"</f>
        <v>Hello Mom!</v>
      </c>
    </row>
    <row r="1154" spans="1:4" x14ac:dyDescent="0.2">
      <c r="A1154" t="str">
        <f>"1153"</f>
        <v>1153</v>
      </c>
      <c r="B1154" t="str">
        <f>"0.13"</f>
        <v>0.13</v>
      </c>
      <c r="C1154" t="str">
        <f>"65"</f>
        <v>65</v>
      </c>
      <c r="D1154" t="str">
        <f>"Congotronics 2: Buzz 'n' Rumble from the Urb'n' Jungle"</f>
        <v>Congotronics 2: Buzz 'n' Rumble from the Urb'n' Jungle</v>
      </c>
    </row>
    <row r="1155" spans="1:4" x14ac:dyDescent="0.2">
      <c r="A1155" t="str">
        <f>"1154"</f>
        <v>1154</v>
      </c>
      <c r="B1155" t="str">
        <f>"-0.31"</f>
        <v>-0.31</v>
      </c>
      <c r="C1155" t="str">
        <f>"21"</f>
        <v>21</v>
      </c>
      <c r="D1155" t="str">
        <f>"Cicada"</f>
        <v>Cicada</v>
      </c>
    </row>
    <row r="1156" spans="1:4" x14ac:dyDescent="0.2">
      <c r="A1156" t="str">
        <f>"1155"</f>
        <v>1155</v>
      </c>
      <c r="B1156" t="str">
        <f>"0.54"</f>
        <v>0.54</v>
      </c>
      <c r="C1156" t="str">
        <f>"55"</f>
        <v>55</v>
      </c>
      <c r="D1156" t="str">
        <f>"The Logic of Building the Body Plan EP"</f>
        <v>The Logic of Building the Body Plan EP</v>
      </c>
    </row>
    <row r="1157" spans="1:4" x14ac:dyDescent="0.2">
      <c r="A1157" t="str">
        <f>"1156"</f>
        <v>1156</v>
      </c>
      <c r="B1157" t="str">
        <f>"-0.36"</f>
        <v>-0.36</v>
      </c>
      <c r="C1157" t="str">
        <f>"41"</f>
        <v>41</v>
      </c>
      <c r="D1157" t="str">
        <f>"Omar Rodriguez"</f>
        <v>Omar Rodriguez</v>
      </c>
    </row>
    <row r="1158" spans="1:4" x14ac:dyDescent="0.2">
      <c r="A1158" t="str">
        <f>"1157"</f>
        <v>1157</v>
      </c>
      <c r="B1158" t="str">
        <f>"-0.54"</f>
        <v>-0.54</v>
      </c>
      <c r="C1158" t="str">
        <f>"33"</f>
        <v>33</v>
      </c>
      <c r="D1158" t="str">
        <f>"SYR6: Koncertas Stan Brakhage Prisiminimui"</f>
        <v>SYR6: Koncertas Stan Brakhage Prisiminimui</v>
      </c>
    </row>
    <row r="1159" spans="1:4" x14ac:dyDescent="0.2">
      <c r="A1159" t="str">
        <f>"1158"</f>
        <v>1158</v>
      </c>
      <c r="B1159" t="str">
        <f>"0.21"</f>
        <v>0.21</v>
      </c>
      <c r="C1159" t="str">
        <f>"18"</f>
        <v>18</v>
      </c>
      <c r="D1159" t="str">
        <f>"The Ape of Naples"</f>
        <v>The Ape of Naples</v>
      </c>
    </row>
    <row r="1160" spans="1:4" x14ac:dyDescent="0.2">
      <c r="A1160" t="str">
        <f>"1159"</f>
        <v>1159</v>
      </c>
      <c r="B1160" t="str">
        <f>"1.3"</f>
        <v>1.3</v>
      </c>
      <c r="C1160" t="str">
        <f>"26"</f>
        <v>26</v>
      </c>
      <c r="D1160" t="str">
        <f>"Tainted Lunch"</f>
        <v>Tainted Lunch</v>
      </c>
    </row>
    <row r="1161" spans="1:4" x14ac:dyDescent="0.2">
      <c r="A1161" t="str">
        <f>"1160"</f>
        <v>1160</v>
      </c>
      <c r="B1161" t="str">
        <f>"-0.81"</f>
        <v>-0.81</v>
      </c>
      <c r="C1161" t="str">
        <f>"23"</f>
        <v>23</v>
      </c>
      <c r="D1161" t="str">
        <f>"It's a Game"</f>
        <v>It's a Game</v>
      </c>
    </row>
    <row r="1162" spans="1:4" x14ac:dyDescent="0.2">
      <c r="A1162" t="str">
        <f>"1161"</f>
        <v>1161</v>
      </c>
      <c r="B1162" t="str">
        <f>"-1.02"</f>
        <v>-1.02</v>
      </c>
      <c r="C1162" t="str">
        <f>"24"</f>
        <v>24</v>
      </c>
      <c r="D1162" t="str">
        <f>"Pretty Hate Machine"</f>
        <v>Pretty Hate Machine</v>
      </c>
    </row>
    <row r="1163" spans="1:4" x14ac:dyDescent="0.2">
      <c r="A1163" t="str">
        <f>"1162"</f>
        <v>1162</v>
      </c>
      <c r="B1163" t="str">
        <f>"-0.05"</f>
        <v>-0.05</v>
      </c>
      <c r="C1163" t="str">
        <f>"58"</f>
        <v>58</v>
      </c>
      <c r="D1163" t="str">
        <f>"The Life Aquatic Studio Sessions featuring Seu Jorge"</f>
        <v>The Life Aquatic Studio Sessions featuring Seu Jorge</v>
      </c>
    </row>
    <row r="1164" spans="1:4" x14ac:dyDescent="0.2">
      <c r="A1164" t="str">
        <f>"1163"</f>
        <v>1163</v>
      </c>
      <c r="B1164" t="str">
        <f>"-0.46"</f>
        <v>-0.46</v>
      </c>
      <c r="C1164" t="str">
        <f>"124"</f>
        <v>124</v>
      </c>
      <c r="D1164" t="str">
        <f>"Tha Carter II"</f>
        <v>Tha Carter II</v>
      </c>
    </row>
    <row r="1165" spans="1:4" x14ac:dyDescent="0.2">
      <c r="A1165" t="str">
        <f>"1164"</f>
        <v>1164</v>
      </c>
      <c r="B1165" t="str">
        <f>"0"</f>
        <v>0</v>
      </c>
      <c r="C1165" t="str">
        <f>"56"</f>
        <v>56</v>
      </c>
      <c r="D1165" t="str">
        <f>"Holy Fuck"</f>
        <v>Holy Fuck</v>
      </c>
    </row>
    <row r="1166" spans="1:4" x14ac:dyDescent="0.2">
      <c r="A1166" t="str">
        <f>"1165"</f>
        <v>1165</v>
      </c>
      <c r="B1166" t="str">
        <f>"-0.51"</f>
        <v>-0.51</v>
      </c>
      <c r="C1166" t="str">
        <f>"53"</f>
        <v>53</v>
      </c>
      <c r="D1166" t="str">
        <f>"Silver Bear Mist"</f>
        <v>Silver Bear Mist</v>
      </c>
    </row>
    <row r="1167" spans="1:4" x14ac:dyDescent="0.2">
      <c r="A1167" t="str">
        <f>"1166"</f>
        <v>1166</v>
      </c>
      <c r="B1167" t="str">
        <f>"-0.12"</f>
        <v>-0.12</v>
      </c>
      <c r="C1167" t="str">
        <f>"40"</f>
        <v>40</v>
      </c>
      <c r="D1167" t="str">
        <f>"If You're Feeling Sinister: Live at the Barbican"</f>
        <v>If You're Feeling Sinister: Live at the Barbican</v>
      </c>
    </row>
    <row r="1168" spans="1:4" x14ac:dyDescent="0.2">
      <c r="A1168" t="str">
        <f>"1167"</f>
        <v>1167</v>
      </c>
      <c r="B1168" t="str">
        <f>"0.34"</f>
        <v>0.34</v>
      </c>
      <c r="C1168" t="str">
        <f>"32"</f>
        <v>32</v>
      </c>
      <c r="D1168" t="str">
        <f>"A Week of Kindness"</f>
        <v>A Week of Kindness</v>
      </c>
    </row>
    <row r="1169" spans="1:4" x14ac:dyDescent="0.2">
      <c r="A1169" t="str">
        <f>"1168"</f>
        <v>1168</v>
      </c>
      <c r="B1169" t="str">
        <f>"-1.57"</f>
        <v>-1.57</v>
      </c>
      <c r="C1169" t="str">
        <f>"18"</f>
        <v>18</v>
      </c>
      <c r="D1169" t="str">
        <f>"Drinking Songs"</f>
        <v>Drinking Songs</v>
      </c>
    </row>
    <row r="1170" spans="1:4" x14ac:dyDescent="0.2">
      <c r="A1170" t="str">
        <f>"1169"</f>
        <v>1169</v>
      </c>
      <c r="B1170" t="str">
        <f>"-1.07"</f>
        <v>-1.07</v>
      </c>
      <c r="C1170" t="str">
        <f>"50"</f>
        <v>50</v>
      </c>
      <c r="D1170" t="str">
        <f>"Coptic Light"</f>
        <v>Coptic Light</v>
      </c>
    </row>
    <row r="1171" spans="1:4" x14ac:dyDescent="0.2">
      <c r="A1171" t="str">
        <f>"1170"</f>
        <v>1170</v>
      </c>
      <c r="B1171" t="str">
        <f>"-0.2"</f>
        <v>-0.2</v>
      </c>
      <c r="C1171" t="str">
        <f>"23"</f>
        <v>23</v>
      </c>
      <c r="D1171" t="str">
        <f>"City Fallen Leaves"</f>
        <v>City Fallen Leaves</v>
      </c>
    </row>
    <row r="1172" spans="1:4" x14ac:dyDescent="0.2">
      <c r="A1172" t="str">
        <f>"1171"</f>
        <v>1171</v>
      </c>
      <c r="B1172" t="str">
        <f>"0.14"</f>
        <v>0.14</v>
      </c>
      <c r="C1172" t="str">
        <f>"21"</f>
        <v>21</v>
      </c>
      <c r="D1172" t="str">
        <f>"Morningwood"</f>
        <v>Morningwood</v>
      </c>
    </row>
    <row r="1173" spans="1:4" x14ac:dyDescent="0.2">
      <c r="A1173" t="str">
        <f>"1172"</f>
        <v>1172</v>
      </c>
      <c r="B1173" t="str">
        <f>"-0.46"</f>
        <v>-0.46</v>
      </c>
      <c r="C1173" t="str">
        <f>"40"</f>
        <v>40</v>
      </c>
      <c r="D1173" t="str">
        <f>"Livin' Fear of James Last"</f>
        <v>Livin' Fear of James Last</v>
      </c>
    </row>
    <row r="1174" spans="1:4" x14ac:dyDescent="0.2">
      <c r="A1174" t="str">
        <f>"1173"</f>
        <v>1173</v>
      </c>
      <c r="B1174" t="str">
        <f>"-0.07"</f>
        <v>-0.07</v>
      </c>
      <c r="C1174" t="str">
        <f>"23"</f>
        <v>23</v>
      </c>
      <c r="D1174" t="str">
        <f>"ANR So Far"</f>
        <v>ANR So Far</v>
      </c>
    </row>
    <row r="1175" spans="1:4" x14ac:dyDescent="0.2">
      <c r="A1175" t="str">
        <f>"1174"</f>
        <v>1174</v>
      </c>
      <c r="B1175" t="str">
        <f>"0.5"</f>
        <v>0.5</v>
      </c>
      <c r="C1175" t="str">
        <f>"24"</f>
        <v>24</v>
      </c>
      <c r="D1175" t="str">
        <f>"Anthrology: No Hit Wonder (1985-1991)"</f>
        <v>Anthrology: No Hit Wonder (1985-1991)</v>
      </c>
    </row>
    <row r="1176" spans="1:4" x14ac:dyDescent="0.2">
      <c r="A1176" t="str">
        <f>"1175"</f>
        <v>1175</v>
      </c>
      <c r="B1176" t="str">
        <f>"0.27"</f>
        <v>0.27</v>
      </c>
      <c r="C1176" t="str">
        <f>"29"</f>
        <v>29</v>
      </c>
      <c r="D1176" t="str">
        <f>"Hesitation Eyes"</f>
        <v>Hesitation Eyes</v>
      </c>
    </row>
    <row r="1177" spans="1:4" x14ac:dyDescent="0.2">
      <c r="A1177" t="str">
        <f>"1176"</f>
        <v>1176</v>
      </c>
      <c r="B1177" t="str">
        <f>"-0.09"</f>
        <v>-0.09</v>
      </c>
      <c r="C1177" t="str">
        <f>"46"</f>
        <v>46</v>
      </c>
      <c r="D1177" t="str">
        <f>"Lucky Hands"</f>
        <v>Lucky Hands</v>
      </c>
    </row>
    <row r="1178" spans="1:4" x14ac:dyDescent="0.2">
      <c r="A1178" t="str">
        <f>"1177"</f>
        <v>1177</v>
      </c>
      <c r="B1178" t="str">
        <f>"0.07"</f>
        <v>0.07</v>
      </c>
      <c r="C1178" t="str">
        <f>"69"</f>
        <v>69</v>
      </c>
      <c r="D1178" t="str">
        <f>"The Greatest"</f>
        <v>The Greatest</v>
      </c>
    </row>
    <row r="1179" spans="1:4" x14ac:dyDescent="0.2">
      <c r="A1179" t="str">
        <f>"1178"</f>
        <v>1178</v>
      </c>
      <c r="B1179" t="str">
        <f>"0.08"</f>
        <v>0.08</v>
      </c>
      <c r="C1179" t="str">
        <f>"35"</f>
        <v>35</v>
      </c>
      <c r="D1179" t="str">
        <f>"Hey!: Live Pixies 2004-2005"</f>
        <v>Hey!: Live Pixies 2004-2005</v>
      </c>
    </row>
    <row r="1180" spans="1:4" x14ac:dyDescent="0.2">
      <c r="A1180" t="str">
        <f>"1179"</f>
        <v>1179</v>
      </c>
      <c r="B1180" t="str">
        <f>"-0.26"</f>
        <v>-0.26</v>
      </c>
      <c r="C1180" t="str">
        <f>"31"</f>
        <v>31</v>
      </c>
      <c r="D1180" t="str">
        <f>"Pink"</f>
        <v>Pink</v>
      </c>
    </row>
    <row r="1181" spans="1:4" x14ac:dyDescent="0.2">
      <c r="A1181" t="str">
        <f>"1180"</f>
        <v>1180</v>
      </c>
      <c r="B1181" t="str">
        <f>"0.36"</f>
        <v>0.36</v>
      </c>
      <c r="C1181" t="str">
        <f>"31"</f>
        <v>31</v>
      </c>
      <c r="D1181" t="str">
        <f>"You Are (Variations)"</f>
        <v>You Are (Variations)</v>
      </c>
    </row>
    <row r="1182" spans="1:4" x14ac:dyDescent="0.2">
      <c r="A1182" t="str">
        <f>"1181"</f>
        <v>1181</v>
      </c>
      <c r="B1182" t="str">
        <f>"-0.69"</f>
        <v>-0.69</v>
      </c>
      <c r="C1182" t="str">
        <f>"30"</f>
        <v>30</v>
      </c>
      <c r="D1182" t="str">
        <f>"Whohm"</f>
        <v>Whohm</v>
      </c>
    </row>
    <row r="1183" spans="1:4" x14ac:dyDescent="0.2">
      <c r="A1183" t="str">
        <f>"1182"</f>
        <v>1182</v>
      </c>
      <c r="B1183" t="str">
        <f>"-0.04"</f>
        <v>-0.04</v>
      </c>
      <c r="C1183" t="str">
        <f>"89"</f>
        <v>89</v>
      </c>
      <c r="D1183" t="str">
        <f>"Trojan Dub Rarities"</f>
        <v>Trojan Dub Rarities</v>
      </c>
    </row>
    <row r="1184" spans="1:4" x14ac:dyDescent="0.2">
      <c r="A1184" t="str">
        <f>"1183"</f>
        <v>1183</v>
      </c>
      <c r="B1184" t="str">
        <f>"0.08"</f>
        <v>0.08</v>
      </c>
      <c r="C1184" t="str">
        <f>"44"</f>
        <v>44</v>
      </c>
      <c r="D1184" t="str">
        <f>"Golden Black"</f>
        <v>Golden Black</v>
      </c>
    </row>
    <row r="1185" spans="1:4" x14ac:dyDescent="0.2">
      <c r="A1185" t="str">
        <f>"1184"</f>
        <v>1184</v>
      </c>
      <c r="B1185" t="str">
        <f>"-0.98"</f>
        <v>-0.98</v>
      </c>
      <c r="C1185" t="str">
        <f>"62"</f>
        <v>62</v>
      </c>
      <c r="D1185" t="str">
        <f>"Candy Ass"</f>
        <v>Candy Ass</v>
      </c>
    </row>
    <row r="1186" spans="1:4" x14ac:dyDescent="0.2">
      <c r="A1186" t="str">
        <f>"1185"</f>
        <v>1185</v>
      </c>
      <c r="B1186" t="str">
        <f>"-0.84"</f>
        <v>-0.84</v>
      </c>
      <c r="C1186" t="str">
        <f>"32"</f>
        <v>32</v>
      </c>
      <c r="D1186" t="str">
        <f>"Rantology"</f>
        <v>Rantology</v>
      </c>
    </row>
    <row r="1187" spans="1:4" x14ac:dyDescent="0.2">
      <c r="A1187" t="str">
        <f>"1186"</f>
        <v>1186</v>
      </c>
      <c r="B1187" t="str">
        <f>"0.55"</f>
        <v>0.55</v>
      </c>
      <c r="C1187" t="str">
        <f>"43"</f>
        <v>43</v>
      </c>
      <c r="D1187" t="str">
        <f>"OHM+: The Early Gurus of Electronic Music: 1948-1980"</f>
        <v>OHM+: The Early Gurus of Electronic Music: 1948-1980</v>
      </c>
    </row>
    <row r="1188" spans="1:4" x14ac:dyDescent="0.2">
      <c r="A1188" t="str">
        <f>"1187"</f>
        <v>1187</v>
      </c>
      <c r="B1188" t="str">
        <f>"0.31"</f>
        <v>0.31</v>
      </c>
      <c r="C1188" t="str">
        <f>"48"</f>
        <v>48</v>
      </c>
      <c r="D1188" t="str">
        <f>"The Slider"</f>
        <v>The Slider</v>
      </c>
    </row>
    <row r="1189" spans="1:4" x14ac:dyDescent="0.2">
      <c r="A1189" t="str">
        <f>"1188"</f>
        <v>1188</v>
      </c>
      <c r="B1189" t="str">
        <f>"0.5"</f>
        <v>0.5</v>
      </c>
      <c r="C1189" t="str">
        <f>"15"</f>
        <v>15</v>
      </c>
      <c r="D1189" t="str">
        <f>"The Naïve Shaman"</f>
        <v>The Naïve Shaman</v>
      </c>
    </row>
    <row r="1190" spans="1:4" x14ac:dyDescent="0.2">
      <c r="A1190" t="str">
        <f>"1189"</f>
        <v>1189</v>
      </c>
      <c r="B1190" t="str">
        <f>"-0.25"</f>
        <v>-0.25</v>
      </c>
      <c r="C1190" t="str">
        <f>"54"</f>
        <v>54</v>
      </c>
      <c r="D1190" t="str">
        <f>"Forest"</f>
        <v>Forest</v>
      </c>
    </row>
    <row r="1191" spans="1:4" x14ac:dyDescent="0.2">
      <c r="A1191" t="str">
        <f>"1190"</f>
        <v>1190</v>
      </c>
      <c r="B1191" t="str">
        <f>"-0.51"</f>
        <v>-0.51</v>
      </c>
      <c r="C1191" t="str">
        <f>"48"</f>
        <v>48</v>
      </c>
      <c r="D1191" t="str">
        <f>"First Comes First"</f>
        <v>First Comes First</v>
      </c>
    </row>
    <row r="1192" spans="1:4" x14ac:dyDescent="0.2">
      <c r="A1192" t="str">
        <f>"1191"</f>
        <v>1191</v>
      </c>
      <c r="B1192" t="str">
        <f>"0.65"</f>
        <v>0.65</v>
      </c>
      <c r="C1192" t="str">
        <f>"16"</f>
        <v>16</v>
      </c>
      <c r="D1192" t="str">
        <f>"The Weed Tree EP"</f>
        <v>The Weed Tree EP</v>
      </c>
    </row>
    <row r="1193" spans="1:4" x14ac:dyDescent="0.2">
      <c r="A1193" t="str">
        <f>"1192"</f>
        <v>1192</v>
      </c>
      <c r="B1193" t="str">
        <f>"-0.44"</f>
        <v>-0.44</v>
      </c>
      <c r="C1193" t="str">
        <f>"56"</f>
        <v>56</v>
      </c>
      <c r="D1193" t="str">
        <f>"Truth Becomes Death"</f>
        <v>Truth Becomes Death</v>
      </c>
    </row>
    <row r="1194" spans="1:4" x14ac:dyDescent="0.2">
      <c r="A1194" t="str">
        <f>"1193"</f>
        <v>1193</v>
      </c>
      <c r="B1194" t="str">
        <f>"-0.4"</f>
        <v>-0.4</v>
      </c>
      <c r="C1194" t="str">
        <f>"19"</f>
        <v>19</v>
      </c>
      <c r="D1194" t="str">
        <f>"Swamp Tech"</f>
        <v>Swamp Tech</v>
      </c>
    </row>
    <row r="1195" spans="1:4" x14ac:dyDescent="0.2">
      <c r="A1195" t="str">
        <f>"1194"</f>
        <v>1194</v>
      </c>
      <c r="B1195" t="str">
        <f>"-0.31"</f>
        <v>-0.31</v>
      </c>
      <c r="C1195" t="str">
        <f>"62"</f>
        <v>62</v>
      </c>
      <c r="D1195" t="str">
        <f>"High School Reunion: A Tribute to Those Great 80s Films"</f>
        <v>High School Reunion: A Tribute to Those Great 80s Films</v>
      </c>
    </row>
    <row r="1196" spans="1:4" x14ac:dyDescent="0.2">
      <c r="A1196" t="str">
        <f>"1195"</f>
        <v>1195</v>
      </c>
      <c r="B1196" t="str">
        <f>"-0.62"</f>
        <v>-0.62</v>
      </c>
      <c r="C1196" t="str">
        <f>"90"</f>
        <v>90</v>
      </c>
      <c r="D1196" t="str">
        <f>"Duets: The Final Chapter"</f>
        <v>Duets: The Final Chapter</v>
      </c>
    </row>
    <row r="1197" spans="1:4" x14ac:dyDescent="0.2">
      <c r="A1197" t="str">
        <f>"1196"</f>
        <v>1196</v>
      </c>
      <c r="B1197" t="str">
        <f>"0.13"</f>
        <v>0.13</v>
      </c>
      <c r="C1197" t="str">
        <f>"68"</f>
        <v>68</v>
      </c>
      <c r="D1197" t="str">
        <f>"Dreamies: 2006 Special Edition"</f>
        <v>Dreamies: 2006 Special Edition</v>
      </c>
    </row>
    <row r="1198" spans="1:4" x14ac:dyDescent="0.2">
      <c r="A1198" t="str">
        <f>"1197"</f>
        <v>1197</v>
      </c>
      <c r="B1198" t="str">
        <f>"0.97"</f>
        <v>0.97</v>
      </c>
      <c r="C1198" t="str">
        <f>"30"</f>
        <v>30</v>
      </c>
      <c r="D1198" t="str">
        <f>"The Dream House/Dedications to a Flea"</f>
        <v>The Dream House/Dedications to a Flea</v>
      </c>
    </row>
    <row r="1199" spans="1:4" x14ac:dyDescent="0.2">
      <c r="A1199" t="str">
        <f>"1198"</f>
        <v>1198</v>
      </c>
      <c r="B1199" t="str">
        <f>"-1.05"</f>
        <v>-1.05</v>
      </c>
      <c r="C1199" t="str">
        <f>"14"</f>
        <v>14</v>
      </c>
      <c r="D1199" t="str">
        <f>"Dinosaur Dinosaur"</f>
        <v>Dinosaur Dinosaur</v>
      </c>
    </row>
    <row r="1200" spans="1:4" x14ac:dyDescent="0.2">
      <c r="A1200" t="str">
        <f>"1199"</f>
        <v>1199</v>
      </c>
      <c r="B1200" t="str">
        <f>"-0.44"</f>
        <v>-0.44</v>
      </c>
      <c r="C1200" t="str">
        <f>"74"</f>
        <v>74</v>
      </c>
      <c r="D1200" t="str">
        <f>"What's Real?"</f>
        <v>What's Real?</v>
      </c>
    </row>
    <row r="1201" spans="1:4" x14ac:dyDescent="0.2">
      <c r="A1201" t="str">
        <f>"1200"</f>
        <v>1200</v>
      </c>
      <c r="B1201" t="str">
        <f>"-0.48"</f>
        <v>-0.48</v>
      </c>
      <c r="C1201" t="str">
        <f>"28"</f>
        <v>28</v>
      </c>
      <c r="D1201" t="str">
        <f>"First Impressions of Earth"</f>
        <v>First Impressions of Earth</v>
      </c>
    </row>
    <row r="1202" spans="1:4" x14ac:dyDescent="0.2">
      <c r="A1202" t="str">
        <f>"1201"</f>
        <v>1201</v>
      </c>
      <c r="B1202" t="str">
        <f>"-0.53"</f>
        <v>-0.53</v>
      </c>
      <c r="C1202" t="str">
        <f>"16"</f>
        <v>16</v>
      </c>
      <c r="D1202" t="str">
        <f>"Coconuts EP"</f>
        <v>Coconuts EP</v>
      </c>
    </row>
    <row r="1203" spans="1:4" x14ac:dyDescent="0.2">
      <c r="A1203" t="str">
        <f>"1202"</f>
        <v>1202</v>
      </c>
      <c r="B1203" t="str">
        <f>"-0.43"</f>
        <v>-0.43</v>
      </c>
      <c r="C1203" t="str">
        <f>"49"</f>
        <v>49</v>
      </c>
      <c r="D1203" t="str">
        <f>"Peace Trials"</f>
        <v>Peace Trials</v>
      </c>
    </row>
    <row r="1204" spans="1:4" x14ac:dyDescent="0.2">
      <c r="A1204" t="str">
        <f>"1203"</f>
        <v>1203</v>
      </c>
      <c r="B1204" t="str">
        <f>"0.79"</f>
        <v>0.79</v>
      </c>
      <c r="C1204" t="str">
        <f>"13"</f>
        <v>13</v>
      </c>
      <c r="D1204" t="str">
        <f>"Bells Break Their Towers"</f>
        <v>Bells Break Their Towers</v>
      </c>
    </row>
    <row r="1205" spans="1:4" x14ac:dyDescent="0.2">
      <c r="A1205" t="str">
        <f>"1204"</f>
        <v>1204</v>
      </c>
      <c r="B1205" t="str">
        <f>"-0.49"</f>
        <v>-0.49</v>
      </c>
      <c r="C1205" t="str">
        <f>"27"</f>
        <v>27</v>
      </c>
      <c r="D1205" t="str">
        <f>"Learn: The Songs of Phil Ochs"</f>
        <v>Learn: The Songs of Phil Ochs</v>
      </c>
    </row>
    <row r="1206" spans="1:4" x14ac:dyDescent="0.2">
      <c r="A1206" t="str">
        <f>"1205"</f>
        <v>1205</v>
      </c>
      <c r="B1206" t="str">
        <f>"-1.18"</f>
        <v>-1.18</v>
      </c>
      <c r="C1206" t="str">
        <f>"22"</f>
        <v>22</v>
      </c>
      <c r="D1206" t="str">
        <f>"29"</f>
        <v>29</v>
      </c>
    </row>
    <row r="1207" spans="1:4" x14ac:dyDescent="0.2">
      <c r="A1207" t="str">
        <f>"1206"</f>
        <v>1206</v>
      </c>
      <c r="B1207" t="str">
        <f>"-0.88"</f>
        <v>-0.88</v>
      </c>
      <c r="C1207" t="str">
        <f>"31"</f>
        <v>31</v>
      </c>
      <c r="D1207" t="str">
        <f>"The Singles Collection 03-05"</f>
        <v>The Singles Collection 03-05</v>
      </c>
    </row>
    <row r="1208" spans="1:4" x14ac:dyDescent="0.2">
      <c r="A1208" t="str">
        <f>"1207"</f>
        <v>1207</v>
      </c>
      <c r="B1208" t="str">
        <f>"-1.31"</f>
        <v>-1.31</v>
      </c>
      <c r="C1208" t="str">
        <f>"49"</f>
        <v>49</v>
      </c>
      <c r="D1208" t="str">
        <f>"Nite Versions"</f>
        <v>Nite Versions</v>
      </c>
    </row>
    <row r="1209" spans="1:4" x14ac:dyDescent="0.2">
      <c r="A1209" t="str">
        <f>"1208"</f>
        <v>1208</v>
      </c>
      <c r="B1209" t="str">
        <f>"0.86"</f>
        <v>0.86</v>
      </c>
      <c r="C1209" t="str">
        <f>"26"</f>
        <v>26</v>
      </c>
      <c r="D1209" t="str">
        <f>"DE9: Transitions"</f>
        <v>DE9: Transitions</v>
      </c>
    </row>
    <row r="1210" spans="1:4" x14ac:dyDescent="0.2">
      <c r="A1210" t="str">
        <f>"1209"</f>
        <v>1209</v>
      </c>
      <c r="B1210" t="str">
        <f>"-0.17"</f>
        <v>-0.17</v>
      </c>
      <c r="C1210" t="str">
        <f>"67"</f>
        <v>67</v>
      </c>
      <c r="D1210" t="str">
        <f>"Hey People!"</f>
        <v>Hey People!</v>
      </c>
    </row>
    <row r="1211" spans="1:4" x14ac:dyDescent="0.2">
      <c r="A1211" t="str">
        <f>"1210"</f>
        <v>1210</v>
      </c>
      <c r="B1211" t="str">
        <f>"-0.59"</f>
        <v>-0.59</v>
      </c>
      <c r="C1211" t="str">
        <f>"31"</f>
        <v>31</v>
      </c>
      <c r="D1211" t="str">
        <f>"Black One"</f>
        <v>Black One</v>
      </c>
    </row>
    <row r="1212" spans="1:4" x14ac:dyDescent="0.2">
      <c r="A1212" t="str">
        <f>"1211"</f>
        <v>1211</v>
      </c>
      <c r="B1212" t="str">
        <f>"0.88"</f>
        <v>0.88</v>
      </c>
      <c r="C1212" t="str">
        <f>"30"</f>
        <v>30</v>
      </c>
      <c r="D1212" t="str">
        <f>"It's Art Dad"</f>
        <v>It's Art Dad</v>
      </c>
    </row>
    <row r="1213" spans="1:4" x14ac:dyDescent="0.2">
      <c r="A1213" t="str">
        <f>"1212"</f>
        <v>1212</v>
      </c>
      <c r="B1213" t="str">
        <f>"0.64"</f>
        <v>0.64</v>
      </c>
      <c r="C1213" t="str">
        <f>"40"</f>
        <v>40</v>
      </c>
      <c r="D1213" t="str">
        <f>"1980 Forward: 25 Years of 4AD"</f>
        <v>1980 Forward: 25 Years of 4AD</v>
      </c>
    </row>
    <row r="1214" spans="1:4" x14ac:dyDescent="0.2">
      <c r="A1214" t="str">
        <f>"1213"</f>
        <v>1213</v>
      </c>
      <c r="B1214" t="str">
        <f>"0.53"</f>
        <v>0.53</v>
      </c>
      <c r="C1214" t="str">
        <f>"18"</f>
        <v>18</v>
      </c>
      <c r="D1214" t="str">
        <f>"Soon There Will Be... EP"</f>
        <v>Soon There Will Be... EP</v>
      </c>
    </row>
    <row r="1215" spans="1:4" x14ac:dyDescent="0.2">
      <c r="A1215" t="str">
        <f>"1214"</f>
        <v>1214</v>
      </c>
      <c r="B1215" t="str">
        <f>"-0.77"</f>
        <v>-0.77</v>
      </c>
      <c r="C1215" t="str">
        <f>"53"</f>
        <v>53</v>
      </c>
      <c r="D1215" t="str">
        <f>"Ominosity"</f>
        <v>Ominosity</v>
      </c>
    </row>
    <row r="1216" spans="1:4" x14ac:dyDescent="0.2">
      <c r="A1216" t="str">
        <f>"1215"</f>
        <v>1215</v>
      </c>
      <c r="B1216" t="str">
        <f>"-0.17"</f>
        <v>-0.17</v>
      </c>
      <c r="C1216" t="str">
        <f>"18"</f>
        <v>18</v>
      </c>
      <c r="D1216" t="str">
        <f>"Hard to Love a Man EP"</f>
        <v>Hard to Love a Man EP</v>
      </c>
    </row>
    <row r="1217" spans="1:4" x14ac:dyDescent="0.2">
      <c r="A1217" t="str">
        <f>"1216"</f>
        <v>1216</v>
      </c>
      <c r="B1217" t="str">
        <f>"-0.47"</f>
        <v>-0.47</v>
      </c>
      <c r="C1217" t="str">
        <f>"34"</f>
        <v>34</v>
      </c>
      <c r="D1217" t="str">
        <f>"At Last: Feedbacker"</f>
        <v>At Last: Feedbacker</v>
      </c>
    </row>
    <row r="1218" spans="1:4" x14ac:dyDescent="0.2">
      <c r="A1218" t="str">
        <f>"1217"</f>
        <v>1217</v>
      </c>
      <c r="B1218" t="str">
        <f>"-0.78"</f>
        <v>-0.78</v>
      </c>
      <c r="C1218" t="str">
        <f>"33"</f>
        <v>33</v>
      </c>
      <c r="D1218" t="str">
        <f>"The Black Sheep Boy Appendix EP"</f>
        <v>The Black Sheep Boy Appendix EP</v>
      </c>
    </row>
    <row r="1219" spans="1:4" x14ac:dyDescent="0.2">
      <c r="A1219" t="str">
        <f>"1218"</f>
        <v>1218</v>
      </c>
      <c r="B1219" t="str">
        <f>"-1.49"</f>
        <v>-1.49</v>
      </c>
      <c r="C1219" t="str">
        <f>"61"</f>
        <v>61</v>
      </c>
      <c r="D1219" t="str">
        <f>"Here Where Nothing Grows"</f>
        <v>Here Where Nothing Grows</v>
      </c>
    </row>
    <row r="1220" spans="1:4" x14ac:dyDescent="0.2">
      <c r="A1220" t="str">
        <f>"1219"</f>
        <v>1219</v>
      </c>
      <c r="B1220" t="str">
        <f>"0.21"</f>
        <v>0.21</v>
      </c>
      <c r="C1220" t="str">
        <f>"23"</f>
        <v>23</v>
      </c>
      <c r="D1220" t="str">
        <f>"Talk Like Blood"</f>
        <v>Talk Like Blood</v>
      </c>
    </row>
    <row r="1221" spans="1:4" x14ac:dyDescent="0.2">
      <c r="A1221" t="str">
        <f>"1220"</f>
        <v>1220</v>
      </c>
      <c r="B1221" t="str">
        <f>"0.03"</f>
        <v>0.03</v>
      </c>
      <c r="C1221" t="str">
        <f>"19"</f>
        <v>19</v>
      </c>
      <c r="D1221" t="str">
        <f>"Walking With a Ghost EP"</f>
        <v>Walking With a Ghost EP</v>
      </c>
    </row>
    <row r="1222" spans="1:4" x14ac:dyDescent="0.2">
      <c r="A1222" t="str">
        <f>"1221"</f>
        <v>1221</v>
      </c>
      <c r="B1222" t="str">
        <f>"-0.9"</f>
        <v>-0.9</v>
      </c>
      <c r="C1222" t="str">
        <f>"61"</f>
        <v>61</v>
      </c>
      <c r="D1222" t="str">
        <f>"It Fit When I Was a Kid EP"</f>
        <v>It Fit When I Was a Kid EP</v>
      </c>
    </row>
    <row r="1223" spans="1:4" x14ac:dyDescent="0.2">
      <c r="A1223" t="str">
        <f>"1222"</f>
        <v>1222</v>
      </c>
      <c r="B1223" t="str">
        <f>"0.91"</f>
        <v>0.91</v>
      </c>
      <c r="C1223" t="str">
        <f>"43"</f>
        <v>43</v>
      </c>
      <c r="D1223" t="str">
        <f>"Lost Horizon"</f>
        <v>Lost Horizon</v>
      </c>
    </row>
    <row r="1224" spans="1:4" x14ac:dyDescent="0.2">
      <c r="A1224" t="str">
        <f>"1223"</f>
        <v>1223</v>
      </c>
      <c r="B1224" t="str">
        <f>"-0.88"</f>
        <v>-0.88</v>
      </c>
      <c r="C1224" t="str">
        <f>"15"</f>
        <v>15</v>
      </c>
      <c r="D1224" t="str">
        <f>"Downtown Science"</f>
        <v>Downtown Science</v>
      </c>
    </row>
    <row r="1225" spans="1:4" x14ac:dyDescent="0.2">
      <c r="A1225" t="str">
        <f>"1224"</f>
        <v>1224</v>
      </c>
      <c r="B1225" t="str">
        <f>"-0.2"</f>
        <v>-0.2</v>
      </c>
      <c r="C1225" t="str">
        <f>"58"</f>
        <v>58</v>
      </c>
      <c r="D1225" t="str">
        <f>"His Return"</f>
        <v>His Return</v>
      </c>
    </row>
    <row r="1226" spans="1:4" x14ac:dyDescent="0.2">
      <c r="A1226" t="str">
        <f>"1225"</f>
        <v>1225</v>
      </c>
      <c r="B1226" t="str">
        <f>"-0.41"</f>
        <v>-0.41</v>
      </c>
      <c r="C1226" t="str">
        <f>"34"</f>
        <v>34</v>
      </c>
      <c r="D1226" t="str">
        <f>"Guerolito"</f>
        <v>Guerolito</v>
      </c>
    </row>
    <row r="1227" spans="1:4" x14ac:dyDescent="0.2">
      <c r="A1227" t="str">
        <f>"1226"</f>
        <v>1226</v>
      </c>
      <c r="B1227" t="str">
        <f>"-1.35"</f>
        <v>-1.35</v>
      </c>
      <c r="C1227" t="str">
        <f>"24"</f>
        <v>24</v>
      </c>
      <c r="D1227" t="str">
        <f>"Life and Live"</f>
        <v>Life and Live</v>
      </c>
    </row>
    <row r="1228" spans="1:4" x14ac:dyDescent="0.2">
      <c r="A1228" t="str">
        <f>"1227"</f>
        <v>1227</v>
      </c>
      <c r="B1228" t="str">
        <f>"-0.04"</f>
        <v>-0.04</v>
      </c>
      <c r="C1228" t="str">
        <f>"19"</f>
        <v>19</v>
      </c>
      <c r="D1228" t="str">
        <f>"Flags of the Sacred Harp"</f>
        <v>Flags of the Sacred Harp</v>
      </c>
    </row>
    <row r="1229" spans="1:4" x14ac:dyDescent="0.2">
      <c r="A1229" t="str">
        <f>"1228"</f>
        <v>1228</v>
      </c>
      <c r="B1229" t="str">
        <f>"0.98"</f>
        <v>0.98</v>
      </c>
      <c r="C1229" t="str">
        <f>"54"</f>
        <v>54</v>
      </c>
      <c r="D1229" t="str">
        <f>"This Is Where Our Hearts Collide"</f>
        <v>This Is Where Our Hearts Collide</v>
      </c>
    </row>
    <row r="1230" spans="1:4" x14ac:dyDescent="0.2">
      <c r="A1230" t="str">
        <f>"1229"</f>
        <v>1229</v>
      </c>
      <c r="B1230" t="str">
        <f>"0.06"</f>
        <v>0.06</v>
      </c>
      <c r="C1230" t="str">
        <f>"54"</f>
        <v>54</v>
      </c>
      <c r="D1230" t="str">
        <f>"This Is Stunt Rock Volume Three"</f>
        <v>This Is Stunt Rock Volume Three</v>
      </c>
    </row>
    <row r="1231" spans="1:4" x14ac:dyDescent="0.2">
      <c r="A1231" t="str">
        <f>"1230"</f>
        <v>1230</v>
      </c>
      <c r="B1231" t="str">
        <f>"0.67"</f>
        <v>0.67</v>
      </c>
      <c r="C1231" t="str">
        <f>"22"</f>
        <v>22</v>
      </c>
      <c r="D1231" t="str">
        <f>"Zoom (It Happens All Over the World) EP"</f>
        <v>Zoom (It Happens All Over the World) EP</v>
      </c>
    </row>
    <row r="1232" spans="1:4" x14ac:dyDescent="0.2">
      <c r="A1232" t="str">
        <f>"1231"</f>
        <v>1231</v>
      </c>
      <c r="B1232" t="str">
        <f>"1.03"</f>
        <v>1.03</v>
      </c>
      <c r="C1232" t="str">
        <f>"42"</f>
        <v>42</v>
      </c>
      <c r="D1232" t="s">
        <v>38</v>
      </c>
    </row>
    <row r="1233" spans="1:4" x14ac:dyDescent="0.2">
      <c r="A1233" t="str">
        <f>"1232"</f>
        <v>1232</v>
      </c>
      <c r="B1233" t="str">
        <f>"-1.04"</f>
        <v>-1.04</v>
      </c>
      <c r="C1233" t="str">
        <f>"58"</f>
        <v>58</v>
      </c>
      <c r="D1233" t="str">
        <f>"Blurred in My Mirror"</f>
        <v>Blurred in My Mirror</v>
      </c>
    </row>
    <row r="1234" spans="1:4" x14ac:dyDescent="0.2">
      <c r="A1234" t="str">
        <f>"1233"</f>
        <v>1233</v>
      </c>
      <c r="B1234" t="str">
        <f>"0.2"</f>
        <v>0.2</v>
      </c>
      <c r="C1234" t="str">
        <f>"30"</f>
        <v>30</v>
      </c>
      <c r="D1234" t="str">
        <f>"What the Game's Been Missing!"</f>
        <v>What the Game's Been Missing!</v>
      </c>
    </row>
    <row r="1235" spans="1:4" x14ac:dyDescent="0.2">
      <c r="A1235" t="str">
        <f>"1234"</f>
        <v>1234</v>
      </c>
      <c r="B1235" t="str">
        <f>"-0.04"</f>
        <v>-0.04</v>
      </c>
      <c r="C1235" t="str">
        <f>"20"</f>
        <v>20</v>
      </c>
      <c r="D1235" t="str">
        <f>"On the Outside"</f>
        <v>On the Outside</v>
      </c>
    </row>
    <row r="1236" spans="1:4" x14ac:dyDescent="0.2">
      <c r="A1236" t="str">
        <f>"1235"</f>
        <v>1235</v>
      </c>
      <c r="B1236" t="str">
        <f>"0.02"</f>
        <v>0.02</v>
      </c>
      <c r="C1236" t="str">
        <f>"54"</f>
        <v>54</v>
      </c>
      <c r="D1236" t="str">
        <f>"XIAO"</f>
        <v>XIAO</v>
      </c>
    </row>
    <row r="1237" spans="1:4" x14ac:dyDescent="0.2">
      <c r="A1237" t="str">
        <f>"1236"</f>
        <v>1236</v>
      </c>
      <c r="B1237" t="str">
        <f>"0.48"</f>
        <v>0.48</v>
      </c>
      <c r="C1237" t="str">
        <f>"56"</f>
        <v>56</v>
      </c>
      <c r="D1237" t="str">
        <f>"Singles"</f>
        <v>Singles</v>
      </c>
    </row>
    <row r="1238" spans="1:4" x14ac:dyDescent="0.2">
      <c r="A1238" t="str">
        <f>"1237"</f>
        <v>1237</v>
      </c>
      <c r="B1238" t="str">
        <f>"-0.35"</f>
        <v>-0.35</v>
      </c>
      <c r="C1238" t="str">
        <f>"53"</f>
        <v>53</v>
      </c>
      <c r="D1238" t="str">
        <f>"L.S.T."</f>
        <v>L.S.T.</v>
      </c>
    </row>
    <row r="1239" spans="1:4" x14ac:dyDescent="0.2">
      <c r="A1239" t="str">
        <f>"1238"</f>
        <v>1238</v>
      </c>
      <c r="B1239" t="str">
        <f>"0.36"</f>
        <v>0.36</v>
      </c>
      <c r="C1239" t="str">
        <f>"22"</f>
        <v>22</v>
      </c>
      <c r="D1239" t="str">
        <f>"Kosmischer Pitch"</f>
        <v>Kosmischer Pitch</v>
      </c>
    </row>
    <row r="1240" spans="1:4" x14ac:dyDescent="0.2">
      <c r="A1240" t="str">
        <f>"1239"</f>
        <v>1239</v>
      </c>
      <c r="B1240" t="str">
        <f>"0.96"</f>
        <v>0.96</v>
      </c>
      <c r="C1240" t="str">
        <f>"17"</f>
        <v>17</v>
      </c>
      <c r="D1240" t="str">
        <f>"If You Were Born Overseas"</f>
        <v>If You Were Born Overseas</v>
      </c>
    </row>
    <row r="1241" spans="1:4" x14ac:dyDescent="0.2">
      <c r="A1241" t="str">
        <f>"1240"</f>
        <v>1240</v>
      </c>
      <c r="B1241" t="str">
        <f>"0.18"</f>
        <v>0.18</v>
      </c>
      <c r="C1241" t="str">
        <f>"25"</f>
        <v>25</v>
      </c>
      <c r="D1241" t="str">
        <f>"The Rescue (Travels in Constants Vol. 21)"</f>
        <v>The Rescue (Travels in Constants Vol. 21)</v>
      </c>
    </row>
    <row r="1242" spans="1:4" x14ac:dyDescent="0.2">
      <c r="A1242" t="str">
        <f>"1241"</f>
        <v>1241</v>
      </c>
      <c r="B1242" t="str">
        <f>"0.01"</f>
        <v>0.01</v>
      </c>
      <c r="C1242" t="str">
        <f>"88"</f>
        <v>88</v>
      </c>
      <c r="D1242" t="str">
        <f>"Wait Long By the River and the Bodies of Your Enemies Will Float By"</f>
        <v>Wait Long By the River and the Bodies of Your Enemies Will Float By</v>
      </c>
    </row>
    <row r="1243" spans="1:4" x14ac:dyDescent="0.2">
      <c r="A1243" t="str">
        <f>"1242"</f>
        <v>1242</v>
      </c>
      <c r="B1243" t="str">
        <f>"-0.6"</f>
        <v>-0.6</v>
      </c>
      <c r="C1243" t="str">
        <f>"67"</f>
        <v>67</v>
      </c>
      <c r="D1243" t="str">
        <f>"Crime &amp; Dissonance"</f>
        <v>Crime &amp; Dissonance</v>
      </c>
    </row>
    <row r="1244" spans="1:4" x14ac:dyDescent="0.2">
      <c r="A1244" t="str">
        <f>"1243"</f>
        <v>1243</v>
      </c>
      <c r="B1244" t="str">
        <f>"0.11"</f>
        <v>0.11</v>
      </c>
      <c r="C1244" t="str">
        <f>"38"</f>
        <v>38</v>
      </c>
      <c r="D1244" t="str">
        <f>"Fragments"</f>
        <v>Fragments</v>
      </c>
    </row>
    <row r="1245" spans="1:4" x14ac:dyDescent="0.2">
      <c r="A1245" t="str">
        <f>"1244"</f>
        <v>1244</v>
      </c>
      <c r="B1245" t="str">
        <f>"1.3"</f>
        <v>1.3</v>
      </c>
      <c r="C1245" t="str">
        <f>"15"</f>
        <v>15</v>
      </c>
      <c r="D1245" t="str">
        <f>"February"</f>
        <v>February</v>
      </c>
    </row>
    <row r="1246" spans="1:4" x14ac:dyDescent="0.2">
      <c r="A1246" t="str">
        <f>"1245"</f>
        <v>1245</v>
      </c>
      <c r="B1246" t="str">
        <f>"-0.34"</f>
        <v>-0.34</v>
      </c>
      <c r="C1246" t="str">
        <f>"46"</f>
        <v>46</v>
      </c>
      <c r="D1246" t="str">
        <f>"Curtain Call: The Hits"</f>
        <v>Curtain Call: The Hits</v>
      </c>
    </row>
    <row r="1247" spans="1:4" x14ac:dyDescent="0.2">
      <c r="A1247" t="str">
        <f>"1246"</f>
        <v>1246</v>
      </c>
      <c r="B1247" t="str">
        <f>"-0.09"</f>
        <v>-0.09</v>
      </c>
      <c r="C1247" t="str">
        <f>"41"</f>
        <v>41</v>
      </c>
      <c r="D1247" t="str">
        <f>"Nine Times That Same Song"</f>
        <v>Nine Times That Same Song</v>
      </c>
    </row>
    <row r="1248" spans="1:4" x14ac:dyDescent="0.2">
      <c r="A1248" t="str">
        <f>"1247"</f>
        <v>1247</v>
      </c>
      <c r="B1248" t="str">
        <f>"-0.04"</f>
        <v>-0.04</v>
      </c>
      <c r="C1248" t="str">
        <f>"73"</f>
        <v>73</v>
      </c>
      <c r="D1248" t="str">
        <f>"Expedition to the Hairier Peaks"</f>
        <v>Expedition to the Hairier Peaks</v>
      </c>
    </row>
    <row r="1249" spans="1:4" x14ac:dyDescent="0.2">
      <c r="A1249" t="str">
        <f>"1248"</f>
        <v>1248</v>
      </c>
      <c r="B1249" t="str">
        <f>"0.01"</f>
        <v>0.01</v>
      </c>
      <c r="C1249" t="str">
        <f>"36"</f>
        <v>36</v>
      </c>
      <c r="D1249" t="str">
        <f>"Angherr Shisspa"</f>
        <v>Angherr Shisspa</v>
      </c>
    </row>
    <row r="1250" spans="1:4" x14ac:dyDescent="0.2">
      <c r="A1250" t="str">
        <f>"1249"</f>
        <v>1249</v>
      </c>
      <c r="B1250" t="str">
        <f>"0.56"</f>
        <v>0.56</v>
      </c>
      <c r="C1250" t="str">
        <f>"24"</f>
        <v>24</v>
      </c>
      <c r="D1250" t="str">
        <f>"Escape From Dragon House"</f>
        <v>Escape From Dragon House</v>
      </c>
    </row>
    <row r="1251" spans="1:4" x14ac:dyDescent="0.2">
      <c r="A1251" t="str">
        <f>"1250"</f>
        <v>1250</v>
      </c>
      <c r="B1251" t="str">
        <f>"0.45"</f>
        <v>0.45</v>
      </c>
      <c r="C1251" t="str">
        <f>"18"</f>
        <v>18</v>
      </c>
      <c r="D1251" t="str">
        <f>"Brocade"</f>
        <v>Brocade</v>
      </c>
    </row>
    <row r="1252" spans="1:4" x14ac:dyDescent="0.2">
      <c r="A1252" t="str">
        <f>"1251"</f>
        <v>1251</v>
      </c>
      <c r="B1252" t="str">
        <f>"0.47"</f>
        <v>0.47</v>
      </c>
      <c r="C1252" t="str">
        <f>"20"</f>
        <v>20</v>
      </c>
      <c r="D1252" t="str">
        <f>"Book of Sand"</f>
        <v>Book of Sand</v>
      </c>
    </row>
    <row r="1253" spans="1:4" x14ac:dyDescent="0.2">
      <c r="A1253" t="str">
        <f>"1252"</f>
        <v>1252</v>
      </c>
      <c r="B1253" t="str">
        <f>"0.26"</f>
        <v>0.26</v>
      </c>
      <c r="C1253" t="str">
        <f>"19"</f>
        <v>19</v>
      </c>
      <c r="D1253" t="str">
        <f>"Kosi Comes Around"</f>
        <v>Kosi Comes Around</v>
      </c>
    </row>
    <row r="1254" spans="1:4" x14ac:dyDescent="0.2">
      <c r="A1254" t="str">
        <f>"1253"</f>
        <v>1253</v>
      </c>
      <c r="B1254" t="str">
        <f>"0.56"</f>
        <v>0.56</v>
      </c>
      <c r="C1254" t="str">
        <f>"55"</f>
        <v>55</v>
      </c>
      <c r="D1254" t="str">
        <f>"The Sound of Revenge"</f>
        <v>The Sound of Revenge</v>
      </c>
    </row>
    <row r="1255" spans="1:4" x14ac:dyDescent="0.2">
      <c r="A1255" t="str">
        <f>"1254"</f>
        <v>1254</v>
      </c>
      <c r="B1255" t="str">
        <f>"0.06"</f>
        <v>0.06</v>
      </c>
      <c r="C1255" t="str">
        <f>"20"</f>
        <v>20</v>
      </c>
      <c r="D1255" t="str">
        <f>"The Enemy of Love"</f>
        <v>The Enemy of Love</v>
      </c>
    </row>
    <row r="1256" spans="1:4" x14ac:dyDescent="0.2">
      <c r="A1256" t="str">
        <f>"1255"</f>
        <v>1255</v>
      </c>
      <c r="B1256" t="str">
        <f>"-0.63"</f>
        <v>-0.63</v>
      </c>
      <c r="C1256" t="str">
        <f>"31"</f>
        <v>31</v>
      </c>
      <c r="D1256" t="str">
        <f>"Music From The O.C. Mix 5"</f>
        <v>Music From The O.C. Mix 5</v>
      </c>
    </row>
    <row r="1257" spans="1:4" x14ac:dyDescent="0.2">
      <c r="A1257" t="str">
        <f>"1256"</f>
        <v>1256</v>
      </c>
      <c r="B1257" t="str">
        <f>"0.76"</f>
        <v>0.76</v>
      </c>
      <c r="C1257" t="str">
        <f>"21"</f>
        <v>21</v>
      </c>
      <c r="D1257" t="s">
        <v>39</v>
      </c>
    </row>
    <row r="1258" spans="1:4" x14ac:dyDescent="0.2">
      <c r="A1258" t="str">
        <f>"1257"</f>
        <v>1257</v>
      </c>
      <c r="B1258" t="str">
        <f>"-0.35"</f>
        <v>-0.35</v>
      </c>
      <c r="C1258" t="str">
        <f>"30"</f>
        <v>30</v>
      </c>
      <c r="D1258" t="str">
        <f>"The Beginning of the End of the World"</f>
        <v>The Beginning of the End of the World</v>
      </c>
    </row>
    <row r="1259" spans="1:4" x14ac:dyDescent="0.2">
      <c r="A1259" t="str">
        <f>"1258"</f>
        <v>1258</v>
      </c>
      <c r="B1259" t="str">
        <f>"0.75"</f>
        <v>0.75</v>
      </c>
      <c r="C1259" t="str">
        <f>"20"</f>
        <v>20</v>
      </c>
      <c r="D1259" t="str">
        <f>"Memento"</f>
        <v>Memento</v>
      </c>
    </row>
    <row r="1260" spans="1:4" x14ac:dyDescent="0.2">
      <c r="A1260" t="str">
        <f>"1259"</f>
        <v>1259</v>
      </c>
      <c r="B1260" t="str">
        <f>"0.63"</f>
        <v>0.63</v>
      </c>
      <c r="C1260" t="str">
        <f>"33"</f>
        <v>33</v>
      </c>
      <c r="D1260" t="str">
        <f>"If Songs Could Be Held"</f>
        <v>If Songs Could Be Held</v>
      </c>
    </row>
    <row r="1261" spans="1:4" x14ac:dyDescent="0.2">
      <c r="A1261" t="str">
        <f>"1260"</f>
        <v>1260</v>
      </c>
      <c r="B1261" t="str">
        <f>"-0.43"</f>
        <v>-0.43</v>
      </c>
      <c r="C1261" t="str">
        <f>"27"</f>
        <v>27</v>
      </c>
      <c r="D1261" t="str">
        <f>"Horses [30th Anniversary Legacy Edition]"</f>
        <v>Horses [30th Anniversary Legacy Edition]</v>
      </c>
    </row>
    <row r="1262" spans="1:4" x14ac:dyDescent="0.2">
      <c r="A1262" t="str">
        <f>"1261"</f>
        <v>1261</v>
      </c>
      <c r="B1262" t="str">
        <f>"-0.03"</f>
        <v>-0.03</v>
      </c>
      <c r="C1262" t="str">
        <f>"90"</f>
        <v>90</v>
      </c>
      <c r="D1262" t="str">
        <f>"Coming on Strong"</f>
        <v>Coming on Strong</v>
      </c>
    </row>
    <row r="1263" spans="1:4" x14ac:dyDescent="0.2">
      <c r="A1263" t="str">
        <f>"1262"</f>
        <v>1262</v>
      </c>
      <c r="B1263" t="str">
        <f>"-1.91"</f>
        <v>-1.91</v>
      </c>
      <c r="C1263" t="str">
        <f>"61"</f>
        <v>61</v>
      </c>
      <c r="D1263" t="str">
        <f>"The Very Best Of"</f>
        <v>The Very Best Of</v>
      </c>
    </row>
    <row r="1264" spans="1:4" x14ac:dyDescent="0.2">
      <c r="A1264" t="str">
        <f>"1263"</f>
        <v>1263</v>
      </c>
      <c r="B1264" t="str">
        <f>"-0.54"</f>
        <v>-0.54</v>
      </c>
      <c r="C1264" t="str">
        <f>"38"</f>
        <v>38</v>
      </c>
      <c r="D1264" t="str">
        <f>"Special Herbs 9 + 0"</f>
        <v>Special Herbs 9 + 0</v>
      </c>
    </row>
    <row r="1265" spans="1:4" x14ac:dyDescent="0.2">
      <c r="A1265" t="str">
        <f>"1264"</f>
        <v>1264</v>
      </c>
      <c r="B1265" t="str">
        <f>"-0.13"</f>
        <v>-0.13</v>
      </c>
      <c r="C1265" t="str">
        <f>"50"</f>
        <v>50</v>
      </c>
      <c r="D1265" t="str">
        <f>"AminanimA EP"</f>
        <v>AminanimA EP</v>
      </c>
    </row>
    <row r="1266" spans="1:4" x14ac:dyDescent="0.2">
      <c r="A1266" t="str">
        <f>"1265"</f>
        <v>1265</v>
      </c>
      <c r="B1266" t="str">
        <f>"0.75"</f>
        <v>0.75</v>
      </c>
      <c r="C1266" t="str">
        <f>"43"</f>
        <v>43</v>
      </c>
      <c r="D1266" t="str">
        <f>"DFA Records Holiday Mix 2005"</f>
        <v>DFA Records Holiday Mix 2005</v>
      </c>
    </row>
    <row r="1267" spans="1:4" x14ac:dyDescent="0.2">
      <c r="A1267" t="str">
        <f>"1266"</f>
        <v>1266</v>
      </c>
      <c r="B1267" t="str">
        <f>"-0.49"</f>
        <v>-0.49</v>
      </c>
      <c r="C1267" t="str">
        <f>"44"</f>
        <v>44</v>
      </c>
      <c r="D1267" t="str">
        <f>"Black Vase"</f>
        <v>Black Vase</v>
      </c>
    </row>
    <row r="1268" spans="1:4" x14ac:dyDescent="0.2">
      <c r="A1268" t="str">
        <f>"1267"</f>
        <v>1267</v>
      </c>
      <c r="B1268" t="str">
        <f>"-0.32"</f>
        <v>-0.32</v>
      </c>
      <c r="C1268" t="str">
        <f>"76"</f>
        <v>76</v>
      </c>
      <c r="D1268" t="str">
        <f>"Stubbs the Zombie OST"</f>
        <v>Stubbs the Zombie OST</v>
      </c>
    </row>
    <row r="1269" spans="1:4" x14ac:dyDescent="0.2">
      <c r="A1269" t="str">
        <f>"1268"</f>
        <v>1268</v>
      </c>
      <c r="B1269" t="str">
        <f>"0"</f>
        <v>0</v>
      </c>
      <c r="C1269" t="str">
        <f>"41"</f>
        <v>41</v>
      </c>
      <c r="D1269" t="str">
        <f>"When the Detail Lost Its Freedom"</f>
        <v>When the Detail Lost Its Freedom</v>
      </c>
    </row>
    <row r="1270" spans="1:4" x14ac:dyDescent="0.2">
      <c r="A1270" t="str">
        <f>"1269"</f>
        <v>1269</v>
      </c>
      <c r="B1270" t="str">
        <f>"-1.12"</f>
        <v>-1.12</v>
      </c>
      <c r="C1270" t="str">
        <f>"22"</f>
        <v>22</v>
      </c>
      <c r="D1270" t="str">
        <f>"Rollin in the Ruins"</f>
        <v>Rollin in the Ruins</v>
      </c>
    </row>
    <row r="1271" spans="1:4" x14ac:dyDescent="0.2">
      <c r="A1271" t="str">
        <f>"1270"</f>
        <v>1270</v>
      </c>
      <c r="B1271" t="str">
        <f>"1.12"</f>
        <v>1.12</v>
      </c>
      <c r="C1271" t="str">
        <f>"46"</f>
        <v>46</v>
      </c>
      <c r="D1271" t="str">
        <f>"Just for a Day"</f>
        <v>Just for a Day</v>
      </c>
    </row>
    <row r="1272" spans="1:4" x14ac:dyDescent="0.2">
      <c r="A1272" t="str">
        <f>"1271"</f>
        <v>1271</v>
      </c>
      <c r="B1272" t="str">
        <f>"-0.44"</f>
        <v>-0.44</v>
      </c>
      <c r="C1272" t="str">
        <f>"114"</f>
        <v>114</v>
      </c>
      <c r="D1272" t="str">
        <f>"One Way Ticket to Hell...and Back"</f>
        <v>One Way Ticket to Hell...and Back</v>
      </c>
    </row>
    <row r="1273" spans="1:4" x14ac:dyDescent="0.2">
      <c r="A1273" t="str">
        <f>"1272"</f>
        <v>1272</v>
      </c>
      <c r="B1273" t="str">
        <f>"0.49"</f>
        <v>0.49</v>
      </c>
      <c r="C1273" t="str">
        <f>"30"</f>
        <v>30</v>
      </c>
      <c r="D1273" t="str">
        <f>"Sing Along With Acid House Kings"</f>
        <v>Sing Along With Acid House Kings</v>
      </c>
    </row>
    <row r="1274" spans="1:4" x14ac:dyDescent="0.2">
      <c r="A1274" t="str">
        <f>"1273"</f>
        <v>1273</v>
      </c>
      <c r="B1274" t="str">
        <f>"0.02"</f>
        <v>0.02</v>
      </c>
      <c r="C1274" t="str">
        <f>"20"</f>
        <v>20</v>
      </c>
      <c r="D1274" t="str">
        <f>"Stay Close"</f>
        <v>Stay Close</v>
      </c>
    </row>
    <row r="1275" spans="1:4" x14ac:dyDescent="0.2">
      <c r="A1275" t="str">
        <f>"1274"</f>
        <v>1274</v>
      </c>
      <c r="B1275" t="str">
        <f>"-1.1"</f>
        <v>-1.1</v>
      </c>
      <c r="C1275" t="str">
        <f>"31"</f>
        <v>31</v>
      </c>
      <c r="D1275" t="str">
        <f>"A Fever You Can't Sweat Out"</f>
        <v>A Fever You Can't Sweat Out</v>
      </c>
    </row>
    <row r="1276" spans="1:4" x14ac:dyDescent="0.2">
      <c r="A1276" t="str">
        <f>"1275"</f>
        <v>1275</v>
      </c>
      <c r="B1276" t="str">
        <f>"-0.47"</f>
        <v>-0.47</v>
      </c>
      <c r="C1276" t="str">
        <f>"26"</f>
        <v>26</v>
      </c>
      <c r="D1276" t="str">
        <f>"The Antidote"</f>
        <v>The Antidote</v>
      </c>
    </row>
    <row r="1277" spans="1:4" x14ac:dyDescent="0.2">
      <c r="A1277" t="str">
        <f>"1276"</f>
        <v>1276</v>
      </c>
      <c r="B1277" t="str">
        <f>"-0.24"</f>
        <v>-0.24</v>
      </c>
      <c r="C1277" t="str">
        <f>"41"</f>
        <v>41</v>
      </c>
      <c r="D1277" t="str">
        <f>"Oh You're So Silent Jens"</f>
        <v>Oh You're So Silent Jens</v>
      </c>
    </row>
    <row r="1278" spans="1:4" x14ac:dyDescent="0.2">
      <c r="A1278" t="str">
        <f>"1277"</f>
        <v>1277</v>
      </c>
      <c r="B1278" t="str">
        <f>"0.03"</f>
        <v>0.03</v>
      </c>
      <c r="C1278" t="str">
        <f>"32"</f>
        <v>32</v>
      </c>
      <c r="D1278" t="str">
        <f>"FabricLive 24"</f>
        <v>FabricLive 24</v>
      </c>
    </row>
    <row r="1279" spans="1:4" x14ac:dyDescent="0.2">
      <c r="A1279" t="str">
        <f>"1278"</f>
        <v>1278</v>
      </c>
      <c r="B1279" t="str">
        <f>"0.28"</f>
        <v>0.28</v>
      </c>
      <c r="C1279" t="str">
        <f>"82"</f>
        <v>82</v>
      </c>
      <c r="D1279" t="str">
        <f>"Ultimate Isaac Hayes-- Can You Dig It?"</f>
        <v>Ultimate Isaac Hayes-- Can You Dig It?</v>
      </c>
    </row>
    <row r="1280" spans="1:4" x14ac:dyDescent="0.2">
      <c r="A1280" t="str">
        <f>"1279"</f>
        <v>1279</v>
      </c>
      <c r="B1280" t="str">
        <f>"0.19"</f>
        <v>0.19</v>
      </c>
      <c r="C1280" t="str">
        <f>"30"</f>
        <v>30</v>
      </c>
      <c r="D1280" t="str">
        <f>"Amber Headlights"</f>
        <v>Amber Headlights</v>
      </c>
    </row>
    <row r="1281" spans="1:4" x14ac:dyDescent="0.2">
      <c r="A1281" t="str">
        <f>"1280"</f>
        <v>1280</v>
      </c>
      <c r="B1281" t="str">
        <f>"-0.65"</f>
        <v>-0.65</v>
      </c>
      <c r="C1281" t="str">
        <f>"18"</f>
        <v>18</v>
      </c>
      <c r="D1281" t="str">
        <f>"A Hole Is True"</f>
        <v>A Hole Is True</v>
      </c>
    </row>
    <row r="1282" spans="1:4" x14ac:dyDescent="0.2">
      <c r="A1282" t="str">
        <f>"1281"</f>
        <v>1281</v>
      </c>
      <c r="B1282" t="str">
        <f>"-0.99"</f>
        <v>-0.99</v>
      </c>
      <c r="C1282" t="str">
        <f>"55"</f>
        <v>55</v>
      </c>
      <c r="D1282" t="str">
        <f>"Romance Bloody Romance"</f>
        <v>Romance Bloody Romance</v>
      </c>
    </row>
    <row r="1283" spans="1:4" x14ac:dyDescent="0.2">
      <c r="A1283" t="str">
        <f>"1282"</f>
        <v>1282</v>
      </c>
      <c r="B1283" t="str">
        <f>"0.12"</f>
        <v>0.12</v>
      </c>
      <c r="C1283" t="str">
        <f>"71"</f>
        <v>71</v>
      </c>
      <c r="D1283" t="s">
        <v>40</v>
      </c>
    </row>
    <row r="1284" spans="1:4" x14ac:dyDescent="0.2">
      <c r="A1284" t="str">
        <f>"1283"</f>
        <v>1283</v>
      </c>
      <c r="B1284" t="str">
        <f>"0.22"</f>
        <v>0.22</v>
      </c>
      <c r="C1284" t="str">
        <f>"32"</f>
        <v>32</v>
      </c>
      <c r="D1284" t="str">
        <f>"Gimme Trouble"</f>
        <v>Gimme Trouble</v>
      </c>
    </row>
    <row r="1285" spans="1:4" x14ac:dyDescent="0.2">
      <c r="A1285" t="str">
        <f>"1284"</f>
        <v>1284</v>
      </c>
      <c r="B1285" t="str">
        <f>"0.33"</f>
        <v>0.33</v>
      </c>
      <c r="C1285" t="str">
        <f>"52"</f>
        <v>52</v>
      </c>
      <c r="D1285" t="str">
        <f>"Throw Down Your Arms"</f>
        <v>Throw Down Your Arms</v>
      </c>
    </row>
    <row r="1286" spans="1:4" x14ac:dyDescent="0.2">
      <c r="A1286" t="str">
        <f>"1285"</f>
        <v>1285</v>
      </c>
      <c r="B1286" t="str">
        <f>"-0.86"</f>
        <v>-0.86</v>
      </c>
      <c r="C1286" t="str">
        <f>"31"</f>
        <v>31</v>
      </c>
      <c r="D1286" t="str">
        <f>"Mezmerize"</f>
        <v>Mezmerize</v>
      </c>
    </row>
    <row r="1287" spans="1:4" x14ac:dyDescent="0.2">
      <c r="A1287" t="str">
        <f>"1286"</f>
        <v>1286</v>
      </c>
      <c r="B1287" t="str">
        <f>"0.06"</f>
        <v>0.06</v>
      </c>
      <c r="C1287" t="str">
        <f>"25"</f>
        <v>25</v>
      </c>
      <c r="D1287" t="str">
        <f>"Over the Years and Through the Woods"</f>
        <v>Over the Years and Through the Woods</v>
      </c>
    </row>
    <row r="1288" spans="1:4" x14ac:dyDescent="0.2">
      <c r="A1288" t="str">
        <f>"1287"</f>
        <v>1287</v>
      </c>
      <c r="B1288" t="str">
        <f>"-0.63"</f>
        <v>-0.63</v>
      </c>
      <c r="C1288" t="str">
        <f>"53"</f>
        <v>53</v>
      </c>
      <c r="D1288" t="str">
        <f>"Big Boi Presents Got Purp? Volume 2"</f>
        <v>Big Boi Presents Got Purp? Volume 2</v>
      </c>
    </row>
    <row r="1289" spans="1:4" x14ac:dyDescent="0.2">
      <c r="A1289" t="str">
        <f>"1288"</f>
        <v>1288</v>
      </c>
      <c r="B1289" t="str">
        <f>"0.71"</f>
        <v>0.71</v>
      </c>
      <c r="C1289" t="str">
        <f>"88"</f>
        <v>88</v>
      </c>
      <c r="D1289" t="str">
        <f>"12 Songs"</f>
        <v>12 Songs</v>
      </c>
    </row>
    <row r="1290" spans="1:4" x14ac:dyDescent="0.2">
      <c r="A1290" t="str">
        <f>"1289"</f>
        <v>1289</v>
      </c>
      <c r="B1290" t="str">
        <f>"0.3"</f>
        <v>0.3</v>
      </c>
      <c r="C1290" t="str">
        <f>"18"</f>
        <v>18</v>
      </c>
      <c r="D1290" t="str">
        <f>"Love Songs of the Hanging Gardens"</f>
        <v>Love Songs of the Hanging Gardens</v>
      </c>
    </row>
    <row r="1291" spans="1:4" x14ac:dyDescent="0.2">
      <c r="A1291" t="str">
        <f>"1290"</f>
        <v>1290</v>
      </c>
      <c r="B1291" t="str">
        <f>"-0.35"</f>
        <v>-0.35</v>
      </c>
      <c r="C1291" t="str">
        <f>"29"</f>
        <v>29</v>
      </c>
      <c r="D1291" t="s">
        <v>41</v>
      </c>
    </row>
    <row r="1292" spans="1:4" x14ac:dyDescent="0.2">
      <c r="A1292" t="str">
        <f>"1291"</f>
        <v>1291</v>
      </c>
      <c r="B1292" t="str">
        <f>"-1.36"</f>
        <v>-1.36</v>
      </c>
      <c r="C1292" t="str">
        <f>"46"</f>
        <v>46</v>
      </c>
      <c r="D1292" t="str">
        <f>"The Naked Truth"</f>
        <v>The Naked Truth</v>
      </c>
    </row>
    <row r="1293" spans="1:4" x14ac:dyDescent="0.2">
      <c r="A1293" t="str">
        <f>"1292"</f>
        <v>1292</v>
      </c>
      <c r="B1293" t="str">
        <f>"1.38"</f>
        <v>1.38</v>
      </c>
      <c r="C1293" t="str">
        <f>"35"</f>
        <v>35</v>
      </c>
      <c r="D1293" t="str">
        <f>"Be Careful What You Call Home"</f>
        <v>Be Careful What You Call Home</v>
      </c>
    </row>
    <row r="1294" spans="1:4" x14ac:dyDescent="0.2">
      <c r="A1294" t="str">
        <f>"1293"</f>
        <v>1293</v>
      </c>
      <c r="B1294" t="str">
        <f>"-0.35"</f>
        <v>-0.35</v>
      </c>
      <c r="C1294" t="str">
        <f>"21"</f>
        <v>21</v>
      </c>
      <c r="D1294" t="str">
        <f>"The Family Myth"</f>
        <v>The Family Myth</v>
      </c>
    </row>
    <row r="1295" spans="1:4" x14ac:dyDescent="0.2">
      <c r="A1295" t="str">
        <f>"1294"</f>
        <v>1294</v>
      </c>
      <c r="B1295" t="str">
        <f>"0.37"</f>
        <v>0.37</v>
      </c>
      <c r="C1295" t="str">
        <f>"51"</f>
        <v>51</v>
      </c>
      <c r="D1295" t="str">
        <f>"Nexterday"</f>
        <v>Nexterday</v>
      </c>
    </row>
    <row r="1296" spans="1:4" x14ac:dyDescent="0.2">
      <c r="A1296" t="str">
        <f>"1295"</f>
        <v>1295</v>
      </c>
      <c r="B1296" t="str">
        <f>"-0.75"</f>
        <v>-0.75</v>
      </c>
      <c r="C1296" t="str">
        <f>"49"</f>
        <v>49</v>
      </c>
      <c r="D1296" t="str">
        <f>"Born to Run: 30th Anniversary Edition"</f>
        <v>Born to Run: 30th Anniversary Edition</v>
      </c>
    </row>
    <row r="1297" spans="1:4" x14ac:dyDescent="0.2">
      <c r="A1297" t="str">
        <f>"1296"</f>
        <v>1296</v>
      </c>
      <c r="B1297" t="str">
        <f>"-0.68"</f>
        <v>-0.68</v>
      </c>
      <c r="C1297" t="str">
        <f>"32"</f>
        <v>32</v>
      </c>
      <c r="D1297" t="str">
        <f>"Tiny Cities"</f>
        <v>Tiny Cities</v>
      </c>
    </row>
    <row r="1298" spans="1:4" x14ac:dyDescent="0.2">
      <c r="A1298" t="str">
        <f>"1297"</f>
        <v>1297</v>
      </c>
      <c r="B1298" t="str">
        <f>"0.04"</f>
        <v>0.04</v>
      </c>
      <c r="C1298" t="str">
        <f>"63"</f>
        <v>63</v>
      </c>
      <c r="D1298" t="str">
        <f>"Stories for Owls"</f>
        <v>Stories for Owls</v>
      </c>
    </row>
    <row r="1299" spans="1:4" x14ac:dyDescent="0.2">
      <c r="A1299" t="str">
        <f>"1298"</f>
        <v>1298</v>
      </c>
      <c r="B1299" t="str">
        <f>"0.21"</f>
        <v>0.21</v>
      </c>
      <c r="C1299" t="str">
        <f>"52"</f>
        <v>52</v>
      </c>
      <c r="D1299" t="str">
        <f>"Are You Really Lost?"</f>
        <v>Are You Really Lost?</v>
      </c>
    </row>
    <row r="1300" spans="1:4" x14ac:dyDescent="0.2">
      <c r="A1300" t="str">
        <f>"1299"</f>
        <v>1299</v>
      </c>
      <c r="B1300" t="str">
        <f>"0.67"</f>
        <v>0.67</v>
      </c>
      <c r="C1300" t="str">
        <f>"17"</f>
        <v>17</v>
      </c>
      <c r="D1300" t="str">
        <f>"dios (malos)"</f>
        <v>dios (malos)</v>
      </c>
    </row>
    <row r="1301" spans="1:4" x14ac:dyDescent="0.2">
      <c r="A1301" t="str">
        <f>"1300"</f>
        <v>1300</v>
      </c>
      <c r="B1301" t="str">
        <f>"-0.89"</f>
        <v>-0.89</v>
      </c>
      <c r="C1301" t="str">
        <f>"42"</f>
        <v>42</v>
      </c>
      <c r="D1301" t="str">
        <f>"Bullet in a Bible"</f>
        <v>Bullet in a Bible</v>
      </c>
    </row>
    <row r="1302" spans="1:4" x14ac:dyDescent="0.2">
      <c r="A1302" t="str">
        <f>"1301"</f>
        <v>1301</v>
      </c>
      <c r="B1302" t="str">
        <f>"0.45"</f>
        <v>0.45</v>
      </c>
      <c r="C1302" t="str">
        <f>"93"</f>
        <v>93</v>
      </c>
      <c r="D1302" t="str">
        <f>"Hey Hey My My Yo Yo"</f>
        <v>Hey Hey My My Yo Yo</v>
      </c>
    </row>
    <row r="1303" spans="1:4" x14ac:dyDescent="0.2">
      <c r="A1303" t="str">
        <f>"1302"</f>
        <v>1302</v>
      </c>
      <c r="B1303" t="str">
        <f>"0.32"</f>
        <v>0.32</v>
      </c>
      <c r="C1303" t="str">
        <f>"61"</f>
        <v>61</v>
      </c>
      <c r="D1303" t="str">
        <f>"Under an Hour"</f>
        <v>Under an Hour</v>
      </c>
    </row>
    <row r="1304" spans="1:4" x14ac:dyDescent="0.2">
      <c r="A1304" t="str">
        <f>"1303"</f>
        <v>1303</v>
      </c>
      <c r="B1304" t="str">
        <f>"-0.25"</f>
        <v>-0.25</v>
      </c>
      <c r="C1304" t="str">
        <f>"21"</f>
        <v>21</v>
      </c>
      <c r="D1304" t="str">
        <f>"You Can't Beat Tomorrow"</f>
        <v>You Can't Beat Tomorrow</v>
      </c>
    </row>
    <row r="1305" spans="1:4" x14ac:dyDescent="0.2">
      <c r="A1305" t="str">
        <f>"1304"</f>
        <v>1304</v>
      </c>
      <c r="B1305" t="str">
        <f>"0.47"</f>
        <v>0.47</v>
      </c>
      <c r="C1305" t="str">
        <f>"41"</f>
        <v>41</v>
      </c>
      <c r="D1305" t="str">
        <f>"Full of Light and Full of Fire"</f>
        <v>Full of Light and Full of Fire</v>
      </c>
    </row>
    <row r="1306" spans="1:4" x14ac:dyDescent="0.2">
      <c r="A1306" t="str">
        <f>"1305"</f>
        <v>1305</v>
      </c>
      <c r="B1306" t="str">
        <f>"1.4"</f>
        <v>1.4</v>
      </c>
      <c r="C1306" t="str">
        <f>"31"</f>
        <v>31</v>
      </c>
      <c r="D1306" t="str">
        <f>"Motion Sickness"</f>
        <v>Motion Sickness</v>
      </c>
    </row>
    <row r="1307" spans="1:4" x14ac:dyDescent="0.2">
      <c r="A1307" t="str">
        <f>"1306"</f>
        <v>1306</v>
      </c>
      <c r="B1307" t="str">
        <f>"-0.49"</f>
        <v>-0.49</v>
      </c>
      <c r="C1307" t="str">
        <f>"171"</f>
        <v>171</v>
      </c>
      <c r="D1307" t="str">
        <f>"No New York"</f>
        <v>No New York</v>
      </c>
    </row>
    <row r="1308" spans="1:4" x14ac:dyDescent="0.2">
      <c r="A1308" t="str">
        <f>"1307"</f>
        <v>1307</v>
      </c>
      <c r="B1308" t="str">
        <f>"-0.88"</f>
        <v>-0.88</v>
      </c>
      <c r="C1308" t="str">
        <f>"22"</f>
        <v>22</v>
      </c>
      <c r="D1308" t="str">
        <f>"Blank Unstaring Heirs of Doom"</f>
        <v>Blank Unstaring Heirs of Doom</v>
      </c>
    </row>
    <row r="1309" spans="1:4" x14ac:dyDescent="0.2">
      <c r="A1309" t="str">
        <f>"1308"</f>
        <v>1308</v>
      </c>
      <c r="B1309" t="str">
        <f>"-0.72"</f>
        <v>-0.72</v>
      </c>
      <c r="C1309" t="str">
        <f>"16"</f>
        <v>16</v>
      </c>
      <c r="D1309" t="str">
        <f>"New Comes and Goes"</f>
        <v>New Comes and Goes</v>
      </c>
    </row>
    <row r="1310" spans="1:4" x14ac:dyDescent="0.2">
      <c r="A1310" t="str">
        <f>"1309"</f>
        <v>1309</v>
      </c>
      <c r="B1310" t="str">
        <f>"-0.57"</f>
        <v>-0.57</v>
      </c>
      <c r="C1310" t="str">
        <f>"64"</f>
        <v>64</v>
      </c>
      <c r="D1310" t="str">
        <f>"Run the Road Volume 2"</f>
        <v>Run the Road Volume 2</v>
      </c>
    </row>
    <row r="1311" spans="1:4" x14ac:dyDescent="0.2">
      <c r="A1311" t="str">
        <f>"1310"</f>
        <v>1310</v>
      </c>
      <c r="B1311" t="str">
        <f>"0.47"</f>
        <v>0.47</v>
      </c>
      <c r="C1311" t="str">
        <f>"35"</f>
        <v>35</v>
      </c>
      <c r="D1311" t="str">
        <f>"Confessions on a Dance Floor"</f>
        <v>Confessions on a Dance Floor</v>
      </c>
    </row>
    <row r="1312" spans="1:4" x14ac:dyDescent="0.2">
      <c r="A1312" t="str">
        <f>"1311"</f>
        <v>1311</v>
      </c>
      <c r="B1312" t="str">
        <f>"1.26"</f>
        <v>1.26</v>
      </c>
      <c r="C1312" t="str">
        <f>"23"</f>
        <v>23</v>
      </c>
      <c r="D1312" t="str">
        <f>"Peel Sessions"</f>
        <v>Peel Sessions</v>
      </c>
    </row>
    <row r="1313" spans="1:4" x14ac:dyDescent="0.2">
      <c r="A1313" t="str">
        <f>"1312"</f>
        <v>1312</v>
      </c>
      <c r="B1313" t="str">
        <f>"-0.51"</f>
        <v>-0.51</v>
      </c>
      <c r="C1313" t="str">
        <f>"28"</f>
        <v>28</v>
      </c>
      <c r="D1313" t="str">
        <f>"Spurts: The Richard Hell Story"</f>
        <v>Spurts: The Richard Hell Story</v>
      </c>
    </row>
    <row r="1314" spans="1:4" x14ac:dyDescent="0.2">
      <c r="A1314" t="str">
        <f>"1313"</f>
        <v>1313</v>
      </c>
      <c r="B1314" t="str">
        <f>"-1.46"</f>
        <v>-1.46</v>
      </c>
      <c r="C1314" t="str">
        <f>"50"</f>
        <v>50</v>
      </c>
      <c r="D1314" t="str">
        <f>"An Earwig's Guide to Traveling"</f>
        <v>An Earwig's Guide to Traveling</v>
      </c>
    </row>
    <row r="1315" spans="1:4" x14ac:dyDescent="0.2">
      <c r="A1315" t="str">
        <f>"1314"</f>
        <v>1314</v>
      </c>
      <c r="B1315" t="str">
        <f>"-1.15"</f>
        <v>-1.15</v>
      </c>
      <c r="C1315" t="str">
        <f>"49"</f>
        <v>49</v>
      </c>
      <c r="D1315" t="str">
        <f>"Shock of Being"</f>
        <v>Shock of Being</v>
      </c>
    </row>
    <row r="1316" spans="1:4" x14ac:dyDescent="0.2">
      <c r="A1316" t="str">
        <f>"1315"</f>
        <v>1315</v>
      </c>
      <c r="B1316" t="str">
        <f>"0.5"</f>
        <v>0.5</v>
      </c>
      <c r="C1316" t="str">
        <f>"103"</f>
        <v>103</v>
      </c>
      <c r="D1316" t="str">
        <f>"Kicking Television: Live in Chicago"</f>
        <v>Kicking Television: Live in Chicago</v>
      </c>
    </row>
    <row r="1317" spans="1:4" x14ac:dyDescent="0.2">
      <c r="A1317" t="str">
        <f>"1316"</f>
        <v>1316</v>
      </c>
      <c r="B1317" t="str">
        <f>"-0.66"</f>
        <v>-0.66</v>
      </c>
      <c r="C1317" t="str">
        <f>"54"</f>
        <v>54</v>
      </c>
      <c r="D1317" t="str">
        <f>"Vertically Challenged EP"</f>
        <v>Vertically Challenged EP</v>
      </c>
    </row>
    <row r="1318" spans="1:4" x14ac:dyDescent="0.2">
      <c r="A1318" t="str">
        <f>"1317"</f>
        <v>1317</v>
      </c>
      <c r="B1318" t="str">
        <f>"0.94"</f>
        <v>0.94</v>
      </c>
      <c r="C1318" t="str">
        <f>"56"</f>
        <v>56</v>
      </c>
      <c r="D1318" t="str">
        <f>"Father Divine"</f>
        <v>Father Divine</v>
      </c>
    </row>
    <row r="1319" spans="1:4" x14ac:dyDescent="0.2">
      <c r="A1319" t="str">
        <f>"1318"</f>
        <v>1318</v>
      </c>
      <c r="B1319" t="str">
        <f>"-0.89"</f>
        <v>-0.89</v>
      </c>
      <c r="C1319" t="str">
        <f>"21"</f>
        <v>21</v>
      </c>
      <c r="D1319" t="str">
        <f>"For the Season"</f>
        <v>For the Season</v>
      </c>
    </row>
    <row r="1320" spans="1:4" x14ac:dyDescent="0.2">
      <c r="A1320" t="str">
        <f>"1319"</f>
        <v>1319</v>
      </c>
      <c r="B1320" t="str">
        <f>"0.54"</f>
        <v>0.54</v>
      </c>
      <c r="C1320" t="str">
        <f>"15"</f>
        <v>15</v>
      </c>
      <c r="D1320" t="str">
        <f>"South of the South"</f>
        <v>South of the South</v>
      </c>
    </row>
    <row r="1321" spans="1:4" x14ac:dyDescent="0.2">
      <c r="A1321" t="str">
        <f>"1320"</f>
        <v>1320</v>
      </c>
      <c r="B1321" t="str">
        <f>"-1.07"</f>
        <v>-1.07</v>
      </c>
      <c r="C1321" t="str">
        <f>"23"</f>
        <v>23</v>
      </c>
      <c r="D1321" t="str">
        <f>"Down in Albion"</f>
        <v>Down in Albion</v>
      </c>
    </row>
    <row r="1322" spans="1:4" x14ac:dyDescent="0.2">
      <c r="A1322" t="str">
        <f>"1321"</f>
        <v>1321</v>
      </c>
      <c r="B1322" t="str">
        <f>"-0.51"</f>
        <v>-0.51</v>
      </c>
      <c r="C1322" t="str">
        <f>"35"</f>
        <v>35</v>
      </c>
      <c r="D1322" t="str">
        <f>"At This Time"</f>
        <v>At This Time</v>
      </c>
    </row>
    <row r="1323" spans="1:4" x14ac:dyDescent="0.2">
      <c r="A1323" t="str">
        <f>"1322"</f>
        <v>1322</v>
      </c>
      <c r="B1323" t="str">
        <f>"0.23"</f>
        <v>0.23</v>
      </c>
      <c r="C1323" t="str">
        <f>"18"</f>
        <v>18</v>
      </c>
      <c r="D1323" t="str">
        <f>"Qvaris"</f>
        <v>Qvaris</v>
      </c>
    </row>
    <row r="1324" spans="1:4" x14ac:dyDescent="0.2">
      <c r="A1324" t="str">
        <f>"1323"</f>
        <v>1323</v>
      </c>
      <c r="B1324" t="str">
        <f>"0.25"</f>
        <v>0.25</v>
      </c>
      <c r="C1324" t="str">
        <f>"58"</f>
        <v>58</v>
      </c>
      <c r="D1324" t="str">
        <f>"The Remixes"</f>
        <v>The Remixes</v>
      </c>
    </row>
    <row r="1325" spans="1:4" x14ac:dyDescent="0.2">
      <c r="A1325" t="str">
        <f>"1324"</f>
        <v>1324</v>
      </c>
      <c r="B1325" t="str">
        <f>"-0.77"</f>
        <v>-0.77</v>
      </c>
      <c r="C1325" t="str">
        <f>"82"</f>
        <v>82</v>
      </c>
      <c r="D1325" t="str">
        <f>"Impulsive!"</f>
        <v>Impulsive!</v>
      </c>
    </row>
    <row r="1326" spans="1:4" x14ac:dyDescent="0.2">
      <c r="A1326" t="str">
        <f>"1325"</f>
        <v>1325</v>
      </c>
      <c r="B1326" t="str">
        <f>"0.08"</f>
        <v>0.08</v>
      </c>
      <c r="C1326" t="str">
        <f>"23"</f>
        <v>23</v>
      </c>
      <c r="D1326" t="str">
        <f>"Concentration Face / Homeboy"</f>
        <v>Concentration Face / Homeboy</v>
      </c>
    </row>
    <row r="1327" spans="1:4" x14ac:dyDescent="0.2">
      <c r="A1327" t="str">
        <f>"1326"</f>
        <v>1326</v>
      </c>
      <c r="B1327" t="str">
        <f>"0.94"</f>
        <v>0.94</v>
      </c>
      <c r="C1327" t="str">
        <f>"32"</f>
        <v>32</v>
      </c>
      <c r="D1327" t="str">
        <f>"Aerial"</f>
        <v>Aerial</v>
      </c>
    </row>
    <row r="1328" spans="1:4" x14ac:dyDescent="0.2">
      <c r="A1328" t="str">
        <f>"1327"</f>
        <v>1327</v>
      </c>
      <c r="B1328" t="str">
        <f>"-0.1"</f>
        <v>-0.1</v>
      </c>
      <c r="C1328" t="str">
        <f>"36"</f>
        <v>36</v>
      </c>
      <c r="D1328" t="str">
        <f>"Fresh Fruit for Rotting Vegetables"</f>
        <v>Fresh Fruit for Rotting Vegetables</v>
      </c>
    </row>
    <row r="1329" spans="1:4" x14ac:dyDescent="0.2">
      <c r="A1329" t="str">
        <f>"1328"</f>
        <v>1328</v>
      </c>
      <c r="B1329" t="str">
        <f>"0.27"</f>
        <v>0.27</v>
      </c>
      <c r="C1329" t="str">
        <f>"29"</f>
        <v>29</v>
      </c>
      <c r="D1329" t="str">
        <f>"Cinder"</f>
        <v>Cinder</v>
      </c>
    </row>
    <row r="1330" spans="1:4" x14ac:dyDescent="0.2">
      <c r="A1330" t="str">
        <f>"1329"</f>
        <v>1329</v>
      </c>
      <c r="B1330" t="str">
        <f>"-0.83"</f>
        <v>-0.83</v>
      </c>
      <c r="C1330" t="str">
        <f>"76"</f>
        <v>76</v>
      </c>
      <c r="D1330" t="str">
        <f>"Lick on the Tip of an Envelope That's Yet to Be Sent"</f>
        <v>Lick on the Tip of an Envelope That's Yet to Be Sent</v>
      </c>
    </row>
    <row r="1331" spans="1:4" x14ac:dyDescent="0.2">
      <c r="A1331" t="str">
        <f>"1330"</f>
        <v>1330</v>
      </c>
      <c r="B1331" t="str">
        <f>"0.26"</f>
        <v>0.26</v>
      </c>
      <c r="C1331" t="str">
        <f>"68"</f>
        <v>68</v>
      </c>
      <c r="D1331" t="str">
        <f>"Solid Gold Hits"</f>
        <v>Solid Gold Hits</v>
      </c>
    </row>
    <row r="1332" spans="1:4" x14ac:dyDescent="0.2">
      <c r="A1332" t="str">
        <f>"1331"</f>
        <v>1331</v>
      </c>
      <c r="B1332" t="str">
        <f>"0.64"</f>
        <v>0.64</v>
      </c>
      <c r="C1332" t="str">
        <f>"19"</f>
        <v>19</v>
      </c>
      <c r="D1332" t="str">
        <f>"Jehovah Surrender EP"</f>
        <v>Jehovah Surrender EP</v>
      </c>
    </row>
    <row r="1333" spans="1:4" x14ac:dyDescent="0.2">
      <c r="A1333" t="str">
        <f>"1332"</f>
        <v>1332</v>
      </c>
      <c r="B1333" t="str">
        <f>"-0.23"</f>
        <v>-0.23</v>
      </c>
      <c r="C1333" t="str">
        <f>"38"</f>
        <v>38</v>
      </c>
      <c r="D1333" t="str">
        <f>"Songs of Green Pheasant"</f>
        <v>Songs of Green Pheasant</v>
      </c>
    </row>
    <row r="1334" spans="1:4" x14ac:dyDescent="0.2">
      <c r="A1334" t="str">
        <f>"1333"</f>
        <v>1333</v>
      </c>
      <c r="B1334" t="str">
        <f>"0.05"</f>
        <v>0.05</v>
      </c>
      <c r="C1334" t="str">
        <f>"11"</f>
        <v>11</v>
      </c>
      <c r="D1334" t="str">
        <f>"Safer Here"</f>
        <v>Safer Here</v>
      </c>
    </row>
    <row r="1335" spans="1:4" x14ac:dyDescent="0.2">
      <c r="A1335" t="str">
        <f>"1334"</f>
        <v>1334</v>
      </c>
      <c r="B1335" t="str">
        <f>"0.93"</f>
        <v>0.93</v>
      </c>
      <c r="C1335" t="str">
        <f>"78"</f>
        <v>78</v>
      </c>
      <c r="D1335" t="str">
        <f>"John Peel: A Tribute"</f>
        <v>John Peel: A Tribute</v>
      </c>
    </row>
    <row r="1336" spans="1:4" x14ac:dyDescent="0.2">
      <c r="A1336" t="str">
        <f>"1335"</f>
        <v>1335</v>
      </c>
      <c r="B1336" t="str">
        <f>"0.45"</f>
        <v>0.45</v>
      </c>
      <c r="C1336" t="str">
        <f>"20"</f>
        <v>20</v>
      </c>
      <c r="D1336" t="str">
        <f>"Summer in the Southeast"</f>
        <v>Summer in the Southeast</v>
      </c>
    </row>
    <row r="1337" spans="1:4" x14ac:dyDescent="0.2">
      <c r="A1337" t="str">
        <f>"1336"</f>
        <v>1336</v>
      </c>
      <c r="B1337" t="str">
        <f>"-0.59"</f>
        <v>-0.59</v>
      </c>
      <c r="C1337" t="str">
        <f>"33"</f>
        <v>33</v>
      </c>
      <c r="D1337" t="str">
        <f>"Get Rich or Die Tryin' OST"</f>
        <v>Get Rich or Die Tryin' OST</v>
      </c>
    </row>
    <row r="1338" spans="1:4" x14ac:dyDescent="0.2">
      <c r="A1338" t="str">
        <f>"1337"</f>
        <v>1337</v>
      </c>
      <c r="B1338" t="str">
        <f>"0.24"</f>
        <v>0.24</v>
      </c>
      <c r="C1338" t="str">
        <f>"44"</f>
        <v>44</v>
      </c>
      <c r="D1338" t="str">
        <f>"Propeller"</f>
        <v>Propeller</v>
      </c>
    </row>
    <row r="1339" spans="1:4" x14ac:dyDescent="0.2">
      <c r="A1339" t="str">
        <f>"1338"</f>
        <v>1338</v>
      </c>
      <c r="B1339" t="str">
        <f>"-1.02"</f>
        <v>-1.02</v>
      </c>
      <c r="C1339" t="str">
        <f>"64"</f>
        <v>64</v>
      </c>
      <c r="D1339" t="str">
        <f>"Bagged and Boarded"</f>
        <v>Bagged and Boarded</v>
      </c>
    </row>
    <row r="1340" spans="1:4" x14ac:dyDescent="0.2">
      <c r="A1340" t="str">
        <f>"1339"</f>
        <v>1339</v>
      </c>
      <c r="B1340" t="str">
        <f>"-0.12"</f>
        <v>-0.12</v>
      </c>
      <c r="C1340" t="str">
        <f>"29"</f>
        <v>29</v>
      </c>
      <c r="D1340" t="str">
        <f>"For a Decade of Sin: 11 Years of Bloodshot Records"</f>
        <v>For a Decade of Sin: 11 Years of Bloodshot Records</v>
      </c>
    </row>
    <row r="1341" spans="1:4" x14ac:dyDescent="0.2">
      <c r="A1341" t="str">
        <f>"1340"</f>
        <v>1340</v>
      </c>
      <c r="B1341" t="str">
        <f>"-1.13"</f>
        <v>-1.13</v>
      </c>
      <c r="C1341" t="str">
        <f>"59"</f>
        <v>59</v>
      </c>
      <c r="D1341" t="str">
        <f>"Heat"</f>
        <v>Heat</v>
      </c>
    </row>
    <row r="1342" spans="1:4" x14ac:dyDescent="0.2">
      <c r="A1342" t="str">
        <f>"1341"</f>
        <v>1341</v>
      </c>
      <c r="B1342" t="str">
        <f>"-0.88"</f>
        <v>-0.88</v>
      </c>
      <c r="C1342" t="str">
        <f>"23"</f>
        <v>23</v>
      </c>
      <c r="D1342" t="str">
        <f>"Scab Dates"</f>
        <v>Scab Dates</v>
      </c>
    </row>
    <row r="1343" spans="1:4" x14ac:dyDescent="0.2">
      <c r="A1343" t="str">
        <f>"1342"</f>
        <v>1342</v>
      </c>
      <c r="B1343" t="str">
        <f>"0.28"</f>
        <v>0.28</v>
      </c>
      <c r="C1343" t="str">
        <f>"19"</f>
        <v>19</v>
      </c>
      <c r="D1343" t="str">
        <f>"Fires in Distant Buildings"</f>
        <v>Fires in Distant Buildings</v>
      </c>
    </row>
    <row r="1344" spans="1:4" x14ac:dyDescent="0.2">
      <c r="A1344" t="str">
        <f>"1343"</f>
        <v>1343</v>
      </c>
      <c r="B1344" t="str">
        <f>"0.1"</f>
        <v>0.1</v>
      </c>
      <c r="C1344" t="str">
        <f>"21"</f>
        <v>21</v>
      </c>
      <c r="D1344" t="str">
        <f>"Alive &amp; Wired"</f>
        <v>Alive &amp; Wired</v>
      </c>
    </row>
    <row r="1345" spans="1:4" x14ac:dyDescent="0.2">
      <c r="A1345" t="str">
        <f>"1344"</f>
        <v>1344</v>
      </c>
      <c r="B1345" t="str">
        <f>"0.3"</f>
        <v>0.3</v>
      </c>
      <c r="C1345" t="str">
        <f>"25"</f>
        <v>25</v>
      </c>
      <c r="D1345" t="str">
        <f>"Are You Thinking What I'm Thinking?"</f>
        <v>Are You Thinking What I'm Thinking?</v>
      </c>
    </row>
    <row r="1346" spans="1:4" x14ac:dyDescent="0.2">
      <c r="A1346" t="str">
        <f>"1345"</f>
        <v>1345</v>
      </c>
      <c r="B1346" t="str">
        <f>"-0.17"</f>
        <v>-0.17</v>
      </c>
      <c r="C1346" t="str">
        <f>"37"</f>
        <v>37</v>
      </c>
      <c r="D1346" t="str">
        <f>"For Screening Purposes Only"</f>
        <v>For Screening Purposes Only</v>
      </c>
    </row>
    <row r="1347" spans="1:4" x14ac:dyDescent="0.2">
      <c r="A1347" t="str">
        <f>"1346"</f>
        <v>1346</v>
      </c>
      <c r="B1347" t="str">
        <f>"0.2"</f>
        <v>0.2</v>
      </c>
      <c r="C1347" t="str">
        <f>"91"</f>
        <v>91</v>
      </c>
      <c r="D1347" t="str">
        <f>"Leave Them All Behind"</f>
        <v>Leave Them All Behind</v>
      </c>
    </row>
    <row r="1348" spans="1:4" x14ac:dyDescent="0.2">
      <c r="A1348" t="str">
        <f>"1347"</f>
        <v>1347</v>
      </c>
      <c r="B1348" t="str">
        <f>"-0.07"</f>
        <v>-0.07</v>
      </c>
      <c r="C1348" t="str">
        <f>"46"</f>
        <v>46</v>
      </c>
      <c r="D1348" t="str">
        <f>"At the National Grid"</f>
        <v>At the National Grid</v>
      </c>
    </row>
    <row r="1349" spans="1:4" x14ac:dyDescent="0.2">
      <c r="A1349" t="str">
        <f>"1348"</f>
        <v>1348</v>
      </c>
      <c r="B1349" t="str">
        <f>"-0.13"</f>
        <v>-0.13</v>
      </c>
      <c r="C1349" t="str">
        <f>"17"</f>
        <v>17</v>
      </c>
      <c r="D1349" t="str">
        <f>"Carpal Tunnel"</f>
        <v>Carpal Tunnel</v>
      </c>
    </row>
    <row r="1350" spans="1:4" x14ac:dyDescent="0.2">
      <c r="A1350" t="str">
        <f>"1349"</f>
        <v>1349</v>
      </c>
      <c r="B1350" t="str">
        <f>"-0.53"</f>
        <v>-0.53</v>
      </c>
      <c r="C1350" t="str">
        <f>"53"</f>
        <v>53</v>
      </c>
      <c r="D1350" t="str">
        <f>"Several Arrows Later"</f>
        <v>Several Arrows Later</v>
      </c>
    </row>
    <row r="1351" spans="1:4" x14ac:dyDescent="0.2">
      <c r="A1351" t="str">
        <f>"1350"</f>
        <v>1350</v>
      </c>
      <c r="B1351" t="str">
        <f>"-0.33"</f>
        <v>-0.33</v>
      </c>
      <c r="C1351" t="str">
        <f>"82"</f>
        <v>82</v>
      </c>
      <c r="D1351" t="str">
        <f>"New Whirl Odor"</f>
        <v>New Whirl Odor</v>
      </c>
    </row>
    <row r="1352" spans="1:4" x14ac:dyDescent="0.2">
      <c r="A1352" t="str">
        <f>"1351"</f>
        <v>1351</v>
      </c>
      <c r="B1352" t="str">
        <f>"0.87"</f>
        <v>0.87</v>
      </c>
      <c r="C1352" t="str">
        <f>"32"</f>
        <v>32</v>
      </c>
      <c r="D1352" t="str">
        <f>"Hangable Auto Bulb"</f>
        <v>Hangable Auto Bulb</v>
      </c>
    </row>
    <row r="1353" spans="1:4" x14ac:dyDescent="0.2">
      <c r="A1353" t="str">
        <f>"1352"</f>
        <v>1352</v>
      </c>
      <c r="B1353" t="str">
        <f>"-0.18"</f>
        <v>-0.18</v>
      </c>
      <c r="C1353" t="str">
        <f>"55"</f>
        <v>55</v>
      </c>
      <c r="D1353" t="str">
        <f>"Welcome Home"</f>
        <v>Welcome Home</v>
      </c>
    </row>
    <row r="1354" spans="1:4" x14ac:dyDescent="0.2">
      <c r="A1354" t="str">
        <f>"1353"</f>
        <v>1353</v>
      </c>
      <c r="B1354" t="str">
        <f>"-0.03"</f>
        <v>-0.03</v>
      </c>
      <c r="C1354" t="str">
        <f>"31"</f>
        <v>31</v>
      </c>
      <c r="D1354" t="str">
        <f>"Radio Pyongyang: Commie Funk and Agit Pop from the Hermit Kingdom"</f>
        <v>Radio Pyongyang: Commie Funk and Agit Pop from the Hermit Kingdom</v>
      </c>
    </row>
    <row r="1355" spans="1:4" x14ac:dyDescent="0.2">
      <c r="A1355" t="str">
        <f>"1354"</f>
        <v>1354</v>
      </c>
      <c r="B1355" t="str">
        <f>"-0.3"</f>
        <v>-0.3</v>
      </c>
      <c r="C1355" t="str">
        <f>"25"</f>
        <v>25</v>
      </c>
      <c r="D1355" t="str">
        <f>"The Lost Patrol Band"</f>
        <v>The Lost Patrol Band</v>
      </c>
    </row>
    <row r="1356" spans="1:4" x14ac:dyDescent="0.2">
      <c r="A1356" t="str">
        <f>"1355"</f>
        <v>1355</v>
      </c>
      <c r="B1356" t="str">
        <f>"1.06"</f>
        <v>1.06</v>
      </c>
      <c r="C1356" t="str">
        <f>"38"</f>
        <v>38</v>
      </c>
      <c r="D1356" t="str">
        <f>"The Lake EP"</f>
        <v>The Lake EP</v>
      </c>
    </row>
    <row r="1357" spans="1:4" x14ac:dyDescent="0.2">
      <c r="A1357" t="str">
        <f>"1356"</f>
        <v>1356</v>
      </c>
      <c r="B1357" t="str">
        <f>"-0.38"</f>
        <v>-0.38</v>
      </c>
      <c r="C1357" t="str">
        <f>"29"</f>
        <v>29</v>
      </c>
      <c r="D1357" t="str">
        <f>"Suitcase 2: American Superdream Wow"</f>
        <v>Suitcase 2: American Superdream Wow</v>
      </c>
    </row>
    <row r="1358" spans="1:4" x14ac:dyDescent="0.2">
      <c r="A1358" t="str">
        <f>"1357"</f>
        <v>1357</v>
      </c>
      <c r="B1358" t="str">
        <f>"-0.08"</f>
        <v>-0.08</v>
      </c>
      <c r="C1358" t="str">
        <f>"32"</f>
        <v>32</v>
      </c>
      <c r="D1358" t="str">
        <f>"Akron/Family &amp; Angels of Light"</f>
        <v>Akron/Family &amp; Angels of Light</v>
      </c>
    </row>
    <row r="1359" spans="1:4" x14ac:dyDescent="0.2">
      <c r="A1359" t="str">
        <f>"1358"</f>
        <v>1358</v>
      </c>
      <c r="B1359" t="str">
        <f>"-0.75"</f>
        <v>-0.75</v>
      </c>
      <c r="C1359" t="str">
        <f>"23"</f>
        <v>23</v>
      </c>
      <c r="D1359" t="str">
        <f>"Non-Stop Je Te Plie en Deux"</f>
        <v>Non-Stop Je Te Plie en Deux</v>
      </c>
    </row>
    <row r="1360" spans="1:4" x14ac:dyDescent="0.2">
      <c r="A1360" t="str">
        <f>"1359"</f>
        <v>1359</v>
      </c>
      <c r="B1360" t="str">
        <f>"1.32"</f>
        <v>1.32</v>
      </c>
      <c r="C1360" t="str">
        <f>"53"</f>
        <v>53</v>
      </c>
      <c r="D1360" t="str">
        <f>"Kensington Blues"</f>
        <v>Kensington Blues</v>
      </c>
    </row>
    <row r="1361" spans="1:4" x14ac:dyDescent="0.2">
      <c r="A1361" t="str">
        <f>"1360"</f>
        <v>1360</v>
      </c>
      <c r="B1361" t="str">
        <f>"-0.16"</f>
        <v>-0.16</v>
      </c>
      <c r="C1361" t="str">
        <f>"17"</f>
        <v>17</v>
      </c>
      <c r="D1361" t="str">
        <f>"Little by Little"</f>
        <v>Little by Little</v>
      </c>
    </row>
    <row r="1362" spans="1:4" x14ac:dyDescent="0.2">
      <c r="A1362" t="str">
        <f>"1361"</f>
        <v>1361</v>
      </c>
      <c r="B1362" t="str">
        <f>"0.23"</f>
        <v>0.23</v>
      </c>
      <c r="C1362" t="str">
        <f>"23"</f>
        <v>23</v>
      </c>
      <c r="D1362" t="str">
        <f>"Lapland"</f>
        <v>Lapland</v>
      </c>
    </row>
    <row r="1363" spans="1:4" x14ac:dyDescent="0.2">
      <c r="A1363" t="str">
        <f>"1362"</f>
        <v>1362</v>
      </c>
      <c r="B1363" t="str">
        <f>"-0.2"</f>
        <v>-0.2</v>
      </c>
      <c r="C1363" t="str">
        <f>"64"</f>
        <v>64</v>
      </c>
      <c r="D1363" t="str">
        <f>"Speak for Yourself"</f>
        <v>Speak for Yourself</v>
      </c>
    </row>
    <row r="1364" spans="1:4" x14ac:dyDescent="0.2">
      <c r="A1364" t="str">
        <f>"1363"</f>
        <v>1363</v>
      </c>
      <c r="B1364" t="str">
        <f>"-0.13"</f>
        <v>-0.13</v>
      </c>
      <c r="C1364" t="str">
        <f>"19"</f>
        <v>19</v>
      </c>
      <c r="D1364" t="str">
        <f>"Harmonies for the Haunted"</f>
        <v>Harmonies for the Haunted</v>
      </c>
    </row>
    <row r="1365" spans="1:4" x14ac:dyDescent="0.2">
      <c r="A1365" t="str">
        <f>"1364"</f>
        <v>1364</v>
      </c>
      <c r="B1365" t="str">
        <f>"0.02"</f>
        <v>0.02</v>
      </c>
      <c r="C1365" t="str">
        <f>"34"</f>
        <v>34</v>
      </c>
      <c r="D1365" t="str">
        <f>"Trill"</f>
        <v>Trill</v>
      </c>
    </row>
    <row r="1366" spans="1:4" x14ac:dyDescent="0.2">
      <c r="A1366" t="str">
        <f>"1365"</f>
        <v>1365</v>
      </c>
      <c r="B1366" t="str">
        <f>"0.44"</f>
        <v>0.44</v>
      </c>
      <c r="C1366" t="str">
        <f>"25"</f>
        <v>25</v>
      </c>
      <c r="D1366" t="str">
        <f>"Sliver: The Best of the Box"</f>
        <v>Sliver: The Best of the Box</v>
      </c>
    </row>
    <row r="1367" spans="1:4" x14ac:dyDescent="0.2">
      <c r="A1367" t="str">
        <f>"1366"</f>
        <v>1366</v>
      </c>
      <c r="B1367" t="str">
        <f>"-0.36"</f>
        <v>-0.36</v>
      </c>
      <c r="C1367" t="str">
        <f>"69"</f>
        <v>69</v>
      </c>
      <c r="D1367" t="str">
        <f>"Their Law: The Singles"</f>
        <v>Their Law: The Singles</v>
      </c>
    </row>
    <row r="1368" spans="1:4" x14ac:dyDescent="0.2">
      <c r="A1368" t="str">
        <f>"1367"</f>
        <v>1367</v>
      </c>
      <c r="B1368" t="str">
        <f>"-0.7"</f>
        <v>-0.7</v>
      </c>
      <c r="C1368" t="str">
        <f>"24"</f>
        <v>24</v>
      </c>
      <c r="D1368" t="str">
        <f>"Closing In"</f>
        <v>Closing In</v>
      </c>
    </row>
    <row r="1369" spans="1:4" x14ac:dyDescent="0.2">
      <c r="A1369" t="str">
        <f>"1368"</f>
        <v>1368</v>
      </c>
      <c r="B1369" t="str">
        <f>"-0.27"</f>
        <v>-0.27</v>
      </c>
      <c r="C1369" t="str">
        <f>"55"</f>
        <v>55</v>
      </c>
      <c r="D1369" t="str">
        <f>"Into the Woods"</f>
        <v>Into the Woods</v>
      </c>
    </row>
    <row r="1370" spans="1:4" x14ac:dyDescent="0.2">
      <c r="A1370" t="str">
        <f>"1369"</f>
        <v>1369</v>
      </c>
      <c r="B1370" t="str">
        <f>"-0.63"</f>
        <v>-0.63</v>
      </c>
      <c r="C1370" t="str">
        <f>"25"</f>
        <v>25</v>
      </c>
      <c r="D1370" t="str">
        <f>"Celebration"</f>
        <v>Celebration</v>
      </c>
    </row>
    <row r="1371" spans="1:4" x14ac:dyDescent="0.2">
      <c r="A1371" t="str">
        <f>"1370"</f>
        <v>1370</v>
      </c>
      <c r="B1371" t="str">
        <f>"1.01"</f>
        <v>1.01</v>
      </c>
      <c r="C1371" t="str">
        <f>"26"</f>
        <v>26</v>
      </c>
      <c r="D1371" t="str">
        <f>"Lookaftering"</f>
        <v>Lookaftering</v>
      </c>
    </row>
    <row r="1372" spans="1:4" x14ac:dyDescent="0.2">
      <c r="A1372" t="str">
        <f>"1371"</f>
        <v>1371</v>
      </c>
      <c r="B1372" t="str">
        <f>"-0.06"</f>
        <v>-0.06</v>
      </c>
      <c r="C1372" t="str">
        <f>"33"</f>
        <v>33</v>
      </c>
      <c r="D1372" t="str">
        <f>"One Kiss Can Lead to Another"</f>
        <v>One Kiss Can Lead to Another</v>
      </c>
    </row>
    <row r="1373" spans="1:4" x14ac:dyDescent="0.2">
      <c r="A1373" t="str">
        <f>"1372"</f>
        <v>1372</v>
      </c>
      <c r="B1373" t="str">
        <f>"0.57"</f>
        <v>0.57</v>
      </c>
      <c r="C1373" t="str">
        <f>"25"</f>
        <v>25</v>
      </c>
      <c r="D1373" t="str">
        <f>"The Night's Bloom"</f>
        <v>The Night's Bloom</v>
      </c>
    </row>
    <row r="1374" spans="1:4" x14ac:dyDescent="0.2">
      <c r="A1374" t="str">
        <f>"1373"</f>
        <v>1373</v>
      </c>
      <c r="B1374" t="str">
        <f>"-0.08"</f>
        <v>-0.08</v>
      </c>
      <c r="C1374" t="str">
        <f>"61"</f>
        <v>61</v>
      </c>
      <c r="D1374" t="str">
        <f>"Capture &amp; Release"</f>
        <v>Capture &amp; Release</v>
      </c>
    </row>
    <row r="1375" spans="1:4" x14ac:dyDescent="0.2">
      <c r="A1375" t="str">
        <f>"1374"</f>
        <v>1374</v>
      </c>
      <c r="B1375" t="str">
        <f>"-0.24"</f>
        <v>-0.24</v>
      </c>
      <c r="C1375" t="str">
        <f>"31"</f>
        <v>31</v>
      </c>
      <c r="D1375" t="str">
        <f>"Schools of Thought Contend"</f>
        <v>Schools of Thought Contend</v>
      </c>
    </row>
    <row r="1376" spans="1:4" x14ac:dyDescent="0.2">
      <c r="A1376" t="str">
        <f>"1375"</f>
        <v>1375</v>
      </c>
      <c r="B1376" t="str">
        <f>"0.56"</f>
        <v>0.56</v>
      </c>
      <c r="C1376" t="str">
        <f>"118"</f>
        <v>118</v>
      </c>
      <c r="D1376" t="str">
        <f>"#1's"</f>
        <v>#1's</v>
      </c>
    </row>
    <row r="1377" spans="1:4" x14ac:dyDescent="0.2">
      <c r="A1377" t="str">
        <f>"1376"</f>
        <v>1376</v>
      </c>
      <c r="B1377" t="str">
        <f>"1.43"</f>
        <v>1.43</v>
      </c>
      <c r="C1377" t="str">
        <f>"26"</f>
        <v>26</v>
      </c>
      <c r="D1377" t="str">
        <f>"Living in the Gleam of an Unsheathed Sword"</f>
        <v>Living in the Gleam of an Unsheathed Sword</v>
      </c>
    </row>
    <row r="1378" spans="1:4" x14ac:dyDescent="0.2">
      <c r="A1378" t="str">
        <f>"1377"</f>
        <v>1377</v>
      </c>
      <c r="B1378" t="str">
        <f>"0.17"</f>
        <v>0.17</v>
      </c>
      <c r="C1378" t="str">
        <f>"39"</f>
        <v>39</v>
      </c>
      <c r="D1378" t="str">
        <f>"Kreucht &amp; Fleucht"</f>
        <v>Kreucht &amp; Fleucht</v>
      </c>
    </row>
    <row r="1379" spans="1:4" x14ac:dyDescent="0.2">
      <c r="A1379" t="str">
        <f>"1378"</f>
        <v>1378</v>
      </c>
      <c r="B1379" t="str">
        <f>"0.87"</f>
        <v>0.87</v>
      </c>
      <c r="C1379" t="str">
        <f>"94"</f>
        <v>94</v>
      </c>
      <c r="D1379" t="str">
        <f>"Cult Cargo: Belize City Boil Up"</f>
        <v>Cult Cargo: Belize City Boil Up</v>
      </c>
    </row>
    <row r="1380" spans="1:4" x14ac:dyDescent="0.2">
      <c r="A1380" t="str">
        <f>"1379"</f>
        <v>1379</v>
      </c>
      <c r="B1380" t="str">
        <f>"-0.85"</f>
        <v>-0.85</v>
      </c>
      <c r="C1380" t="str">
        <f>"61"</f>
        <v>61</v>
      </c>
      <c r="D1380" t="str">
        <f>"The Past Presents the Future"</f>
        <v>The Past Presents the Future</v>
      </c>
    </row>
    <row r="1381" spans="1:4" x14ac:dyDescent="0.2">
      <c r="A1381" t="str">
        <f>"1380"</f>
        <v>1380</v>
      </c>
      <c r="B1381" t="str">
        <f>"-0.4"</f>
        <v>-0.4</v>
      </c>
      <c r="C1381" t="str">
        <f>"30"</f>
        <v>30</v>
      </c>
      <c r="D1381" t="str">
        <f>"DJ-Kicks"</f>
        <v>DJ-Kicks</v>
      </c>
    </row>
    <row r="1382" spans="1:4" x14ac:dyDescent="0.2">
      <c r="A1382" t="str">
        <f>"1381"</f>
        <v>1381</v>
      </c>
      <c r="B1382" t="str">
        <f>"0.31"</f>
        <v>0.31</v>
      </c>
      <c r="C1382" t="str">
        <f>"28"</f>
        <v>28</v>
      </c>
      <c r="D1382" t="str">
        <f>"Descended Like Vultures"</f>
        <v>Descended Like Vultures</v>
      </c>
    </row>
    <row r="1383" spans="1:4" x14ac:dyDescent="0.2">
      <c r="A1383" t="str">
        <f>"1382"</f>
        <v>1382</v>
      </c>
      <c r="B1383" t="str">
        <f>"-0.13"</f>
        <v>-0.13</v>
      </c>
      <c r="C1383" t="str">
        <f>"27"</f>
        <v>27</v>
      </c>
      <c r="D1383" t="str">
        <f>"With a Cape and a Cane"</f>
        <v>With a Cape and a Cane</v>
      </c>
    </row>
    <row r="1384" spans="1:4" x14ac:dyDescent="0.2">
      <c r="A1384" t="str">
        <f>"1383"</f>
        <v>1383</v>
      </c>
      <c r="B1384" t="str">
        <f>"-0.21"</f>
        <v>-0.21</v>
      </c>
      <c r="C1384" t="str">
        <f>"39"</f>
        <v>39</v>
      </c>
      <c r="D1384" t="str">
        <f>"A Musical History"</f>
        <v>A Musical History</v>
      </c>
    </row>
    <row r="1385" spans="1:4" x14ac:dyDescent="0.2">
      <c r="A1385" t="str">
        <f>"1384"</f>
        <v>1384</v>
      </c>
      <c r="B1385" t="str">
        <f>"-0.55"</f>
        <v>-0.55</v>
      </c>
      <c r="C1385" t="str">
        <f>"26"</f>
        <v>26</v>
      </c>
      <c r="D1385" t="str">
        <f>"Station 55"</f>
        <v>Station 55</v>
      </c>
    </row>
    <row r="1386" spans="1:4" x14ac:dyDescent="0.2">
      <c r="A1386" t="str">
        <f>"1385"</f>
        <v>1385</v>
      </c>
      <c r="B1386" t="str">
        <f>"-0.9"</f>
        <v>-0.9</v>
      </c>
      <c r="C1386" t="str">
        <f>"17"</f>
        <v>17</v>
      </c>
      <c r="D1386" t="str">
        <f>"Rip Through the Hawk Black Night"</f>
        <v>Rip Through the Hawk Black Night</v>
      </c>
    </row>
    <row r="1387" spans="1:4" x14ac:dyDescent="0.2">
      <c r="A1387" t="str">
        <f>"1386"</f>
        <v>1386</v>
      </c>
      <c r="B1387" t="str">
        <f>"-0.93"</f>
        <v>-0.93</v>
      </c>
      <c r="C1387" t="str">
        <f>"16"</f>
        <v>16</v>
      </c>
      <c r="D1387" t="str">
        <f>"Wohaw"</f>
        <v>Wohaw</v>
      </c>
    </row>
    <row r="1388" spans="1:4" x14ac:dyDescent="0.2">
      <c r="A1388" t="str">
        <f>"1387"</f>
        <v>1387</v>
      </c>
      <c r="B1388" t="str">
        <f>"0.02"</f>
        <v>0.02</v>
      </c>
      <c r="C1388" t="str">
        <f>"80"</f>
        <v>80</v>
      </c>
      <c r="D1388" t="str">
        <f>"Distortion"</f>
        <v>Distortion</v>
      </c>
    </row>
    <row r="1389" spans="1:4" x14ac:dyDescent="0.2">
      <c r="A1389" t="str">
        <f>"1388"</f>
        <v>1388</v>
      </c>
      <c r="B1389" t="str">
        <f>"0.53"</f>
        <v>0.53</v>
      </c>
      <c r="C1389" t="str">
        <f>"29"</f>
        <v>29</v>
      </c>
      <c r="D1389" t="str">
        <f>"Rehearsing My Choir"</f>
        <v>Rehearsing My Choir</v>
      </c>
    </row>
    <row r="1390" spans="1:4" x14ac:dyDescent="0.2">
      <c r="A1390" t="str">
        <f>"1389"</f>
        <v>1389</v>
      </c>
      <c r="B1390" t="str">
        <f>"-0.07"</f>
        <v>-0.07</v>
      </c>
      <c r="C1390" t="str">
        <f>"82"</f>
        <v>82</v>
      </c>
      <c r="D1390" t="str">
        <f>"Ceasefire"</f>
        <v>Ceasefire</v>
      </c>
    </row>
    <row r="1391" spans="1:4" x14ac:dyDescent="0.2">
      <c r="A1391" t="str">
        <f>"1390"</f>
        <v>1390</v>
      </c>
      <c r="B1391" t="str">
        <f>"-1.13"</f>
        <v>-1.13</v>
      </c>
      <c r="C1391" t="str">
        <f>"20"</f>
        <v>20</v>
      </c>
      <c r="D1391" t="str">
        <f>"Blitzkrieg Pop"</f>
        <v>Blitzkrieg Pop</v>
      </c>
    </row>
    <row r="1392" spans="1:4" x14ac:dyDescent="0.2">
      <c r="A1392" t="str">
        <f>"1391"</f>
        <v>1391</v>
      </c>
      <c r="B1392" t="str">
        <f>"-0.16"</f>
        <v>-0.16</v>
      </c>
      <c r="C1392" t="str">
        <f>"53"</f>
        <v>53</v>
      </c>
      <c r="D1392" t="str">
        <f>"This Bird Has Flown: A Tribute to the Beatles' Rubber Soul"</f>
        <v>This Bird Has Flown: A Tribute to the Beatles' Rubber Soul</v>
      </c>
    </row>
    <row r="1393" spans="1:4" x14ac:dyDescent="0.2">
      <c r="A1393" t="str">
        <f>"1392"</f>
        <v>1392</v>
      </c>
      <c r="B1393" t="str">
        <f>"0.13"</f>
        <v>0.13</v>
      </c>
      <c r="C1393" t="str">
        <f>"24"</f>
        <v>24</v>
      </c>
      <c r="D1393" t="s">
        <v>42</v>
      </c>
    </row>
    <row r="1394" spans="1:4" x14ac:dyDescent="0.2">
      <c r="A1394" t="str">
        <f>"1393"</f>
        <v>1393</v>
      </c>
      <c r="B1394" t="str">
        <f>"-0.2"</f>
        <v>-0.2</v>
      </c>
      <c r="C1394" t="str">
        <f>"23"</f>
        <v>23</v>
      </c>
      <c r="D1394" t="str">
        <f>"Dimension Mix: A Tribute to Bruce Haack"</f>
        <v>Dimension Mix: A Tribute to Bruce Haack</v>
      </c>
    </row>
    <row r="1395" spans="1:4" x14ac:dyDescent="0.2">
      <c r="A1395" t="str">
        <f>"1394"</f>
        <v>1394</v>
      </c>
      <c r="B1395" t="str">
        <f>"-0.43"</f>
        <v>-0.43</v>
      </c>
      <c r="C1395" t="str">
        <f>"15"</f>
        <v>15</v>
      </c>
      <c r="D1395" t="str">
        <f>"Night of the Hunter"</f>
        <v>Night of the Hunter</v>
      </c>
    </row>
    <row r="1396" spans="1:4" x14ac:dyDescent="0.2">
      <c r="A1396" t="str">
        <f>"1395"</f>
        <v>1395</v>
      </c>
      <c r="B1396" t="str">
        <f>"-0.53"</f>
        <v>-0.53</v>
      </c>
      <c r="C1396" t="str">
        <f>"52"</f>
        <v>52</v>
      </c>
      <c r="D1396" t="str">
        <f>"Tanglewood Numbers"</f>
        <v>Tanglewood Numbers</v>
      </c>
    </row>
    <row r="1397" spans="1:4" x14ac:dyDescent="0.2">
      <c r="A1397" t="str">
        <f>"1396"</f>
        <v>1396</v>
      </c>
      <c r="B1397" t="str">
        <f>"0.21"</f>
        <v>0.21</v>
      </c>
      <c r="C1397" t="str">
        <f>"50"</f>
        <v>50</v>
      </c>
      <c r="D1397" t="str">
        <f>"Dreddy Krueger Presents...Think Differently Music: Wu-Tang Meets the Indie Culture"</f>
        <v>Dreddy Krueger Presents...Think Differently Music: Wu-Tang Meets the Indie Culture</v>
      </c>
    </row>
    <row r="1398" spans="1:4" x14ac:dyDescent="0.2">
      <c r="A1398" t="str">
        <f>"1397"</f>
        <v>1397</v>
      </c>
      <c r="B1398" t="str">
        <f>"-0.33"</f>
        <v>-0.33</v>
      </c>
      <c r="C1398" t="str">
        <f>"28"</f>
        <v>28</v>
      </c>
      <c r="D1398" t="str">
        <f>"Collisions"</f>
        <v>Collisions</v>
      </c>
    </row>
    <row r="1399" spans="1:4" x14ac:dyDescent="0.2">
      <c r="A1399" t="str">
        <f>"1398"</f>
        <v>1398</v>
      </c>
      <c r="B1399" t="str">
        <f>"-0.63"</f>
        <v>-0.63</v>
      </c>
      <c r="C1399" t="str">
        <f>"23"</f>
        <v>23</v>
      </c>
      <c r="D1399" t="str">
        <f>"Popsicle"</f>
        <v>Popsicle</v>
      </c>
    </row>
    <row r="1400" spans="1:4" x14ac:dyDescent="0.2">
      <c r="A1400" t="str">
        <f>"1399"</f>
        <v>1399</v>
      </c>
      <c r="B1400" t="str">
        <f>"-0.35"</f>
        <v>-0.35</v>
      </c>
      <c r="C1400" t="str">
        <f>"51"</f>
        <v>51</v>
      </c>
      <c r="D1400" t="str">
        <f>"Live It Out"</f>
        <v>Live It Out</v>
      </c>
    </row>
    <row r="1401" spans="1:4" x14ac:dyDescent="0.2">
      <c r="A1401" t="str">
        <f>"1400"</f>
        <v>1400</v>
      </c>
      <c r="B1401" t="str">
        <f>"0.31"</f>
        <v>0.31</v>
      </c>
      <c r="C1401" t="str">
        <f>"49"</f>
        <v>49</v>
      </c>
      <c r="D1401" t="str">
        <f>"Playing the Angel"</f>
        <v>Playing the Angel</v>
      </c>
    </row>
    <row r="1402" spans="1:4" x14ac:dyDescent="0.2">
      <c r="A1402" t="str">
        <f>"1401"</f>
        <v>1401</v>
      </c>
      <c r="B1402" t="str">
        <f>"-0.24"</f>
        <v>-0.24</v>
      </c>
      <c r="C1402" t="str">
        <f>"71"</f>
        <v>71</v>
      </c>
      <c r="D1402" t="str">
        <f>"Thumbsucker OST"</f>
        <v>Thumbsucker OST</v>
      </c>
    </row>
    <row r="1403" spans="1:4" x14ac:dyDescent="0.2">
      <c r="A1403" t="str">
        <f>"1402"</f>
        <v>1402</v>
      </c>
      <c r="B1403" t="str">
        <f>"-0.83"</f>
        <v>-0.83</v>
      </c>
      <c r="C1403" t="str">
        <f>"32"</f>
        <v>32</v>
      </c>
      <c r="D1403" t="str">
        <f>"Most Known Unknown"</f>
        <v>Most Known Unknown</v>
      </c>
    </row>
    <row r="1404" spans="1:4" x14ac:dyDescent="0.2">
      <c r="A1404" t="str">
        <f>"1403"</f>
        <v>1403</v>
      </c>
      <c r="B1404" t="str">
        <f>"0.13"</f>
        <v>0.13</v>
      </c>
      <c r="C1404" t="str">
        <f>"27"</f>
        <v>27</v>
      </c>
      <c r="D1404" t="str">
        <f>"Baby"</f>
        <v>Baby</v>
      </c>
    </row>
    <row r="1405" spans="1:4" x14ac:dyDescent="0.2">
      <c r="A1405" t="str">
        <f>"1404"</f>
        <v>1404</v>
      </c>
      <c r="B1405" t="str">
        <f>"-0.58"</f>
        <v>-0.58</v>
      </c>
      <c r="C1405" t="str">
        <f>"65"</f>
        <v>65</v>
      </c>
      <c r="D1405" t="str">
        <f>"Presents: Guitar Duets"</f>
        <v>Presents: Guitar Duets</v>
      </c>
    </row>
    <row r="1406" spans="1:4" x14ac:dyDescent="0.2">
      <c r="A1406" t="str">
        <f>"1405"</f>
        <v>1405</v>
      </c>
      <c r="B1406" t="str">
        <f>"0.2"</f>
        <v>0.2</v>
      </c>
      <c r="C1406" t="str">
        <f>"32"</f>
        <v>32</v>
      </c>
      <c r="D1406" t="str">
        <f>"Analord 9"</f>
        <v>Analord 9</v>
      </c>
    </row>
    <row r="1407" spans="1:4" x14ac:dyDescent="0.2">
      <c r="A1407" t="str">
        <f>"1406"</f>
        <v>1406</v>
      </c>
      <c r="B1407" t="str">
        <f>"0.21"</f>
        <v>0.21</v>
      </c>
      <c r="C1407" t="str">
        <f>"64"</f>
        <v>64</v>
      </c>
      <c r="D1407" t="str">
        <f>"Hypermagic Mountain"</f>
        <v>Hypermagic Mountain</v>
      </c>
    </row>
    <row r="1408" spans="1:4" x14ac:dyDescent="0.2">
      <c r="A1408" t="str">
        <f>"1407"</f>
        <v>1407</v>
      </c>
      <c r="B1408" t="str">
        <f>"0.19"</f>
        <v>0.19</v>
      </c>
      <c r="C1408" t="str">
        <f>"21"</f>
        <v>21</v>
      </c>
      <c r="D1408" t="str">
        <f>"The Last Romance"</f>
        <v>The Last Romance</v>
      </c>
    </row>
    <row r="1409" spans="1:4" x14ac:dyDescent="0.2">
      <c r="A1409" t="str">
        <f>"1408"</f>
        <v>1408</v>
      </c>
      <c r="B1409" t="str">
        <f>"-1.58"</f>
        <v>-1.58</v>
      </c>
      <c r="C1409" t="str">
        <f>"23"</f>
        <v>23</v>
      </c>
      <c r="D1409" t="str">
        <f>"Liz Janes &amp; Create(!)"</f>
        <v>Liz Janes &amp; Create(!)</v>
      </c>
    </row>
    <row r="1410" spans="1:4" x14ac:dyDescent="0.2">
      <c r="A1410" t="str">
        <f>"1409"</f>
        <v>1409</v>
      </c>
      <c r="B1410" t="str">
        <f>"-0.02"</f>
        <v>-0.02</v>
      </c>
      <c r="C1410" t="str">
        <f>"24"</f>
        <v>24</v>
      </c>
      <c r="D1410" t="str">
        <f>"Young Adults Against Suicide"</f>
        <v>Young Adults Against Suicide</v>
      </c>
    </row>
    <row r="1411" spans="1:4" x14ac:dyDescent="0.2">
      <c r="A1411" t="str">
        <f>"1410"</f>
        <v>1410</v>
      </c>
      <c r="B1411" t="str">
        <f>"0.23"</f>
        <v>0.23</v>
      </c>
      <c r="C1411" t="str">
        <f>"17"</f>
        <v>17</v>
      </c>
      <c r="D1411" t="str">
        <f>"Ciautistico!"</f>
        <v>Ciautistico!</v>
      </c>
    </row>
    <row r="1412" spans="1:4" x14ac:dyDescent="0.2">
      <c r="A1412" t="str">
        <f>"1411"</f>
        <v>1411</v>
      </c>
      <c r="B1412" t="str">
        <f>"0.56"</f>
        <v>0.56</v>
      </c>
      <c r="C1412" t="str">
        <f>"27"</f>
        <v>27</v>
      </c>
      <c r="D1412" t="str">
        <f>"Feels"</f>
        <v>Feels</v>
      </c>
    </row>
    <row r="1413" spans="1:4" x14ac:dyDescent="0.2">
      <c r="A1413" t="str">
        <f>"1412"</f>
        <v>1412</v>
      </c>
      <c r="B1413" t="str">
        <f>"0.34"</f>
        <v>0.34</v>
      </c>
      <c r="C1413" t="str">
        <f>"28"</f>
        <v>28</v>
      </c>
      <c r="D1413" t="str">
        <f>"The Days of Mars"</f>
        <v>The Days of Mars</v>
      </c>
    </row>
    <row r="1414" spans="1:4" x14ac:dyDescent="0.2">
      <c r="A1414" t="str">
        <f>"1413"</f>
        <v>1413</v>
      </c>
      <c r="B1414" t="str">
        <f>"0.78"</f>
        <v>0.78</v>
      </c>
      <c r="C1414" t="str">
        <f>"25"</f>
        <v>25</v>
      </c>
      <c r="D1414" t="str">
        <f>"Dream Brother: The Songs of Tim and Jeff Buckley"</f>
        <v>Dream Brother: The Songs of Tim and Jeff Buckley</v>
      </c>
    </row>
    <row r="1415" spans="1:4" x14ac:dyDescent="0.2">
      <c r="A1415" t="str">
        <f>"1414"</f>
        <v>1414</v>
      </c>
      <c r="B1415" t="str">
        <f>"-1.24"</f>
        <v>-1.24</v>
      </c>
      <c r="C1415" t="str">
        <f>"24"</f>
        <v>24</v>
      </c>
      <c r="D1415" t="str">
        <f>"We're Animals"</f>
        <v>We're Animals</v>
      </c>
    </row>
    <row r="1416" spans="1:4" x14ac:dyDescent="0.2">
      <c r="A1416" t="str">
        <f>"1415"</f>
        <v>1415</v>
      </c>
      <c r="B1416" t="str">
        <f>"0.93"</f>
        <v>0.93</v>
      </c>
      <c r="C1416" t="str">
        <f>"23"</f>
        <v>23</v>
      </c>
      <c r="D1416" t="str">
        <f>"Thinking of You"</f>
        <v>Thinking of You</v>
      </c>
    </row>
    <row r="1417" spans="1:4" x14ac:dyDescent="0.2">
      <c r="A1417" t="str">
        <f>"1416"</f>
        <v>1416</v>
      </c>
      <c r="B1417" t="str">
        <f>"0.33"</f>
        <v>0.33</v>
      </c>
      <c r="C1417" t="str">
        <f>"152"</f>
        <v>152</v>
      </c>
      <c r="D1417" t="str">
        <f>"Talking Heads Brick"</f>
        <v>Talking Heads Brick</v>
      </c>
    </row>
    <row r="1418" spans="1:4" x14ac:dyDescent="0.2">
      <c r="A1418" t="str">
        <f>"1417"</f>
        <v>1417</v>
      </c>
      <c r="B1418" t="str">
        <f>"-0.25"</f>
        <v>-0.25</v>
      </c>
      <c r="C1418" t="str">
        <f>"15"</f>
        <v>15</v>
      </c>
      <c r="D1418" t="str">
        <f>"Porcella"</f>
        <v>Porcella</v>
      </c>
    </row>
    <row r="1419" spans="1:4" x14ac:dyDescent="0.2">
      <c r="A1419" t="str">
        <f>"1418"</f>
        <v>1418</v>
      </c>
      <c r="B1419" t="str">
        <f>"0.7"</f>
        <v>0.7</v>
      </c>
      <c r="C1419" t="str">
        <f>"23"</f>
        <v>23</v>
      </c>
      <c r="D1419" t="str">
        <f>"Frost Giant"</f>
        <v>Frost Giant</v>
      </c>
    </row>
    <row r="1420" spans="1:4" x14ac:dyDescent="0.2">
      <c r="A1420" t="str">
        <f>"1419"</f>
        <v>1419</v>
      </c>
      <c r="B1420" t="str">
        <f>"0.73"</f>
        <v>0.73</v>
      </c>
      <c r="C1420" t="str">
        <f>"34"</f>
        <v>34</v>
      </c>
      <c r="D1420" t="str">
        <f>"The Campfire Headphase"</f>
        <v>The Campfire Headphase</v>
      </c>
    </row>
    <row r="1421" spans="1:4" x14ac:dyDescent="0.2">
      <c r="A1421" t="str">
        <f>"1420"</f>
        <v>1420</v>
      </c>
      <c r="B1421" t="str">
        <f>"0.06"</f>
        <v>0.06</v>
      </c>
      <c r="C1421" t="str">
        <f>"78"</f>
        <v>78</v>
      </c>
      <c r="D1421" t="str">
        <f>"Goo [Deluxe Edition]"</f>
        <v>Goo [Deluxe Edition]</v>
      </c>
    </row>
    <row r="1422" spans="1:4" x14ac:dyDescent="0.2">
      <c r="A1422" t="str">
        <f>"1421"</f>
        <v>1421</v>
      </c>
      <c r="B1422" t="str">
        <f>"0.65"</f>
        <v>0.65</v>
      </c>
      <c r="C1422" t="str">
        <f>"36"</f>
        <v>36</v>
      </c>
      <c r="D1422" t="str">
        <f>"Strange Geometry"</f>
        <v>Strange Geometry</v>
      </c>
    </row>
    <row r="1423" spans="1:4" x14ac:dyDescent="0.2">
      <c r="A1423" t="str">
        <f>"1422"</f>
        <v>1422</v>
      </c>
      <c r="B1423" t="str">
        <f>"1.28"</f>
        <v>1.28</v>
      </c>
      <c r="C1423" t="str">
        <f>"19"</f>
        <v>19</v>
      </c>
      <c r="D1423" t="str">
        <f>"Love What You Do"</f>
        <v>Love What You Do</v>
      </c>
    </row>
    <row r="1424" spans="1:4" x14ac:dyDescent="0.2">
      <c r="A1424" t="str">
        <f>"1423"</f>
        <v>1423</v>
      </c>
      <c r="B1424" t="str">
        <f>"-0.16"</f>
        <v>-0.16</v>
      </c>
      <c r="C1424" t="str">
        <f>"19"</f>
        <v>19</v>
      </c>
      <c r="D1424" t="str">
        <f>"No Rest for Ghosts"</f>
        <v>No Rest for Ghosts</v>
      </c>
    </row>
    <row r="1425" spans="1:4" x14ac:dyDescent="0.2">
      <c r="A1425" t="str">
        <f>"1424"</f>
        <v>1424</v>
      </c>
      <c r="B1425" t="str">
        <f>"0.39"</f>
        <v>0.39</v>
      </c>
      <c r="C1425" t="str">
        <f>"44"</f>
        <v>44</v>
      </c>
      <c r="D1425" t="str">
        <f>"The Hear After"</f>
        <v>The Hear After</v>
      </c>
    </row>
    <row r="1426" spans="1:4" x14ac:dyDescent="0.2">
      <c r="A1426" t="str">
        <f>"1425"</f>
        <v>1425</v>
      </c>
      <c r="B1426" t="str">
        <f>"-0.57"</f>
        <v>-0.57</v>
      </c>
      <c r="C1426" t="str">
        <f>"22"</f>
        <v>22</v>
      </c>
      <c r="D1426" t="str">
        <f>"Gone Ain't Gone"</f>
        <v>Gone Ain't Gone</v>
      </c>
    </row>
    <row r="1427" spans="1:4" x14ac:dyDescent="0.2">
      <c r="A1427" t="str">
        <f>"1426"</f>
        <v>1426</v>
      </c>
      <c r="B1427" t="str">
        <f>"-0.94"</f>
        <v>-0.94</v>
      </c>
      <c r="C1427" t="str">
        <f>"21"</f>
        <v>21</v>
      </c>
      <c r="D1427" t="str">
        <f>"Hell's Winter"</f>
        <v>Hell's Winter</v>
      </c>
    </row>
    <row r="1428" spans="1:4" x14ac:dyDescent="0.2">
      <c r="A1428" t="str">
        <f>"1427"</f>
        <v>1427</v>
      </c>
      <c r="B1428" t="str">
        <f>"-0.44"</f>
        <v>-0.44</v>
      </c>
      <c r="C1428" t="str">
        <f>"40"</f>
        <v>40</v>
      </c>
      <c r="D1428" t="str">
        <f>"Stadsvandringar"</f>
        <v>Stadsvandringar</v>
      </c>
    </row>
    <row r="1429" spans="1:4" x14ac:dyDescent="0.2">
      <c r="A1429" t="str">
        <f>"1428"</f>
        <v>1428</v>
      </c>
      <c r="B1429" t="str">
        <f>"-1.38"</f>
        <v>-1.38</v>
      </c>
      <c r="C1429" t="str">
        <f>"22"</f>
        <v>22</v>
      </c>
      <c r="D1429" t="str">
        <f>"Suckfish"</f>
        <v>Suckfish</v>
      </c>
    </row>
    <row r="1430" spans="1:4" x14ac:dyDescent="0.2">
      <c r="A1430" t="str">
        <f>"1429"</f>
        <v>1429</v>
      </c>
      <c r="B1430" t="str">
        <f>"-0.28"</f>
        <v>-0.28</v>
      </c>
      <c r="C1430" t="str">
        <f>"19"</f>
        <v>19</v>
      </c>
      <c r="D1430" t="str">
        <f>"The Land We All Believe In"</f>
        <v>The Land We All Believe In</v>
      </c>
    </row>
    <row r="1431" spans="1:4" x14ac:dyDescent="0.2">
      <c r="A1431" t="str">
        <f>"1430"</f>
        <v>1430</v>
      </c>
      <c r="B1431" t="str">
        <f>"0.81"</f>
        <v>0.81</v>
      </c>
      <c r="C1431" t="str">
        <f>"15"</f>
        <v>15</v>
      </c>
      <c r="D1431" t="str">
        <f>"With Love and Squalor"</f>
        <v>With Love and Squalor</v>
      </c>
    </row>
    <row r="1432" spans="1:4" x14ac:dyDescent="0.2">
      <c r="A1432" t="str">
        <f>"1431"</f>
        <v>1431</v>
      </c>
      <c r="B1432" t="str">
        <f>"-0.32"</f>
        <v>-0.32</v>
      </c>
      <c r="C1432" t="str">
        <f>"116"</f>
        <v>116</v>
      </c>
      <c r="D1432" t="str">
        <f>"Return the Gift"</f>
        <v>Return the Gift</v>
      </c>
    </row>
    <row r="1433" spans="1:4" x14ac:dyDescent="0.2">
      <c r="A1433" t="str">
        <f>"1432"</f>
        <v>1432</v>
      </c>
      <c r="B1433" t="str">
        <f>"-0.33"</f>
        <v>-0.33</v>
      </c>
      <c r="C1433" t="str">
        <f>"20"</f>
        <v>20</v>
      </c>
      <c r="D1433" t="str">
        <f>"Chandeliers in the Savannah"</f>
        <v>Chandeliers in the Savannah</v>
      </c>
    </row>
    <row r="1434" spans="1:4" x14ac:dyDescent="0.2">
      <c r="A1434" t="str">
        <f>"1433"</f>
        <v>1433</v>
      </c>
      <c r="B1434" t="str">
        <f>"0.66"</f>
        <v>0.66</v>
      </c>
      <c r="C1434" t="str">
        <f>"14"</f>
        <v>14</v>
      </c>
      <c r="D1434" t="str">
        <f>"Front Parlour Ballads"</f>
        <v>Front Parlour Ballads</v>
      </c>
    </row>
    <row r="1435" spans="1:4" x14ac:dyDescent="0.2">
      <c r="A1435" t="str">
        <f>"1434"</f>
        <v>1434</v>
      </c>
      <c r="B1435" t="str">
        <f>"0.46"</f>
        <v>0.46</v>
      </c>
      <c r="C1435" t="str">
        <f>"20"</f>
        <v>20</v>
      </c>
      <c r="D1435" t="str">
        <f>"The Psychic Nature of Being"</f>
        <v>The Psychic Nature of Being</v>
      </c>
    </row>
    <row r="1436" spans="1:4" x14ac:dyDescent="0.2">
      <c r="A1436" t="str">
        <f>"1435"</f>
        <v>1435</v>
      </c>
      <c r="B1436" t="str">
        <f>"-1.22"</f>
        <v>-1.22</v>
      </c>
      <c r="C1436" t="str">
        <f>"31"</f>
        <v>31</v>
      </c>
      <c r="D1436" t="str">
        <f>"The Mouse and the Mask"</f>
        <v>The Mouse and the Mask</v>
      </c>
    </row>
    <row r="1437" spans="1:4" x14ac:dyDescent="0.2">
      <c r="A1437" t="str">
        <f>"1436"</f>
        <v>1436</v>
      </c>
      <c r="B1437" t="str">
        <f>"-0.77"</f>
        <v>-0.77</v>
      </c>
      <c r="C1437" t="str">
        <f>"53"</f>
        <v>53</v>
      </c>
      <c r="D1437" t="s">
        <v>43</v>
      </c>
    </row>
    <row r="1438" spans="1:4" x14ac:dyDescent="0.2">
      <c r="A1438" t="str">
        <f>"1437"</f>
        <v>1437</v>
      </c>
      <c r="B1438" t="str">
        <f>"-0.53"</f>
        <v>-0.53</v>
      </c>
      <c r="C1438" t="str">
        <f>"26"</f>
        <v>26</v>
      </c>
      <c r="D1438" t="str">
        <f>"Elephant Eyelash"</f>
        <v>Elephant Eyelash</v>
      </c>
    </row>
    <row r="1439" spans="1:4" x14ac:dyDescent="0.2">
      <c r="A1439" t="str">
        <f>"1438"</f>
        <v>1438</v>
      </c>
      <c r="B1439" t="str">
        <f>"0.32"</f>
        <v>0.32</v>
      </c>
      <c r="C1439" t="str">
        <f>"58"</f>
        <v>58</v>
      </c>
      <c r="D1439" t="str">
        <f>"Pocket Revolution"</f>
        <v>Pocket Revolution</v>
      </c>
    </row>
    <row r="1440" spans="1:4" x14ac:dyDescent="0.2">
      <c r="A1440" t="str">
        <f>"1439"</f>
        <v>1439</v>
      </c>
      <c r="B1440" t="str">
        <f>"0.34"</f>
        <v>0.34</v>
      </c>
      <c r="C1440" t="str">
        <f>"22"</f>
        <v>22</v>
      </c>
      <c r="D1440" t="str">
        <f>"The Swimmer EP"</f>
        <v>The Swimmer EP</v>
      </c>
    </row>
    <row r="1441" spans="1:4" x14ac:dyDescent="0.2">
      <c r="A1441" t="str">
        <f>"1440"</f>
        <v>1440</v>
      </c>
      <c r="B1441" t="str">
        <f>"0.18"</f>
        <v>0.18</v>
      </c>
      <c r="C1441" t="str">
        <f>"55"</f>
        <v>55</v>
      </c>
      <c r="D1441" t="str">
        <f>"Tournament of Hearts"</f>
        <v>Tournament of Hearts</v>
      </c>
    </row>
    <row r="1442" spans="1:4" x14ac:dyDescent="0.2">
      <c r="A1442" t="str">
        <f>"1441"</f>
        <v>1441</v>
      </c>
      <c r="B1442" t="str">
        <f>"-0.44"</f>
        <v>-0.44</v>
      </c>
      <c r="C1442" t="str">
        <f>"67"</f>
        <v>67</v>
      </c>
      <c r="D1442" t="str">
        <f>"Fall Heads Roll"</f>
        <v>Fall Heads Roll</v>
      </c>
    </row>
    <row r="1443" spans="1:4" x14ac:dyDescent="0.2">
      <c r="A1443" t="str">
        <f>"1442"</f>
        <v>1442</v>
      </c>
      <c r="B1443" t="str">
        <f>"-0.13"</f>
        <v>-0.13</v>
      </c>
      <c r="C1443" t="str">
        <f>"38"</f>
        <v>38</v>
      </c>
      <c r="D1443" t="str">
        <f>"The Runners Four"</f>
        <v>The Runners Four</v>
      </c>
    </row>
    <row r="1444" spans="1:4" x14ac:dyDescent="0.2">
      <c r="A1444" t="str">
        <f>"1443"</f>
        <v>1443</v>
      </c>
      <c r="B1444" t="str">
        <f>"0.32"</f>
        <v>0.32</v>
      </c>
      <c r="C1444" t="str">
        <f>"30"</f>
        <v>30</v>
      </c>
      <c r="D1444" t="str">
        <f>"Live04"</f>
        <v>Live04</v>
      </c>
    </row>
    <row r="1445" spans="1:4" x14ac:dyDescent="0.2">
      <c r="A1445" t="str">
        <f>"1444"</f>
        <v>1444</v>
      </c>
      <c r="B1445" t="str">
        <f>"-0.7"</f>
        <v>-0.7</v>
      </c>
      <c r="C1445" t="str">
        <f>"26"</f>
        <v>26</v>
      </c>
      <c r="D1445" t="str">
        <f>"First Light's Freeze"</f>
        <v>First Light's Freeze</v>
      </c>
    </row>
    <row r="1446" spans="1:4" x14ac:dyDescent="0.2">
      <c r="A1446" t="str">
        <f>"1445"</f>
        <v>1445</v>
      </c>
      <c r="B1446" t="str">
        <f>"-0.99"</f>
        <v>-0.99</v>
      </c>
      <c r="C1446" t="str">
        <f>"22"</f>
        <v>22</v>
      </c>
      <c r="D1446" t="str">
        <f>"Metropolis"</f>
        <v>Metropolis</v>
      </c>
    </row>
    <row r="1447" spans="1:4" x14ac:dyDescent="0.2">
      <c r="A1447" t="str">
        <f>"1446"</f>
        <v>1446</v>
      </c>
      <c r="B1447" t="str">
        <f>"0.06"</f>
        <v>0.06</v>
      </c>
      <c r="C1447" t="str">
        <f>"35"</f>
        <v>35</v>
      </c>
      <c r="D1447" t="str">
        <f>"Z"</f>
        <v>Z</v>
      </c>
    </row>
    <row r="1448" spans="1:4" x14ac:dyDescent="0.2">
      <c r="A1448" t="str">
        <f>"1447"</f>
        <v>1447</v>
      </c>
      <c r="B1448" t="str">
        <f>"1.13"</f>
        <v>1.13</v>
      </c>
      <c r="C1448" t="str">
        <f>"27"</f>
        <v>27</v>
      </c>
      <c r="D1448" t="str">
        <f>"The People's Champ"</f>
        <v>The People's Champ</v>
      </c>
    </row>
    <row r="1449" spans="1:4" x14ac:dyDescent="0.2">
      <c r="A1449" t="str">
        <f>"1448"</f>
        <v>1448</v>
      </c>
      <c r="B1449" t="str">
        <f>"0.32"</f>
        <v>0.32</v>
      </c>
      <c r="C1449" t="str">
        <f>"13"</f>
        <v>13</v>
      </c>
      <c r="D1449" t="str">
        <f>"Amusement Parks on Fire"</f>
        <v>Amusement Parks on Fire</v>
      </c>
    </row>
    <row r="1450" spans="1:4" x14ac:dyDescent="0.2">
      <c r="A1450" t="str">
        <f>"1449"</f>
        <v>1449</v>
      </c>
      <c r="B1450" t="str">
        <f>"-2.2"</f>
        <v>-2.2</v>
      </c>
      <c r="C1450" t="str">
        <f>"16"</f>
        <v>16</v>
      </c>
      <c r="D1450" t="str">
        <f>"Made in China"</f>
        <v>Made in China</v>
      </c>
    </row>
    <row r="1451" spans="1:4" x14ac:dyDescent="0.2">
      <c r="A1451" t="str">
        <f>"1450"</f>
        <v>1450</v>
      </c>
      <c r="B1451" t="str">
        <f>"-0.28"</f>
        <v>-0.28</v>
      </c>
      <c r="C1451" t="str">
        <f>"25"</f>
        <v>25</v>
      </c>
      <c r="D1451" t="s">
        <v>44</v>
      </c>
    </row>
    <row r="1452" spans="1:4" x14ac:dyDescent="0.2">
      <c r="A1452" t="str">
        <f>"1451"</f>
        <v>1451</v>
      </c>
      <c r="B1452" t="str">
        <f>"0.3"</f>
        <v>0.3</v>
      </c>
      <c r="C1452" t="str">
        <f>"36"</f>
        <v>36</v>
      </c>
      <c r="D1452" t="str">
        <f>"Working Class Hero: The Definitive Lennon"</f>
        <v>Working Class Hero: The Definitive Lennon</v>
      </c>
    </row>
    <row r="1453" spans="1:4" x14ac:dyDescent="0.2">
      <c r="A1453" t="str">
        <f>"1452"</f>
        <v>1452</v>
      </c>
      <c r="B1453" t="str">
        <f>"0.69"</f>
        <v>0.69</v>
      </c>
      <c r="C1453" t="str">
        <f>"57"</f>
        <v>57</v>
      </c>
      <c r="D1453" t="str">
        <f>"Welsh Rare Beat"</f>
        <v>Welsh Rare Beat</v>
      </c>
    </row>
    <row r="1454" spans="1:4" x14ac:dyDescent="0.2">
      <c r="A1454" t="str">
        <f>"1453"</f>
        <v>1453</v>
      </c>
      <c r="B1454" t="str">
        <f>"-0.82"</f>
        <v>-0.82</v>
      </c>
      <c r="C1454" t="str">
        <f>"17"</f>
        <v>17</v>
      </c>
      <c r="D1454" t="str">
        <f>"I've Visited the Island of Jocks and Jazz"</f>
        <v>I've Visited the Island of Jocks and Jazz</v>
      </c>
    </row>
    <row r="1455" spans="1:4" x14ac:dyDescent="0.2">
      <c r="A1455" t="str">
        <f>"1454"</f>
        <v>1454</v>
      </c>
      <c r="B1455" t="str">
        <f>"-0.67"</f>
        <v>-0.67</v>
      </c>
      <c r="C1455" t="str">
        <f>"17"</f>
        <v>17</v>
      </c>
      <c r="D1455" t="str">
        <f>"Nympho"</f>
        <v>Nympho</v>
      </c>
    </row>
    <row r="1456" spans="1:4" x14ac:dyDescent="0.2">
      <c r="A1456" t="str">
        <f>"1455"</f>
        <v>1455</v>
      </c>
      <c r="B1456" t="str">
        <f>"-0.34"</f>
        <v>-0.34</v>
      </c>
      <c r="C1456" t="str">
        <f>"29"</f>
        <v>29</v>
      </c>
      <c r="D1456" t="str">
        <f>"Extraordinary Machine [Jon Brion version]"</f>
        <v>Extraordinary Machine [Jon Brion version]</v>
      </c>
    </row>
    <row r="1457" spans="1:4" x14ac:dyDescent="0.2">
      <c r="A1457" t="str">
        <f>"1456"</f>
        <v>1456</v>
      </c>
      <c r="B1457" t="str">
        <f>"-0.51"</f>
        <v>-0.51</v>
      </c>
      <c r="C1457" t="str">
        <f>"31"</f>
        <v>31</v>
      </c>
      <c r="D1457" t="str">
        <f>"The Witching Hour"</f>
        <v>The Witching Hour</v>
      </c>
    </row>
    <row r="1458" spans="1:4" x14ac:dyDescent="0.2">
      <c r="A1458" t="str">
        <f>"1457"</f>
        <v>1457</v>
      </c>
      <c r="B1458" t="str">
        <f>"-0.21"</f>
        <v>-0.21</v>
      </c>
      <c r="C1458" t="str">
        <f>"23"</f>
        <v>23</v>
      </c>
      <c r="D1458" t="str">
        <f>"Misty Medley"</f>
        <v>Misty Medley</v>
      </c>
    </row>
    <row r="1459" spans="1:4" x14ac:dyDescent="0.2">
      <c r="A1459" t="str">
        <f>"1458"</f>
        <v>1458</v>
      </c>
      <c r="B1459" t="str">
        <f>"-0.93"</f>
        <v>-0.93</v>
      </c>
      <c r="C1459" t="str">
        <f>"26"</f>
        <v>26</v>
      </c>
      <c r="D1459" t="str">
        <f>"Blame It on the Youth"</f>
        <v>Blame It on the Youth</v>
      </c>
    </row>
    <row r="1460" spans="1:4" x14ac:dyDescent="0.2">
      <c r="A1460" t="str">
        <f>"1459"</f>
        <v>1459</v>
      </c>
      <c r="B1460" t="str">
        <f>"-0.02"</f>
        <v>-0.02</v>
      </c>
      <c r="C1460" t="str">
        <f>"34"</f>
        <v>34</v>
      </c>
      <c r="D1460" t="str">
        <f>"City Lights Volume 1.5"</f>
        <v>City Lights Volume 1.5</v>
      </c>
    </row>
    <row r="1461" spans="1:4" x14ac:dyDescent="0.2">
      <c r="A1461" t="str">
        <f>"1460"</f>
        <v>1460</v>
      </c>
      <c r="B1461" t="str">
        <f>"0.05"</f>
        <v>0.05</v>
      </c>
      <c r="C1461" t="str">
        <f>"119"</f>
        <v>119</v>
      </c>
      <c r="D1461" t="str">
        <f>"The Best of the Beta Band"</f>
        <v>The Best of the Beta Band</v>
      </c>
    </row>
    <row r="1462" spans="1:4" x14ac:dyDescent="0.2">
      <c r="A1462" t="str">
        <f>"1461"</f>
        <v>1461</v>
      </c>
      <c r="B1462" t="str">
        <f>"-0.47"</f>
        <v>-0.47</v>
      </c>
      <c r="C1462" t="str">
        <f>"43"</f>
        <v>43</v>
      </c>
      <c r="D1462" t="str">
        <f>"Broken Social Scene"</f>
        <v>Broken Social Scene</v>
      </c>
    </row>
    <row r="1463" spans="1:4" x14ac:dyDescent="0.2">
      <c r="A1463" t="str">
        <f>"1462"</f>
        <v>1462</v>
      </c>
      <c r="B1463" t="str">
        <f>"-0.5"</f>
        <v>-0.5</v>
      </c>
      <c r="C1463" t="str">
        <f>"37"</f>
        <v>37</v>
      </c>
      <c r="D1463" t="str">
        <f>"""Singers"""</f>
        <v>"Singers"</v>
      </c>
    </row>
    <row r="1464" spans="1:4" x14ac:dyDescent="0.2">
      <c r="A1464" t="str">
        <f>"1463"</f>
        <v>1463</v>
      </c>
      <c r="B1464" t="str">
        <f>"-0.85"</f>
        <v>-0.85</v>
      </c>
      <c r="C1464" t="str">
        <f>"85"</f>
        <v>85</v>
      </c>
      <c r="D1464" t="str">
        <f>"You Can't Imagine How Much Fun We're Having"</f>
        <v>You Can't Imagine How Much Fun We're Having</v>
      </c>
    </row>
    <row r="1465" spans="1:4" x14ac:dyDescent="0.2">
      <c r="A1465" t="str">
        <f>"1464"</f>
        <v>1464</v>
      </c>
      <c r="B1465" t="str">
        <f>"-0.84"</f>
        <v>-0.84</v>
      </c>
      <c r="C1465" t="str">
        <f>"17"</f>
        <v>17</v>
      </c>
      <c r="D1465" t="str">
        <f>"Spider Through the Fog"</f>
        <v>Spider Through the Fog</v>
      </c>
    </row>
    <row r="1466" spans="1:4" x14ac:dyDescent="0.2">
      <c r="A1466" t="str">
        <f>"1465"</f>
        <v>1465</v>
      </c>
      <c r="B1466" t="str">
        <f>"0.32"</f>
        <v>0.32</v>
      </c>
      <c r="C1466" t="str">
        <f>"28"</f>
        <v>28</v>
      </c>
      <c r="D1466" t="str">
        <f>"Smash"</f>
        <v>Smash</v>
      </c>
    </row>
    <row r="1467" spans="1:4" x14ac:dyDescent="0.2">
      <c r="A1467" t="str">
        <f>"1466"</f>
        <v>1466</v>
      </c>
      <c r="B1467" t="str">
        <f>"-0.17"</f>
        <v>-0.17</v>
      </c>
      <c r="C1467" t="str">
        <f>"73"</f>
        <v>73</v>
      </c>
      <c r="D1467" t="str">
        <f>"Somebody's Miracle"</f>
        <v>Somebody's Miracle</v>
      </c>
    </row>
    <row r="1468" spans="1:4" x14ac:dyDescent="0.2">
      <c r="A1468" t="str">
        <f>"1467"</f>
        <v>1467</v>
      </c>
      <c r="B1468" t="str">
        <f>"-0.03"</f>
        <v>-0.03</v>
      </c>
      <c r="C1468" t="str">
        <f>"25"</f>
        <v>25</v>
      </c>
      <c r="D1468" t="str">
        <f>"You Could Have It So Much Better... With Franz Ferdinand"</f>
        <v>You Could Have It So Much Better... With Franz Ferdinand</v>
      </c>
    </row>
    <row r="1469" spans="1:4" x14ac:dyDescent="0.2">
      <c r="A1469" t="str">
        <f>"1468"</f>
        <v>1468</v>
      </c>
      <c r="B1469" t="str">
        <f>"-0.67"</f>
        <v>-0.67</v>
      </c>
      <c r="C1469" t="str">
        <f>"32"</f>
        <v>32</v>
      </c>
      <c r="D1469" t="str">
        <f>"Robyn"</f>
        <v>Robyn</v>
      </c>
    </row>
    <row r="1470" spans="1:4" x14ac:dyDescent="0.2">
      <c r="A1470" t="str">
        <f>"1469"</f>
        <v>1469</v>
      </c>
      <c r="B1470" t="str">
        <f>"-0.41"</f>
        <v>-0.41</v>
      </c>
      <c r="C1470" t="str">
        <f>"66"</f>
        <v>66</v>
      </c>
      <c r="D1470" t="str">
        <f>"Cannery Hours"</f>
        <v>Cannery Hours</v>
      </c>
    </row>
    <row r="1471" spans="1:4" x14ac:dyDescent="0.2">
      <c r="A1471" t="str">
        <f>"1470"</f>
        <v>1470</v>
      </c>
      <c r="B1471" t="str">
        <f>"0.47"</f>
        <v>0.47</v>
      </c>
      <c r="C1471" t="str">
        <f>"112"</f>
        <v>112</v>
      </c>
      <c r="D1471" t="str">
        <f>"Children of Nuggets: Original Artyfacts from the Second Psychedelic Era 1976-1996"</f>
        <v>Children of Nuggets: Original Artyfacts from the Second Psychedelic Era 1976-1996</v>
      </c>
    </row>
    <row r="1472" spans="1:4" x14ac:dyDescent="0.2">
      <c r="A1472" t="str">
        <f>"1471"</f>
        <v>1471</v>
      </c>
      <c r="B1472" t="str">
        <f>"0.62"</f>
        <v>0.62</v>
      </c>
      <c r="C1472" t="str">
        <f>"79"</f>
        <v>79</v>
      </c>
      <c r="D1472" t="str">
        <f>"Dimanche à Bamako"</f>
        <v>Dimanche à Bamako</v>
      </c>
    </row>
    <row r="1473" spans="1:4" x14ac:dyDescent="0.2">
      <c r="A1473" t="str">
        <f>"1472"</f>
        <v>1472</v>
      </c>
      <c r="B1473" t="str">
        <f>"-0.05"</f>
        <v>-0.05</v>
      </c>
      <c r="C1473" t="str">
        <f>"23"</f>
        <v>23</v>
      </c>
      <c r="D1473" t="str">
        <f>"Hearts and Unicorns"</f>
        <v>Hearts and Unicorns</v>
      </c>
    </row>
    <row r="1474" spans="1:4" x14ac:dyDescent="0.2">
      <c r="A1474" t="str">
        <f>"1473"</f>
        <v>1473</v>
      </c>
      <c r="B1474" t="str">
        <f>"-0.29"</f>
        <v>-0.29</v>
      </c>
      <c r="C1474" t="str">
        <f>"22"</f>
        <v>22</v>
      </c>
      <c r="D1474" t="str">
        <f>"Drums of Death"</f>
        <v>Drums of Death</v>
      </c>
    </row>
    <row r="1475" spans="1:4" x14ac:dyDescent="0.2">
      <c r="A1475" t="str">
        <f>"1474"</f>
        <v>1474</v>
      </c>
      <c r="B1475" t="str">
        <f>"0.2"</f>
        <v>0.2</v>
      </c>
      <c r="C1475" t="str">
        <f>"24"</f>
        <v>24</v>
      </c>
      <c r="D1475" t="str">
        <f>"The Craft"</f>
        <v>The Craft</v>
      </c>
    </row>
    <row r="1476" spans="1:4" x14ac:dyDescent="0.2">
      <c r="A1476" t="str">
        <f>"1475"</f>
        <v>1475</v>
      </c>
      <c r="B1476" t="str">
        <f>"-0.84"</f>
        <v>-0.84</v>
      </c>
      <c r="C1476" t="str">
        <f>"31"</f>
        <v>31</v>
      </c>
      <c r="D1476" t="str">
        <f>"Birds Make Good Neighbors"</f>
        <v>Birds Make Good Neighbors</v>
      </c>
    </row>
    <row r="1477" spans="1:4" x14ac:dyDescent="0.2">
      <c r="A1477" t="str">
        <f>"1476"</f>
        <v>1476</v>
      </c>
      <c r="B1477" t="str">
        <f>"0.05"</f>
        <v>0.05</v>
      </c>
      <c r="C1477" t="str">
        <f>"35"</f>
        <v>35</v>
      </c>
      <c r="D1477" t="str">
        <f>"Coles Corner"</f>
        <v>Coles Corner</v>
      </c>
    </row>
    <row r="1478" spans="1:4" x14ac:dyDescent="0.2">
      <c r="A1478" t="str">
        <f>"1477"</f>
        <v>1477</v>
      </c>
      <c r="B1478" t="str">
        <f>"0.71"</f>
        <v>0.71</v>
      </c>
      <c r="C1478" t="str">
        <f>"24"</f>
        <v>24</v>
      </c>
      <c r="D1478" t="str">
        <f>"Attic Salt"</f>
        <v>Attic Salt</v>
      </c>
    </row>
    <row r="1479" spans="1:4" x14ac:dyDescent="0.2">
      <c r="A1479" t="str">
        <f>"1478"</f>
        <v>1478</v>
      </c>
      <c r="B1479" t="str">
        <f>"-1.88"</f>
        <v>-1.88</v>
      </c>
      <c r="C1479" t="str">
        <f>"22"</f>
        <v>22</v>
      </c>
      <c r="D1479" t="str">
        <f>"Inside/Absent"</f>
        <v>Inside/Absent</v>
      </c>
    </row>
    <row r="1480" spans="1:4" x14ac:dyDescent="0.2">
      <c r="A1480" t="str">
        <f>"1479"</f>
        <v>1479</v>
      </c>
      <c r="B1480" t="str">
        <f>"0.3"</f>
        <v>0.3</v>
      </c>
      <c r="C1480" t="str">
        <f>"31"</f>
        <v>31</v>
      </c>
      <c r="D1480" t="str">
        <f>"Prairie Wind"</f>
        <v>Prairie Wind</v>
      </c>
    </row>
    <row r="1481" spans="1:4" x14ac:dyDescent="0.2">
      <c r="A1481" t="str">
        <f>"1480"</f>
        <v>1480</v>
      </c>
      <c r="B1481" t="str">
        <f>"-0.01"</f>
        <v>-0.01</v>
      </c>
      <c r="C1481" t="str">
        <f>"40"</f>
        <v>40</v>
      </c>
      <c r="D1481" t="str">
        <f>"Just Say Sire"</f>
        <v>Just Say Sire</v>
      </c>
    </row>
    <row r="1482" spans="1:4" x14ac:dyDescent="0.2">
      <c r="A1482" t="str">
        <f>"1481"</f>
        <v>1481</v>
      </c>
      <c r="B1482" t="str">
        <f>"0.53"</f>
        <v>0.53</v>
      </c>
      <c r="C1482" t="str">
        <f>"27"</f>
        <v>27</v>
      </c>
      <c r="D1482" t="str">
        <f>"In Space"</f>
        <v>In Space</v>
      </c>
    </row>
    <row r="1483" spans="1:4" x14ac:dyDescent="0.2">
      <c r="A1483" t="str">
        <f>"1482"</f>
        <v>1482</v>
      </c>
      <c r="B1483" t="str">
        <f>"0.23"</f>
        <v>0.23</v>
      </c>
      <c r="C1483" t="str">
        <f>"24"</f>
        <v>24</v>
      </c>
      <c r="D1483" t="str">
        <f>"Duel at Dawn"</f>
        <v>Duel at Dawn</v>
      </c>
    </row>
    <row r="1484" spans="1:4" x14ac:dyDescent="0.2">
      <c r="A1484" t="str">
        <f>"1483"</f>
        <v>1483</v>
      </c>
      <c r="B1484" t="str">
        <f>"-0.97"</f>
        <v>-0.97</v>
      </c>
      <c r="C1484" t="str">
        <f>"54"</f>
        <v>54</v>
      </c>
      <c r="D1484" t="str">
        <f>"Surgery"</f>
        <v>Surgery</v>
      </c>
    </row>
    <row r="1485" spans="1:4" x14ac:dyDescent="0.2">
      <c r="A1485" t="str">
        <f>"1484"</f>
        <v>1484</v>
      </c>
      <c r="B1485" t="str">
        <f>"0.19"</f>
        <v>0.19</v>
      </c>
      <c r="C1485" t="str">
        <f>"116"</f>
        <v>116</v>
      </c>
      <c r="D1485" t="str">
        <f>"Jacksonville City Nights"</f>
        <v>Jacksonville City Nights</v>
      </c>
    </row>
    <row r="1486" spans="1:4" x14ac:dyDescent="0.2">
      <c r="A1486" t="str">
        <f>"1485"</f>
        <v>1485</v>
      </c>
      <c r="B1486" t="str">
        <f>"0.33"</f>
        <v>0.33</v>
      </c>
      <c r="C1486" t="str">
        <f>"38"</f>
        <v>38</v>
      </c>
      <c r="D1486" t="str">
        <f>"Sixth in Sixes"</f>
        <v>Sixth in Sixes</v>
      </c>
    </row>
    <row r="1487" spans="1:4" x14ac:dyDescent="0.2">
      <c r="A1487" t="str">
        <f>"1486"</f>
        <v>1486</v>
      </c>
      <c r="B1487" t="str">
        <f>"-0.41"</f>
        <v>-0.41</v>
      </c>
      <c r="C1487" t="str">
        <f>"52"</f>
        <v>52</v>
      </c>
      <c r="D1487" t="str">
        <f>"In the Aeroplane Over the Sea"</f>
        <v>In the Aeroplane Over the Sea</v>
      </c>
    </row>
    <row r="1488" spans="1:4" x14ac:dyDescent="0.2">
      <c r="A1488" t="str">
        <f>"1487"</f>
        <v>1487</v>
      </c>
      <c r="B1488" t="str">
        <f>"1.8"</f>
        <v>1.8</v>
      </c>
      <c r="C1488" t="str">
        <f>"16"</f>
        <v>16</v>
      </c>
      <c r="D1488" t="str">
        <f>"Tuning to the Rooster"</f>
        <v>Tuning to the Rooster</v>
      </c>
    </row>
    <row r="1489" spans="1:4" x14ac:dyDescent="0.2">
      <c r="A1489" t="str">
        <f>"1488"</f>
        <v>1488</v>
      </c>
      <c r="B1489" t="str">
        <f>"0.81"</f>
        <v>0.81</v>
      </c>
      <c r="C1489" t="str">
        <f>"19"</f>
        <v>19</v>
      </c>
      <c r="D1489" t="str">
        <f>"Small Stones"</f>
        <v>Small Stones</v>
      </c>
    </row>
    <row r="1490" spans="1:4" x14ac:dyDescent="0.2">
      <c r="A1490" t="str">
        <f>"1489"</f>
        <v>1489</v>
      </c>
      <c r="B1490" t="str">
        <f>"-0.39"</f>
        <v>-0.39</v>
      </c>
      <c r="C1490" t="str">
        <f>"19"</f>
        <v>19</v>
      </c>
      <c r="D1490" t="str">
        <f>"Self Help Serenade"</f>
        <v>Self Help Serenade</v>
      </c>
    </row>
    <row r="1491" spans="1:4" x14ac:dyDescent="0.2">
      <c r="A1491" t="str">
        <f>"1490"</f>
        <v>1490</v>
      </c>
      <c r="B1491" t="str">
        <f>"-1"</f>
        <v>-1</v>
      </c>
      <c r="C1491" t="str">
        <f>"60"</f>
        <v>60</v>
      </c>
      <c r="D1491" t="str">
        <f>"Excerpts From the Diary of Todd Zilla EP"</f>
        <v>Excerpts From the Diary of Todd Zilla EP</v>
      </c>
    </row>
    <row r="1492" spans="1:4" x14ac:dyDescent="0.2">
      <c r="A1492" t="str">
        <f>"1491"</f>
        <v>1491</v>
      </c>
      <c r="B1492" t="str">
        <f>"0.75"</f>
        <v>0.75</v>
      </c>
      <c r="C1492" t="str">
        <f>"29"</f>
        <v>29</v>
      </c>
      <c r="D1492" t="str">
        <f>"Apologies to the Queen Mary"</f>
        <v>Apologies to the Queen Mary</v>
      </c>
    </row>
    <row r="1493" spans="1:4" x14ac:dyDescent="0.2">
      <c r="A1493" t="str">
        <f>"1492"</f>
        <v>1492</v>
      </c>
      <c r="B1493" t="str">
        <f>"0.02"</f>
        <v>0.02</v>
      </c>
      <c r="C1493" t="str">
        <f>"22"</f>
        <v>22</v>
      </c>
      <c r="D1493" t="str">
        <f>"Home for Orphans"</f>
        <v>Home for Orphans</v>
      </c>
    </row>
    <row r="1494" spans="1:4" x14ac:dyDescent="0.2">
      <c r="A1494" t="str">
        <f>"1493"</f>
        <v>1493</v>
      </c>
      <c r="B1494" t="str">
        <f>"-1.13"</f>
        <v>-1.13</v>
      </c>
      <c r="C1494" t="str">
        <f>"15"</f>
        <v>15</v>
      </c>
      <c r="D1494" t="str">
        <f>"Lights Out"</f>
        <v>Lights Out</v>
      </c>
    </row>
    <row r="1495" spans="1:4" x14ac:dyDescent="0.2">
      <c r="A1495" t="str">
        <f>"1494"</f>
        <v>1494</v>
      </c>
      <c r="B1495" t="str">
        <f>"-0.04"</f>
        <v>-0.04</v>
      </c>
      <c r="C1495" t="str">
        <f>"50"</f>
        <v>50</v>
      </c>
      <c r="D1495" t="str">
        <f>"The Fast Rise &amp; Fall of the South"</f>
        <v>The Fast Rise &amp; Fall of the South</v>
      </c>
    </row>
    <row r="1496" spans="1:4" x14ac:dyDescent="0.2">
      <c r="A1496" t="str">
        <f>"1495"</f>
        <v>1495</v>
      </c>
      <c r="B1496" t="str">
        <f>"0.48"</f>
        <v>0.48</v>
      </c>
      <c r="C1496" t="str">
        <f>"17"</f>
        <v>17</v>
      </c>
      <c r="D1496" t="str">
        <f>"IV"</f>
        <v>IV</v>
      </c>
    </row>
    <row r="1497" spans="1:4" x14ac:dyDescent="0.2">
      <c r="A1497" t="str">
        <f>"1496"</f>
        <v>1496</v>
      </c>
      <c r="B1497" t="str">
        <f>"0.73"</f>
        <v>0.73</v>
      </c>
      <c r="C1497" t="str">
        <f>"53"</f>
        <v>53</v>
      </c>
      <c r="D1497" t="str">
        <f>"Siberia"</f>
        <v>Siberia</v>
      </c>
    </row>
    <row r="1498" spans="1:4" x14ac:dyDescent="0.2">
      <c r="A1498" t="str">
        <f>"1497"</f>
        <v>1497</v>
      </c>
      <c r="B1498" t="str">
        <f>"-0.23"</f>
        <v>-0.23</v>
      </c>
      <c r="C1498" t="str">
        <f>"63"</f>
        <v>63</v>
      </c>
      <c r="D1498" t="str">
        <f>"Run-DMC"</f>
        <v>Run-DMC</v>
      </c>
    </row>
    <row r="1499" spans="1:4" x14ac:dyDescent="0.2">
      <c r="A1499" t="str">
        <f>"1498"</f>
        <v>1498</v>
      </c>
      <c r="B1499" t="str">
        <f>"-0.3"</f>
        <v>-0.3</v>
      </c>
      <c r="C1499" t="str">
        <f>"60"</f>
        <v>60</v>
      </c>
      <c r="D1499" t="str">
        <f>"Swords"</f>
        <v>Swords</v>
      </c>
    </row>
    <row r="1500" spans="1:4" x14ac:dyDescent="0.2">
      <c r="A1500" t="str">
        <f>"1499"</f>
        <v>1499</v>
      </c>
      <c r="B1500" t="str">
        <f>"-0.41"</f>
        <v>-0.41</v>
      </c>
      <c r="C1500" t="str">
        <f>"16"</f>
        <v>16</v>
      </c>
      <c r="D1500" t="str">
        <f>"Telescopic Eyes Glance the Future Sick"</f>
        <v>Telescopic Eyes Glance the Future Sick</v>
      </c>
    </row>
    <row r="1501" spans="1:4" x14ac:dyDescent="0.2">
      <c r="A1501" t="str">
        <f>"1500"</f>
        <v>1500</v>
      </c>
      <c r="B1501" t="str">
        <f>"0.25"</f>
        <v>0.25</v>
      </c>
      <c r="C1501" t="str">
        <f>"88"</f>
        <v>88</v>
      </c>
      <c r="D1501" t="str">
        <f>"The Weight Is a Gift"</f>
        <v>The Weight Is a Gift</v>
      </c>
    </row>
    <row r="1502" spans="1:4" x14ac:dyDescent="0.2">
      <c r="A1502" t="str">
        <f>"1501"</f>
        <v>1501</v>
      </c>
      <c r="B1502" t="str">
        <f>"-1.76"</f>
        <v>-1.76</v>
      </c>
      <c r="C1502" t="str">
        <f>"15"</f>
        <v>15</v>
      </c>
      <c r="D1502" t="str">
        <f>"2012"</f>
        <v>2012</v>
      </c>
    </row>
    <row r="1503" spans="1:4" x14ac:dyDescent="0.2">
      <c r="A1503" t="str">
        <f>"1502"</f>
        <v>1502</v>
      </c>
      <c r="B1503" t="str">
        <f>"0.54"</f>
        <v>0.54</v>
      </c>
      <c r="C1503" t="str">
        <f>"25"</f>
        <v>25</v>
      </c>
      <c r="D1503" t="s">
        <v>45</v>
      </c>
    </row>
    <row r="1504" spans="1:4" x14ac:dyDescent="0.2">
      <c r="A1504" t="str">
        <f>"1503"</f>
        <v>1503</v>
      </c>
      <c r="B1504" t="str">
        <f>"0.16"</f>
        <v>0.16</v>
      </c>
      <c r="C1504" t="str">
        <f>"18"</f>
        <v>18</v>
      </c>
      <c r="D1504" t="str">
        <f>"Blank Field"</f>
        <v>Blank Field</v>
      </c>
    </row>
    <row r="1505" spans="1:4" x14ac:dyDescent="0.2">
      <c r="A1505" t="str">
        <f>"1504"</f>
        <v>1504</v>
      </c>
      <c r="B1505" t="str">
        <f>"0.54"</f>
        <v>0.54</v>
      </c>
      <c r="C1505" t="str">
        <f>"29"</f>
        <v>29</v>
      </c>
      <c r="D1505" t="str">
        <f>"Dís"</f>
        <v>Dís</v>
      </c>
    </row>
    <row r="1506" spans="1:4" x14ac:dyDescent="0.2">
      <c r="A1506" t="str">
        <f>"1505"</f>
        <v>1505</v>
      </c>
      <c r="B1506" t="str">
        <f>"0.89"</f>
        <v>0.89</v>
      </c>
      <c r="C1506" t="str">
        <f>"22"</f>
        <v>22</v>
      </c>
      <c r="D1506" t="str">
        <f>"David Live"</f>
        <v>David Live</v>
      </c>
    </row>
    <row r="1507" spans="1:4" x14ac:dyDescent="0.2">
      <c r="A1507" t="str">
        <f>"1506"</f>
        <v>1506</v>
      </c>
      <c r="B1507" t="str">
        <f>"-0.72"</f>
        <v>-0.72</v>
      </c>
      <c r="C1507" t="str">
        <f>"42"</f>
        <v>42</v>
      </c>
      <c r="D1507" t="str">
        <f>"Certified"</f>
        <v>Certified</v>
      </c>
    </row>
    <row r="1508" spans="1:4" x14ac:dyDescent="0.2">
      <c r="A1508" t="str">
        <f>"1507"</f>
        <v>1507</v>
      </c>
      <c r="B1508" t="str">
        <f>"0.2"</f>
        <v>0.2</v>
      </c>
      <c r="C1508" t="str">
        <f>"106"</f>
        <v>106</v>
      </c>
      <c r="D1508" t="str">
        <f>"Shamelessly Exciting"</f>
        <v>Shamelessly Exciting</v>
      </c>
    </row>
    <row r="1509" spans="1:4" x14ac:dyDescent="0.2">
      <c r="A1509" t="str">
        <f>"1508"</f>
        <v>1508</v>
      </c>
      <c r="B1509" t="str">
        <f>"0.82"</f>
        <v>0.82</v>
      </c>
      <c r="C1509" t="str">
        <f>"28"</f>
        <v>28</v>
      </c>
      <c r="D1509" t="str">
        <f>"We're Already There"</f>
        <v>We're Already There</v>
      </c>
    </row>
    <row r="1510" spans="1:4" x14ac:dyDescent="0.2">
      <c r="A1510" t="str">
        <f>"1509"</f>
        <v>1509</v>
      </c>
      <c r="B1510" t="str">
        <f>"-0.13"</f>
        <v>-0.13</v>
      </c>
      <c r="C1510" t="str">
        <f>"22"</f>
        <v>22</v>
      </c>
      <c r="D1510" t="str">
        <f>"Bryant Park Moratorium Rally (1969)"</f>
        <v>Bryant Park Moratorium Rally (1969)</v>
      </c>
    </row>
    <row r="1511" spans="1:4" x14ac:dyDescent="0.2">
      <c r="A1511" t="str">
        <f>"1510"</f>
        <v>1510</v>
      </c>
      <c r="B1511" t="str">
        <f>"0.38"</f>
        <v>0.38</v>
      </c>
      <c r="C1511" t="str">
        <f>"49"</f>
        <v>49</v>
      </c>
      <c r="D1511" t="str">
        <f>"Set Free"</f>
        <v>Set Free</v>
      </c>
    </row>
    <row r="1512" spans="1:4" x14ac:dyDescent="0.2">
      <c r="A1512" t="str">
        <f>"1511"</f>
        <v>1511</v>
      </c>
      <c r="B1512" t="str">
        <f>"-0.95"</f>
        <v>-0.95</v>
      </c>
      <c r="C1512" t="str">
        <f>"53"</f>
        <v>53</v>
      </c>
      <c r="D1512" t="str">
        <f>"Awesomer"</f>
        <v>Awesomer</v>
      </c>
    </row>
    <row r="1513" spans="1:4" x14ac:dyDescent="0.2">
      <c r="A1513" t="str">
        <f>"1512"</f>
        <v>1512</v>
      </c>
      <c r="B1513" t="str">
        <f>"-0.78"</f>
        <v>-0.78</v>
      </c>
      <c r="C1513" t="str">
        <f>"44"</f>
        <v>44</v>
      </c>
      <c r="D1513" t="str">
        <f>"Self Destruction"</f>
        <v>Self Destruction</v>
      </c>
    </row>
    <row r="1514" spans="1:4" x14ac:dyDescent="0.2">
      <c r="A1514" t="str">
        <f>"1513"</f>
        <v>1513</v>
      </c>
      <c r="B1514" t="str">
        <f>"-0.5"</f>
        <v>-0.5</v>
      </c>
      <c r="C1514" t="str">
        <f>"90"</f>
        <v>90</v>
      </c>
      <c r="D1514" t="str">
        <f>"Hit the Floor!"</f>
        <v>Hit the Floor!</v>
      </c>
    </row>
    <row r="1515" spans="1:4" x14ac:dyDescent="0.2">
      <c r="A1515" t="str">
        <f>"1514"</f>
        <v>1514</v>
      </c>
      <c r="B1515" t="str">
        <f>"-0.7"</f>
        <v>-0.7</v>
      </c>
      <c r="C1515" t="str">
        <f>"25"</f>
        <v>25</v>
      </c>
      <c r="D1515" t="str">
        <f>"Picks Us Apart"</f>
        <v>Picks Us Apart</v>
      </c>
    </row>
    <row r="1516" spans="1:4" x14ac:dyDescent="0.2">
      <c r="A1516" t="str">
        <f>"1515"</f>
        <v>1515</v>
      </c>
      <c r="B1516" t="str">
        <f>"0.07"</f>
        <v>0.07</v>
      </c>
      <c r="C1516" t="str">
        <f>"16"</f>
        <v>16</v>
      </c>
      <c r="D1516" t="str">
        <f>"Baba's Mountain"</f>
        <v>Baba's Mountain</v>
      </c>
    </row>
    <row r="1517" spans="1:4" x14ac:dyDescent="0.2">
      <c r="A1517" t="str">
        <f>"1516"</f>
        <v>1516</v>
      </c>
      <c r="B1517" t="str">
        <f>"0.48"</f>
        <v>0.48</v>
      </c>
      <c r="C1517" t="str">
        <f>"20"</f>
        <v>20</v>
      </c>
      <c r="D1517" t="str">
        <f>"The Novelist"</f>
        <v>The Novelist</v>
      </c>
    </row>
    <row r="1518" spans="1:4" x14ac:dyDescent="0.2">
      <c r="A1518" t="str">
        <f>"1517"</f>
        <v>1517</v>
      </c>
      <c r="B1518" t="str">
        <f>"-0.34"</f>
        <v>-0.34</v>
      </c>
      <c r="C1518" t="str">
        <f>"49"</f>
        <v>49</v>
      </c>
      <c r="D1518" t="str">
        <f>"Tender Buttons"</f>
        <v>Tender Buttons</v>
      </c>
    </row>
    <row r="1519" spans="1:4" x14ac:dyDescent="0.2">
      <c r="A1519" t="str">
        <f>"1518"</f>
        <v>1518</v>
      </c>
      <c r="B1519" t="str">
        <f>"-0.19"</f>
        <v>-0.19</v>
      </c>
      <c r="C1519" t="str">
        <f>"89"</f>
        <v>89</v>
      </c>
      <c r="D1519" t="str">
        <f>"Eternal E: Gangsta Memorial Edition"</f>
        <v>Eternal E: Gangsta Memorial Edition</v>
      </c>
    </row>
    <row r="1520" spans="1:4" x14ac:dyDescent="0.2">
      <c r="A1520" t="str">
        <f>"1519"</f>
        <v>1519</v>
      </c>
      <c r="B1520" t="str">
        <f>"-0.67"</f>
        <v>-0.67</v>
      </c>
      <c r="C1520" t="str">
        <f>"27"</f>
        <v>27</v>
      </c>
      <c r="D1520" t="str">
        <f>"Druganaut EP"</f>
        <v>Druganaut EP</v>
      </c>
    </row>
    <row r="1521" spans="1:4" x14ac:dyDescent="0.2">
      <c r="A1521" t="str">
        <f>"1520"</f>
        <v>1520</v>
      </c>
      <c r="B1521" t="str">
        <f>"0.14"</f>
        <v>0.14</v>
      </c>
      <c r="C1521" t="str">
        <f>"131"</f>
        <v>131</v>
      </c>
      <c r="D1521" t="str">
        <f>"Odditorium or Warlords of Mars"</f>
        <v>Odditorium or Warlords of Mars</v>
      </c>
    </row>
    <row r="1522" spans="1:4" x14ac:dyDescent="0.2">
      <c r="A1522" t="str">
        <f>"1521"</f>
        <v>1521</v>
      </c>
      <c r="B1522" t="str">
        <f>"-0.41"</f>
        <v>-0.41</v>
      </c>
      <c r="C1522" t="str">
        <f>"29"</f>
        <v>29</v>
      </c>
      <c r="D1522" t="str">
        <f>"Noah's Ark"</f>
        <v>Noah's Ark</v>
      </c>
    </row>
    <row r="1523" spans="1:4" x14ac:dyDescent="0.2">
      <c r="A1523" t="str">
        <f>"1522"</f>
        <v>1522</v>
      </c>
      <c r="B1523" t="str">
        <f>"1.04"</f>
        <v>1.04</v>
      </c>
      <c r="C1523" t="str">
        <f>"97"</f>
        <v>97</v>
      </c>
      <c r="D1523" t="str">
        <f>"The Edge: David Axelrod At Capitol 1966-1970"</f>
        <v>The Edge: David Axelrod At Capitol 1966-1970</v>
      </c>
    </row>
    <row r="1524" spans="1:4" x14ac:dyDescent="0.2">
      <c r="A1524" t="str">
        <f>"1523"</f>
        <v>1523</v>
      </c>
      <c r="B1524" t="str">
        <f>"1.57"</f>
        <v>1.57</v>
      </c>
      <c r="C1524" t="str">
        <f>"22"</f>
        <v>22</v>
      </c>
      <c r="D1524" t="str">
        <f>"Symbol"</f>
        <v>Symbol</v>
      </c>
    </row>
    <row r="1525" spans="1:4" x14ac:dyDescent="0.2">
      <c r="A1525" t="str">
        <f>"1524"</f>
        <v>1524</v>
      </c>
      <c r="B1525" t="str">
        <f>"-0.03"</f>
        <v>-0.03</v>
      </c>
      <c r="C1525" t="str">
        <f>"19"</f>
        <v>19</v>
      </c>
      <c r="D1525" t="str">
        <f>"Underwater Cinematographer"</f>
        <v>Underwater Cinematographer</v>
      </c>
    </row>
    <row r="1526" spans="1:4" x14ac:dyDescent="0.2">
      <c r="A1526" t="str">
        <f>"1525"</f>
        <v>1525</v>
      </c>
      <c r="B1526" t="str">
        <f>"-0.37"</f>
        <v>-0.37</v>
      </c>
      <c r="C1526" t="str">
        <f>"34"</f>
        <v>34</v>
      </c>
      <c r="D1526" t="str">
        <f>"The Minstrel Show"</f>
        <v>The Minstrel Show</v>
      </c>
    </row>
    <row r="1527" spans="1:4" x14ac:dyDescent="0.2">
      <c r="A1527" t="str">
        <f>"1526"</f>
        <v>1526</v>
      </c>
      <c r="B1527" t="str">
        <f>"0.03"</f>
        <v>0.03</v>
      </c>
      <c r="C1527" t="str">
        <f>"71"</f>
        <v>71</v>
      </c>
      <c r="D1527" t="str">
        <f>"Welcome to Jamrock"</f>
        <v>Welcome to Jamrock</v>
      </c>
    </row>
    <row r="1528" spans="1:4" x14ac:dyDescent="0.2">
      <c r="A1528" t="str">
        <f>"1527"</f>
        <v>1527</v>
      </c>
      <c r="B1528" t="str">
        <f>"-0.19"</f>
        <v>-0.19</v>
      </c>
      <c r="C1528" t="str">
        <f>"48"</f>
        <v>48</v>
      </c>
      <c r="D1528" t="str">
        <f>"A Ass Pocket of Whiskey"</f>
        <v>A Ass Pocket of Whiskey</v>
      </c>
    </row>
    <row r="1529" spans="1:4" x14ac:dyDescent="0.2">
      <c r="A1529" t="str">
        <f>"1528"</f>
        <v>1528</v>
      </c>
      <c r="B1529" t="str">
        <f>"-0.19"</f>
        <v>-0.19</v>
      </c>
      <c r="C1529" t="str">
        <f>"19"</f>
        <v>19</v>
      </c>
      <c r="D1529" t="str">
        <f>"At the Center"</f>
        <v>At the Center</v>
      </c>
    </row>
    <row r="1530" spans="1:4" x14ac:dyDescent="0.2">
      <c r="A1530" t="str">
        <f>"1529"</f>
        <v>1529</v>
      </c>
      <c r="B1530" t="str">
        <f>"-0.58"</f>
        <v>-0.58</v>
      </c>
      <c r="C1530" t="str">
        <f>"80"</f>
        <v>80</v>
      </c>
      <c r="D1530" t="str">
        <f>"Yhä hämärää"</f>
        <v>Yhä hämärää</v>
      </c>
    </row>
    <row r="1531" spans="1:4" x14ac:dyDescent="0.2">
      <c r="A1531" t="str">
        <f>"1530"</f>
        <v>1530</v>
      </c>
      <c r="B1531" t="str">
        <f>"0.44"</f>
        <v>0.44</v>
      </c>
      <c r="C1531" t="str">
        <f>"60"</f>
        <v>60</v>
      </c>
      <c r="D1531" t="str">
        <f>"In the Reins EP"</f>
        <v>In the Reins EP</v>
      </c>
    </row>
    <row r="1532" spans="1:4" x14ac:dyDescent="0.2">
      <c r="A1532" t="str">
        <f>"1531"</f>
        <v>1531</v>
      </c>
      <c r="B1532" t="str">
        <f>"-0.91"</f>
        <v>-0.91</v>
      </c>
      <c r="C1532" t="str">
        <f>"15"</f>
        <v>15</v>
      </c>
      <c r="D1532" t="str">
        <f>"Loose in the Air"</f>
        <v>Loose in the Air</v>
      </c>
    </row>
    <row r="1533" spans="1:4" x14ac:dyDescent="0.2">
      <c r="A1533" t="str">
        <f>"1532"</f>
        <v>1532</v>
      </c>
      <c r="B1533" t="str">
        <f>"-0.02"</f>
        <v>-0.02</v>
      </c>
      <c r="C1533" t="str">
        <f>"25"</f>
        <v>25</v>
      </c>
      <c r="D1533" t="str">
        <f>"Hail Social"</f>
        <v>Hail Social</v>
      </c>
    </row>
    <row r="1534" spans="1:4" x14ac:dyDescent="0.2">
      <c r="A1534" t="str">
        <f>"1533"</f>
        <v>1533</v>
      </c>
      <c r="B1534" t="str">
        <f>"1.16"</f>
        <v>1.16</v>
      </c>
      <c r="C1534" t="str">
        <f>"64"</f>
        <v>64</v>
      </c>
      <c r="D1534" t="str">
        <f>"The Return of the Clerkenwell Kid"</f>
        <v>The Return of the Clerkenwell Kid</v>
      </c>
    </row>
    <row r="1535" spans="1:4" x14ac:dyDescent="0.2">
      <c r="A1535" t="str">
        <f>"1534"</f>
        <v>1534</v>
      </c>
      <c r="B1535" t="str">
        <f>"0.49"</f>
        <v>0.49</v>
      </c>
      <c r="C1535" t="str">
        <f>"27"</f>
        <v>27</v>
      </c>
      <c r="D1535" t="str">
        <f>"Oh No"</f>
        <v>Oh No</v>
      </c>
    </row>
    <row r="1536" spans="1:4" x14ac:dyDescent="0.2">
      <c r="A1536" t="str">
        <f>"1535"</f>
        <v>1535</v>
      </c>
      <c r="B1536" t="str">
        <f>"0.87"</f>
        <v>0.87</v>
      </c>
      <c r="C1536" t="str">
        <f>"43"</f>
        <v>43</v>
      </c>
      <c r="D1536" t="str">
        <f>"Cripple Crow"</f>
        <v>Cripple Crow</v>
      </c>
    </row>
    <row r="1537" spans="1:4" x14ac:dyDescent="0.2">
      <c r="A1537" t="str">
        <f>"1536"</f>
        <v>1536</v>
      </c>
      <c r="B1537" t="str">
        <f>"0.54"</f>
        <v>0.54</v>
      </c>
      <c r="C1537" t="str">
        <f>"40"</f>
        <v>40</v>
      </c>
      <c r="D1537" t="str">
        <f>"Kyberneticka Babicka EP"</f>
        <v>Kyberneticka Babicka EP</v>
      </c>
    </row>
    <row r="1538" spans="1:4" x14ac:dyDescent="0.2">
      <c r="A1538" t="str">
        <f>"1537"</f>
        <v>1537</v>
      </c>
      <c r="B1538" t="str">
        <f>"0.35"</f>
        <v>0.35</v>
      </c>
      <c r="C1538" t="str">
        <f>"51"</f>
        <v>51</v>
      </c>
      <c r="D1538" t="str">
        <f>"Apollo Sunshine"</f>
        <v>Apollo Sunshine</v>
      </c>
    </row>
    <row r="1539" spans="1:4" x14ac:dyDescent="0.2">
      <c r="A1539" t="str">
        <f>"1538"</f>
        <v>1538</v>
      </c>
      <c r="B1539" t="str">
        <f>"0.08"</f>
        <v>0.08</v>
      </c>
      <c r="C1539" t="str">
        <f>"18"</f>
        <v>18</v>
      </c>
      <c r="D1539" t="str">
        <f>"The Curious City"</f>
        <v>The Curious City</v>
      </c>
    </row>
    <row r="1540" spans="1:4" x14ac:dyDescent="0.2">
      <c r="A1540" t="str">
        <f>"1539"</f>
        <v>1539</v>
      </c>
      <c r="B1540" t="str">
        <f>"-0.39"</f>
        <v>-0.39</v>
      </c>
      <c r="C1540" t="str">
        <f>"23"</f>
        <v>23</v>
      </c>
      <c r="D1540" t="str">
        <f>"August Born"</f>
        <v>August Born</v>
      </c>
    </row>
    <row r="1541" spans="1:4" x14ac:dyDescent="0.2">
      <c r="A1541" t="str">
        <f>"1540"</f>
        <v>1540</v>
      </c>
      <c r="B1541" t="str">
        <f>"-0.32"</f>
        <v>-0.32</v>
      </c>
      <c r="C1541" t="str">
        <f>"47"</f>
        <v>47</v>
      </c>
      <c r="D1541" t="str">
        <f>"Help: A Day in the Life"</f>
        <v>Help: A Day in the Life</v>
      </c>
    </row>
    <row r="1542" spans="1:4" x14ac:dyDescent="0.2">
      <c r="A1542" t="str">
        <f>"1541"</f>
        <v>1541</v>
      </c>
      <c r="B1542" t="str">
        <f>"-0.37"</f>
        <v>-0.37</v>
      </c>
      <c r="C1542" t="str">
        <f>"87"</f>
        <v>87</v>
      </c>
      <c r="D1542" t="str">
        <f>"Instrmntl"</f>
        <v>Instrmntl</v>
      </c>
    </row>
    <row r="1543" spans="1:4" x14ac:dyDescent="0.2">
      <c r="A1543" t="str">
        <f>"1542"</f>
        <v>1542</v>
      </c>
      <c r="B1543" t="str">
        <f>"-0.28"</f>
        <v>-0.28</v>
      </c>
      <c r="C1543" t="str">
        <f>"32"</f>
        <v>32</v>
      </c>
      <c r="D1543" t="str">
        <f>"Heavy Trash"</f>
        <v>Heavy Trash</v>
      </c>
    </row>
    <row r="1544" spans="1:4" x14ac:dyDescent="0.2">
      <c r="A1544" t="str">
        <f>"1543"</f>
        <v>1543</v>
      </c>
      <c r="B1544" t="str">
        <f>"-0.28"</f>
        <v>-0.28</v>
      </c>
      <c r="C1544" t="str">
        <f>"22"</f>
        <v>22</v>
      </c>
      <c r="D1544" t="str">
        <f>"Wargames"</f>
        <v>Wargames</v>
      </c>
    </row>
    <row r="1545" spans="1:4" x14ac:dyDescent="0.2">
      <c r="A1545" t="str">
        <f>"1544"</f>
        <v>1544</v>
      </c>
      <c r="B1545" t="str">
        <f>"0.44"</f>
        <v>0.44</v>
      </c>
      <c r="C1545" t="str">
        <f>"29"</f>
        <v>29</v>
      </c>
      <c r="D1545" t="str">
        <f>"Takk"</f>
        <v>Takk</v>
      </c>
    </row>
    <row r="1546" spans="1:4" x14ac:dyDescent="0.2">
      <c r="A1546" t="str">
        <f>"1545"</f>
        <v>1545</v>
      </c>
      <c r="B1546" t="str">
        <f>"0.08"</f>
        <v>0.08</v>
      </c>
      <c r="C1546" t="str">
        <f>"37"</f>
        <v>37</v>
      </c>
      <c r="D1546" t="str">
        <f>"Spät-Europa"</f>
        <v>Spät-Europa</v>
      </c>
    </row>
    <row r="1547" spans="1:4" x14ac:dyDescent="0.2">
      <c r="A1547" t="str">
        <f>"1546"</f>
        <v>1546</v>
      </c>
      <c r="B1547" t="str">
        <f>"-0.45"</f>
        <v>-0.45</v>
      </c>
      <c r="C1547" t="str">
        <f>"46"</f>
        <v>46</v>
      </c>
      <c r="D1547" t="str">
        <f>"Vocalcity"</f>
        <v>Vocalcity</v>
      </c>
    </row>
    <row r="1548" spans="1:4" x14ac:dyDescent="0.2">
      <c r="A1548" t="str">
        <f>"1547"</f>
        <v>1547</v>
      </c>
      <c r="B1548" t="str">
        <f>"-0.3"</f>
        <v>-0.3</v>
      </c>
      <c r="C1548" t="str">
        <f>"20"</f>
        <v>20</v>
      </c>
      <c r="D1548" t="str">
        <f>"Capture/Release"</f>
        <v>Capture/Release</v>
      </c>
    </row>
    <row r="1549" spans="1:4" x14ac:dyDescent="0.2">
      <c r="A1549" t="str">
        <f>"1548"</f>
        <v>1548</v>
      </c>
      <c r="B1549" t="str">
        <f>"0.09"</f>
        <v>0.09</v>
      </c>
      <c r="C1549" t="str">
        <f>"54"</f>
        <v>54</v>
      </c>
      <c r="D1549" t="str">
        <f>"CRU"</f>
        <v>CRU</v>
      </c>
    </row>
    <row r="1550" spans="1:4" x14ac:dyDescent="0.2">
      <c r="A1550" t="str">
        <f>"1549"</f>
        <v>1549</v>
      </c>
      <c r="B1550" t="str">
        <f>"1.61"</f>
        <v>1.61</v>
      </c>
      <c r="C1550" t="str">
        <f>"22"</f>
        <v>22</v>
      </c>
      <c r="D1550" t="str">
        <f>"Heartaches &amp; Highways: The Very Best of Emmylou Harris"</f>
        <v>Heartaches &amp; Highways: The Very Best of Emmylou Harris</v>
      </c>
    </row>
    <row r="1551" spans="1:4" x14ac:dyDescent="0.2">
      <c r="A1551" t="str">
        <f>"1550"</f>
        <v>1550</v>
      </c>
      <c r="B1551" t="str">
        <f>"0.19"</f>
        <v>0.19</v>
      </c>
      <c r="C1551" t="str">
        <f>"20"</f>
        <v>20</v>
      </c>
      <c r="D1551" t="str">
        <f>"Devendra Banhart/ Jana Hunter"</f>
        <v>Devendra Banhart/ Jana Hunter</v>
      </c>
    </row>
    <row r="1552" spans="1:4" x14ac:dyDescent="0.2">
      <c r="A1552" t="str">
        <f>"1551"</f>
        <v>1551</v>
      </c>
      <c r="B1552" t="str">
        <f>"-0.39"</f>
        <v>-0.39</v>
      </c>
      <c r="C1552" t="str">
        <f>"33"</f>
        <v>33</v>
      </c>
      <c r="D1552" t="str">
        <f>"Broken Ear Record"</f>
        <v>Broken Ear Record</v>
      </c>
    </row>
    <row r="1553" spans="1:4" x14ac:dyDescent="0.2">
      <c r="A1553" t="str">
        <f>"1552"</f>
        <v>1552</v>
      </c>
      <c r="B1553" t="str">
        <f>"-1.52"</f>
        <v>-1.52</v>
      </c>
      <c r="C1553" t="str">
        <f>"25"</f>
        <v>25</v>
      </c>
      <c r="D1553" t="str">
        <f>"The Unreal Never Lived"</f>
        <v>The Unreal Never Lived</v>
      </c>
    </row>
    <row r="1554" spans="1:4" x14ac:dyDescent="0.2">
      <c r="A1554" t="str">
        <f>"1553"</f>
        <v>1553</v>
      </c>
      <c r="B1554" t="str">
        <f>"0.09"</f>
        <v>0.09</v>
      </c>
      <c r="C1554" t="str">
        <f>"69"</f>
        <v>69</v>
      </c>
      <c r="D1554" t="str">
        <f>"Luke Haines Is Dead"</f>
        <v>Luke Haines Is Dead</v>
      </c>
    </row>
    <row r="1555" spans="1:4" x14ac:dyDescent="0.2">
      <c r="A1555" t="str">
        <f>"1554"</f>
        <v>1554</v>
      </c>
      <c r="B1555" t="str">
        <f>"-0.67"</f>
        <v>-0.67</v>
      </c>
      <c r="C1555" t="str">
        <f>"21"</f>
        <v>21</v>
      </c>
      <c r="D1555" t="str">
        <f>"Leaders of the Free World"</f>
        <v>Leaders of the Free World</v>
      </c>
    </row>
    <row r="1556" spans="1:4" x14ac:dyDescent="0.2">
      <c r="A1556" t="str">
        <f>"1555"</f>
        <v>1555</v>
      </c>
      <c r="B1556" t="str">
        <f>"0.29"</f>
        <v>0.29</v>
      </c>
      <c r="C1556" t="str">
        <f>"58"</f>
        <v>58</v>
      </c>
      <c r="D1556" t="str">
        <f>"M83"</f>
        <v>M83</v>
      </c>
    </row>
    <row r="1557" spans="1:4" x14ac:dyDescent="0.2">
      <c r="A1557" t="str">
        <f>"1556"</f>
        <v>1556</v>
      </c>
      <c r="B1557" t="str">
        <f>"-1.36"</f>
        <v>-1.36</v>
      </c>
      <c r="C1557" t="str">
        <f>"35"</f>
        <v>35</v>
      </c>
      <c r="D1557" t="str">
        <f>"Serena Maneesh"</f>
        <v>Serena Maneesh</v>
      </c>
    </row>
    <row r="1558" spans="1:4" x14ac:dyDescent="0.2">
      <c r="A1558" t="str">
        <f>"1557"</f>
        <v>1557</v>
      </c>
      <c r="B1558" t="str">
        <f>"0.23"</f>
        <v>0.23</v>
      </c>
      <c r="C1558" t="str">
        <f>"21"</f>
        <v>21</v>
      </c>
      <c r="D1558" t="str">
        <f>"Accordion Solo!"</f>
        <v>Accordion Solo!</v>
      </c>
    </row>
    <row r="1559" spans="1:4" x14ac:dyDescent="0.2">
      <c r="A1559" t="str">
        <f>"1558"</f>
        <v>1558</v>
      </c>
      <c r="B1559" t="str">
        <f>"0.08"</f>
        <v>0.08</v>
      </c>
      <c r="C1559" t="str">
        <f>"35"</f>
        <v>35</v>
      </c>
      <c r="D1559" t="str">
        <f>"Gypsy Punks: Underdog World Strike"</f>
        <v>Gypsy Punks: Underdog World Strike</v>
      </c>
    </row>
    <row r="1560" spans="1:4" x14ac:dyDescent="0.2">
      <c r="A1560" t="str">
        <f>"1559"</f>
        <v>1559</v>
      </c>
      <c r="B1560" t="str">
        <f>"-0.31"</f>
        <v>-0.31</v>
      </c>
      <c r="C1560" t="str">
        <f>"20"</f>
        <v>20</v>
      </c>
      <c r="D1560" t="str">
        <f>"A Tribute to Lisa Bonet"</f>
        <v>A Tribute to Lisa Bonet</v>
      </c>
    </row>
    <row r="1561" spans="1:4" x14ac:dyDescent="0.2">
      <c r="A1561" t="str">
        <f>"1560"</f>
        <v>1560</v>
      </c>
      <c r="B1561" t="str">
        <f>"0.15"</f>
        <v>0.15</v>
      </c>
      <c r="C1561" t="str">
        <f>"22"</f>
        <v>22</v>
      </c>
      <c r="D1561" t="str">
        <f>"East Grand Blues EP"</f>
        <v>East Grand Blues EP</v>
      </c>
    </row>
    <row r="1562" spans="1:4" x14ac:dyDescent="0.2">
      <c r="A1562" t="str">
        <f>"1561"</f>
        <v>1561</v>
      </c>
      <c r="B1562" t="str">
        <f>"-0.31"</f>
        <v>-0.31</v>
      </c>
      <c r="C1562" t="str">
        <f>"39"</f>
        <v>39</v>
      </c>
      <c r="D1562" t="str">
        <f>"No Direction Home: The Soundtrack: The Bootleg Series Vol. 7"</f>
        <v>No Direction Home: The Soundtrack: The Bootleg Series Vol. 7</v>
      </c>
    </row>
    <row r="1563" spans="1:4" x14ac:dyDescent="0.2">
      <c r="A1563" t="str">
        <f>"1562"</f>
        <v>1562</v>
      </c>
      <c r="B1563" t="str">
        <f>"0.67"</f>
        <v>0.67</v>
      </c>
      <c r="C1563" t="str">
        <f>"86"</f>
        <v>86</v>
      </c>
      <c r="D1563" t="str">
        <f>"Shake Some Action"</f>
        <v>Shake Some Action</v>
      </c>
    </row>
    <row r="1564" spans="1:4" x14ac:dyDescent="0.2">
      <c r="A1564" t="str">
        <f>"1563"</f>
        <v>1563</v>
      </c>
      <c r="B1564" t="str">
        <f>"0.69"</f>
        <v>0.69</v>
      </c>
      <c r="C1564" t="str">
        <f>"29"</f>
        <v>29</v>
      </c>
      <c r="D1564" t="str">
        <f>"Keep on the Sunny Side: June Carter Cash-- Her Life in Music"</f>
        <v>Keep on the Sunny Side: June Carter Cash-- Her Life in Music</v>
      </c>
    </row>
    <row r="1565" spans="1:4" x14ac:dyDescent="0.2">
      <c r="A1565" t="str">
        <f>"1564"</f>
        <v>1564</v>
      </c>
      <c r="B1565" t="str">
        <f>"0.04"</f>
        <v>0.04</v>
      </c>
      <c r="C1565" t="str">
        <f>"24"</f>
        <v>24</v>
      </c>
      <c r="D1565" t="str">
        <f>"Hard Times Are in Fashion"</f>
        <v>Hard Times Are in Fashion</v>
      </c>
    </row>
    <row r="1566" spans="1:4" x14ac:dyDescent="0.2">
      <c r="A1566" t="str">
        <f>"1565"</f>
        <v>1565</v>
      </c>
      <c r="B1566" t="str">
        <f>"-0.46"</f>
        <v>-0.46</v>
      </c>
      <c r="C1566" t="str">
        <f>"26"</f>
        <v>26</v>
      </c>
      <c r="D1566" t="str">
        <f>"Howl"</f>
        <v>Howl</v>
      </c>
    </row>
    <row r="1567" spans="1:4" x14ac:dyDescent="0.2">
      <c r="A1567" t="str">
        <f>"1566"</f>
        <v>1566</v>
      </c>
      <c r="B1567" t="str">
        <f>"-0.12"</f>
        <v>-0.12</v>
      </c>
      <c r="C1567" t="str">
        <f>"82"</f>
        <v>82</v>
      </c>
      <c r="D1567" t="str">
        <f>"Stars of CCTV"</f>
        <v>Stars of CCTV</v>
      </c>
    </row>
    <row r="1568" spans="1:4" x14ac:dyDescent="0.2">
      <c r="A1568" t="str">
        <f>"1567"</f>
        <v>1567</v>
      </c>
      <c r="B1568" t="str">
        <f>"-1.16"</f>
        <v>-1.16</v>
      </c>
      <c r="C1568" t="str">
        <f>"13"</f>
        <v>13</v>
      </c>
      <c r="D1568" t="str">
        <f>"Drawn Dead"</f>
        <v>Drawn Dead</v>
      </c>
    </row>
    <row r="1569" spans="1:4" x14ac:dyDescent="0.2">
      <c r="A1569" t="str">
        <f>"1568"</f>
        <v>1568</v>
      </c>
      <c r="B1569" t="str">
        <f>"-0.89"</f>
        <v>-0.89</v>
      </c>
      <c r="C1569" t="str">
        <f>"57"</f>
        <v>57</v>
      </c>
      <c r="D1569" t="str">
        <f>"Fabric23"</f>
        <v>Fabric23</v>
      </c>
    </row>
    <row r="1570" spans="1:4" x14ac:dyDescent="0.2">
      <c r="A1570" t="str">
        <f>"1569"</f>
        <v>1569</v>
      </c>
      <c r="B1570" t="str">
        <f>"0.05"</f>
        <v>0.05</v>
      </c>
      <c r="C1570" t="str">
        <f>"50"</f>
        <v>50</v>
      </c>
      <c r="D1570" t="str">
        <f>"Veneer"</f>
        <v>Veneer</v>
      </c>
    </row>
    <row r="1571" spans="1:4" x14ac:dyDescent="0.2">
      <c r="A1571" t="str">
        <f>"1570"</f>
        <v>1570</v>
      </c>
      <c r="B1571" t="str">
        <f>"-0.47"</f>
        <v>-0.47</v>
      </c>
      <c r="C1571" t="str">
        <f>"31"</f>
        <v>31</v>
      </c>
      <c r="D1571" t="str">
        <f>"The Unseen"</f>
        <v>The Unseen</v>
      </c>
    </row>
    <row r="1572" spans="1:4" x14ac:dyDescent="0.2">
      <c r="A1572" t="str">
        <f>"1571"</f>
        <v>1571</v>
      </c>
      <c r="B1572" t="str">
        <f>"0.13"</f>
        <v>0.13</v>
      </c>
      <c r="C1572" t="str">
        <f>"24"</f>
        <v>24</v>
      </c>
      <c r="D1572" t="str">
        <f>"Supernature"</f>
        <v>Supernature</v>
      </c>
    </row>
    <row r="1573" spans="1:4" x14ac:dyDescent="0.2">
      <c r="A1573" t="str">
        <f>"1572"</f>
        <v>1572</v>
      </c>
      <c r="B1573" t="str">
        <f>"0.54"</f>
        <v>0.54</v>
      </c>
      <c r="C1573" t="str">
        <f>"96"</f>
        <v>96</v>
      </c>
      <c r="D1573" t="str">
        <f>"Black Blues (Acoustic) / (Electric)"</f>
        <v>Black Blues (Acoustic) / (Electric)</v>
      </c>
    </row>
    <row r="1574" spans="1:4" x14ac:dyDescent="0.2">
      <c r="A1574" t="str">
        <f>"1573"</f>
        <v>1573</v>
      </c>
      <c r="B1574" t="str">
        <f>"-0.81"</f>
        <v>-0.81</v>
      </c>
      <c r="C1574" t="str">
        <f>"40"</f>
        <v>40</v>
      </c>
      <c r="D1574" t="str">
        <f>"Maritime"</f>
        <v>Maritime</v>
      </c>
    </row>
    <row r="1575" spans="1:4" x14ac:dyDescent="0.2">
      <c r="A1575" t="str">
        <f>"1574"</f>
        <v>1574</v>
      </c>
      <c r="B1575" t="str">
        <f>"-1.29"</f>
        <v>-1.29</v>
      </c>
      <c r="C1575" t="str">
        <f>"22"</f>
        <v>22</v>
      </c>
      <c r="D1575" t="str">
        <f>"ASSPhIXXXEATATESHUN"</f>
        <v>ASSPhIXXXEATATESHUN</v>
      </c>
    </row>
    <row r="1576" spans="1:4" x14ac:dyDescent="0.2">
      <c r="A1576" t="str">
        <f>"1575"</f>
        <v>1575</v>
      </c>
      <c r="B1576" t="str">
        <f>"1.16"</f>
        <v>1.16</v>
      </c>
      <c r="C1576" t="str">
        <f>"35"</f>
        <v>35</v>
      </c>
      <c r="D1576" t="str">
        <f>"Silent Alarm Remixed"</f>
        <v>Silent Alarm Remixed</v>
      </c>
    </row>
    <row r="1577" spans="1:4" x14ac:dyDescent="0.2">
      <c r="A1577" t="str">
        <f>"1576"</f>
        <v>1576</v>
      </c>
      <c r="B1577" t="str">
        <f>"0"</f>
        <v>0</v>
      </c>
      <c r="C1577" t="str">
        <f>"72"</f>
        <v>72</v>
      </c>
      <c r="D1577" t="str">
        <f>"The Last Beautiful Day"</f>
        <v>The Last Beautiful Day</v>
      </c>
    </row>
    <row r="1578" spans="1:4" x14ac:dyDescent="0.2">
      <c r="A1578" t="str">
        <f>"1577"</f>
        <v>1577</v>
      </c>
      <c r="B1578" t="str">
        <f>"0.73"</f>
        <v>0.73</v>
      </c>
      <c r="C1578" t="str">
        <f>"90"</f>
        <v>90</v>
      </c>
      <c r="D1578" t="str">
        <f>"Daikaiju"</f>
        <v>Daikaiju</v>
      </c>
    </row>
    <row r="1579" spans="1:4" x14ac:dyDescent="0.2">
      <c r="A1579" t="str">
        <f>"1578"</f>
        <v>1578</v>
      </c>
      <c r="B1579" t="str">
        <f>"-0.42"</f>
        <v>-0.42</v>
      </c>
      <c r="C1579" t="str">
        <f>"23"</f>
        <v>23</v>
      </c>
      <c r="D1579" t="str">
        <f>"Bushido Karaoke"</f>
        <v>Bushido Karaoke</v>
      </c>
    </row>
    <row r="1580" spans="1:4" x14ac:dyDescent="0.2">
      <c r="A1580" t="str">
        <f>"1579"</f>
        <v>1579</v>
      </c>
      <c r="B1580" t="str">
        <f>"-0.41"</f>
        <v>-0.41</v>
      </c>
      <c r="C1580" t="str">
        <f>"22"</f>
        <v>22</v>
      </c>
      <c r="D1580" t="str">
        <f>"Invisible Ones"</f>
        <v>Invisible Ones</v>
      </c>
    </row>
    <row r="1581" spans="1:4" x14ac:dyDescent="0.2">
      <c r="A1581" t="str">
        <f>"1580"</f>
        <v>1580</v>
      </c>
      <c r="B1581" t="str">
        <f>"1.02"</f>
        <v>1.02</v>
      </c>
      <c r="C1581" t="str">
        <f>"19"</f>
        <v>19</v>
      </c>
      <c r="D1581" t="str">
        <f>"Plans"</f>
        <v>Plans</v>
      </c>
    </row>
    <row r="1582" spans="1:4" x14ac:dyDescent="0.2">
      <c r="A1582" t="str">
        <f>"1581"</f>
        <v>1581</v>
      </c>
      <c r="B1582" t="str">
        <f>"-0.24"</f>
        <v>-0.24</v>
      </c>
      <c r="C1582" t="str">
        <f>"56"</f>
        <v>56</v>
      </c>
      <c r="D1582" t="str">
        <f>"Road to Rouen"</f>
        <v>Road to Rouen</v>
      </c>
    </row>
    <row r="1583" spans="1:4" x14ac:dyDescent="0.2">
      <c r="A1583" t="str">
        <f>"1582"</f>
        <v>1582</v>
      </c>
      <c r="B1583" t="str">
        <f>"0.96"</f>
        <v>0.96</v>
      </c>
      <c r="C1583" t="str">
        <f>"68"</f>
        <v>68</v>
      </c>
      <c r="D1583" t="str">
        <f>"London Stone"</f>
        <v>London Stone</v>
      </c>
    </row>
    <row r="1584" spans="1:4" x14ac:dyDescent="0.2">
      <c r="A1584" t="str">
        <f>"1583"</f>
        <v>1583</v>
      </c>
      <c r="B1584" t="str">
        <f>"-0.18"</f>
        <v>-0.18</v>
      </c>
      <c r="C1584" t="str">
        <f>"16"</f>
        <v>16</v>
      </c>
      <c r="D1584" t="str">
        <f>"Freedom and Weep"</f>
        <v>Freedom and Weep</v>
      </c>
    </row>
    <row r="1585" spans="1:4" x14ac:dyDescent="0.2">
      <c r="A1585" t="str">
        <f>"1584"</f>
        <v>1584</v>
      </c>
      <c r="B1585" t="str">
        <f>"0.23"</f>
        <v>0.23</v>
      </c>
      <c r="C1585" t="str">
        <f>"56"</f>
        <v>56</v>
      </c>
      <c r="D1585" t="str">
        <f>"Early 21st Century Blues"</f>
        <v>Early 21st Century Blues</v>
      </c>
    </row>
    <row r="1586" spans="1:4" x14ac:dyDescent="0.2">
      <c r="A1586" t="str">
        <f>"1585"</f>
        <v>1585</v>
      </c>
      <c r="B1586" t="str">
        <f>"0.13"</f>
        <v>0.13</v>
      </c>
      <c r="C1586" t="str">
        <f>"48"</f>
        <v>48</v>
      </c>
      <c r="D1586" t="str">
        <f>"Late Registration"</f>
        <v>Late Registration</v>
      </c>
    </row>
    <row r="1587" spans="1:4" x14ac:dyDescent="0.2">
      <c r="A1587" t="str">
        <f>"1586"</f>
        <v>1586</v>
      </c>
      <c r="B1587" t="str">
        <f>"-0.54"</f>
        <v>-0.54</v>
      </c>
      <c r="C1587" t="str">
        <f>"54"</f>
        <v>54</v>
      </c>
      <c r="D1587" t="str">
        <f>"I'd Like to See You Again"</f>
        <v>I'd Like to See You Again</v>
      </c>
    </row>
    <row r="1588" spans="1:4" x14ac:dyDescent="0.2">
      <c r="A1588" t="str">
        <f>"1587"</f>
        <v>1587</v>
      </c>
      <c r="B1588" t="str">
        <f>"0.57"</f>
        <v>0.57</v>
      </c>
      <c r="C1588" t="str">
        <f>"60"</f>
        <v>60</v>
      </c>
      <c r="D1588" t="str">
        <f>"Bright Ideas"</f>
        <v>Bright Ideas</v>
      </c>
    </row>
    <row r="1589" spans="1:4" x14ac:dyDescent="0.2">
      <c r="A1589" t="str">
        <f>"1588"</f>
        <v>1588</v>
      </c>
      <c r="B1589" t="str">
        <f>"1.09"</f>
        <v>1.09</v>
      </c>
      <c r="C1589" t="str">
        <f>"24"</f>
        <v>24</v>
      </c>
      <c r="D1589" t="str">
        <f>"Year of Meteors"</f>
        <v>Year of Meteors</v>
      </c>
    </row>
    <row r="1590" spans="1:4" x14ac:dyDescent="0.2">
      <c r="A1590" t="str">
        <f>"1589"</f>
        <v>1589</v>
      </c>
      <c r="B1590" t="str">
        <f>"-0.59"</f>
        <v>-0.59</v>
      </c>
      <c r="C1590" t="str">
        <f>"30"</f>
        <v>30</v>
      </c>
      <c r="D1590" t="str">
        <f>"The Moon Is a Dead World"</f>
        <v>The Moon Is a Dead World</v>
      </c>
    </row>
    <row r="1591" spans="1:4" x14ac:dyDescent="0.2">
      <c r="A1591" t="str">
        <f>"1590"</f>
        <v>1590</v>
      </c>
      <c r="B1591" t="str">
        <f>"-0.18"</f>
        <v>-0.18</v>
      </c>
      <c r="C1591" t="str">
        <f>"52"</f>
        <v>52</v>
      </c>
      <c r="D1591" t="str">
        <f>"The Essential"</f>
        <v>The Essential</v>
      </c>
    </row>
    <row r="1592" spans="1:4" x14ac:dyDescent="0.2">
      <c r="A1592" t="str">
        <f>"1591"</f>
        <v>1591</v>
      </c>
      <c r="B1592" t="str">
        <f>"-1.02"</f>
        <v>-1.02</v>
      </c>
      <c r="C1592" t="str">
        <f>"75"</f>
        <v>75</v>
      </c>
      <c r="D1592" t="str">
        <f>"Pixel Revolt"</f>
        <v>Pixel Revolt</v>
      </c>
    </row>
    <row r="1593" spans="1:4" x14ac:dyDescent="0.2">
      <c r="A1593" t="str">
        <f>"1592"</f>
        <v>1592</v>
      </c>
      <c r="B1593" t="str">
        <f>"0.25"</f>
        <v>0.25</v>
      </c>
      <c r="C1593" t="str">
        <f>"44"</f>
        <v>44</v>
      </c>
      <c r="D1593" t="str">
        <f>"Artificial Intelligence"</f>
        <v>Artificial Intelligence</v>
      </c>
    </row>
    <row r="1594" spans="1:4" x14ac:dyDescent="0.2">
      <c r="A1594" t="str">
        <f>"1593"</f>
        <v>1593</v>
      </c>
      <c r="B1594" t="str">
        <f>"-0.34"</f>
        <v>-0.34</v>
      </c>
      <c r="C1594" t="str">
        <f>"20"</f>
        <v>20</v>
      </c>
      <c r="D1594" t="str">
        <f>"In the Remote Woods EP"</f>
        <v>In the Remote Woods EP</v>
      </c>
    </row>
    <row r="1595" spans="1:4" x14ac:dyDescent="0.2">
      <c r="A1595" t="str">
        <f>"1594"</f>
        <v>1594</v>
      </c>
      <c r="B1595" t="str">
        <f>"0.11"</f>
        <v>0.11</v>
      </c>
      <c r="C1595" t="str">
        <f>"15"</f>
        <v>15</v>
      </c>
      <c r="D1595" t="str">
        <f>"Holiday Machine EP"</f>
        <v>Holiday Machine EP</v>
      </c>
    </row>
    <row r="1596" spans="1:4" x14ac:dyDescent="0.2">
      <c r="A1596" t="str">
        <f>"1595"</f>
        <v>1595</v>
      </c>
      <c r="B1596" t="str">
        <f>"-0.66"</f>
        <v>-0.66</v>
      </c>
      <c r="C1596" t="str">
        <f>"31"</f>
        <v>31</v>
      </c>
      <c r="D1596" t="str">
        <f>"Recording a Tape the Colour of the Light"</f>
        <v>Recording a Tape the Colour of the Light</v>
      </c>
    </row>
    <row r="1597" spans="1:4" x14ac:dyDescent="0.2">
      <c r="A1597" t="str">
        <f>"1596"</f>
        <v>1596</v>
      </c>
      <c r="B1597" t="str">
        <f>"-0.41"</f>
        <v>-0.41</v>
      </c>
      <c r="C1597" t="str">
        <f>"69"</f>
        <v>69</v>
      </c>
      <c r="D1597" t="str">
        <f>"Geography Cones"</f>
        <v>Geography Cones</v>
      </c>
    </row>
    <row r="1598" spans="1:4" x14ac:dyDescent="0.2">
      <c r="A1598" t="str">
        <f>"1597"</f>
        <v>1597</v>
      </c>
      <c r="B1598" t="str">
        <f>"1.07"</f>
        <v>1.07</v>
      </c>
      <c r="C1598" t="str">
        <f>"19"</f>
        <v>19</v>
      </c>
      <c r="D1598" t="str">
        <f>"Pine Cone Temples"</f>
        <v>Pine Cone Temples</v>
      </c>
    </row>
    <row r="1599" spans="1:4" x14ac:dyDescent="0.2">
      <c r="A1599" t="str">
        <f>"1598"</f>
        <v>1598</v>
      </c>
      <c r="B1599" t="str">
        <f>"0.73"</f>
        <v>0.73</v>
      </c>
      <c r="C1599" t="str">
        <f>"54"</f>
        <v>54</v>
      </c>
      <c r="D1599" t="str">
        <f>"Nice and Nicely Done"</f>
        <v>Nice and Nicely Done</v>
      </c>
    </row>
    <row r="1600" spans="1:4" x14ac:dyDescent="0.2">
      <c r="A1600" t="str">
        <f>"1599"</f>
        <v>1599</v>
      </c>
      <c r="B1600" t="str">
        <f>"-0.35"</f>
        <v>-0.35</v>
      </c>
      <c r="C1600" t="str">
        <f>"20"</f>
        <v>20</v>
      </c>
      <c r="D1600" t="str">
        <f>"Holes in the Valley"</f>
        <v>Holes in the Valley</v>
      </c>
    </row>
    <row r="1601" spans="1:4" x14ac:dyDescent="0.2">
      <c r="A1601" t="str">
        <f>"1600"</f>
        <v>1600</v>
      </c>
      <c r="B1601" t="str">
        <f>"0.85"</f>
        <v>0.85</v>
      </c>
      <c r="C1601" t="str">
        <f>"118"</f>
        <v>118</v>
      </c>
      <c r="D1601" t="str">
        <f>"Love Kraft"</f>
        <v>Love Kraft</v>
      </c>
    </row>
    <row r="1602" spans="1:4" x14ac:dyDescent="0.2">
      <c r="A1602" t="str">
        <f>"1601"</f>
        <v>1601</v>
      </c>
      <c r="B1602" t="str">
        <f>"-0.35"</f>
        <v>-0.35</v>
      </c>
      <c r="C1602" t="str">
        <f>"37"</f>
        <v>37</v>
      </c>
      <c r="D1602" t="str">
        <f>"Shaggy Black"</f>
        <v>Shaggy Black</v>
      </c>
    </row>
    <row r="1603" spans="1:4" x14ac:dyDescent="0.2">
      <c r="A1603" t="str">
        <f>"1602"</f>
        <v>1602</v>
      </c>
      <c r="B1603" t="str">
        <f>"0.31"</f>
        <v>0.31</v>
      </c>
      <c r="C1603" t="str">
        <f>"18"</f>
        <v>18</v>
      </c>
      <c r="D1603" t="str">
        <f>"Menos el Oso"</f>
        <v>Menos el Oso</v>
      </c>
    </row>
    <row r="1604" spans="1:4" x14ac:dyDescent="0.2">
      <c r="A1604" t="str">
        <f>"1603"</f>
        <v>1603</v>
      </c>
      <c r="B1604" t="str">
        <f>"1.3"</f>
        <v>1.3</v>
      </c>
      <c r="C1604" t="str">
        <f>"25"</f>
        <v>25</v>
      </c>
      <c r="D1604" t="str">
        <f>"Between EP"</f>
        <v>Between EP</v>
      </c>
    </row>
    <row r="1605" spans="1:4" x14ac:dyDescent="0.2">
      <c r="A1605" t="str">
        <f>"1604"</f>
        <v>1604</v>
      </c>
      <c r="B1605" t="str">
        <f>"-0.64"</f>
        <v>-0.64</v>
      </c>
      <c r="C1605" t="str">
        <f>"21"</f>
        <v>21</v>
      </c>
      <c r="D1605" t="str">
        <f>"The Loving Sound of Static"</f>
        <v>The Loving Sound of Static</v>
      </c>
    </row>
    <row r="1606" spans="1:4" x14ac:dyDescent="0.2">
      <c r="A1606" t="str">
        <f>"1605"</f>
        <v>1605</v>
      </c>
      <c r="B1606" t="str">
        <f>"0.21"</f>
        <v>0.21</v>
      </c>
      <c r="C1606" t="str">
        <f>"100"</f>
        <v>100</v>
      </c>
      <c r="D1606" t="str">
        <f>"Permanent Record: The Very Best of Violent Femmes"</f>
        <v>Permanent Record: The Very Best of Violent Femmes</v>
      </c>
    </row>
    <row r="1607" spans="1:4" x14ac:dyDescent="0.2">
      <c r="A1607" t="str">
        <f>"1606"</f>
        <v>1606</v>
      </c>
      <c r="B1607" t="str">
        <f>"0.16"</f>
        <v>0.16</v>
      </c>
      <c r="C1607" t="str">
        <f>"67"</f>
        <v>67</v>
      </c>
      <c r="D1607" t="str">
        <f>"The Bluffer's Guide to the Flight Deck"</f>
        <v>The Bluffer's Guide to the Flight Deck</v>
      </c>
    </row>
    <row r="1608" spans="1:4" x14ac:dyDescent="0.2">
      <c r="A1608" t="str">
        <f>"1607"</f>
        <v>1607</v>
      </c>
      <c r="B1608" t="str">
        <f>"-0.7"</f>
        <v>-0.7</v>
      </c>
      <c r="C1608" t="str">
        <f>"45"</f>
        <v>45</v>
      </c>
      <c r="D1608" t="str">
        <f>"Alpine Static"</f>
        <v>Alpine Static</v>
      </c>
    </row>
    <row r="1609" spans="1:4" x14ac:dyDescent="0.2">
      <c r="A1609" t="str">
        <f>"1608"</f>
        <v>1608</v>
      </c>
      <c r="B1609" t="str">
        <f>"-0.16"</f>
        <v>-0.16</v>
      </c>
      <c r="C1609" t="str">
        <f>"23"</f>
        <v>23</v>
      </c>
      <c r="D1609" t="str">
        <f>"Knitting Needles and Bicycle Bells"</f>
        <v>Knitting Needles and Bicycle Bells</v>
      </c>
    </row>
    <row r="1610" spans="1:4" x14ac:dyDescent="0.2">
      <c r="A1610" t="str">
        <f>"1609"</f>
        <v>1609</v>
      </c>
      <c r="B1610" t="str">
        <f>"0.21"</f>
        <v>0.21</v>
      </c>
      <c r="C1610" t="str">
        <f>"42"</f>
        <v>42</v>
      </c>
      <c r="D1610" t="str">
        <f>"Drawing Restraint 9"</f>
        <v>Drawing Restraint 9</v>
      </c>
    </row>
    <row r="1611" spans="1:4" x14ac:dyDescent="0.2">
      <c r="A1611" t="str">
        <f>"1610"</f>
        <v>1610</v>
      </c>
      <c r="B1611" t="str">
        <f>"0.5"</f>
        <v>0.5</v>
      </c>
      <c r="C1611" t="str">
        <f>"24"</f>
        <v>24</v>
      </c>
      <c r="D1611" t="str">
        <f>"Twin Cinema"</f>
        <v>Twin Cinema</v>
      </c>
    </row>
    <row r="1612" spans="1:4" x14ac:dyDescent="0.2">
      <c r="A1612" t="str">
        <f>"1611"</f>
        <v>1611</v>
      </c>
      <c r="B1612" t="str">
        <f>"-0.14"</f>
        <v>-0.14</v>
      </c>
      <c r="C1612" t="str">
        <f>"30"</f>
        <v>30</v>
      </c>
      <c r="D1612" t="str">
        <f>"The Gospel Record"</f>
        <v>The Gospel Record</v>
      </c>
    </row>
    <row r="1613" spans="1:4" x14ac:dyDescent="0.2">
      <c r="A1613" t="str">
        <f>"1612"</f>
        <v>1612</v>
      </c>
      <c r="B1613" t="str">
        <f>"1.2"</f>
        <v>1.2</v>
      </c>
      <c r="C1613" t="str">
        <f>"18"</f>
        <v>18</v>
      </c>
      <c r="D1613" t="str">
        <f>"Wedlock"</f>
        <v>Wedlock</v>
      </c>
    </row>
    <row r="1614" spans="1:4" x14ac:dyDescent="0.2">
      <c r="A1614" t="str">
        <f>"1613"</f>
        <v>1613</v>
      </c>
      <c r="B1614" t="str">
        <f>"0.15"</f>
        <v>0.15</v>
      </c>
      <c r="C1614" t="str">
        <f>"17"</f>
        <v>17</v>
      </c>
      <c r="D1614" t="str">
        <f>"The Angela Test"</f>
        <v>The Angela Test</v>
      </c>
    </row>
    <row r="1615" spans="1:4" x14ac:dyDescent="0.2">
      <c r="A1615" t="str">
        <f>"1614"</f>
        <v>1614</v>
      </c>
      <c r="B1615" t="str">
        <f>"-0.08"</f>
        <v>-0.08</v>
      </c>
      <c r="C1615" t="str">
        <f>"21"</f>
        <v>21</v>
      </c>
      <c r="D1615" t="str">
        <f>"Belladonna"</f>
        <v>Belladonna</v>
      </c>
    </row>
    <row r="1616" spans="1:4" x14ac:dyDescent="0.2">
      <c r="A1616" t="str">
        <f>"1615"</f>
        <v>1615</v>
      </c>
      <c r="B1616" t="str">
        <f>"0.55"</f>
        <v>0.55</v>
      </c>
      <c r="C1616" t="str">
        <f>"18"</f>
        <v>18</v>
      </c>
      <c r="D1616" t="str">
        <f>"May 23rd 2007"</f>
        <v>May 23rd 2007</v>
      </c>
    </row>
    <row r="1617" spans="1:4" x14ac:dyDescent="0.2">
      <c r="A1617" t="str">
        <f>"1616"</f>
        <v>1616</v>
      </c>
      <c r="B1617" t="str">
        <f>"-0.31"</f>
        <v>-0.31</v>
      </c>
      <c r="C1617" t="str">
        <f>"62"</f>
        <v>62</v>
      </c>
      <c r="D1617" t="str">
        <f>"Give Blood"</f>
        <v>Give Blood</v>
      </c>
    </row>
    <row r="1618" spans="1:4" x14ac:dyDescent="0.2">
      <c r="A1618" t="str">
        <f>"1617"</f>
        <v>1617</v>
      </c>
      <c r="B1618" t="str">
        <f>"-0.38"</f>
        <v>-0.38</v>
      </c>
      <c r="C1618" t="str">
        <f>"33"</f>
        <v>33</v>
      </c>
      <c r="D1618" t="str">
        <f>"Infiniheart"</f>
        <v>Infiniheart</v>
      </c>
    </row>
    <row r="1619" spans="1:4" x14ac:dyDescent="0.2">
      <c r="A1619" t="str">
        <f>"1618"</f>
        <v>1618</v>
      </c>
      <c r="B1619" t="str">
        <f>"-0.68"</f>
        <v>-0.68</v>
      </c>
      <c r="C1619" t="str">
        <f>"17"</f>
        <v>17</v>
      </c>
      <c r="D1619" t="str">
        <f>"Gods and Monsters"</f>
        <v>Gods and Monsters</v>
      </c>
    </row>
    <row r="1620" spans="1:4" x14ac:dyDescent="0.2">
      <c r="A1620" t="str">
        <f>"1619"</f>
        <v>1619</v>
      </c>
      <c r="B1620" t="str">
        <f>"-0.42"</f>
        <v>-0.42</v>
      </c>
      <c r="C1620" t="str">
        <f>"74"</f>
        <v>74</v>
      </c>
      <c r="D1620" t="str">
        <f>"Acoustica"</f>
        <v>Acoustica</v>
      </c>
    </row>
    <row r="1621" spans="1:4" x14ac:dyDescent="0.2">
      <c r="A1621" t="str">
        <f>"1620"</f>
        <v>1620</v>
      </c>
      <c r="B1621" t="str">
        <f>"-0.43"</f>
        <v>-0.43</v>
      </c>
      <c r="C1621" t="str">
        <f>"36"</f>
        <v>36</v>
      </c>
      <c r="D1621" t="str">
        <f>"The Stooges"</f>
        <v>The Stooges</v>
      </c>
    </row>
    <row r="1622" spans="1:4" x14ac:dyDescent="0.2">
      <c r="A1622" t="str">
        <f>"1621"</f>
        <v>1621</v>
      </c>
      <c r="B1622" t="str">
        <f>"-0.09"</f>
        <v>-0.09</v>
      </c>
      <c r="C1622" t="str">
        <f>"18"</f>
        <v>18</v>
      </c>
      <c r="D1622" t="str">
        <f>"Kore Ga Mayaku Da"</f>
        <v>Kore Ga Mayaku Da</v>
      </c>
    </row>
    <row r="1623" spans="1:4" x14ac:dyDescent="0.2">
      <c r="A1623" t="str">
        <f>"1622"</f>
        <v>1622</v>
      </c>
      <c r="B1623" t="str">
        <f>"0.79"</f>
        <v>0.79</v>
      </c>
      <c r="C1623" t="str">
        <f>"63"</f>
        <v>63</v>
      </c>
      <c r="D1623" t="str">
        <f>"Love: 30"</f>
        <v>Love: 30</v>
      </c>
    </row>
    <row r="1624" spans="1:4" x14ac:dyDescent="0.2">
      <c r="A1624" t="str">
        <f>"1623"</f>
        <v>1623</v>
      </c>
      <c r="B1624" t="str">
        <f>"-0.18"</f>
        <v>-0.18</v>
      </c>
      <c r="C1624" t="str">
        <f>"47"</f>
        <v>47</v>
      </c>
      <c r="D1624" t="str">
        <f>"Throw Up &amp; Die"</f>
        <v>Throw Up &amp; Die</v>
      </c>
    </row>
    <row r="1625" spans="1:4" x14ac:dyDescent="0.2">
      <c r="A1625" t="str">
        <f>"1624"</f>
        <v>1624</v>
      </c>
      <c r="B1625" t="str">
        <f>"-0.06"</f>
        <v>-0.06</v>
      </c>
      <c r="C1625" t="str">
        <f>"19"</f>
        <v>19</v>
      </c>
      <c r="D1625" t="str">
        <f>"The New Fellas"</f>
        <v>The New Fellas</v>
      </c>
    </row>
    <row r="1626" spans="1:4" x14ac:dyDescent="0.2">
      <c r="A1626" t="str">
        <f>"1625"</f>
        <v>1625</v>
      </c>
      <c r="B1626" t="str">
        <f>"-0.47"</f>
        <v>-0.47</v>
      </c>
      <c r="C1626" t="str">
        <f>"220"</f>
        <v>220</v>
      </c>
      <c r="D1626" t="str">
        <f>"Total 6"</f>
        <v>Total 6</v>
      </c>
    </row>
    <row r="1627" spans="1:4" x14ac:dyDescent="0.2">
      <c r="A1627" t="str">
        <f>"1626"</f>
        <v>1626</v>
      </c>
      <c r="B1627" t="str">
        <f>"-0.4"</f>
        <v>-0.4</v>
      </c>
      <c r="C1627" t="str">
        <f>"25"</f>
        <v>25</v>
      </c>
      <c r="D1627" t="str">
        <f>"I Am Come"</f>
        <v>I Am Come</v>
      </c>
    </row>
    <row r="1628" spans="1:4" x14ac:dyDescent="0.2">
      <c r="A1628" t="str">
        <f>"1627"</f>
        <v>1627</v>
      </c>
      <c r="B1628" t="str">
        <f>"-0.27"</f>
        <v>-0.27</v>
      </c>
      <c r="C1628" t="str">
        <f>"39"</f>
        <v>39</v>
      </c>
      <c r="D1628" t="str">
        <f>"Hillulah"</f>
        <v>Hillulah</v>
      </c>
    </row>
    <row r="1629" spans="1:4" x14ac:dyDescent="0.2">
      <c r="A1629" t="str">
        <f>"1628"</f>
        <v>1628</v>
      </c>
      <c r="B1629" t="str">
        <f>"-0.38"</f>
        <v>-0.38</v>
      </c>
      <c r="C1629" t="str">
        <f>"21"</f>
        <v>21</v>
      </c>
      <c r="D1629" t="str">
        <f>"Voodoo Man"</f>
        <v>Voodoo Man</v>
      </c>
    </row>
    <row r="1630" spans="1:4" x14ac:dyDescent="0.2">
      <c r="A1630" t="str">
        <f>"1629"</f>
        <v>1629</v>
      </c>
      <c r="B1630" t="str">
        <f>"-0.25"</f>
        <v>-0.25</v>
      </c>
      <c r="C1630" t="str">
        <f>"20"</f>
        <v>20</v>
      </c>
      <c r="D1630" t="str">
        <f>"When We Break"</f>
        <v>When We Break</v>
      </c>
    </row>
    <row r="1631" spans="1:4" x14ac:dyDescent="0.2">
      <c r="A1631" t="str">
        <f>"1630"</f>
        <v>1630</v>
      </c>
      <c r="B1631" t="str">
        <f>"-0.36"</f>
        <v>-0.36</v>
      </c>
      <c r="C1631" t="str">
        <f>"25"</f>
        <v>25</v>
      </c>
      <c r="D1631" t="str">
        <f>"Out of Tune"</f>
        <v>Out of Tune</v>
      </c>
    </row>
    <row r="1632" spans="1:4" x14ac:dyDescent="0.2">
      <c r="A1632" t="str">
        <f>"1631"</f>
        <v>1631</v>
      </c>
      <c r="B1632" t="str">
        <f>"-0.16"</f>
        <v>-0.16</v>
      </c>
      <c r="C1632" t="str">
        <f>"50"</f>
        <v>50</v>
      </c>
      <c r="D1632" t="str">
        <f>"No Flashlight"</f>
        <v>No Flashlight</v>
      </c>
    </row>
    <row r="1633" spans="1:4" x14ac:dyDescent="0.2">
      <c r="A1633" t="str">
        <f>"1632"</f>
        <v>1632</v>
      </c>
      <c r="B1633" t="str">
        <f>"0.7"</f>
        <v>0.7</v>
      </c>
      <c r="C1633" t="str">
        <f>"52"</f>
        <v>52</v>
      </c>
      <c r="D1633" t="str">
        <f>"Field Music"</f>
        <v>Field Music</v>
      </c>
    </row>
    <row r="1634" spans="1:4" x14ac:dyDescent="0.2">
      <c r="A1634" t="str">
        <f>"1633"</f>
        <v>1633</v>
      </c>
      <c r="B1634" t="str">
        <f>"-0.81"</f>
        <v>-0.81</v>
      </c>
      <c r="C1634" t="str">
        <f>"15"</f>
        <v>15</v>
      </c>
      <c r="D1634" t="str">
        <f>"Aw Come Aw Wry"</f>
        <v>Aw Come Aw Wry</v>
      </c>
    </row>
    <row r="1635" spans="1:4" x14ac:dyDescent="0.2">
      <c r="A1635" t="str">
        <f>"1634"</f>
        <v>1634</v>
      </c>
      <c r="B1635" t="str">
        <f>"0.63"</f>
        <v>0.63</v>
      </c>
      <c r="C1635" t="str">
        <f>"16"</f>
        <v>16</v>
      </c>
      <c r="D1635" t="str">
        <f>"Another Wound EP"</f>
        <v>Another Wound EP</v>
      </c>
    </row>
    <row r="1636" spans="1:4" x14ac:dyDescent="0.2">
      <c r="A1636" t="str">
        <f>"1635"</f>
        <v>1635</v>
      </c>
      <c r="B1636" t="str">
        <f>"-0.02"</f>
        <v>-0.02</v>
      </c>
      <c r="C1636" t="str">
        <f>"19"</f>
        <v>19</v>
      </c>
      <c r="D1636" t="str">
        <f>"Oboroed / Circus Lives"</f>
        <v>Oboroed / Circus Lives</v>
      </c>
    </row>
    <row r="1637" spans="1:4" x14ac:dyDescent="0.2">
      <c r="A1637" t="str">
        <f>"1636"</f>
        <v>1636</v>
      </c>
      <c r="B1637" t="str">
        <f>"-0.07"</f>
        <v>-0.07</v>
      </c>
      <c r="C1637" t="str">
        <f>"94"</f>
        <v>94</v>
      </c>
      <c r="D1637" t="str">
        <f>"Harem of the Sundrum and the Witness Figg"</f>
        <v>Harem of the Sundrum and the Witness Figg</v>
      </c>
    </row>
    <row r="1638" spans="1:4" x14ac:dyDescent="0.2">
      <c r="A1638" t="str">
        <f>"1637"</f>
        <v>1637</v>
      </c>
      <c r="B1638" t="str">
        <f>"-0.03"</f>
        <v>-0.03</v>
      </c>
      <c r="C1638" t="str">
        <f>"78"</f>
        <v>78</v>
      </c>
      <c r="D1638" t="str">
        <f>"Let's Get It: Thug Motivation 101"</f>
        <v>Let's Get It: Thug Motivation 101</v>
      </c>
    </row>
    <row r="1639" spans="1:4" x14ac:dyDescent="0.2">
      <c r="A1639" t="str">
        <f>"1638"</f>
        <v>1638</v>
      </c>
      <c r="B1639" t="str">
        <f>"0.08"</f>
        <v>0.08</v>
      </c>
      <c r="C1639" t="str">
        <f>"23"</f>
        <v>23</v>
      </c>
      <c r="D1639" t="str">
        <f>"Giving Up the Ghost"</f>
        <v>Giving Up the Ghost</v>
      </c>
    </row>
    <row r="1640" spans="1:4" x14ac:dyDescent="0.2">
      <c r="A1640" t="str">
        <f>"1639"</f>
        <v>1639</v>
      </c>
      <c r="B1640" t="str">
        <f>"0.21"</f>
        <v>0.21</v>
      </c>
      <c r="C1640" t="str">
        <f>"25"</f>
        <v>25</v>
      </c>
      <c r="D1640" t="str">
        <f>"Resilience"</f>
        <v>Resilience</v>
      </c>
    </row>
    <row r="1641" spans="1:4" x14ac:dyDescent="0.2">
      <c r="A1641" t="str">
        <f>"1640"</f>
        <v>1640</v>
      </c>
      <c r="B1641" t="str">
        <f>"-0.05"</f>
        <v>-0.05</v>
      </c>
      <c r="C1641" t="str">
        <f>"36"</f>
        <v>36</v>
      </c>
      <c r="D1641" t="str">
        <f>"Elgin Avenue Breakdown Revisited"</f>
        <v>Elgin Avenue Breakdown Revisited</v>
      </c>
    </row>
    <row r="1642" spans="1:4" x14ac:dyDescent="0.2">
      <c r="A1642" t="str">
        <f>"1641"</f>
        <v>1641</v>
      </c>
      <c r="B1642" t="str">
        <f>"0.11"</f>
        <v>0.11</v>
      </c>
      <c r="C1642" t="str">
        <f>"38"</f>
        <v>38</v>
      </c>
      <c r="D1642" t="str">
        <f>"The Legend"</f>
        <v>The Legend</v>
      </c>
    </row>
    <row r="1643" spans="1:4" x14ac:dyDescent="0.2">
      <c r="A1643" t="str">
        <f>"1642"</f>
        <v>1642</v>
      </c>
      <c r="B1643" t="str">
        <f>"0.34"</f>
        <v>0.34</v>
      </c>
      <c r="C1643" t="str">
        <f>"15"</f>
        <v>15</v>
      </c>
      <c r="D1643" t="str">
        <f>"The Repulsion Box"</f>
        <v>The Repulsion Box</v>
      </c>
    </row>
    <row r="1644" spans="1:4" x14ac:dyDescent="0.2">
      <c r="A1644" t="str">
        <f>"1643"</f>
        <v>1643</v>
      </c>
      <c r="B1644" t="str">
        <f>"-0.65"</f>
        <v>-0.65</v>
      </c>
      <c r="C1644" t="str">
        <f>"59"</f>
        <v>59</v>
      </c>
      <c r="D1644" t="str">
        <f>"A Love Obscene"</f>
        <v>A Love Obscene</v>
      </c>
    </row>
    <row r="1645" spans="1:4" x14ac:dyDescent="0.2">
      <c r="A1645" t="str">
        <f>"1644"</f>
        <v>1644</v>
      </c>
      <c r="B1645" t="str">
        <f>"-1.39"</f>
        <v>-1.39</v>
      </c>
      <c r="C1645" t="str">
        <f>"67"</f>
        <v>67</v>
      </c>
      <c r="D1645" t="str">
        <f>"Young Dangerous Heart"</f>
        <v>Young Dangerous Heart</v>
      </c>
    </row>
    <row r="1646" spans="1:4" x14ac:dyDescent="0.2">
      <c r="A1646" t="str">
        <f>"1645"</f>
        <v>1645</v>
      </c>
      <c r="B1646" t="str">
        <f>"0.09"</f>
        <v>0.09</v>
      </c>
      <c r="C1646" t="str">
        <f>"83"</f>
        <v>83</v>
      </c>
      <c r="D1646" t="str">
        <f>"Are You Ready For More? EP"</f>
        <v>Are You Ready For More? EP</v>
      </c>
    </row>
    <row r="1647" spans="1:4" x14ac:dyDescent="0.2">
      <c r="A1647" t="str">
        <f>"1646"</f>
        <v>1646</v>
      </c>
      <c r="B1647" t="str">
        <f>"0.53"</f>
        <v>0.53</v>
      </c>
      <c r="C1647" t="str">
        <f>"31"</f>
        <v>31</v>
      </c>
      <c r="D1647" t="str">
        <f>"Chemistry"</f>
        <v>Chemistry</v>
      </c>
    </row>
    <row r="1648" spans="1:4" x14ac:dyDescent="0.2">
      <c r="A1648" t="str">
        <f>"1647"</f>
        <v>1647</v>
      </c>
      <c r="B1648" t="str">
        <f>"-0.18"</f>
        <v>-0.18</v>
      </c>
      <c r="C1648" t="str">
        <f>"63"</f>
        <v>63</v>
      </c>
      <c r="D1648" t="str">
        <f>"Suburban Hymns"</f>
        <v>Suburban Hymns</v>
      </c>
    </row>
    <row r="1649" spans="1:4" x14ac:dyDescent="0.2">
      <c r="A1649" t="str">
        <f>"1648"</f>
        <v>1648</v>
      </c>
      <c r="B1649" t="str">
        <f>"-0.4"</f>
        <v>-0.4</v>
      </c>
      <c r="C1649" t="str">
        <f>"22"</f>
        <v>22</v>
      </c>
      <c r="D1649" t="s">
        <v>46</v>
      </c>
    </row>
    <row r="1650" spans="1:4" x14ac:dyDescent="0.2">
      <c r="A1650" t="str">
        <f>"1649"</f>
        <v>1649</v>
      </c>
      <c r="B1650" t="str">
        <f>"0.43"</f>
        <v>0.43</v>
      </c>
      <c r="C1650" t="str">
        <f>"21"</f>
        <v>21</v>
      </c>
      <c r="D1650" t="str">
        <f>"Tenderfoot"</f>
        <v>Tenderfoot</v>
      </c>
    </row>
    <row r="1651" spans="1:4" x14ac:dyDescent="0.2">
      <c r="A1651" t="str">
        <f>"1650"</f>
        <v>1650</v>
      </c>
      <c r="B1651" t="str">
        <f>"-0.72"</f>
        <v>-0.72</v>
      </c>
      <c r="C1651" t="str">
        <f>"95"</f>
        <v>95</v>
      </c>
      <c r="D1651" t="str">
        <f>"The Difference Between Houses and Homes"</f>
        <v>The Difference Between Houses and Homes</v>
      </c>
    </row>
    <row r="1652" spans="1:4" x14ac:dyDescent="0.2">
      <c r="A1652" t="str">
        <f>"1651"</f>
        <v>1651</v>
      </c>
      <c r="B1652" t="str">
        <f>"-0.1"</f>
        <v>-0.1</v>
      </c>
      <c r="C1652" t="str">
        <f>"25"</f>
        <v>25</v>
      </c>
      <c r="D1652" t="str">
        <f>"Quit +/or Fight"</f>
        <v>Quit +/or Fight</v>
      </c>
    </row>
    <row r="1653" spans="1:4" x14ac:dyDescent="0.2">
      <c r="A1653" t="str">
        <f>"1652"</f>
        <v>1652</v>
      </c>
      <c r="B1653" t="str">
        <f>"-0.26"</f>
        <v>-0.26</v>
      </c>
      <c r="C1653" t="str">
        <f>"75"</f>
        <v>75</v>
      </c>
      <c r="D1653" t="str">
        <f>"Just Another Band From the Cosmic Inferno"</f>
        <v>Just Another Band From the Cosmic Inferno</v>
      </c>
    </row>
    <row r="1654" spans="1:4" x14ac:dyDescent="0.2">
      <c r="A1654" t="str">
        <f>"1653"</f>
        <v>1653</v>
      </c>
      <c r="B1654" t="str">
        <f>"0.22"</f>
        <v>0.22</v>
      </c>
      <c r="C1654" t="str">
        <f>"92"</f>
        <v>92</v>
      </c>
      <c r="D1654" t="str">
        <f>"Every Kind of Light"</f>
        <v>Every Kind of Light</v>
      </c>
    </row>
    <row r="1655" spans="1:4" x14ac:dyDescent="0.2">
      <c r="A1655" t="str">
        <f>"1654"</f>
        <v>1654</v>
      </c>
      <c r="B1655" t="str">
        <f>"-1.07"</f>
        <v>-1.07</v>
      </c>
      <c r="C1655" t="str">
        <f>"19"</f>
        <v>19</v>
      </c>
      <c r="D1655" t="str">
        <f>"Wrath of Circuits"</f>
        <v>Wrath of Circuits</v>
      </c>
    </row>
    <row r="1656" spans="1:4" x14ac:dyDescent="0.2">
      <c r="A1656" t="str">
        <f>"1655"</f>
        <v>1655</v>
      </c>
      <c r="B1656" t="str">
        <f>"-0.51"</f>
        <v>-0.51</v>
      </c>
      <c r="C1656" t="str">
        <f>"131"</f>
        <v>131</v>
      </c>
      <c r="D1656" t="str">
        <f>"The Essential Michael Jackson"</f>
        <v>The Essential Michael Jackson</v>
      </c>
    </row>
    <row r="1657" spans="1:4" x14ac:dyDescent="0.2">
      <c r="A1657" t="str">
        <f>"1656"</f>
        <v>1656</v>
      </c>
      <c r="B1657" t="str">
        <f>"-0.58"</f>
        <v>-0.58</v>
      </c>
      <c r="C1657" t="str">
        <f>"32"</f>
        <v>32</v>
      </c>
      <c r="D1657" t="str">
        <f>"Analord 6"</f>
        <v>Analord 6</v>
      </c>
    </row>
    <row r="1658" spans="1:4" x14ac:dyDescent="0.2">
      <c r="A1658" t="str">
        <f>"1657"</f>
        <v>1657</v>
      </c>
      <c r="B1658" t="str">
        <f>"1.4"</f>
        <v>1.4</v>
      </c>
      <c r="C1658" t="str">
        <f>"11"</f>
        <v>11</v>
      </c>
      <c r="D1658" t="str">
        <f>"Lepidoptera"</f>
        <v>Lepidoptera</v>
      </c>
    </row>
    <row r="1659" spans="1:4" x14ac:dyDescent="0.2">
      <c r="A1659" t="str">
        <f>"1658"</f>
        <v>1658</v>
      </c>
      <c r="B1659" t="str">
        <f>"-0.39"</f>
        <v>-0.39</v>
      </c>
      <c r="C1659" t="str">
        <f>"28"</f>
        <v>28</v>
      </c>
      <c r="D1659" t="str">
        <f>"The Body Lovers/The Body Haters"</f>
        <v>The Body Lovers/The Body Haters</v>
      </c>
    </row>
    <row r="1660" spans="1:4" x14ac:dyDescent="0.2">
      <c r="A1660" t="str">
        <f>"1659"</f>
        <v>1659</v>
      </c>
      <c r="B1660" t="str">
        <f>"-0.5"</f>
        <v>-0.5</v>
      </c>
      <c r="C1660" t="str">
        <f>"58"</f>
        <v>58</v>
      </c>
      <c r="D1660" t="str">
        <f>"Oxes EP"</f>
        <v>Oxes EP</v>
      </c>
    </row>
    <row r="1661" spans="1:4" x14ac:dyDescent="0.2">
      <c r="A1661" t="str">
        <f>"1660"</f>
        <v>1660</v>
      </c>
      <c r="B1661" t="str">
        <f>"-0.08"</f>
        <v>-0.08</v>
      </c>
      <c r="C1661" t="str">
        <f>"35"</f>
        <v>35</v>
      </c>
      <c r="D1661" t="str">
        <f>"Weird Tales of the Ramones"</f>
        <v>Weird Tales of the Ramones</v>
      </c>
    </row>
    <row r="1662" spans="1:4" x14ac:dyDescent="0.2">
      <c r="A1662" t="str">
        <f>"1661"</f>
        <v>1661</v>
      </c>
      <c r="B1662" t="str">
        <f>"0.21"</f>
        <v>0.21</v>
      </c>
      <c r="C1662" t="str">
        <f>"46"</f>
        <v>46</v>
      </c>
      <c r="D1662" t="s">
        <v>47</v>
      </c>
    </row>
    <row r="1663" spans="1:4" x14ac:dyDescent="0.2">
      <c r="A1663" t="str">
        <f>"1662"</f>
        <v>1662</v>
      </c>
      <c r="B1663" t="str">
        <f>"0.34"</f>
        <v>0.34</v>
      </c>
      <c r="C1663" t="str">
        <f>"117"</f>
        <v>117</v>
      </c>
      <c r="D1663" t="str">
        <f>"All Over the World: The Very Best of Electric Light Orchestra"</f>
        <v>All Over the World: The Very Best of Electric Light Orchestra</v>
      </c>
    </row>
    <row r="1664" spans="1:4" x14ac:dyDescent="0.2">
      <c r="A1664" t="str">
        <f>"1663"</f>
        <v>1663</v>
      </c>
      <c r="B1664" t="str">
        <f>"-0.5"</f>
        <v>-0.5</v>
      </c>
      <c r="C1664" t="str">
        <f>"19"</f>
        <v>19</v>
      </c>
      <c r="D1664" t="str">
        <f>"Shaded Lodge and Mausoleum"</f>
        <v>Shaded Lodge and Mausoleum</v>
      </c>
    </row>
    <row r="1665" spans="1:4" x14ac:dyDescent="0.2">
      <c r="A1665" t="str">
        <f>"1664"</f>
        <v>1664</v>
      </c>
      <c r="B1665" t="str">
        <f>"-0.75"</f>
        <v>-0.75</v>
      </c>
      <c r="C1665" t="str">
        <f>"92"</f>
        <v>92</v>
      </c>
      <c r="D1665" t="str">
        <f>"Blood Run"</f>
        <v>Blood Run</v>
      </c>
    </row>
    <row r="1666" spans="1:4" x14ac:dyDescent="0.2">
      <c r="A1666" t="str">
        <f>"1665"</f>
        <v>1665</v>
      </c>
      <c r="B1666" t="str">
        <f>"0.08"</f>
        <v>0.08</v>
      </c>
      <c r="C1666" t="str">
        <f>"33"</f>
        <v>33</v>
      </c>
      <c r="D1666" t="str">
        <f>"Plat du Jour"</f>
        <v>Plat du Jour</v>
      </c>
    </row>
    <row r="1667" spans="1:4" x14ac:dyDescent="0.2">
      <c r="A1667" t="str">
        <f>"1666"</f>
        <v>1666</v>
      </c>
      <c r="B1667" t="str">
        <f>"1.19"</f>
        <v>1.19</v>
      </c>
      <c r="C1667" t="str">
        <f>"28"</f>
        <v>28</v>
      </c>
      <c r="D1667" t="str">
        <f>"The Golden Morning Breaks"</f>
        <v>The Golden Morning Breaks</v>
      </c>
    </row>
    <row r="1668" spans="1:4" x14ac:dyDescent="0.2">
      <c r="A1668" t="str">
        <f>"1667"</f>
        <v>1667</v>
      </c>
      <c r="B1668" t="str">
        <f>"0"</f>
        <v>0</v>
      </c>
      <c r="C1668" t="str">
        <f>"25"</f>
        <v>25</v>
      </c>
      <c r="D1668" t="str">
        <f>"Rescue Through Tomahawk"</f>
        <v>Rescue Through Tomahawk</v>
      </c>
    </row>
    <row r="1669" spans="1:4" x14ac:dyDescent="0.2">
      <c r="A1669" t="str">
        <f>"1668"</f>
        <v>1668</v>
      </c>
      <c r="B1669" t="str">
        <f>"0.22"</f>
        <v>0.22</v>
      </c>
      <c r="C1669" t="str">
        <f>"48"</f>
        <v>48</v>
      </c>
      <c r="D1669" t="str">
        <f>"The Back Room"</f>
        <v>The Back Room</v>
      </c>
    </row>
    <row r="1670" spans="1:4" x14ac:dyDescent="0.2">
      <c r="A1670" t="str">
        <f>"1669"</f>
        <v>1669</v>
      </c>
      <c r="B1670" t="str">
        <f>"-0.09"</f>
        <v>-0.09</v>
      </c>
      <c r="C1670" t="str">
        <f>"67"</f>
        <v>67</v>
      </c>
      <c r="D1670" t="str">
        <f>"Often Lie"</f>
        <v>Often Lie</v>
      </c>
    </row>
    <row r="1671" spans="1:4" x14ac:dyDescent="0.2">
      <c r="A1671" t="str">
        <f>"1670"</f>
        <v>1670</v>
      </c>
      <c r="B1671" t="str">
        <f>"0.44"</f>
        <v>0.44</v>
      </c>
      <c r="C1671" t="str">
        <f>"40"</f>
        <v>40</v>
      </c>
      <c r="D1671" t="str">
        <f>"Spelled in Bones"</f>
        <v>Spelled in Bones</v>
      </c>
    </row>
    <row r="1672" spans="1:4" x14ac:dyDescent="0.2">
      <c r="A1672" t="str">
        <f>"1671"</f>
        <v>1671</v>
      </c>
      <c r="B1672" t="str">
        <f>"0.2"</f>
        <v>0.2</v>
      </c>
      <c r="C1672" t="str">
        <f>"67"</f>
        <v>67</v>
      </c>
      <c r="D1672" t="str">
        <f>"Funkadelic"</f>
        <v>Funkadelic</v>
      </c>
    </row>
    <row r="1673" spans="1:4" x14ac:dyDescent="0.2">
      <c r="A1673" t="str">
        <f>"1672"</f>
        <v>1672</v>
      </c>
      <c r="B1673" t="str">
        <f>"1.43"</f>
        <v>1.43</v>
      </c>
      <c r="C1673" t="str">
        <f>"21"</f>
        <v>21</v>
      </c>
      <c r="D1673" t="str">
        <f>"Man-Made"</f>
        <v>Man-Made</v>
      </c>
    </row>
    <row r="1674" spans="1:4" x14ac:dyDescent="0.2">
      <c r="A1674" t="str">
        <f>"1673"</f>
        <v>1673</v>
      </c>
      <c r="B1674" t="str">
        <f>"0.04"</f>
        <v>0.04</v>
      </c>
      <c r="C1674" t="str">
        <f>"50"</f>
        <v>50</v>
      </c>
      <c r="D1674" t="str">
        <f>"Keystroke One"</f>
        <v>Keystroke One</v>
      </c>
    </row>
    <row r="1675" spans="1:4" x14ac:dyDescent="0.2">
      <c r="A1675" t="str">
        <f>"1674"</f>
        <v>1674</v>
      </c>
      <c r="B1675" t="str">
        <f>"0.39"</f>
        <v>0.39</v>
      </c>
      <c r="C1675" t="str">
        <f>"12"</f>
        <v>12</v>
      </c>
      <c r="D1675" t="str">
        <f>"The DNA Will Have Its Say EP"</f>
        <v>The DNA Will Have Its Say EP</v>
      </c>
    </row>
    <row r="1676" spans="1:4" x14ac:dyDescent="0.2">
      <c r="A1676" t="str">
        <f>"1675"</f>
        <v>1675</v>
      </c>
      <c r="B1676" t="str">
        <f>"-0.38"</f>
        <v>-0.38</v>
      </c>
      <c r="C1676" t="str">
        <f>"101"</f>
        <v>101</v>
      </c>
      <c r="D1676" t="str">
        <f>"Power to the People and the Beats"</f>
        <v>Power to the People and the Beats</v>
      </c>
    </row>
    <row r="1677" spans="1:4" x14ac:dyDescent="0.2">
      <c r="A1677" t="str">
        <f>"1676"</f>
        <v>1676</v>
      </c>
      <c r="B1677" t="str">
        <f>"0.42"</f>
        <v>0.42</v>
      </c>
      <c r="C1677" t="str">
        <f>"44"</f>
        <v>44</v>
      </c>
      <c r="D1677" t="str">
        <f>"The Tone of the Universe (= The Tone of the Earth)"</f>
        <v>The Tone of the Universe (= The Tone of the Earth)</v>
      </c>
    </row>
    <row r="1678" spans="1:4" x14ac:dyDescent="0.2">
      <c r="A1678" t="str">
        <f>"1677"</f>
        <v>1677</v>
      </c>
      <c r="B1678" t="str">
        <f>"-0.03"</f>
        <v>-0.03</v>
      </c>
      <c r="C1678" t="str">
        <f>"126"</f>
        <v>126</v>
      </c>
      <c r="D1678" t="str">
        <f>"12""/80s/2"</f>
        <v>12"/80s/2</v>
      </c>
    </row>
    <row r="1679" spans="1:4" x14ac:dyDescent="0.2">
      <c r="A1679" t="str">
        <f>"1678"</f>
        <v>1678</v>
      </c>
      <c r="B1679" t="str">
        <f>"-0.6"</f>
        <v>-0.6</v>
      </c>
      <c r="C1679" t="str">
        <f>"36"</f>
        <v>36</v>
      </c>
      <c r="D1679" t="str">
        <f>"Mangled Demos From 1983"</f>
        <v>Mangled Demos From 1983</v>
      </c>
    </row>
    <row r="1680" spans="1:4" x14ac:dyDescent="0.2">
      <c r="A1680" t="str">
        <f>"1679"</f>
        <v>1679</v>
      </c>
      <c r="B1680" t="str">
        <f>"-0.69"</f>
        <v>-0.69</v>
      </c>
      <c r="C1680" t="str">
        <f>"38"</f>
        <v>38</v>
      </c>
      <c r="D1680" t="str">
        <f>"Party Animals"</f>
        <v>Party Animals</v>
      </c>
    </row>
    <row r="1681" spans="1:4" x14ac:dyDescent="0.2">
      <c r="A1681" t="str">
        <f>"1680"</f>
        <v>1680</v>
      </c>
      <c r="B1681" t="str">
        <f>"0.24"</f>
        <v>0.24</v>
      </c>
      <c r="C1681" t="str">
        <f>"39"</f>
        <v>39</v>
      </c>
      <c r="D1681" t="str">
        <f>"Ta Det Lugnt [Expanded Edition]"</f>
        <v>Ta Det Lugnt [Expanded Edition]</v>
      </c>
    </row>
    <row r="1682" spans="1:4" x14ac:dyDescent="0.2">
      <c r="A1682" t="str">
        <f>"1681"</f>
        <v>1681</v>
      </c>
      <c r="B1682" t="str">
        <f>"0.41"</f>
        <v>0.41</v>
      </c>
      <c r="C1682" t="str">
        <f>"59"</f>
        <v>59</v>
      </c>
      <c r="D1682" t="str">
        <f>"Lover's Acid"</f>
        <v>Lover's Acid</v>
      </c>
    </row>
    <row r="1683" spans="1:4" x14ac:dyDescent="0.2">
      <c r="A1683" t="str">
        <f>"1682"</f>
        <v>1682</v>
      </c>
      <c r="B1683" t="str">
        <f>"0.56"</f>
        <v>0.56</v>
      </c>
      <c r="C1683" t="str">
        <f>"58"</f>
        <v>58</v>
      </c>
      <c r="D1683" t="str">
        <f>"Chin Up Chin Up EP"</f>
        <v>Chin Up Chin Up EP</v>
      </c>
    </row>
    <row r="1684" spans="1:4" x14ac:dyDescent="0.2">
      <c r="A1684" t="str">
        <f>"1683"</f>
        <v>1683</v>
      </c>
      <c r="B1684" t="str">
        <f>"0.2"</f>
        <v>0.2</v>
      </c>
      <c r="C1684" t="str">
        <f>"79"</f>
        <v>79</v>
      </c>
      <c r="D1684" t="str">
        <f>"Rough Trade Shops: Counter Culture 04"</f>
        <v>Rough Trade Shops: Counter Culture 04</v>
      </c>
    </row>
    <row r="1685" spans="1:4" x14ac:dyDescent="0.2">
      <c r="A1685" t="str">
        <f>"1684"</f>
        <v>1684</v>
      </c>
      <c r="B1685" t="str">
        <f>"-0.42"</f>
        <v>-0.42</v>
      </c>
      <c r="C1685" t="str">
        <f>"18"</f>
        <v>18</v>
      </c>
      <c r="D1685" t="str">
        <f>"Electrified"</f>
        <v>Electrified</v>
      </c>
    </row>
    <row r="1686" spans="1:4" x14ac:dyDescent="0.2">
      <c r="A1686" t="str">
        <f>"1685"</f>
        <v>1685</v>
      </c>
      <c r="B1686" t="str">
        <f>"0.33"</f>
        <v>0.33</v>
      </c>
      <c r="C1686" t="str">
        <f>"38"</f>
        <v>38</v>
      </c>
      <c r="D1686" t="str">
        <f>"Clor"</f>
        <v>Clor</v>
      </c>
    </row>
    <row r="1687" spans="1:4" x14ac:dyDescent="0.2">
      <c r="A1687" t="str">
        <f>"1686"</f>
        <v>1686</v>
      </c>
      <c r="B1687" t="str">
        <f>"-0.31"</f>
        <v>-0.31</v>
      </c>
      <c r="C1687" t="str">
        <f>"20"</f>
        <v>20</v>
      </c>
      <c r="D1687" t="str">
        <f>"Sala Santa Cecilia"</f>
        <v>Sala Santa Cecilia</v>
      </c>
    </row>
    <row r="1688" spans="1:4" x14ac:dyDescent="0.2">
      <c r="A1688" t="str">
        <f>"1687"</f>
        <v>1687</v>
      </c>
      <c r="B1688" t="str">
        <f>"0.68"</f>
        <v>0.68</v>
      </c>
      <c r="C1688" t="str">
        <f>"15"</f>
        <v>15</v>
      </c>
      <c r="D1688" t="str">
        <f>"For the Lonely Hearts of the Cosmos"</f>
        <v>For the Lonely Hearts of the Cosmos</v>
      </c>
    </row>
    <row r="1689" spans="1:4" x14ac:dyDescent="0.2">
      <c r="A1689" t="str">
        <f>"1688"</f>
        <v>1688</v>
      </c>
      <c r="B1689" t="str">
        <f>"-0.3"</f>
        <v>-0.3</v>
      </c>
      <c r="C1689" t="str">
        <f>"79"</f>
        <v>79</v>
      </c>
      <c r="D1689" t="str">
        <f>"Profile"</f>
        <v>Profile</v>
      </c>
    </row>
    <row r="1690" spans="1:4" x14ac:dyDescent="0.2">
      <c r="A1690" t="str">
        <f>"1689"</f>
        <v>1689</v>
      </c>
      <c r="B1690" t="str">
        <f>"-0.7"</f>
        <v>-0.7</v>
      </c>
      <c r="C1690" t="str">
        <f>"17"</f>
        <v>17</v>
      </c>
      <c r="D1690" t="str">
        <f>"Edit Music For a Film: Original Motion Picture Soundtrack Reconstruction"</f>
        <v>Edit Music For a Film: Original Motion Picture Soundtrack Reconstruction</v>
      </c>
    </row>
    <row r="1691" spans="1:4" x14ac:dyDescent="0.2">
      <c r="A1691" t="str">
        <f>"1690"</f>
        <v>1690</v>
      </c>
      <c r="B1691" t="str">
        <f>"0.3"</f>
        <v>0.3</v>
      </c>
      <c r="C1691" t="str">
        <f>"37"</f>
        <v>37</v>
      </c>
      <c r="D1691" t="str">
        <f>"A Million in Prizes: The Anthology"</f>
        <v>A Million in Prizes: The Anthology</v>
      </c>
    </row>
    <row r="1692" spans="1:4" x14ac:dyDescent="0.2">
      <c r="A1692" t="str">
        <f>"1691"</f>
        <v>1691</v>
      </c>
      <c r="B1692" t="str">
        <f>"-0.25"</f>
        <v>-0.25</v>
      </c>
      <c r="C1692" t="str">
        <f>"27"</f>
        <v>27</v>
      </c>
      <c r="D1692" t="str">
        <f>"We Have Sound"</f>
        <v>We Have Sound</v>
      </c>
    </row>
    <row r="1693" spans="1:4" x14ac:dyDescent="0.2">
      <c r="A1693" t="str">
        <f>"1692"</f>
        <v>1692</v>
      </c>
      <c r="B1693" t="str">
        <f>"0.67"</f>
        <v>0.67</v>
      </c>
      <c r="C1693" t="str">
        <f>"14"</f>
        <v>14</v>
      </c>
      <c r="D1693" t="str">
        <f>"Four Winds the Walker"</f>
        <v>Four Winds the Walker</v>
      </c>
    </row>
    <row r="1694" spans="1:4" x14ac:dyDescent="0.2">
      <c r="A1694" t="str">
        <f>"1693"</f>
        <v>1693</v>
      </c>
      <c r="B1694" t="str">
        <f>"0.24"</f>
        <v>0.24</v>
      </c>
      <c r="C1694" t="str">
        <f>"55"</f>
        <v>55</v>
      </c>
      <c r="D1694" t="str">
        <f>"Tralala"</f>
        <v>Tralala</v>
      </c>
    </row>
    <row r="1695" spans="1:4" x14ac:dyDescent="0.2">
      <c r="A1695" t="str">
        <f>"1694"</f>
        <v>1694</v>
      </c>
      <c r="B1695" t="str">
        <f>"-0.13"</f>
        <v>-0.13</v>
      </c>
      <c r="C1695" t="str">
        <f>"43"</f>
        <v>43</v>
      </c>
      <c r="D1695" t="str">
        <f>"Contact Kid"</f>
        <v>Contact Kid</v>
      </c>
    </row>
    <row r="1696" spans="1:4" x14ac:dyDescent="0.2">
      <c r="A1696" t="str">
        <f>"1695"</f>
        <v>1695</v>
      </c>
      <c r="B1696" t="str">
        <f>"-0.3"</f>
        <v>-0.3</v>
      </c>
      <c r="C1696" t="str">
        <f>"105"</f>
        <v>105</v>
      </c>
      <c r="D1696" t="str">
        <f>"The Fire in Our Throats Will Beckon the Thaw"</f>
        <v>The Fire in Our Throats Will Beckon the Thaw</v>
      </c>
    </row>
    <row r="1697" spans="1:4" x14ac:dyDescent="0.2">
      <c r="A1697" t="str">
        <f>"1696"</f>
        <v>1696</v>
      </c>
      <c r="B1697" t="str">
        <f>"0.24"</f>
        <v>0.24</v>
      </c>
      <c r="C1697" t="str">
        <f>"95"</f>
        <v>95</v>
      </c>
      <c r="D1697" t="s">
        <v>48</v>
      </c>
    </row>
    <row r="1698" spans="1:4" x14ac:dyDescent="0.2">
      <c r="A1698" t="str">
        <f>"1697"</f>
        <v>1697</v>
      </c>
      <c r="B1698" t="str">
        <f>"0.63"</f>
        <v>0.63</v>
      </c>
      <c r="C1698" t="str">
        <f>"80"</f>
        <v>80</v>
      </c>
      <c r="D1698" t="str">
        <f>"Geisterfaust"</f>
        <v>Geisterfaust</v>
      </c>
    </row>
    <row r="1699" spans="1:4" x14ac:dyDescent="0.2">
      <c r="A1699" t="str">
        <f>"1698"</f>
        <v>1698</v>
      </c>
      <c r="B1699" t="str">
        <f>"-0.02"</f>
        <v>-0.02</v>
      </c>
      <c r="C1699" t="str">
        <f>"71"</f>
        <v>71</v>
      </c>
      <c r="D1699" t="str">
        <f>"No Business"</f>
        <v>No Business</v>
      </c>
    </row>
    <row r="1700" spans="1:4" x14ac:dyDescent="0.2">
      <c r="A1700" t="str">
        <f>"1699"</f>
        <v>1699</v>
      </c>
      <c r="B1700" t="str">
        <f>"-1.27"</f>
        <v>-1.27</v>
      </c>
      <c r="C1700" t="str">
        <f>"27"</f>
        <v>27</v>
      </c>
      <c r="D1700" t="str">
        <f>"Pro Agonist"</f>
        <v>Pro Agonist</v>
      </c>
    </row>
    <row r="1701" spans="1:4" x14ac:dyDescent="0.2">
      <c r="A1701" t="str">
        <f>"1700"</f>
        <v>1700</v>
      </c>
      <c r="B1701" t="str">
        <f>"0.66"</f>
        <v>0.66</v>
      </c>
      <c r="C1701" t="str">
        <f>"138"</f>
        <v>138</v>
      </c>
      <c r="D1701" t="str">
        <f>"The Glasgow School"</f>
        <v>The Glasgow School</v>
      </c>
    </row>
    <row r="1702" spans="1:4" x14ac:dyDescent="0.2">
      <c r="A1702" t="str">
        <f>"1701"</f>
        <v>1701</v>
      </c>
      <c r="B1702" t="str">
        <f>"0.9"</f>
        <v>0.9</v>
      </c>
      <c r="C1702" t="str">
        <f>"61"</f>
        <v>61</v>
      </c>
      <c r="D1702" t="str">
        <f>"Sybris"</f>
        <v>Sybris</v>
      </c>
    </row>
    <row r="1703" spans="1:4" x14ac:dyDescent="0.2">
      <c r="A1703" t="str">
        <f>"1702"</f>
        <v>1702</v>
      </c>
      <c r="B1703" t="str">
        <f>"-0.45"</f>
        <v>-0.45</v>
      </c>
      <c r="C1703" t="str">
        <f>"76"</f>
        <v>76</v>
      </c>
      <c r="D1703" t="str">
        <f>"Fraximal"</f>
        <v>Fraximal</v>
      </c>
    </row>
    <row r="1704" spans="1:4" x14ac:dyDescent="0.2">
      <c r="A1704" t="str">
        <f>"1703"</f>
        <v>1703</v>
      </c>
      <c r="B1704" t="str">
        <f>"1.01"</f>
        <v>1.01</v>
      </c>
      <c r="C1704" t="str">
        <f>"15"</f>
        <v>15</v>
      </c>
      <c r="D1704" t="str">
        <f>"Kiss the Future"</f>
        <v>Kiss the Future</v>
      </c>
    </row>
    <row r="1705" spans="1:4" x14ac:dyDescent="0.2">
      <c r="A1705" t="str">
        <f>"1704"</f>
        <v>1704</v>
      </c>
      <c r="B1705" t="str">
        <f>"-1.04"</f>
        <v>-1.04</v>
      </c>
      <c r="C1705" t="str">
        <f>"18"</f>
        <v>18</v>
      </c>
      <c r="D1705" t="str">
        <f>"Once We Were Diamonds EP"</f>
        <v>Once We Were Diamonds EP</v>
      </c>
    </row>
    <row r="1706" spans="1:4" x14ac:dyDescent="0.2">
      <c r="A1706" t="str">
        <f>"1705"</f>
        <v>1705</v>
      </c>
      <c r="B1706" t="str">
        <f>"0.68"</f>
        <v>0.68</v>
      </c>
      <c r="C1706" t="str">
        <f>"28"</f>
        <v>28</v>
      </c>
      <c r="D1706" t="str">
        <f>"Body of Song"</f>
        <v>Body of Song</v>
      </c>
    </row>
    <row r="1707" spans="1:4" x14ac:dyDescent="0.2">
      <c r="A1707" t="str">
        <f>"1706"</f>
        <v>1706</v>
      </c>
      <c r="B1707" t="str">
        <f>"-0.07"</f>
        <v>-0.07</v>
      </c>
      <c r="C1707" t="str">
        <f>"130"</f>
        <v>130</v>
      </c>
      <c r="D1707" t="str">
        <f>"Red Hash"</f>
        <v>Red Hash</v>
      </c>
    </row>
    <row r="1708" spans="1:4" x14ac:dyDescent="0.2">
      <c r="A1708" t="str">
        <f>"1707"</f>
        <v>1707</v>
      </c>
      <c r="B1708" t="str">
        <f>"0.44"</f>
        <v>0.44</v>
      </c>
      <c r="C1708" t="str">
        <f>"21"</f>
        <v>21</v>
      </c>
      <c r="D1708" t="str">
        <f>"Are You a Dreamer?"</f>
        <v>Are You a Dreamer?</v>
      </c>
    </row>
    <row r="1709" spans="1:4" x14ac:dyDescent="0.2">
      <c r="A1709" t="str">
        <f>"1708"</f>
        <v>1708</v>
      </c>
      <c r="B1709" t="str">
        <f>"-0.69"</f>
        <v>-0.69</v>
      </c>
      <c r="C1709" t="str">
        <f>"65"</f>
        <v>65</v>
      </c>
      <c r="D1709" t="str">
        <f>"Merzbuddha"</f>
        <v>Merzbuddha</v>
      </c>
    </row>
    <row r="1710" spans="1:4" x14ac:dyDescent="0.2">
      <c r="A1710" t="str">
        <f>"1709"</f>
        <v>1709</v>
      </c>
      <c r="B1710" t="str">
        <f>"0.69"</f>
        <v>0.69</v>
      </c>
      <c r="C1710" t="str">
        <f>"61"</f>
        <v>61</v>
      </c>
      <c r="D1710" t="str">
        <f>"Feral Hymns"</f>
        <v>Feral Hymns</v>
      </c>
    </row>
    <row r="1711" spans="1:4" x14ac:dyDescent="0.2">
      <c r="A1711" t="str">
        <f>"1710"</f>
        <v>1710</v>
      </c>
      <c r="B1711" t="str">
        <f>"1.18"</f>
        <v>1.18</v>
      </c>
      <c r="C1711" t="str">
        <f>"27"</f>
        <v>27</v>
      </c>
      <c r="D1711" t="str">
        <f>"Den Gåtfulla Människan"</f>
        <v>Den Gåtfulla Människan</v>
      </c>
    </row>
    <row r="1712" spans="1:4" x14ac:dyDescent="0.2">
      <c r="A1712" t="str">
        <f>"1711"</f>
        <v>1711</v>
      </c>
      <c r="B1712" t="str">
        <f>"0.88"</f>
        <v>0.88</v>
      </c>
      <c r="C1712" t="str">
        <f>"29"</f>
        <v>29</v>
      </c>
      <c r="D1712" t="str">
        <f>"J.A.C."</f>
        <v>J.A.C.</v>
      </c>
    </row>
    <row r="1713" spans="1:4" x14ac:dyDescent="0.2">
      <c r="A1713" t="str">
        <f>"1712"</f>
        <v>1712</v>
      </c>
      <c r="B1713" t="str">
        <f>"0.44"</f>
        <v>0.44</v>
      </c>
      <c r="C1713" t="str">
        <f>"29"</f>
        <v>29</v>
      </c>
      <c r="D1713" t="str">
        <f>"Countryman"</f>
        <v>Countryman</v>
      </c>
    </row>
    <row r="1714" spans="1:4" x14ac:dyDescent="0.2">
      <c r="A1714" t="str">
        <f>"1713"</f>
        <v>1713</v>
      </c>
      <c r="B1714" t="str">
        <f>"-0.11"</f>
        <v>-0.11</v>
      </c>
      <c r="C1714" t="str">
        <f>"64"</f>
        <v>64</v>
      </c>
      <c r="D1714" t="str">
        <f>"Whatever: The 90s Box Set"</f>
        <v>Whatever: The 90s Box Set</v>
      </c>
    </row>
    <row r="1715" spans="1:4" x14ac:dyDescent="0.2">
      <c r="A1715" t="str">
        <f>"1714"</f>
        <v>1714</v>
      </c>
      <c r="B1715" t="str">
        <f>"0.02"</f>
        <v>0.02</v>
      </c>
      <c r="C1715" t="str">
        <f>"38"</f>
        <v>38</v>
      </c>
      <c r="D1715" t="str">
        <f>"There's a Fire"</f>
        <v>There's a Fire</v>
      </c>
    </row>
    <row r="1716" spans="1:4" x14ac:dyDescent="0.2">
      <c r="A1716" t="str">
        <f>"1715"</f>
        <v>1715</v>
      </c>
      <c r="B1716" t="str">
        <f>"1.13"</f>
        <v>1.13</v>
      </c>
      <c r="C1716" t="str">
        <f>"21"</f>
        <v>21</v>
      </c>
      <c r="D1716" t="str">
        <f>"Vol. 1"</f>
        <v>Vol. 1</v>
      </c>
    </row>
    <row r="1717" spans="1:4" x14ac:dyDescent="0.2">
      <c r="A1717" t="str">
        <f>"1716"</f>
        <v>1716</v>
      </c>
      <c r="B1717" t="str">
        <f>"-0.15"</f>
        <v>-0.15</v>
      </c>
      <c r="C1717" t="str">
        <f>"57"</f>
        <v>57</v>
      </c>
      <c r="D1717" t="str">
        <f>"Little Chills"</f>
        <v>Little Chills</v>
      </c>
    </row>
    <row r="1718" spans="1:4" x14ac:dyDescent="0.2">
      <c r="A1718" t="str">
        <f>"1717"</f>
        <v>1717</v>
      </c>
      <c r="B1718" t="str">
        <f>"-0.17"</f>
        <v>-0.17</v>
      </c>
      <c r="C1718" t="str">
        <f>"54"</f>
        <v>54</v>
      </c>
      <c r="D1718" t="str">
        <f>"Skeleton Jar"</f>
        <v>Skeleton Jar</v>
      </c>
    </row>
    <row r="1719" spans="1:4" x14ac:dyDescent="0.2">
      <c r="A1719" t="str">
        <f>"1718"</f>
        <v>1718</v>
      </c>
      <c r="B1719" t="str">
        <f>"-0.7"</f>
        <v>-0.7</v>
      </c>
      <c r="C1719" t="str">
        <f>"89"</f>
        <v>89</v>
      </c>
      <c r="D1719" t="str">
        <f>"Secret House Against the World"</f>
        <v>Secret House Against the World</v>
      </c>
    </row>
    <row r="1720" spans="1:4" x14ac:dyDescent="0.2">
      <c r="A1720" t="str">
        <f>"1719"</f>
        <v>1719</v>
      </c>
      <c r="B1720" t="str">
        <f>"0.48"</f>
        <v>0.48</v>
      </c>
      <c r="C1720" t="str">
        <f>"22"</f>
        <v>22</v>
      </c>
      <c r="D1720" t="str">
        <f>"The Upper Cuts"</f>
        <v>The Upper Cuts</v>
      </c>
    </row>
    <row r="1721" spans="1:4" x14ac:dyDescent="0.2">
      <c r="A1721" t="str">
        <f>"1720"</f>
        <v>1720</v>
      </c>
      <c r="B1721" t="str">
        <f>"-0.99"</f>
        <v>-0.99</v>
      </c>
      <c r="C1721" t="str">
        <f>"53"</f>
        <v>53</v>
      </c>
      <c r="D1721" t="str">
        <f>"Gravity's a Bitch"</f>
        <v>Gravity's a Bitch</v>
      </c>
    </row>
    <row r="1722" spans="1:4" x14ac:dyDescent="0.2">
      <c r="A1722" t="str">
        <f>"1721"</f>
        <v>1721</v>
      </c>
      <c r="B1722" t="str">
        <f>"0.19"</f>
        <v>0.19</v>
      </c>
      <c r="C1722" t="str">
        <f>"29"</f>
        <v>29</v>
      </c>
      <c r="D1722" t="str">
        <f>"A User's Guide to They Might Be Giants"</f>
        <v>A User's Guide to They Might Be Giants</v>
      </c>
    </row>
    <row r="1723" spans="1:4" x14ac:dyDescent="0.2">
      <c r="A1723" t="str">
        <f>"1722"</f>
        <v>1722</v>
      </c>
      <c r="B1723" t="str">
        <f>"-0.91"</f>
        <v>-0.91</v>
      </c>
      <c r="C1723" t="str">
        <f>"16"</f>
        <v>16</v>
      </c>
      <c r="D1723" t="str">
        <f>"Victim of Space"</f>
        <v>Victim of Space</v>
      </c>
    </row>
    <row r="1724" spans="1:4" x14ac:dyDescent="0.2">
      <c r="A1724" t="str">
        <f>"1723"</f>
        <v>1723</v>
      </c>
      <c r="B1724" t="str">
        <f>"-0.41"</f>
        <v>-0.41</v>
      </c>
      <c r="C1724" t="str">
        <f>"60"</f>
        <v>60</v>
      </c>
      <c r="D1724" t="str">
        <f>"Miasma"</f>
        <v>Miasma</v>
      </c>
    </row>
    <row r="1725" spans="1:4" x14ac:dyDescent="0.2">
      <c r="A1725" t="str">
        <f>"1724"</f>
        <v>1724</v>
      </c>
      <c r="B1725" t="str">
        <f>"0.17"</f>
        <v>0.17</v>
      </c>
      <c r="C1725" t="str">
        <f>"32"</f>
        <v>32</v>
      </c>
      <c r="D1725" t="str">
        <f>"Home Sweet Home"</f>
        <v>Home Sweet Home</v>
      </c>
    </row>
    <row r="1726" spans="1:4" x14ac:dyDescent="0.2">
      <c r="A1726" t="str">
        <f>"1725"</f>
        <v>1725</v>
      </c>
      <c r="B1726" t="str">
        <f>"-0.28"</f>
        <v>-0.28</v>
      </c>
      <c r="C1726" t="str">
        <f>"93"</f>
        <v>93</v>
      </c>
      <c r="D1726" t="str">
        <f>"New Waves"</f>
        <v>New Waves</v>
      </c>
    </row>
    <row r="1727" spans="1:4" x14ac:dyDescent="0.2">
      <c r="A1727" t="str">
        <f>"1726"</f>
        <v>1726</v>
      </c>
      <c r="B1727" t="str">
        <f>"0.87"</f>
        <v>0.87</v>
      </c>
      <c r="C1727" t="str">
        <f>"36"</f>
        <v>36</v>
      </c>
      <c r="D1727" t="str">
        <f>"Less Than Human"</f>
        <v>Less Than Human</v>
      </c>
    </row>
    <row r="1728" spans="1:4" x14ac:dyDescent="0.2">
      <c r="A1728" t="str">
        <f>"1727"</f>
        <v>1727</v>
      </c>
      <c r="B1728" t="str">
        <f>"-0.68"</f>
        <v>-0.68</v>
      </c>
      <c r="C1728" t="str">
        <f>"45"</f>
        <v>45</v>
      </c>
      <c r="D1728" t="str">
        <f>"Cochin Moon"</f>
        <v>Cochin Moon</v>
      </c>
    </row>
    <row r="1729" spans="1:4" x14ac:dyDescent="0.2">
      <c r="A1729" t="str">
        <f>"1728"</f>
        <v>1728</v>
      </c>
      <c r="B1729" t="str">
        <f>"-0.16"</f>
        <v>-0.16</v>
      </c>
      <c r="C1729" t="str">
        <f>"56"</f>
        <v>56</v>
      </c>
      <c r="D1729" t="str">
        <f>"We Are Little Barrie"</f>
        <v>We Are Little Barrie</v>
      </c>
    </row>
    <row r="1730" spans="1:4" x14ac:dyDescent="0.2">
      <c r="A1730" t="str">
        <f>"1729"</f>
        <v>1729</v>
      </c>
      <c r="B1730" t="str">
        <f>"0.7"</f>
        <v>0.7</v>
      </c>
      <c r="C1730" t="str">
        <f>"16"</f>
        <v>16</v>
      </c>
      <c r="D1730" t="str">
        <f>"Honeycomb"</f>
        <v>Honeycomb</v>
      </c>
    </row>
    <row r="1731" spans="1:4" x14ac:dyDescent="0.2">
      <c r="A1731" t="str">
        <f>"1730"</f>
        <v>1730</v>
      </c>
      <c r="B1731" t="str">
        <f>"-0.21"</f>
        <v>-0.21</v>
      </c>
      <c r="C1731" t="str">
        <f>"28"</f>
        <v>28</v>
      </c>
      <c r="D1731" t="s">
        <v>49</v>
      </c>
    </row>
    <row r="1732" spans="1:4" x14ac:dyDescent="0.2">
      <c r="A1732" t="str">
        <f>"1731"</f>
        <v>1731</v>
      </c>
      <c r="B1732" t="str">
        <f>"1.14"</f>
        <v>1.14</v>
      </c>
      <c r="C1732" t="str">
        <f>"13"</f>
        <v>13</v>
      </c>
      <c r="D1732" t="str">
        <f>"Further From Grace"</f>
        <v>Further From Grace</v>
      </c>
    </row>
    <row r="1733" spans="1:4" x14ac:dyDescent="0.2">
      <c r="A1733" t="str">
        <f>"1732"</f>
        <v>1732</v>
      </c>
      <c r="B1733" t="str">
        <f>"0.86"</f>
        <v>0.86</v>
      </c>
      <c r="C1733" t="str">
        <f>"16"</f>
        <v>16</v>
      </c>
      <c r="D1733" t="str">
        <f>"Your Favorite People All in One Place"</f>
        <v>Your Favorite People All in One Place</v>
      </c>
    </row>
    <row r="1734" spans="1:4" x14ac:dyDescent="0.2">
      <c r="A1734" t="str">
        <f>"1733"</f>
        <v>1733</v>
      </c>
      <c r="B1734" t="str">
        <f>"0.01"</f>
        <v>0.01</v>
      </c>
      <c r="C1734" t="str">
        <f>"17"</f>
        <v>17</v>
      </c>
      <c r="D1734" t="str">
        <f>"The Selfish Mirror"</f>
        <v>The Selfish Mirror</v>
      </c>
    </row>
    <row r="1735" spans="1:4" x14ac:dyDescent="0.2">
      <c r="A1735" t="str">
        <f>"1734"</f>
        <v>1734</v>
      </c>
      <c r="B1735" t="str">
        <f>"0.27"</f>
        <v>0.27</v>
      </c>
      <c r="C1735" t="str">
        <f>"41"</f>
        <v>41</v>
      </c>
      <c r="D1735" t="str">
        <f>"Layourbattleaxedown"</f>
        <v>Layourbattleaxedown</v>
      </c>
    </row>
    <row r="1736" spans="1:4" x14ac:dyDescent="0.2">
      <c r="A1736" t="str">
        <f>"1735"</f>
        <v>1735</v>
      </c>
      <c r="B1736" t="str">
        <f>"-0.04"</f>
        <v>-0.04</v>
      </c>
      <c r="C1736" t="str">
        <f>"19"</f>
        <v>19</v>
      </c>
      <c r="D1736" t="str">
        <f>"China Is Near"</f>
        <v>China Is Near</v>
      </c>
    </row>
    <row r="1737" spans="1:4" x14ac:dyDescent="0.2">
      <c r="A1737" t="str">
        <f>"1736"</f>
        <v>1736</v>
      </c>
      <c r="B1737" t="str">
        <f>"0.37"</f>
        <v>0.37</v>
      </c>
      <c r="C1737" t="str">
        <f>"38"</f>
        <v>38</v>
      </c>
      <c r="D1737" t="str">
        <f>"The Message"</f>
        <v>The Message</v>
      </c>
    </row>
    <row r="1738" spans="1:4" x14ac:dyDescent="0.2">
      <c r="A1738" t="str">
        <f>"1737"</f>
        <v>1737</v>
      </c>
      <c r="B1738" t="str">
        <f>"-0.3"</f>
        <v>-0.3</v>
      </c>
      <c r="C1738" t="str">
        <f>"35"</f>
        <v>35</v>
      </c>
      <c r="D1738" t="str">
        <f>"Okemah and the Melody of Riot"</f>
        <v>Okemah and the Melody of Riot</v>
      </c>
    </row>
    <row r="1739" spans="1:4" x14ac:dyDescent="0.2">
      <c r="A1739" t="str">
        <f>"1738"</f>
        <v>1738</v>
      </c>
      <c r="B1739" t="str">
        <f>"0.29"</f>
        <v>0.29</v>
      </c>
      <c r="C1739" t="str">
        <f>"43"</f>
        <v>43</v>
      </c>
      <c r="D1739" t="str">
        <f>"Aurora"</f>
        <v>Aurora</v>
      </c>
    </row>
    <row r="1740" spans="1:4" x14ac:dyDescent="0.2">
      <c r="A1740" t="str">
        <f>"1739"</f>
        <v>1739</v>
      </c>
      <c r="B1740" t="str">
        <f>"-0.02"</f>
        <v>-0.02</v>
      </c>
      <c r="C1740" t="str">
        <f>"52"</f>
        <v>52</v>
      </c>
      <c r="D1740" t="str">
        <f>"La Forêt"</f>
        <v>La Forêt</v>
      </c>
    </row>
    <row r="1741" spans="1:4" x14ac:dyDescent="0.2">
      <c r="A1741" t="str">
        <f>"1740"</f>
        <v>1740</v>
      </c>
      <c r="B1741" t="str">
        <f>"-0.31"</f>
        <v>-0.31</v>
      </c>
      <c r="C1741" t="str">
        <f>"98"</f>
        <v>98</v>
      </c>
      <c r="D1741" t="str">
        <f>"The Acrobat"</f>
        <v>The Acrobat</v>
      </c>
    </row>
    <row r="1742" spans="1:4" x14ac:dyDescent="0.2">
      <c r="A1742" t="str">
        <f>"1741"</f>
        <v>1741</v>
      </c>
      <c r="B1742" t="str">
        <f>"-0.92"</f>
        <v>-0.92</v>
      </c>
      <c r="C1742" t="str">
        <f>"23"</f>
        <v>23</v>
      </c>
      <c r="D1742" t="str">
        <f>"Songs of Muerto County"</f>
        <v>Songs of Muerto County</v>
      </c>
    </row>
    <row r="1743" spans="1:4" x14ac:dyDescent="0.2">
      <c r="A1743" t="str">
        <f>"1742"</f>
        <v>1742</v>
      </c>
      <c r="B1743" t="str">
        <f>"0.28"</f>
        <v>0.28</v>
      </c>
      <c r="C1743" t="str">
        <f>"67"</f>
        <v>67</v>
      </c>
      <c r="D1743" t="str">
        <f>"De Nova"</f>
        <v>De Nova</v>
      </c>
    </row>
    <row r="1744" spans="1:4" x14ac:dyDescent="0.2">
      <c r="A1744" t="str">
        <f>"1743"</f>
        <v>1743</v>
      </c>
      <c r="B1744" t="str">
        <f>"0.62"</f>
        <v>0.62</v>
      </c>
      <c r="C1744" t="str">
        <f>"52"</f>
        <v>52</v>
      </c>
      <c r="D1744" t="str">
        <f>"Reads the Books EP"</f>
        <v>Reads the Books EP</v>
      </c>
    </row>
    <row r="1745" spans="1:4" x14ac:dyDescent="0.2">
      <c r="A1745" t="str">
        <f>"1744"</f>
        <v>1744</v>
      </c>
      <c r="B1745" t="str">
        <f>"-0.25"</f>
        <v>-0.25</v>
      </c>
      <c r="C1745" t="str">
        <f>"71"</f>
        <v>71</v>
      </c>
      <c r="D1745" t="str">
        <f>"Triple P"</f>
        <v>Triple P</v>
      </c>
    </row>
    <row r="1746" spans="1:4" x14ac:dyDescent="0.2">
      <c r="A1746" t="str">
        <f>"1745"</f>
        <v>1745</v>
      </c>
      <c r="B1746" t="str">
        <f>"0.4"</f>
        <v>0.4</v>
      </c>
      <c r="C1746" t="str">
        <f>"36"</f>
        <v>36</v>
      </c>
      <c r="D1746" t="str">
        <f>"The Best of Femi Kuti"</f>
        <v>The Best of Femi Kuti</v>
      </c>
    </row>
    <row r="1747" spans="1:4" x14ac:dyDescent="0.2">
      <c r="A1747" t="str">
        <f>"1746"</f>
        <v>1746</v>
      </c>
      <c r="B1747" t="str">
        <f>"0"</f>
        <v>0</v>
      </c>
      <c r="C1747" t="str">
        <f>"47"</f>
        <v>47</v>
      </c>
      <c r="D1747" t="str">
        <f>"Tales From the Sitting Room"</f>
        <v>Tales From the Sitting Room</v>
      </c>
    </row>
    <row r="1748" spans="1:4" x14ac:dyDescent="0.2">
      <c r="A1748" t="str">
        <f>"1747"</f>
        <v>1747</v>
      </c>
      <c r="B1748" t="str">
        <f>"0.18"</f>
        <v>0.18</v>
      </c>
      <c r="C1748" t="str">
        <f>"30"</f>
        <v>30</v>
      </c>
      <c r="D1748" t="str">
        <f>"Sir Dark Invader vs. the Fanglord"</f>
        <v>Sir Dark Invader vs. the Fanglord</v>
      </c>
    </row>
    <row r="1749" spans="1:4" x14ac:dyDescent="0.2">
      <c r="A1749" t="str">
        <f>"1748"</f>
        <v>1748</v>
      </c>
      <c r="B1749" t="str">
        <f>"0.62"</f>
        <v>0.62</v>
      </c>
      <c r="C1749" t="str">
        <f>"62"</f>
        <v>62</v>
      </c>
      <c r="D1749" t="str">
        <f>"Future Days"</f>
        <v>Future Days</v>
      </c>
    </row>
    <row r="1750" spans="1:4" x14ac:dyDescent="0.2">
      <c r="A1750" t="str">
        <f>"1749"</f>
        <v>1749</v>
      </c>
      <c r="B1750" t="str">
        <f>"-0.68"</f>
        <v>-0.68</v>
      </c>
      <c r="C1750" t="str">
        <f>"29"</f>
        <v>29</v>
      </c>
      <c r="D1750" t="str">
        <f>"Already Platinum"</f>
        <v>Already Platinum</v>
      </c>
    </row>
    <row r="1751" spans="1:4" x14ac:dyDescent="0.2">
      <c r="A1751" t="str">
        <f>"1750"</f>
        <v>1750</v>
      </c>
      <c r="B1751" t="str">
        <f>"1.03"</f>
        <v>1.03</v>
      </c>
      <c r="C1751" t="str">
        <f>"31"</f>
        <v>31</v>
      </c>
      <c r="D1751" t="str">
        <f>"The Understanding"</f>
        <v>The Understanding</v>
      </c>
    </row>
    <row r="1752" spans="1:4" x14ac:dyDescent="0.2">
      <c r="A1752" t="str">
        <f>"1751"</f>
        <v>1751</v>
      </c>
      <c r="B1752" t="str">
        <f>"1.2"</f>
        <v>1.2</v>
      </c>
      <c r="C1752" t="str">
        <f>"64"</f>
        <v>64</v>
      </c>
      <c r="D1752" t="str">
        <f>"Disaffected"</f>
        <v>Disaffected</v>
      </c>
    </row>
    <row r="1753" spans="1:4" x14ac:dyDescent="0.2">
      <c r="A1753" t="str">
        <f>"1752"</f>
        <v>1752</v>
      </c>
      <c r="B1753" t="str">
        <f>"0.93"</f>
        <v>0.93</v>
      </c>
      <c r="C1753" t="str">
        <f>"45"</f>
        <v>45</v>
      </c>
      <c r="D1753" t="str">
        <f>"North Pole"</f>
        <v>North Pole</v>
      </c>
    </row>
    <row r="1754" spans="1:4" x14ac:dyDescent="0.2">
      <c r="A1754" t="str">
        <f>"1753"</f>
        <v>1753</v>
      </c>
      <c r="B1754" t="str">
        <f>"-0.25"</f>
        <v>-0.25</v>
      </c>
      <c r="C1754" t="str">
        <f>"89"</f>
        <v>89</v>
      </c>
      <c r="D1754" t="str">
        <f>"Snake's Got a Leg"</f>
        <v>Snake's Got a Leg</v>
      </c>
    </row>
    <row r="1755" spans="1:4" x14ac:dyDescent="0.2">
      <c r="A1755" t="str">
        <f>"1754"</f>
        <v>1754</v>
      </c>
      <c r="B1755" t="str">
        <f>"-0.17"</f>
        <v>-0.17</v>
      </c>
      <c r="C1755" t="str">
        <f>"55"</f>
        <v>55</v>
      </c>
      <c r="D1755" t="str">
        <f>"Five"</f>
        <v>Five</v>
      </c>
    </row>
    <row r="1756" spans="1:4" x14ac:dyDescent="0.2">
      <c r="A1756" t="str">
        <f>"1755"</f>
        <v>1755</v>
      </c>
      <c r="B1756" t="str">
        <f>"-0.63"</f>
        <v>-0.63</v>
      </c>
      <c r="C1756" t="str">
        <f>"27"</f>
        <v>27</v>
      </c>
      <c r="D1756" t="str">
        <f>"Arcade Fire EP"</f>
        <v>Arcade Fire EP</v>
      </c>
    </row>
    <row r="1757" spans="1:4" x14ac:dyDescent="0.2">
      <c r="A1757" t="str">
        <f>"1756"</f>
        <v>1756</v>
      </c>
      <c r="B1757" t="str">
        <f>"-0.21"</f>
        <v>-0.21</v>
      </c>
      <c r="C1757" t="str">
        <f>"36"</f>
        <v>36</v>
      </c>
      <c r="D1757" t="str">
        <f>"The Psychedelic Sounds of..."</f>
        <v>The Psychedelic Sounds of...</v>
      </c>
    </row>
    <row r="1758" spans="1:4" x14ac:dyDescent="0.2">
      <c r="A1758" t="str">
        <f>"1757"</f>
        <v>1757</v>
      </c>
      <c r="B1758" t="str">
        <f>"1.12"</f>
        <v>1.12</v>
      </c>
      <c r="C1758" t="str">
        <f>"63"</f>
        <v>63</v>
      </c>
      <c r="D1758" t="str">
        <f>"Regions Less Parallel: Early Works &amp; Rarities MCMXCVI-MMIV"</f>
        <v>Regions Less Parallel: Early Works &amp; Rarities MCMXCVI-MMIV</v>
      </c>
    </row>
    <row r="1759" spans="1:4" x14ac:dyDescent="0.2">
      <c r="A1759" t="str">
        <f>"1758"</f>
        <v>1758</v>
      </c>
      <c r="B1759" t="str">
        <f>"-1.61"</f>
        <v>-1.61</v>
      </c>
      <c r="C1759" t="str">
        <f>"26"</f>
        <v>26</v>
      </c>
      <c r="D1759" t="str">
        <f>"U.S.A. (United State of Atlanta)"</f>
        <v>U.S.A. (United State of Atlanta)</v>
      </c>
    </row>
    <row r="1760" spans="1:4" x14ac:dyDescent="0.2">
      <c r="A1760" t="str">
        <f>"1759"</f>
        <v>1759</v>
      </c>
      <c r="B1760" t="str">
        <f>"-0.56"</f>
        <v>-0.56</v>
      </c>
      <c r="C1760" t="str">
        <f>"15"</f>
        <v>15</v>
      </c>
      <c r="D1760" t="str">
        <f>"Jesüs Chryst"</f>
        <v>Jesüs Chryst</v>
      </c>
    </row>
    <row r="1761" spans="1:4" x14ac:dyDescent="0.2">
      <c r="A1761" t="str">
        <f>"1760"</f>
        <v>1760</v>
      </c>
      <c r="B1761" t="str">
        <f>"1.01"</f>
        <v>1.01</v>
      </c>
      <c r="C1761" t="str">
        <f>"28"</f>
        <v>28</v>
      </c>
      <c r="D1761" t="str">
        <f>"Ruby Blue"</f>
        <v>Ruby Blue</v>
      </c>
    </row>
    <row r="1762" spans="1:4" x14ac:dyDescent="0.2">
      <c r="A1762" t="str">
        <f>"1761"</f>
        <v>1761</v>
      </c>
      <c r="B1762" t="str">
        <f>"0.99"</f>
        <v>0.99</v>
      </c>
      <c r="C1762" t="str">
        <f>"56"</f>
        <v>56</v>
      </c>
      <c r="D1762" t="str">
        <f>"Wolf Parade EP"</f>
        <v>Wolf Parade EP</v>
      </c>
    </row>
    <row r="1763" spans="1:4" x14ac:dyDescent="0.2">
      <c r="A1763" t="str">
        <f>"1762"</f>
        <v>1762</v>
      </c>
      <c r="B1763" t="str">
        <f>"-0.35"</f>
        <v>-0.35</v>
      </c>
      <c r="C1763" t="str">
        <f>"23"</f>
        <v>23</v>
      </c>
      <c r="D1763" t="str">
        <f>"Collapsar"</f>
        <v>Collapsar</v>
      </c>
    </row>
    <row r="1764" spans="1:4" x14ac:dyDescent="0.2">
      <c r="A1764" t="str">
        <f>"1763"</f>
        <v>1763</v>
      </c>
      <c r="B1764" t="str">
        <f>"0.35"</f>
        <v>0.35</v>
      </c>
      <c r="C1764" t="str">
        <f>"16"</f>
        <v>16</v>
      </c>
      <c r="D1764" t="str">
        <f>"Donkey Stock"</f>
        <v>Donkey Stock</v>
      </c>
    </row>
    <row r="1765" spans="1:4" x14ac:dyDescent="0.2">
      <c r="A1765" t="str">
        <f>"1764"</f>
        <v>1764</v>
      </c>
      <c r="B1765" t="str">
        <f>"0.06"</f>
        <v>0.06</v>
      </c>
      <c r="C1765" t="str">
        <f>"16"</f>
        <v>16</v>
      </c>
      <c r="D1765" t="str">
        <f>"The Aether Eater"</f>
        <v>The Aether Eater</v>
      </c>
    </row>
    <row r="1766" spans="1:4" x14ac:dyDescent="0.2">
      <c r="A1766" t="str">
        <f>"1765"</f>
        <v>1765</v>
      </c>
      <c r="B1766" t="str">
        <f>"0.23"</f>
        <v>0.23</v>
      </c>
      <c r="C1766" t="str">
        <f>"59"</f>
        <v>59</v>
      </c>
      <c r="D1766" t="str">
        <f>"The Cookbook"</f>
        <v>The Cookbook</v>
      </c>
    </row>
    <row r="1767" spans="1:4" x14ac:dyDescent="0.2">
      <c r="A1767" t="str">
        <f>"1766"</f>
        <v>1766</v>
      </c>
      <c r="B1767" t="str">
        <f>"-0.07"</f>
        <v>-0.07</v>
      </c>
      <c r="C1767" t="str">
        <f>"133"</f>
        <v>133</v>
      </c>
      <c r="D1767" t="str">
        <f>"RWD Magazine Mixtape Vol. 1"</f>
        <v>RWD Magazine Mixtape Vol. 1</v>
      </c>
    </row>
    <row r="1768" spans="1:4" x14ac:dyDescent="0.2">
      <c r="A1768" t="str">
        <f>"1767"</f>
        <v>1767</v>
      </c>
      <c r="B1768" t="str">
        <f>"0.37"</f>
        <v>0.37</v>
      </c>
      <c r="C1768" t="str">
        <f>"72"</f>
        <v>72</v>
      </c>
      <c r="D1768" t="str">
        <f>"A Good Ground"</f>
        <v>A Good Ground</v>
      </c>
    </row>
    <row r="1769" spans="1:4" x14ac:dyDescent="0.2">
      <c r="A1769" t="str">
        <f>"1768"</f>
        <v>1768</v>
      </c>
      <c r="B1769" t="str">
        <f>"0.21"</f>
        <v>0.21</v>
      </c>
      <c r="C1769" t="str">
        <f>"21"</f>
        <v>21</v>
      </c>
      <c r="D1769" t="str">
        <f>"Zweite Meer"</f>
        <v>Zweite Meer</v>
      </c>
    </row>
    <row r="1770" spans="1:4" x14ac:dyDescent="0.2">
      <c r="A1770" t="str">
        <f>"1769"</f>
        <v>1769</v>
      </c>
      <c r="B1770" t="str">
        <f>"0.94"</f>
        <v>0.94</v>
      </c>
      <c r="C1770" t="str">
        <f>"53"</f>
        <v>53</v>
      </c>
      <c r="D1770" t="str">
        <f>"Give Me All Your Money"</f>
        <v>Give Me All Your Money</v>
      </c>
    </row>
    <row r="1771" spans="1:4" x14ac:dyDescent="0.2">
      <c r="A1771" t="str">
        <f>"1770"</f>
        <v>1770</v>
      </c>
      <c r="B1771" t="str">
        <f>"-0.35"</f>
        <v>-0.35</v>
      </c>
      <c r="C1771" t="str">
        <f>"61"</f>
        <v>61</v>
      </c>
      <c r="D1771" t="str">
        <f>"TP3 Reloaded"</f>
        <v>TP3 Reloaded</v>
      </c>
    </row>
    <row r="1772" spans="1:4" x14ac:dyDescent="0.2">
      <c r="A1772" t="str">
        <f>"1771"</f>
        <v>1771</v>
      </c>
      <c r="B1772" t="str">
        <f>"-0.44"</f>
        <v>-0.44</v>
      </c>
      <c r="C1772" t="str">
        <f>"89"</f>
        <v>89</v>
      </c>
      <c r="D1772" t="str">
        <f>"Hex Enduction Hour"</f>
        <v>Hex Enduction Hour</v>
      </c>
    </row>
    <row r="1773" spans="1:4" x14ac:dyDescent="0.2">
      <c r="A1773" t="str">
        <f>"1772"</f>
        <v>1772</v>
      </c>
      <c r="B1773" t="str">
        <f>"-0.68"</f>
        <v>-0.68</v>
      </c>
      <c r="C1773" t="str">
        <f>"72"</f>
        <v>72</v>
      </c>
      <c r="D1773" t="str">
        <f>"Rumblings"</f>
        <v>Rumblings</v>
      </c>
    </row>
    <row r="1774" spans="1:4" x14ac:dyDescent="0.2">
      <c r="A1774" t="str">
        <f>"1773"</f>
        <v>1773</v>
      </c>
      <c r="B1774" t="str">
        <f>"0.21"</f>
        <v>0.21</v>
      </c>
      <c r="C1774" t="str">
        <f>"61"</f>
        <v>61</v>
      </c>
      <c r="D1774" t="str">
        <f>"Git"</f>
        <v>Git</v>
      </c>
    </row>
    <row r="1775" spans="1:4" x14ac:dyDescent="0.2">
      <c r="A1775" t="str">
        <f>"1774"</f>
        <v>1774</v>
      </c>
      <c r="B1775" t="str">
        <f>"0.26"</f>
        <v>0.26</v>
      </c>
      <c r="C1775" t="str">
        <f>"72"</f>
        <v>72</v>
      </c>
      <c r="D1775" t="str">
        <f>"The View From the Floor"</f>
        <v>The View From the Floor</v>
      </c>
    </row>
    <row r="1776" spans="1:4" x14ac:dyDescent="0.2">
      <c r="A1776" t="str">
        <f>"1775"</f>
        <v>1775</v>
      </c>
      <c r="B1776" t="str">
        <f>"0.85"</f>
        <v>0.85</v>
      </c>
      <c r="C1776" t="str">
        <f>"42"</f>
        <v>42</v>
      </c>
      <c r="D1776" t="str">
        <f>"Illinois"</f>
        <v>Illinois</v>
      </c>
    </row>
    <row r="1777" spans="1:4" x14ac:dyDescent="0.2">
      <c r="A1777" t="str">
        <f>"1776"</f>
        <v>1776</v>
      </c>
      <c r="B1777" t="str">
        <f>"-0.08"</f>
        <v>-0.08</v>
      </c>
      <c r="C1777" t="str">
        <f>"24"</f>
        <v>24</v>
      </c>
      <c r="D1777" t="str">
        <f>"Multiply"</f>
        <v>Multiply</v>
      </c>
    </row>
    <row r="1778" spans="1:4" x14ac:dyDescent="0.2">
      <c r="A1778" t="str">
        <f>"1777"</f>
        <v>1777</v>
      </c>
      <c r="B1778" t="str">
        <f>"-0.38"</f>
        <v>-0.38</v>
      </c>
      <c r="C1778" t="str">
        <f>"17"</f>
        <v>17</v>
      </c>
      <c r="D1778" t="str">
        <f>"Tarpit"</f>
        <v>Tarpit</v>
      </c>
    </row>
    <row r="1779" spans="1:4" x14ac:dyDescent="0.2">
      <c r="A1779" t="str">
        <f>"1778"</f>
        <v>1778</v>
      </c>
      <c r="B1779" t="str">
        <f>"-0.36"</f>
        <v>-0.36</v>
      </c>
      <c r="C1779" t="str">
        <f>"18"</f>
        <v>18</v>
      </c>
      <c r="D1779" t="str">
        <f>"You Absorb My Vision"</f>
        <v>You Absorb My Vision</v>
      </c>
    </row>
    <row r="1780" spans="1:4" x14ac:dyDescent="0.2">
      <c r="A1780" t="str">
        <f>"1779"</f>
        <v>1779</v>
      </c>
      <c r="B1780" t="str">
        <f>"-0.17"</f>
        <v>-0.17</v>
      </c>
      <c r="C1780" t="str">
        <f>"53"</f>
        <v>53</v>
      </c>
      <c r="D1780" t="str">
        <f>"Forgotten Foundation"</f>
        <v>Forgotten Foundation</v>
      </c>
    </row>
    <row r="1781" spans="1:4" x14ac:dyDescent="0.2">
      <c r="A1781" t="str">
        <f>"1780"</f>
        <v>1780</v>
      </c>
      <c r="B1781" t="str">
        <f>"-0.66"</f>
        <v>-0.66</v>
      </c>
      <c r="C1781" t="str">
        <f>"37"</f>
        <v>37</v>
      </c>
      <c r="D1781" t="str">
        <f>"Psyche Out"</f>
        <v>Psyche Out</v>
      </c>
    </row>
    <row r="1782" spans="1:4" x14ac:dyDescent="0.2">
      <c r="A1782" t="str">
        <f>"1781"</f>
        <v>1781</v>
      </c>
      <c r="B1782" t="str">
        <f>"-0.82"</f>
        <v>-0.82</v>
      </c>
      <c r="C1782" t="str">
        <f>"75"</f>
        <v>75</v>
      </c>
      <c r="D1782" t="str">
        <f>"The Ultimate Collection"</f>
        <v>The Ultimate Collection</v>
      </c>
    </row>
    <row r="1783" spans="1:4" x14ac:dyDescent="0.2">
      <c r="A1783" t="str">
        <f>"1782"</f>
        <v>1782</v>
      </c>
      <c r="B1783" t="str">
        <f>"0.79"</f>
        <v>0.79</v>
      </c>
      <c r="C1783" t="str">
        <f>"29"</f>
        <v>29</v>
      </c>
      <c r="D1783" t="s">
        <v>50</v>
      </c>
    </row>
    <row r="1784" spans="1:4" x14ac:dyDescent="0.2">
      <c r="A1784" t="str">
        <f>"1783"</f>
        <v>1783</v>
      </c>
      <c r="B1784" t="str">
        <f>"0.3"</f>
        <v>0.3</v>
      </c>
      <c r="C1784" t="str">
        <f>"58"</f>
        <v>58</v>
      </c>
      <c r="D1784" t="str">
        <f>"The Wedding"</f>
        <v>The Wedding</v>
      </c>
    </row>
    <row r="1785" spans="1:4" x14ac:dyDescent="0.2">
      <c r="A1785" t="str">
        <f>"1784"</f>
        <v>1784</v>
      </c>
      <c r="B1785" t="str">
        <f>"0.88"</f>
        <v>0.88</v>
      </c>
      <c r="C1785" t="str">
        <f>"26"</f>
        <v>26</v>
      </c>
      <c r="D1785" t="str">
        <f>"Besterberg: The Best of Paul Westerberg"</f>
        <v>Besterberg: The Best of Paul Westerberg</v>
      </c>
    </row>
    <row r="1786" spans="1:4" x14ac:dyDescent="0.2">
      <c r="A1786" t="str">
        <f>"1785"</f>
        <v>1785</v>
      </c>
      <c r="B1786" t="str">
        <f>"-1.02"</f>
        <v>-1.02</v>
      </c>
      <c r="C1786" t="str">
        <f>"102"</f>
        <v>102</v>
      </c>
      <c r="D1786" t="str">
        <f>"Favela Strikes Back"</f>
        <v>Favela Strikes Back</v>
      </c>
    </row>
    <row r="1787" spans="1:4" x14ac:dyDescent="0.2">
      <c r="A1787" t="str">
        <f>"1786"</f>
        <v>1786</v>
      </c>
      <c r="B1787" t="str">
        <f>"0.49"</f>
        <v>0.49</v>
      </c>
      <c r="C1787" t="str">
        <f>"26"</f>
        <v>26</v>
      </c>
      <c r="D1787" t="str">
        <f>"Don't Save Us From the Flames"</f>
        <v>Don't Save Us From the Flames</v>
      </c>
    </row>
    <row r="1788" spans="1:4" x14ac:dyDescent="0.2">
      <c r="A1788" t="str">
        <f>"1787"</f>
        <v>1787</v>
      </c>
      <c r="B1788" t="str">
        <f>"0.37"</f>
        <v>0.37</v>
      </c>
      <c r="C1788" t="str">
        <f>"151"</f>
        <v>151</v>
      </c>
      <c r="D1788" t="str">
        <f>"You Can Get It If You Really Want"</f>
        <v>You Can Get It If You Really Want</v>
      </c>
    </row>
    <row r="1789" spans="1:4" x14ac:dyDescent="0.2">
      <c r="A1789" t="str">
        <f>"1788"</f>
        <v>1788</v>
      </c>
      <c r="B1789" t="str">
        <f>"0.5"</f>
        <v>0.5</v>
      </c>
      <c r="C1789" t="str">
        <f>"13"</f>
        <v>13</v>
      </c>
      <c r="D1789" t="str">
        <f>"Spry From Bitter Anise Folds"</f>
        <v>Spry From Bitter Anise Folds</v>
      </c>
    </row>
    <row r="1790" spans="1:4" x14ac:dyDescent="0.2">
      <c r="A1790" t="str">
        <f>"1789"</f>
        <v>1789</v>
      </c>
      <c r="B1790" t="str">
        <f>"0.64"</f>
        <v>0.64</v>
      </c>
      <c r="C1790" t="str">
        <f>"52"</f>
        <v>52</v>
      </c>
      <c r="D1790" t="str">
        <f>"No Wait Wait"</f>
        <v>No Wait Wait</v>
      </c>
    </row>
    <row r="1791" spans="1:4" x14ac:dyDescent="0.2">
      <c r="A1791" t="str">
        <f>"1790"</f>
        <v>1790</v>
      </c>
      <c r="B1791" t="str">
        <f>"-0.72"</f>
        <v>-0.72</v>
      </c>
      <c r="C1791" t="str">
        <f>"23"</f>
        <v>23</v>
      </c>
      <c r="D1791" t="str">
        <f>"Out-of-State Plates"</f>
        <v>Out-of-State Plates</v>
      </c>
    </row>
    <row r="1792" spans="1:4" x14ac:dyDescent="0.2">
      <c r="A1792" t="str">
        <f>"1791"</f>
        <v>1791</v>
      </c>
      <c r="B1792" t="str">
        <f>"0.22"</f>
        <v>0.22</v>
      </c>
      <c r="C1792" t="str">
        <f>"143"</f>
        <v>143</v>
      </c>
      <c r="D1792" t="str">
        <f>"Acid: Can U Jack? Chicago Acid and Experimental House 1985-1995"</f>
        <v>Acid: Can U Jack? Chicago Acid and Experimental House 1985-1995</v>
      </c>
    </row>
    <row r="1793" spans="1:4" x14ac:dyDescent="0.2">
      <c r="A1793" t="str">
        <f>"1792"</f>
        <v>1792</v>
      </c>
      <c r="B1793" t="str">
        <f>"0.69"</f>
        <v>0.69</v>
      </c>
      <c r="C1793" t="str">
        <f>"57"</f>
        <v>57</v>
      </c>
      <c r="D1793" t="str">
        <f>"Dark End Road"</f>
        <v>Dark End Road</v>
      </c>
    </row>
    <row r="1794" spans="1:4" x14ac:dyDescent="0.2">
      <c r="A1794" t="str">
        <f>"1793"</f>
        <v>1793</v>
      </c>
      <c r="B1794" t="str">
        <f>"0.09"</f>
        <v>0.09</v>
      </c>
      <c r="C1794" t="str">
        <f>"20"</f>
        <v>20</v>
      </c>
      <c r="D1794" t="str">
        <f>"The Definitive Ol' Dirty Bastard Story"</f>
        <v>The Definitive Ol' Dirty Bastard Story</v>
      </c>
    </row>
    <row r="1795" spans="1:4" x14ac:dyDescent="0.2">
      <c r="A1795" t="str">
        <f>"1794"</f>
        <v>1794</v>
      </c>
      <c r="B1795" t="str">
        <f>"-0.66"</f>
        <v>-0.66</v>
      </c>
      <c r="C1795" t="str">
        <f>"23"</f>
        <v>23</v>
      </c>
      <c r="D1795" t="str">
        <f>"Villains/Reversed"</f>
        <v>Villains/Reversed</v>
      </c>
    </row>
    <row r="1796" spans="1:4" x14ac:dyDescent="0.2">
      <c r="A1796" t="str">
        <f>"1795"</f>
        <v>1795</v>
      </c>
      <c r="B1796" t="str">
        <f>"0.22"</f>
        <v>0.22</v>
      </c>
      <c r="C1796" t="str">
        <f>"117"</f>
        <v>117</v>
      </c>
      <c r="D1796" t="str">
        <f>"The Believer 2005 Music Issue CD"</f>
        <v>The Believer 2005 Music Issue CD</v>
      </c>
    </row>
    <row r="1797" spans="1:4" x14ac:dyDescent="0.2">
      <c r="A1797" t="str">
        <f>"1796"</f>
        <v>1796</v>
      </c>
      <c r="B1797" t="str">
        <f>"1.3"</f>
        <v>1.3</v>
      </c>
      <c r="C1797" t="str">
        <f>"17"</f>
        <v>17</v>
      </c>
      <c r="D1797" t="str">
        <f>"Little Things"</f>
        <v>Little Things</v>
      </c>
    </row>
    <row r="1798" spans="1:4" x14ac:dyDescent="0.2">
      <c r="A1798" t="str">
        <f>"1797"</f>
        <v>1797</v>
      </c>
      <c r="B1798" t="str">
        <f>"-0.02"</f>
        <v>-0.02</v>
      </c>
      <c r="C1798" t="str">
        <f>"64"</f>
        <v>64</v>
      </c>
      <c r="D1798" t="str">
        <f>"Clients"</f>
        <v>Clients</v>
      </c>
    </row>
    <row r="1799" spans="1:4" x14ac:dyDescent="0.2">
      <c r="A1799" t="str">
        <f>"1798"</f>
        <v>1798</v>
      </c>
      <c r="B1799" t="str">
        <f>"-0.77"</f>
        <v>-0.77</v>
      </c>
      <c r="C1799" t="str">
        <f>"55"</f>
        <v>55</v>
      </c>
      <c r="D1799" t="str">
        <f>"Never Let Them Catch You Crying"</f>
        <v>Never Let Them Catch You Crying</v>
      </c>
    </row>
    <row r="1800" spans="1:4" x14ac:dyDescent="0.2">
      <c r="A1800" t="str">
        <f>"1799"</f>
        <v>1799</v>
      </c>
      <c r="B1800" t="str">
        <f>"-0.66"</f>
        <v>-0.66</v>
      </c>
      <c r="C1800" t="str">
        <f>"38"</f>
        <v>38</v>
      </c>
      <c r="D1800" t="str">
        <f>"Heartbeeps EP"</f>
        <v>Heartbeeps EP</v>
      </c>
    </row>
    <row r="1801" spans="1:4" x14ac:dyDescent="0.2">
      <c r="A1801" t="str">
        <f>"1800"</f>
        <v>1800</v>
      </c>
      <c r="B1801" t="str">
        <f>"-1.08"</f>
        <v>-1.08</v>
      </c>
      <c r="C1801" t="str">
        <f>"23"</f>
        <v>23</v>
      </c>
      <c r="D1801" t="str">
        <f>"Vol. 5: The Official"</f>
        <v>Vol. 5: The Official</v>
      </c>
    </row>
    <row r="1802" spans="1:4" x14ac:dyDescent="0.2">
      <c r="A1802" t="str">
        <f>"1801"</f>
        <v>1801</v>
      </c>
      <c r="B1802" t="str">
        <f>"1.04"</f>
        <v>1.04</v>
      </c>
      <c r="C1802" t="str">
        <f>"54"</f>
        <v>54</v>
      </c>
      <c r="D1802" t="str">
        <f>"Yann Tiersen &amp; Shannon Wright"</f>
        <v>Yann Tiersen &amp; Shannon Wright</v>
      </c>
    </row>
    <row r="1803" spans="1:4" x14ac:dyDescent="0.2">
      <c r="A1803" t="str">
        <f>"1802"</f>
        <v>1802</v>
      </c>
      <c r="B1803" t="str">
        <f>"0.99"</f>
        <v>0.99</v>
      </c>
      <c r="C1803" t="str">
        <f>"65"</f>
        <v>65</v>
      </c>
      <c r="D1803" t="str">
        <f>"Bem-Vinda Vontade"</f>
        <v>Bem-Vinda Vontade</v>
      </c>
    </row>
    <row r="1804" spans="1:4" x14ac:dyDescent="0.2">
      <c r="A1804" t="str">
        <f>"1803"</f>
        <v>1803</v>
      </c>
      <c r="B1804" t="str">
        <f>"-0.92"</f>
        <v>-0.92</v>
      </c>
      <c r="C1804" t="str">
        <f>"24"</f>
        <v>24</v>
      </c>
      <c r="D1804" t="str">
        <f>"Señor Smoke"</f>
        <v>Señor Smoke</v>
      </c>
    </row>
    <row r="1805" spans="1:4" x14ac:dyDescent="0.2">
      <c r="A1805" t="str">
        <f>"1804"</f>
        <v>1804</v>
      </c>
      <c r="B1805" t="str">
        <f>"0.12"</f>
        <v>0.12</v>
      </c>
      <c r="C1805" t="str">
        <f>"21"</f>
        <v>21</v>
      </c>
      <c r="D1805" t="str">
        <f>"Everything Ends: Six Feet Under OST Vol. 2"</f>
        <v>Everything Ends: Six Feet Under OST Vol. 2</v>
      </c>
    </row>
    <row r="1806" spans="1:4" x14ac:dyDescent="0.2">
      <c r="A1806" t="str">
        <f>"1805"</f>
        <v>1805</v>
      </c>
      <c r="B1806" t="str">
        <f>"0.02"</f>
        <v>0.02</v>
      </c>
      <c r="C1806" t="str">
        <f>"24"</f>
        <v>24</v>
      </c>
      <c r="D1806" t="str">
        <f>"Wilderness"</f>
        <v>Wilderness</v>
      </c>
    </row>
    <row r="1807" spans="1:4" x14ac:dyDescent="0.2">
      <c r="A1807" t="str">
        <f>"1806"</f>
        <v>1806</v>
      </c>
      <c r="B1807" t="str">
        <f>"-1.36"</f>
        <v>-1.36</v>
      </c>
      <c r="C1807" t="str">
        <f>"24"</f>
        <v>24</v>
      </c>
      <c r="D1807" t="str">
        <f>"Fallow Field"</f>
        <v>Fallow Field</v>
      </c>
    </row>
    <row r="1808" spans="1:4" x14ac:dyDescent="0.2">
      <c r="A1808" t="str">
        <f>"1807"</f>
        <v>1807</v>
      </c>
      <c r="B1808" t="str">
        <f>"0.73"</f>
        <v>0.73</v>
      </c>
      <c r="C1808" t="str">
        <f>"59"</f>
        <v>59</v>
      </c>
      <c r="D1808" t="str">
        <f>"Variations on a Theme"</f>
        <v>Variations on a Theme</v>
      </c>
    </row>
    <row r="1809" spans="1:4" x14ac:dyDescent="0.2">
      <c r="A1809" t="str">
        <f>"1808"</f>
        <v>1808</v>
      </c>
      <c r="B1809" t="str">
        <f>"-1.05"</f>
        <v>-1.05</v>
      </c>
      <c r="C1809" t="str">
        <f>"19"</f>
        <v>19</v>
      </c>
      <c r="D1809" t="str">
        <f>"Constantly Terrified"</f>
        <v>Constantly Terrified</v>
      </c>
    </row>
    <row r="1810" spans="1:4" x14ac:dyDescent="0.2">
      <c r="A1810" t="str">
        <f>"1809"</f>
        <v>1809</v>
      </c>
      <c r="B1810" t="str">
        <f>"1.31"</f>
        <v>1.31</v>
      </c>
      <c r="C1810" t="str">
        <f>"52"</f>
        <v>52</v>
      </c>
      <c r="D1810" t="str">
        <f>"The Heartlight Set"</f>
        <v>The Heartlight Set</v>
      </c>
    </row>
    <row r="1811" spans="1:4" x14ac:dyDescent="0.2">
      <c r="A1811" t="str">
        <f>"1810"</f>
        <v>1810</v>
      </c>
      <c r="B1811" t="str">
        <f>"-0.71"</f>
        <v>-0.71</v>
      </c>
      <c r="C1811" t="str">
        <f>"21"</f>
        <v>21</v>
      </c>
      <c r="D1811" t="str">
        <f>"Army of Me: Remixes and Covers"</f>
        <v>Army of Me: Remixes and Covers</v>
      </c>
    </row>
    <row r="1812" spans="1:4" x14ac:dyDescent="0.2">
      <c r="A1812" t="str">
        <f>"1811"</f>
        <v>1811</v>
      </c>
      <c r="B1812" t="str">
        <f>"1.34"</f>
        <v>1.34</v>
      </c>
      <c r="C1812" t="str">
        <f>"26"</f>
        <v>26</v>
      </c>
      <c r="D1812" t="str">
        <f>"#1"</f>
        <v>#1</v>
      </c>
    </row>
    <row r="1813" spans="1:4" x14ac:dyDescent="0.2">
      <c r="A1813" t="str">
        <f>"1812"</f>
        <v>1812</v>
      </c>
      <c r="B1813" t="str">
        <f>"0.5"</f>
        <v>0.5</v>
      </c>
      <c r="C1813" t="str">
        <f>"43"</f>
        <v>43</v>
      </c>
      <c r="D1813" t="str">
        <f>"Não Wave: Brazil Post Punk 1982-1988"</f>
        <v>Não Wave: Brazil Post Punk 1982-1988</v>
      </c>
    </row>
    <row r="1814" spans="1:4" x14ac:dyDescent="0.2">
      <c r="A1814" t="str">
        <f>"1813"</f>
        <v>1813</v>
      </c>
      <c r="B1814" t="str">
        <f>"-0.95"</f>
        <v>-0.95</v>
      </c>
      <c r="C1814" t="str">
        <f>"52"</f>
        <v>52</v>
      </c>
      <c r="D1814" t="str">
        <f>"Such Triumph"</f>
        <v>Such Triumph</v>
      </c>
    </row>
    <row r="1815" spans="1:4" x14ac:dyDescent="0.2">
      <c r="A1815" t="str">
        <f>"1814"</f>
        <v>1814</v>
      </c>
      <c r="B1815" t="str">
        <f>"-0.53"</f>
        <v>-0.53</v>
      </c>
      <c r="C1815" t="str">
        <f>"50"</f>
        <v>50</v>
      </c>
      <c r="D1815" t="str">
        <f>"I Got a Brand New Egg Layin' Machine"</f>
        <v>I Got a Brand New Egg Layin' Machine</v>
      </c>
    </row>
    <row r="1816" spans="1:4" x14ac:dyDescent="0.2">
      <c r="A1816" t="str">
        <f>"1815"</f>
        <v>1815</v>
      </c>
      <c r="B1816" t="str">
        <f>"0.42"</f>
        <v>0.42</v>
      </c>
      <c r="C1816" t="str">
        <f>"26"</f>
        <v>26</v>
      </c>
      <c r="D1816" t="str">
        <f>"Clap Your Hands Say Yeah"</f>
        <v>Clap Your Hands Say Yeah</v>
      </c>
    </row>
    <row r="1817" spans="1:4" x14ac:dyDescent="0.2">
      <c r="A1817" t="str">
        <f>"1816"</f>
        <v>1816</v>
      </c>
      <c r="B1817" t="str">
        <f>"-2.06"</f>
        <v>-2.06</v>
      </c>
      <c r="C1817" t="str">
        <f>"19"</f>
        <v>19</v>
      </c>
      <c r="D1817" t="str">
        <f>"Tronic Blanc"</f>
        <v>Tronic Blanc</v>
      </c>
    </row>
    <row r="1818" spans="1:4" x14ac:dyDescent="0.2">
      <c r="A1818" t="str">
        <f>"1817"</f>
        <v>1817</v>
      </c>
      <c r="B1818" t="str">
        <f>"0.29"</f>
        <v>0.29</v>
      </c>
      <c r="C1818" t="str">
        <f>"51"</f>
        <v>51</v>
      </c>
      <c r="D1818" t="str">
        <f>"OV"</f>
        <v>OV</v>
      </c>
    </row>
    <row r="1819" spans="1:4" x14ac:dyDescent="0.2">
      <c r="A1819" t="str">
        <f>"1818"</f>
        <v>1818</v>
      </c>
      <c r="B1819" t="str">
        <f>"0"</f>
        <v>0</v>
      </c>
      <c r="C1819" t="str">
        <f>"57"</f>
        <v>57</v>
      </c>
      <c r="D1819" t="str">
        <f>"Pajo"</f>
        <v>Pajo</v>
      </c>
    </row>
    <row r="1820" spans="1:4" x14ac:dyDescent="0.2">
      <c r="A1820" t="str">
        <f>"1819"</f>
        <v>1819</v>
      </c>
      <c r="B1820" t="str">
        <f>"-1.15"</f>
        <v>-1.15</v>
      </c>
      <c r="C1820" t="str">
        <f>"22"</f>
        <v>22</v>
      </c>
      <c r="D1820" t="str">
        <f>"22-20s"</f>
        <v>22-20s</v>
      </c>
    </row>
    <row r="1821" spans="1:4" x14ac:dyDescent="0.2">
      <c r="A1821" t="str">
        <f>"1820"</f>
        <v>1820</v>
      </c>
      <c r="B1821" t="str">
        <f>"-0.15"</f>
        <v>-0.15</v>
      </c>
      <c r="C1821" t="str">
        <f>"73"</f>
        <v>73</v>
      </c>
      <c r="D1821" t="str">
        <f>"Where's Black Ben?"</f>
        <v>Where's Black Ben?</v>
      </c>
    </row>
    <row r="1822" spans="1:4" x14ac:dyDescent="0.2">
      <c r="A1822" t="str">
        <f>"1821"</f>
        <v>1821</v>
      </c>
      <c r="B1822" t="str">
        <f>"0.77"</f>
        <v>0.77</v>
      </c>
      <c r="C1822" t="str">
        <f>"72"</f>
        <v>72</v>
      </c>
      <c r="D1822" t="str">
        <f>"4"</f>
        <v>4</v>
      </c>
    </row>
    <row r="1823" spans="1:4" x14ac:dyDescent="0.2">
      <c r="A1823" t="str">
        <f>"1822"</f>
        <v>1822</v>
      </c>
      <c r="B1823" t="str">
        <f>"0.7"</f>
        <v>0.7</v>
      </c>
      <c r="C1823" t="str">
        <f>"52"</f>
        <v>52</v>
      </c>
      <c r="D1823" t="str">
        <f>"Gold"</f>
        <v>Gold</v>
      </c>
    </row>
    <row r="1824" spans="1:4" x14ac:dyDescent="0.2">
      <c r="A1824" t="str">
        <f>"1823"</f>
        <v>1823</v>
      </c>
      <c r="B1824" t="str">
        <f>"0.28"</f>
        <v>0.28</v>
      </c>
      <c r="C1824" t="str">
        <f>"20"</f>
        <v>20</v>
      </c>
      <c r="D1824" t="str">
        <f>"Jackinabox"</f>
        <v>Jackinabox</v>
      </c>
    </row>
    <row r="1825" spans="1:4" x14ac:dyDescent="0.2">
      <c r="A1825" t="str">
        <f>"1824"</f>
        <v>1824</v>
      </c>
      <c r="B1825" t="str">
        <f>"-0.11"</f>
        <v>-0.11</v>
      </c>
      <c r="C1825" t="str">
        <f>"53"</f>
        <v>53</v>
      </c>
      <c r="D1825" t="str">
        <f>"Ferocious Mopes"</f>
        <v>Ferocious Mopes</v>
      </c>
    </row>
    <row r="1826" spans="1:4" x14ac:dyDescent="0.2">
      <c r="A1826" t="str">
        <f>"1825"</f>
        <v>1825</v>
      </c>
      <c r="B1826" t="str">
        <f>"-0.64"</f>
        <v>-0.64</v>
      </c>
      <c r="C1826" t="str">
        <f>"88"</f>
        <v>88</v>
      </c>
      <c r="D1826" t="str">
        <f>"Oceanic Remixes / Reinterpretations"</f>
        <v>Oceanic Remixes / Reinterpretations</v>
      </c>
    </row>
    <row r="1827" spans="1:4" x14ac:dyDescent="0.2">
      <c r="A1827" t="str">
        <f>"1826"</f>
        <v>1826</v>
      </c>
      <c r="B1827" t="str">
        <f>"-0.18"</f>
        <v>-0.18</v>
      </c>
      <c r="C1827" t="str">
        <f>"31"</f>
        <v>31</v>
      </c>
      <c r="D1827" t="str">
        <f>"The Future Embrace"</f>
        <v>The Future Embrace</v>
      </c>
    </row>
    <row r="1828" spans="1:4" x14ac:dyDescent="0.2">
      <c r="A1828" t="str">
        <f>"1827"</f>
        <v>1827</v>
      </c>
      <c r="B1828" t="str">
        <f>"-0.24"</f>
        <v>-0.24</v>
      </c>
      <c r="C1828" t="str">
        <f>"23"</f>
        <v>23</v>
      </c>
      <c r="D1828" t="str">
        <f>"Here Come the Tears"</f>
        <v>Here Come the Tears</v>
      </c>
    </row>
    <row r="1829" spans="1:4" x14ac:dyDescent="0.2">
      <c r="A1829" t="str">
        <f>"1828"</f>
        <v>1828</v>
      </c>
      <c r="B1829" t="str">
        <f>"-0.46"</f>
        <v>-0.46</v>
      </c>
      <c r="C1829" t="str">
        <f>"25"</f>
        <v>25</v>
      </c>
      <c r="D1829" t="str">
        <f>"Uhhh Sort Of"</f>
        <v>Uhhh Sort Of</v>
      </c>
    </row>
    <row r="1830" spans="1:4" x14ac:dyDescent="0.2">
      <c r="A1830" t="str">
        <f>"1829"</f>
        <v>1829</v>
      </c>
      <c r="B1830" t="str">
        <f>"0.08"</f>
        <v>0.08</v>
      </c>
      <c r="C1830" t="str">
        <f>"77"</f>
        <v>77</v>
      </c>
      <c r="D1830" t="str">
        <f>"Ocean of Confusion"</f>
        <v>Ocean of Confusion</v>
      </c>
    </row>
    <row r="1831" spans="1:4" x14ac:dyDescent="0.2">
      <c r="A1831" t="str">
        <f>"1830"</f>
        <v>1830</v>
      </c>
      <c r="B1831" t="str">
        <f>"1.34"</f>
        <v>1.34</v>
      </c>
      <c r="C1831" t="str">
        <f>"45"</f>
        <v>45</v>
      </c>
      <c r="D1831" t="str">
        <f>"Tales From Turnpike House"</f>
        <v>Tales From Turnpike House</v>
      </c>
    </row>
    <row r="1832" spans="1:4" x14ac:dyDescent="0.2">
      <c r="A1832" t="str">
        <f>"1831"</f>
        <v>1831</v>
      </c>
      <c r="B1832" t="str">
        <f>"0.97"</f>
        <v>0.97</v>
      </c>
      <c r="C1832" t="str">
        <f>"27"</f>
        <v>27</v>
      </c>
      <c r="D1832" t="str">
        <f>"Humming By the Flowered Vine"</f>
        <v>Humming By the Flowered Vine</v>
      </c>
    </row>
    <row r="1833" spans="1:4" x14ac:dyDescent="0.2">
      <c r="A1833" t="str">
        <f>"1832"</f>
        <v>1832</v>
      </c>
      <c r="B1833" t="str">
        <f>"0.69"</f>
        <v>0.69</v>
      </c>
      <c r="C1833" t="str">
        <f>"17"</f>
        <v>17</v>
      </c>
      <c r="D1833" t="str">
        <f>"Engineers"</f>
        <v>Engineers</v>
      </c>
    </row>
    <row r="1834" spans="1:4" x14ac:dyDescent="0.2">
      <c r="A1834" t="str">
        <f>"1833"</f>
        <v>1833</v>
      </c>
      <c r="B1834" t="str">
        <f>"-0.09"</f>
        <v>-0.09</v>
      </c>
      <c r="C1834" t="str">
        <f>"69"</f>
        <v>69</v>
      </c>
      <c r="D1834" t="str">
        <f>"Thrills"</f>
        <v>Thrills</v>
      </c>
    </row>
    <row r="1835" spans="1:4" x14ac:dyDescent="0.2">
      <c r="A1835" t="str">
        <f>"1834"</f>
        <v>1834</v>
      </c>
      <c r="B1835" t="str">
        <f>"0.49"</f>
        <v>0.49</v>
      </c>
      <c r="C1835" t="str">
        <f>"78"</f>
        <v>78</v>
      </c>
      <c r="D1835" t="str">
        <f>"Circling the Sun"</f>
        <v>Circling the Sun</v>
      </c>
    </row>
    <row r="1836" spans="1:4" x14ac:dyDescent="0.2">
      <c r="A1836" t="str">
        <f>"1835"</f>
        <v>1835</v>
      </c>
      <c r="B1836" t="str">
        <f>"0.28"</f>
        <v>0.28</v>
      </c>
      <c r="C1836" t="str">
        <f>"39"</f>
        <v>39</v>
      </c>
      <c r="D1836" t="str">
        <f>"In Your Honor"</f>
        <v>In Your Honor</v>
      </c>
    </row>
    <row r="1837" spans="1:4" x14ac:dyDescent="0.2">
      <c r="A1837" t="str">
        <f>"1836"</f>
        <v>1836</v>
      </c>
      <c r="B1837" t="str">
        <f>"0.18"</f>
        <v>0.18</v>
      </c>
      <c r="C1837" t="str">
        <f>"66"</f>
        <v>66</v>
      </c>
      <c r="D1837" t="str">
        <f>"Push Comes to Shove"</f>
        <v>Push Comes to Shove</v>
      </c>
    </row>
    <row r="1838" spans="1:4" x14ac:dyDescent="0.2">
      <c r="A1838" t="str">
        <f>"1837"</f>
        <v>1837</v>
      </c>
      <c r="B1838" t="str">
        <f>"-0.34"</f>
        <v>-0.34</v>
      </c>
      <c r="C1838" t="str">
        <f>"58"</f>
        <v>58</v>
      </c>
      <c r="D1838" t="str">
        <f>"At the Soundless Dawn"</f>
        <v>At the Soundless Dawn</v>
      </c>
    </row>
    <row r="1839" spans="1:4" x14ac:dyDescent="0.2">
      <c r="A1839" t="str">
        <f>"1838"</f>
        <v>1838</v>
      </c>
      <c r="B1839" t="str">
        <f>"0.2"</f>
        <v>0.2</v>
      </c>
      <c r="C1839" t="str">
        <f>"25"</f>
        <v>25</v>
      </c>
      <c r="D1839" t="str">
        <f>"The Road Leads Where It's Led EP"</f>
        <v>The Road Leads Where It's Led EP</v>
      </c>
    </row>
    <row r="1840" spans="1:4" x14ac:dyDescent="0.2">
      <c r="A1840" t="str">
        <f>"1839"</f>
        <v>1839</v>
      </c>
      <c r="B1840" t="str">
        <f>"-1.01"</f>
        <v>-1.01</v>
      </c>
      <c r="C1840" t="str">
        <f>"19"</f>
        <v>19</v>
      </c>
      <c r="D1840" t="str">
        <f>"The Dead 60s"</f>
        <v>The Dead 60s</v>
      </c>
    </row>
    <row r="1841" spans="1:4" x14ac:dyDescent="0.2">
      <c r="A1841" t="str">
        <f>"1840"</f>
        <v>1840</v>
      </c>
      <c r="B1841" t="str">
        <f>"0.51"</f>
        <v>0.51</v>
      </c>
      <c r="C1841" t="str">
        <f>"27"</f>
        <v>27</v>
      </c>
      <c r="D1841" t="str">
        <f>"We Are Monster"</f>
        <v>We Are Monster</v>
      </c>
    </row>
    <row r="1842" spans="1:4" x14ac:dyDescent="0.2">
      <c r="A1842" t="str">
        <f>"1841"</f>
        <v>1841</v>
      </c>
      <c r="B1842" t="str">
        <f>"0.06"</f>
        <v>0.06</v>
      </c>
      <c r="C1842" t="str">
        <f>"13"</f>
        <v>13</v>
      </c>
      <c r="D1842" t="str">
        <f>"Unknown Language"</f>
        <v>Unknown Language</v>
      </c>
    </row>
    <row r="1843" spans="1:4" x14ac:dyDescent="0.2">
      <c r="A1843" t="str">
        <f>"1842"</f>
        <v>1842</v>
      </c>
      <c r="B1843" t="str">
        <f>"0.92"</f>
        <v>0.92</v>
      </c>
      <c r="C1843" t="str">
        <f>"34"</f>
        <v>34</v>
      </c>
      <c r="D1843" t="str">
        <f>"Nomo"</f>
        <v>Nomo</v>
      </c>
    </row>
    <row r="1844" spans="1:4" x14ac:dyDescent="0.2">
      <c r="A1844" t="str">
        <f>"1843"</f>
        <v>1843</v>
      </c>
      <c r="B1844" t="str">
        <f>"-0.59"</f>
        <v>-0.59</v>
      </c>
      <c r="C1844" t="str">
        <f>"59"</f>
        <v>59</v>
      </c>
      <c r="D1844" t="str">
        <f>"Terrorhawk"</f>
        <v>Terrorhawk</v>
      </c>
    </row>
    <row r="1845" spans="1:4" x14ac:dyDescent="0.2">
      <c r="A1845" t="str">
        <f>"1844"</f>
        <v>1844</v>
      </c>
      <c r="B1845" t="str">
        <f>"-0.77"</f>
        <v>-0.77</v>
      </c>
      <c r="C1845" t="str">
        <f>"80"</f>
        <v>80</v>
      </c>
      <c r="D1845" t="s">
        <v>51</v>
      </c>
    </row>
    <row r="1846" spans="1:4" x14ac:dyDescent="0.2">
      <c r="A1846" t="str">
        <f>"1845"</f>
        <v>1845</v>
      </c>
      <c r="B1846" t="str">
        <f>"0.84"</f>
        <v>0.84</v>
      </c>
      <c r="C1846" t="str">
        <f>"23"</f>
        <v>23</v>
      </c>
      <c r="D1846" t="str">
        <f>"Another Day on Earth"</f>
        <v>Another Day on Earth</v>
      </c>
    </row>
    <row r="1847" spans="1:4" x14ac:dyDescent="0.2">
      <c r="A1847" t="str">
        <f>"1846"</f>
        <v>1846</v>
      </c>
      <c r="B1847" t="str">
        <f>"1.33"</f>
        <v>1.33</v>
      </c>
      <c r="C1847" t="str">
        <f>"42"</f>
        <v>42</v>
      </c>
      <c r="D1847" t="str">
        <f>"The World and Everything in It"</f>
        <v>The World and Everything in It</v>
      </c>
    </row>
    <row r="1848" spans="1:4" x14ac:dyDescent="0.2">
      <c r="A1848" t="str">
        <f>"1847"</f>
        <v>1847</v>
      </c>
      <c r="B1848" t="str">
        <f>"0.22"</f>
        <v>0.22</v>
      </c>
      <c r="C1848" t="str">
        <f>"23"</f>
        <v>23</v>
      </c>
      <c r="D1848" t="str">
        <f>"Lady Fantasy EP"</f>
        <v>Lady Fantasy EP</v>
      </c>
    </row>
    <row r="1849" spans="1:4" x14ac:dyDescent="0.2">
      <c r="A1849" t="str">
        <f>"1848"</f>
        <v>1848</v>
      </c>
      <c r="B1849" t="str">
        <f>"-0.63"</f>
        <v>-0.63</v>
      </c>
      <c r="C1849" t="str">
        <f>"19"</f>
        <v>19</v>
      </c>
      <c r="D1849" t="str">
        <f>"The People of and Their Verses"</f>
        <v>The People of and Their Verses</v>
      </c>
    </row>
    <row r="1850" spans="1:4" x14ac:dyDescent="0.2">
      <c r="A1850" t="str">
        <f>"1849"</f>
        <v>1849</v>
      </c>
      <c r="B1850" t="str">
        <f>"0.56"</f>
        <v>0.56</v>
      </c>
      <c r="C1850" t="str">
        <f>"34"</f>
        <v>34</v>
      </c>
      <c r="D1850" t="s">
        <v>52</v>
      </c>
    </row>
    <row r="1851" spans="1:4" x14ac:dyDescent="0.2">
      <c r="A1851" t="str">
        <f>"1850"</f>
        <v>1850</v>
      </c>
      <c r="B1851" t="str">
        <f>"0.78"</f>
        <v>0.78</v>
      </c>
      <c r="C1851" t="str">
        <f>"22"</f>
        <v>22</v>
      </c>
      <c r="D1851" t="s">
        <v>53</v>
      </c>
    </row>
    <row r="1852" spans="1:4" x14ac:dyDescent="0.2">
      <c r="A1852" t="str">
        <f>"1851"</f>
        <v>1851</v>
      </c>
      <c r="B1852" t="str">
        <f>"-0.15"</f>
        <v>-0.15</v>
      </c>
      <c r="C1852" t="str">
        <f>"32"</f>
        <v>32</v>
      </c>
      <c r="D1852" t="str">
        <f>"Palaa Aurinkoon"</f>
        <v>Palaa Aurinkoon</v>
      </c>
    </row>
    <row r="1853" spans="1:4" x14ac:dyDescent="0.2">
      <c r="A1853" t="str">
        <f>"1852"</f>
        <v>1852</v>
      </c>
      <c r="B1853" t="str">
        <f>"-0.18"</f>
        <v>-0.18</v>
      </c>
      <c r="C1853" t="str">
        <f>"60"</f>
        <v>60</v>
      </c>
      <c r="D1853" t="str">
        <f>"The Problem"</f>
        <v>The Problem</v>
      </c>
    </row>
    <row r="1854" spans="1:4" x14ac:dyDescent="0.2">
      <c r="A1854" t="str">
        <f>"1853"</f>
        <v>1853</v>
      </c>
      <c r="B1854" t="str">
        <f>"0.51"</f>
        <v>0.51</v>
      </c>
      <c r="C1854" t="str">
        <f>"18"</f>
        <v>18</v>
      </c>
      <c r="D1854" t="s">
        <v>54</v>
      </c>
    </row>
    <row r="1855" spans="1:4" x14ac:dyDescent="0.2">
      <c r="A1855" t="str">
        <f>"1854"</f>
        <v>1854</v>
      </c>
      <c r="B1855" t="str">
        <f>"-0.54"</f>
        <v>-0.54</v>
      </c>
      <c r="C1855" t="str">
        <f>"59"</f>
        <v>59</v>
      </c>
      <c r="D1855" t="str">
        <f>"Discover a Lovelier You"</f>
        <v>Discover a Lovelier You</v>
      </c>
    </row>
    <row r="1856" spans="1:4" x14ac:dyDescent="0.2">
      <c r="A1856" t="str">
        <f>"1855"</f>
        <v>1855</v>
      </c>
      <c r="B1856" t="str">
        <f>"0.71"</f>
        <v>0.71</v>
      </c>
      <c r="C1856" t="str">
        <f>"34"</f>
        <v>34</v>
      </c>
      <c r="D1856" t="str">
        <f>"Endtroducing... [Deluxe Edition]"</f>
        <v>Endtroducing... [Deluxe Edition]</v>
      </c>
    </row>
    <row r="1857" spans="1:4" x14ac:dyDescent="0.2">
      <c r="A1857" t="str">
        <f>"1856"</f>
        <v>1856</v>
      </c>
      <c r="B1857" t="str">
        <f>"1.24"</f>
        <v>1.24</v>
      </c>
      <c r="C1857" t="str">
        <f>"14"</f>
        <v>14</v>
      </c>
      <c r="D1857" t="str">
        <f>"If You Don't Already Have a Look"</f>
        <v>If You Don't Already Have a Look</v>
      </c>
    </row>
    <row r="1858" spans="1:4" x14ac:dyDescent="0.2">
      <c r="A1858" t="str">
        <f>"1857"</f>
        <v>1857</v>
      </c>
      <c r="B1858" t="str">
        <f>"1.37"</f>
        <v>1.37</v>
      </c>
      <c r="C1858" t="str">
        <f>"19"</f>
        <v>19</v>
      </c>
      <c r="D1858" t="str">
        <f>"Godfather of Hip-Hop"</f>
        <v>Godfather of Hip-Hop</v>
      </c>
    </row>
    <row r="1859" spans="1:4" x14ac:dyDescent="0.2">
      <c r="A1859" t="str">
        <f>"1858"</f>
        <v>1858</v>
      </c>
      <c r="B1859" t="str">
        <f>"0.26"</f>
        <v>0.26</v>
      </c>
      <c r="C1859" t="str">
        <f>"32"</f>
        <v>32</v>
      </c>
      <c r="D1859" t="str">
        <f>"Team Sleep"</f>
        <v>Team Sleep</v>
      </c>
    </row>
    <row r="1860" spans="1:4" x14ac:dyDescent="0.2">
      <c r="A1860" t="str">
        <f>"1859"</f>
        <v>1859</v>
      </c>
      <c r="B1860" t="str">
        <f>"0.58"</f>
        <v>0.58</v>
      </c>
      <c r="C1860" t="str">
        <f>"68"</f>
        <v>68</v>
      </c>
      <c r="D1860" t="str">
        <f>"Disenchanted Hearts Unite"</f>
        <v>Disenchanted Hearts Unite</v>
      </c>
    </row>
    <row r="1861" spans="1:4" x14ac:dyDescent="0.2">
      <c r="A1861" t="str">
        <f>"1860"</f>
        <v>1860</v>
      </c>
      <c r="B1861" t="str">
        <f>"1.02"</f>
        <v>1.02</v>
      </c>
      <c r="C1861" t="str">
        <f>"29"</f>
        <v>29</v>
      </c>
      <c r="D1861" t="str">
        <f>"Live From Austin TX"</f>
        <v>Live From Austin TX</v>
      </c>
    </row>
    <row r="1862" spans="1:4" x14ac:dyDescent="0.2">
      <c r="A1862" t="str">
        <f>"1861"</f>
        <v>1861</v>
      </c>
      <c r="B1862" t="str">
        <f>"-0.43"</f>
        <v>-0.43</v>
      </c>
      <c r="C1862" t="str">
        <f>"23"</f>
        <v>23</v>
      </c>
      <c r="D1862" t="str">
        <f>"A River Ain't Too Much to Love"</f>
        <v>A River Ain't Too Much to Love</v>
      </c>
    </row>
    <row r="1863" spans="1:4" x14ac:dyDescent="0.2">
      <c r="A1863" t="str">
        <f>"1862"</f>
        <v>1862</v>
      </c>
      <c r="B1863" t="str">
        <f>"0.45"</f>
        <v>0.45</v>
      </c>
      <c r="C1863" t="str">
        <f>"34"</f>
        <v>34</v>
      </c>
      <c r="D1863" t="str">
        <f>"Twice Around the Earth"</f>
        <v>Twice Around the Earth</v>
      </c>
    </row>
    <row r="1864" spans="1:4" x14ac:dyDescent="0.2">
      <c r="A1864" t="str">
        <f>"1863"</f>
        <v>1863</v>
      </c>
      <c r="B1864" t="str">
        <f>"-0.14"</f>
        <v>-0.14</v>
      </c>
      <c r="C1864" t="str">
        <f>"24"</f>
        <v>24</v>
      </c>
      <c r="D1864" t="str">
        <f>"Brothers From Another"</f>
        <v>Brothers From Another</v>
      </c>
    </row>
    <row r="1865" spans="1:4" x14ac:dyDescent="0.2">
      <c r="A1865" t="str">
        <f>"1864"</f>
        <v>1864</v>
      </c>
      <c r="B1865" t="str">
        <f>"-0.8"</f>
        <v>-0.8</v>
      </c>
      <c r="C1865" t="str">
        <f>"19"</f>
        <v>19</v>
      </c>
      <c r="D1865" t="str">
        <f>"Know Doubt EP"</f>
        <v>Know Doubt EP</v>
      </c>
    </row>
    <row r="1866" spans="1:4" x14ac:dyDescent="0.2">
      <c r="A1866" t="str">
        <f>"1865"</f>
        <v>1865</v>
      </c>
      <c r="B1866" t="str">
        <f>"0.24"</f>
        <v>0.24</v>
      </c>
      <c r="C1866" t="str">
        <f>"31"</f>
        <v>31</v>
      </c>
      <c r="D1866" t="str">
        <f>"Minimum-Maximum"</f>
        <v>Minimum-Maximum</v>
      </c>
    </row>
    <row r="1867" spans="1:4" x14ac:dyDescent="0.2">
      <c r="A1867" t="str">
        <f>"1866"</f>
        <v>1866</v>
      </c>
      <c r="B1867" t="str">
        <f>"-0.52"</f>
        <v>-0.52</v>
      </c>
      <c r="C1867" t="str">
        <f>"28"</f>
        <v>28</v>
      </c>
      <c r="D1867" t="str">
        <f>"Titanic Days"</f>
        <v>Titanic Days</v>
      </c>
    </row>
    <row r="1868" spans="1:4" x14ac:dyDescent="0.2">
      <c r="A1868" t="str">
        <f>"1867"</f>
        <v>1867</v>
      </c>
      <c r="B1868" t="str">
        <f>"-1.34"</f>
        <v>-1.34</v>
      </c>
      <c r="C1868" t="str">
        <f>"15"</f>
        <v>15</v>
      </c>
      <c r="D1868" t="str">
        <f>"Cuts Across the Land"</f>
        <v>Cuts Across the Land</v>
      </c>
    </row>
    <row r="1869" spans="1:4" x14ac:dyDescent="0.2">
      <c r="A1869" t="str">
        <f>"1868"</f>
        <v>1868</v>
      </c>
      <c r="B1869" t="str">
        <f>"0.58"</f>
        <v>0.58</v>
      </c>
      <c r="C1869" t="str">
        <f>"65"</f>
        <v>65</v>
      </c>
      <c r="D1869" t="str">
        <f>"And Everything Else..."</f>
        <v>And Everything Else...</v>
      </c>
    </row>
    <row r="1870" spans="1:4" x14ac:dyDescent="0.2">
      <c r="A1870" t="str">
        <f>"1869"</f>
        <v>1869</v>
      </c>
      <c r="B1870" t="str">
        <f>"-0.4"</f>
        <v>-0.4</v>
      </c>
      <c r="C1870" t="str">
        <f>"68"</f>
        <v>68</v>
      </c>
      <c r="D1870" t="str">
        <f>"Early Man EP"</f>
        <v>Early Man EP</v>
      </c>
    </row>
    <row r="1871" spans="1:4" x14ac:dyDescent="0.2">
      <c r="A1871" t="str">
        <f>"1870"</f>
        <v>1870</v>
      </c>
      <c r="B1871" t="str">
        <f>"-0.39"</f>
        <v>-0.39</v>
      </c>
      <c r="C1871" t="str">
        <f>"50"</f>
        <v>50</v>
      </c>
      <c r="D1871" t="str">
        <f>"Make Believe"</f>
        <v>Make Believe</v>
      </c>
    </row>
    <row r="1872" spans="1:4" x14ac:dyDescent="0.2">
      <c r="A1872" t="str">
        <f>"1871"</f>
        <v>1871</v>
      </c>
      <c r="B1872" t="str">
        <f>"0.39"</f>
        <v>0.39</v>
      </c>
      <c r="C1872" t="str">
        <f>"57"</f>
        <v>57</v>
      </c>
      <c r="D1872" t="str">
        <f>"Fuzzy Logic"</f>
        <v>Fuzzy Logic</v>
      </c>
    </row>
    <row r="1873" spans="1:4" x14ac:dyDescent="0.2">
      <c r="A1873" t="str">
        <f>"1872"</f>
        <v>1872</v>
      </c>
      <c r="B1873" t="str">
        <f>"0.38"</f>
        <v>0.38</v>
      </c>
      <c r="C1873" t="str">
        <f>"71"</f>
        <v>71</v>
      </c>
      <c r="D1873" t="str">
        <f>"X&amp;Y"</f>
        <v>X&amp;Y</v>
      </c>
    </row>
    <row r="1874" spans="1:4" x14ac:dyDescent="0.2">
      <c r="A1874" t="str">
        <f>"1873"</f>
        <v>1873</v>
      </c>
      <c r="B1874" t="str">
        <f>"0.98"</f>
        <v>0.98</v>
      </c>
      <c r="C1874" t="str">
        <f>"19"</f>
        <v>19</v>
      </c>
      <c r="D1874" t="str">
        <f>"Down in a Mirror: A Second Tribute to Jandek"</f>
        <v>Down in a Mirror: A Second Tribute to Jandek</v>
      </c>
    </row>
    <row r="1875" spans="1:4" x14ac:dyDescent="0.2">
      <c r="A1875" t="str">
        <f>"1874"</f>
        <v>1874</v>
      </c>
      <c r="B1875" t="str">
        <f>"0.19"</f>
        <v>0.19</v>
      </c>
      <c r="C1875" t="str">
        <f>"24"</f>
        <v>24</v>
      </c>
      <c r="D1875" t="str">
        <f>"Nobody's Darlings"</f>
        <v>Nobody's Darlings</v>
      </c>
    </row>
    <row r="1876" spans="1:4" x14ac:dyDescent="0.2">
      <c r="A1876" t="str">
        <f>"1875"</f>
        <v>1875</v>
      </c>
      <c r="B1876" t="str">
        <f>"0.09"</f>
        <v>0.09</v>
      </c>
      <c r="C1876" t="str">
        <f>"63"</f>
        <v>63</v>
      </c>
      <c r="D1876" t="str">
        <f>"Get Behind Me Satan"</f>
        <v>Get Behind Me Satan</v>
      </c>
    </row>
    <row r="1877" spans="1:4" x14ac:dyDescent="0.2">
      <c r="A1877" t="str">
        <f>"1876"</f>
        <v>1876</v>
      </c>
      <c r="B1877" t="str">
        <f>"0.74"</f>
        <v>0.74</v>
      </c>
      <c r="C1877" t="str">
        <f>"34"</f>
        <v>34</v>
      </c>
      <c r="D1877" t="str">
        <f>"Multiples"</f>
        <v>Multiples</v>
      </c>
    </row>
    <row r="1878" spans="1:4" x14ac:dyDescent="0.2">
      <c r="A1878" t="str">
        <f>"1877"</f>
        <v>1877</v>
      </c>
      <c r="B1878" t="str">
        <f>"0.14"</f>
        <v>0.14</v>
      </c>
      <c r="C1878" t="str">
        <f>"77"</f>
        <v>77</v>
      </c>
      <c r="D1878" t="str">
        <f>"Brigadoon"</f>
        <v>Brigadoon</v>
      </c>
    </row>
    <row r="1879" spans="1:4" x14ac:dyDescent="0.2">
      <c r="A1879" t="str">
        <f>"1878"</f>
        <v>1878</v>
      </c>
      <c r="B1879" t="str">
        <f>"0.77"</f>
        <v>0.77</v>
      </c>
      <c r="C1879" t="str">
        <f>"53"</f>
        <v>53</v>
      </c>
      <c r="D1879" t="str">
        <f>"Bitter Hands Resign"</f>
        <v>Bitter Hands Resign</v>
      </c>
    </row>
    <row r="1880" spans="1:4" x14ac:dyDescent="0.2">
      <c r="A1880" t="str">
        <f>"1879"</f>
        <v>1879</v>
      </c>
      <c r="B1880" t="str">
        <f>"-0.22"</f>
        <v>-0.22</v>
      </c>
      <c r="C1880" t="str">
        <f>"27"</f>
        <v>27</v>
      </c>
      <c r="D1880" t="str">
        <f>"534"</f>
        <v>534</v>
      </c>
    </row>
    <row r="1881" spans="1:4" x14ac:dyDescent="0.2">
      <c r="A1881" t="str">
        <f>"1880"</f>
        <v>1880</v>
      </c>
      <c r="B1881" t="str">
        <f>"0.27"</f>
        <v>0.27</v>
      </c>
      <c r="C1881" t="str">
        <f>"38"</f>
        <v>38</v>
      </c>
      <c r="D1881" t="str">
        <f>"Bang Bang Rock &amp; Roll"</f>
        <v>Bang Bang Rock &amp; Roll</v>
      </c>
    </row>
    <row r="1882" spans="1:4" x14ac:dyDescent="0.2">
      <c r="A1882" t="str">
        <f>"1881"</f>
        <v>1881</v>
      </c>
      <c r="B1882" t="str">
        <f>"0.8"</f>
        <v>0.8</v>
      </c>
      <c r="C1882" t="str">
        <f>"45"</f>
        <v>45</v>
      </c>
      <c r="D1882" t="str">
        <f>"Hysterical Stars"</f>
        <v>Hysterical Stars</v>
      </c>
    </row>
    <row r="1883" spans="1:4" x14ac:dyDescent="0.2">
      <c r="A1883" t="str">
        <f>"1882"</f>
        <v>1882</v>
      </c>
      <c r="B1883" t="str">
        <f>"-0.45"</f>
        <v>-0.45</v>
      </c>
      <c r="C1883" t="str">
        <f>"64"</f>
        <v>64</v>
      </c>
      <c r="D1883" t="str">
        <f>"Dreamed"</f>
        <v>Dreamed</v>
      </c>
    </row>
    <row r="1884" spans="1:4" x14ac:dyDescent="0.2">
      <c r="A1884" t="str">
        <f>"1883"</f>
        <v>1883</v>
      </c>
      <c r="B1884" t="str">
        <f>"-0.19"</f>
        <v>-0.19</v>
      </c>
      <c r="C1884" t="str">
        <f>"52"</f>
        <v>52</v>
      </c>
      <c r="D1884" t="str">
        <f>"Burner"</f>
        <v>Burner</v>
      </c>
    </row>
    <row r="1885" spans="1:4" x14ac:dyDescent="0.2">
      <c r="A1885" t="str">
        <f>"1884"</f>
        <v>1884</v>
      </c>
      <c r="B1885" t="str">
        <f>"-1.3"</f>
        <v>-1.3</v>
      </c>
      <c r="C1885" t="str">
        <f>"79"</f>
        <v>79</v>
      </c>
      <c r="D1885" t="str">
        <f>"1988"</f>
        <v>1988</v>
      </c>
    </row>
    <row r="1886" spans="1:4" x14ac:dyDescent="0.2">
      <c r="A1886" t="str">
        <f>"1885"</f>
        <v>1885</v>
      </c>
      <c r="B1886" t="str">
        <f>"-0.55"</f>
        <v>-0.55</v>
      </c>
      <c r="C1886" t="str">
        <f>"18"</f>
        <v>18</v>
      </c>
      <c r="D1886" t="str">
        <f>"11:11"</f>
        <v>11:11</v>
      </c>
    </row>
    <row r="1887" spans="1:4" x14ac:dyDescent="0.2">
      <c r="A1887" t="str">
        <f>"1886"</f>
        <v>1886</v>
      </c>
      <c r="B1887" t="str">
        <f>"-0.08"</f>
        <v>-0.08</v>
      </c>
      <c r="C1887" t="str">
        <f>"67"</f>
        <v>67</v>
      </c>
      <c r="D1887" t="str">
        <f>"Paid in Full"</f>
        <v>Paid in Full</v>
      </c>
    </row>
    <row r="1888" spans="1:4" x14ac:dyDescent="0.2">
      <c r="A1888" t="str">
        <f>"1887"</f>
        <v>1887</v>
      </c>
      <c r="B1888" t="str">
        <f>"0.45"</f>
        <v>0.45</v>
      </c>
      <c r="C1888" t="str">
        <f>"60"</f>
        <v>60</v>
      </c>
      <c r="D1888" t="str">
        <f>"Everything Ecstatic"</f>
        <v>Everything Ecstatic</v>
      </c>
    </row>
    <row r="1889" spans="1:4" x14ac:dyDescent="0.2">
      <c r="A1889" t="str">
        <f>"1888"</f>
        <v>1888</v>
      </c>
      <c r="B1889" t="str">
        <f>"0.16"</f>
        <v>0.16</v>
      </c>
      <c r="C1889" t="str">
        <f>"107"</f>
        <v>107</v>
      </c>
      <c r="D1889" t="str">
        <f>"This Station Is Non-Operational"</f>
        <v>This Station Is Non-Operational</v>
      </c>
    </row>
    <row r="1890" spans="1:4" x14ac:dyDescent="0.2">
      <c r="A1890" t="str">
        <f>"1889"</f>
        <v>1889</v>
      </c>
      <c r="B1890" t="str">
        <f>"0.06"</f>
        <v>0.06</v>
      </c>
      <c r="C1890" t="str">
        <f>"17"</f>
        <v>17</v>
      </c>
      <c r="D1890" t="str">
        <f>"Invisible Invasion"</f>
        <v>Invisible Invasion</v>
      </c>
    </row>
    <row r="1891" spans="1:4" x14ac:dyDescent="0.2">
      <c r="A1891" t="str">
        <f>"1890"</f>
        <v>1890</v>
      </c>
      <c r="B1891" t="str">
        <f>"-1.09"</f>
        <v>-1.09</v>
      </c>
      <c r="C1891" t="str">
        <f>"14"</f>
        <v>14</v>
      </c>
      <c r="D1891" t="str">
        <f>"Futures"</f>
        <v>Futures</v>
      </c>
    </row>
    <row r="1892" spans="1:4" x14ac:dyDescent="0.2">
      <c r="A1892" t="str">
        <f>"1891"</f>
        <v>1891</v>
      </c>
      <c r="B1892" t="str">
        <f>"0.1"</f>
        <v>0.1</v>
      </c>
      <c r="C1892" t="str">
        <f>"42"</f>
        <v>42</v>
      </c>
      <c r="D1892" t="str">
        <f>"Be"</f>
        <v>Be</v>
      </c>
    </row>
    <row r="1893" spans="1:4" x14ac:dyDescent="0.2">
      <c r="A1893" t="str">
        <f>"1892"</f>
        <v>1892</v>
      </c>
      <c r="B1893" t="str">
        <f>"-0.21"</f>
        <v>-0.21</v>
      </c>
      <c r="C1893" t="str">
        <f>"36"</f>
        <v>36</v>
      </c>
      <c r="D1893" t="str">
        <f>"Don't Believe the Truth"</f>
        <v>Don't Believe the Truth</v>
      </c>
    </row>
    <row r="1894" spans="1:4" x14ac:dyDescent="0.2">
      <c r="A1894" t="str">
        <f>"1893"</f>
        <v>1893</v>
      </c>
      <c r="B1894" t="str">
        <f>"-0.34"</f>
        <v>-0.34</v>
      </c>
      <c r="C1894" t="str">
        <f>"62"</f>
        <v>62</v>
      </c>
      <c r="D1894" t="str">
        <f>"A Sides Win: Singles 1992-2005"</f>
        <v>A Sides Win: Singles 1992-2005</v>
      </c>
    </row>
    <row r="1895" spans="1:4" x14ac:dyDescent="0.2">
      <c r="A1895" t="str">
        <f>"1894"</f>
        <v>1894</v>
      </c>
      <c r="B1895" t="str">
        <f>"0.96"</f>
        <v>0.96</v>
      </c>
      <c r="C1895" t="str">
        <f>"48"</f>
        <v>48</v>
      </c>
      <c r="D1895" t="str">
        <f>"Seal Beach EP"</f>
        <v>Seal Beach EP</v>
      </c>
    </row>
    <row r="1896" spans="1:4" x14ac:dyDescent="0.2">
      <c r="A1896" t="str">
        <f>"1895"</f>
        <v>1895</v>
      </c>
      <c r="B1896" t="str">
        <f>"-0.86"</f>
        <v>-0.86</v>
      </c>
      <c r="C1896" t="str">
        <f>"60"</f>
        <v>60</v>
      </c>
      <c r="D1896" t="str">
        <f>"We Can Breathe Under Alcohol"</f>
        <v>We Can Breathe Under Alcohol</v>
      </c>
    </row>
    <row r="1897" spans="1:4" x14ac:dyDescent="0.2">
      <c r="A1897" t="str">
        <f>"1896"</f>
        <v>1896</v>
      </c>
      <c r="B1897" t="str">
        <f>"-0.62"</f>
        <v>-0.62</v>
      </c>
      <c r="C1897" t="str">
        <f>"25"</f>
        <v>25</v>
      </c>
      <c r="D1897" t="str">
        <f>"Martha Wainwright"</f>
        <v>Martha Wainwright</v>
      </c>
    </row>
    <row r="1898" spans="1:4" x14ac:dyDescent="0.2">
      <c r="A1898" t="str">
        <f>"1897"</f>
        <v>1897</v>
      </c>
      <c r="B1898" t="str">
        <f>"0.99"</f>
        <v>0.99</v>
      </c>
      <c r="C1898" t="str">
        <f>"61"</f>
        <v>61</v>
      </c>
      <c r="D1898" t="str">
        <f>"Gilles Peterson in Africa"</f>
        <v>Gilles Peterson in Africa</v>
      </c>
    </row>
    <row r="1899" spans="1:4" x14ac:dyDescent="0.2">
      <c r="A1899" t="str">
        <f>"1898"</f>
        <v>1898</v>
      </c>
      <c r="B1899" t="str">
        <f>"0.04"</f>
        <v>0.04</v>
      </c>
      <c r="C1899" t="str">
        <f>"61"</f>
        <v>61</v>
      </c>
      <c r="D1899" t="str">
        <f>"Making Beds in a Burning House"</f>
        <v>Making Beds in a Burning House</v>
      </c>
    </row>
    <row r="1900" spans="1:4" x14ac:dyDescent="0.2">
      <c r="A1900" t="str">
        <f>"1899"</f>
        <v>1899</v>
      </c>
      <c r="B1900" t="str">
        <f>"-1.31"</f>
        <v>-1.31</v>
      </c>
      <c r="C1900" t="str">
        <f>"14"</f>
        <v>14</v>
      </c>
      <c r="D1900" t="str">
        <f>"American Automatic"</f>
        <v>American Automatic</v>
      </c>
    </row>
    <row r="1901" spans="1:4" x14ac:dyDescent="0.2">
      <c r="A1901" t="str">
        <f>"1900"</f>
        <v>1900</v>
      </c>
      <c r="B1901" t="str">
        <f>"-0.06"</f>
        <v>-0.06</v>
      </c>
      <c r="C1901" t="str">
        <f>"29"</f>
        <v>29</v>
      </c>
      <c r="D1901" t="str">
        <f>"The Further Adventures of Lord Quas"</f>
        <v>The Further Adventures of Lord Quas</v>
      </c>
    </row>
    <row r="1902" spans="1:4" x14ac:dyDescent="0.2">
      <c r="A1902" t="str">
        <f>"1901"</f>
        <v>1901</v>
      </c>
      <c r="B1902" t="str">
        <f>"0.67"</f>
        <v>0.67</v>
      </c>
      <c r="C1902" t="str">
        <f>"39"</f>
        <v>39</v>
      </c>
      <c r="D1902" t="str">
        <f>"Batards Sensibles"</f>
        <v>Batards Sensibles</v>
      </c>
    </row>
    <row r="1903" spans="1:4" x14ac:dyDescent="0.2">
      <c r="A1903" t="str">
        <f>"1902"</f>
        <v>1902</v>
      </c>
      <c r="B1903" t="str">
        <f>"0"</f>
        <v>0</v>
      </c>
      <c r="C1903" t="str">
        <f>"27"</f>
        <v>27</v>
      </c>
      <c r="D1903" t="str">
        <f>"See You Next Tuesday"</f>
        <v>See You Next Tuesday</v>
      </c>
    </row>
    <row r="1904" spans="1:4" x14ac:dyDescent="0.2">
      <c r="A1904" t="str">
        <f>"1903"</f>
        <v>1903</v>
      </c>
      <c r="B1904" t="str">
        <f>"0.86"</f>
        <v>0.86</v>
      </c>
      <c r="C1904" t="str">
        <f>"13"</f>
        <v>13</v>
      </c>
      <c r="D1904" t="str">
        <f>"Luc's Lantern"</f>
        <v>Luc's Lantern</v>
      </c>
    </row>
    <row r="1905" spans="1:4" x14ac:dyDescent="0.2">
      <c r="A1905" t="str">
        <f>"1904"</f>
        <v>1904</v>
      </c>
      <c r="B1905" t="str">
        <f>"0.55"</f>
        <v>0.55</v>
      </c>
      <c r="C1905" t="str">
        <f>"128"</f>
        <v>128</v>
      </c>
      <c r="D1905" t="str">
        <f>"Produced By Trevor Horn"</f>
        <v>Produced By Trevor Horn</v>
      </c>
    </row>
    <row r="1906" spans="1:4" x14ac:dyDescent="0.2">
      <c r="A1906" t="str">
        <f>"1905"</f>
        <v>1905</v>
      </c>
      <c r="B1906" t="str">
        <f>"1.1"</f>
        <v>1.1</v>
      </c>
      <c r="C1906" t="str">
        <f>"48"</f>
        <v>48</v>
      </c>
      <c r="D1906" t="str">
        <f>"Push Barman to Open Old Wounds"</f>
        <v>Push Barman to Open Old Wounds</v>
      </c>
    </row>
    <row r="1907" spans="1:4" x14ac:dyDescent="0.2">
      <c r="A1907" t="str">
        <f>"1906"</f>
        <v>1906</v>
      </c>
      <c r="B1907" t="str">
        <f>"0.69"</f>
        <v>0.69</v>
      </c>
      <c r="C1907" t="str">
        <f>"75"</f>
        <v>75</v>
      </c>
      <c r="D1907" t="str">
        <f>"The Forgotten Arm"</f>
        <v>The Forgotten Arm</v>
      </c>
    </row>
    <row r="1908" spans="1:4" x14ac:dyDescent="0.2">
      <c r="A1908" t="str">
        <f>"1907"</f>
        <v>1907</v>
      </c>
      <c r="B1908" t="str">
        <f>"-0.04"</f>
        <v>-0.04</v>
      </c>
      <c r="C1908" t="str">
        <f>"30"</f>
        <v>30</v>
      </c>
      <c r="D1908" t="str">
        <f>"Who Is Mike Jones?"</f>
        <v>Who Is Mike Jones?</v>
      </c>
    </row>
    <row r="1909" spans="1:4" x14ac:dyDescent="0.2">
      <c r="A1909" t="str">
        <f>"1908"</f>
        <v>1908</v>
      </c>
      <c r="B1909" t="str">
        <f>"0"</f>
        <v>0</v>
      </c>
      <c r="C1909" t="str">
        <f>"83"</f>
        <v>83</v>
      </c>
      <c r="D1909" t="str">
        <f>"A Certain Trigger"</f>
        <v>A Certain Trigger</v>
      </c>
    </row>
    <row r="1910" spans="1:4" x14ac:dyDescent="0.2">
      <c r="A1910" t="str">
        <f>"1909"</f>
        <v>1909</v>
      </c>
      <c r="B1910" t="str">
        <f>"1.39"</f>
        <v>1.39</v>
      </c>
      <c r="C1910" t="str">
        <f>"24"</f>
        <v>24</v>
      </c>
      <c r="D1910" t="str">
        <f>"Prospect Hummer EP"</f>
        <v>Prospect Hummer EP</v>
      </c>
    </row>
    <row r="1911" spans="1:4" x14ac:dyDescent="0.2">
      <c r="A1911" t="str">
        <f>"1910"</f>
        <v>1910</v>
      </c>
      <c r="B1911" t="str">
        <f>"-0.38"</f>
        <v>-0.38</v>
      </c>
      <c r="C1911" t="str">
        <f>"52"</f>
        <v>52</v>
      </c>
      <c r="D1911" t="str">
        <f>"Loose Lips Sink Ships"</f>
        <v>Loose Lips Sink Ships</v>
      </c>
    </row>
    <row r="1912" spans="1:4" x14ac:dyDescent="0.2">
      <c r="A1912" t="str">
        <f>"1911"</f>
        <v>1911</v>
      </c>
      <c r="B1912" t="str">
        <f>"-0.15"</f>
        <v>-0.15</v>
      </c>
      <c r="C1912" t="str">
        <f>"43"</f>
        <v>43</v>
      </c>
      <c r="D1912" t="str">
        <f>"Out of Exile"</f>
        <v>Out of Exile</v>
      </c>
    </row>
    <row r="1913" spans="1:4" x14ac:dyDescent="0.2">
      <c r="A1913" t="str">
        <f>"1912"</f>
        <v>1912</v>
      </c>
      <c r="B1913" t="str">
        <f>"0.67"</f>
        <v>0.67</v>
      </c>
      <c r="C1913" t="str">
        <f>"20"</f>
        <v>20</v>
      </c>
      <c r="D1913" t="str">
        <f>"A Retrospective: 1995-2000"</f>
        <v>A Retrospective: 1995-2000</v>
      </c>
    </row>
    <row r="1914" spans="1:4" x14ac:dyDescent="0.2">
      <c r="A1914" t="str">
        <f>"1913"</f>
        <v>1913</v>
      </c>
      <c r="B1914" t="str">
        <f>"-0.2"</f>
        <v>-0.2</v>
      </c>
      <c r="C1914" t="str">
        <f>"35"</f>
        <v>35</v>
      </c>
      <c r="D1914" t="str">
        <f>"The Woods"</f>
        <v>The Woods</v>
      </c>
    </row>
    <row r="1915" spans="1:4" x14ac:dyDescent="0.2">
      <c r="A1915" t="str">
        <f>"1914"</f>
        <v>1914</v>
      </c>
      <c r="B1915" t="str">
        <f>"0.33"</f>
        <v>0.33</v>
      </c>
      <c r="C1915" t="str">
        <f>"55"</f>
        <v>55</v>
      </c>
      <c r="D1915" t="str">
        <f>"Face the Truth"</f>
        <v>Face the Truth</v>
      </c>
    </row>
    <row r="1916" spans="1:4" x14ac:dyDescent="0.2">
      <c r="A1916" t="str">
        <f>"1915"</f>
        <v>1915</v>
      </c>
      <c r="B1916" t="str">
        <f>"-0.88"</f>
        <v>-0.88</v>
      </c>
      <c r="C1916" t="str">
        <f>"34"</f>
        <v>34</v>
      </c>
      <c r="D1916" t="s">
        <v>55</v>
      </c>
    </row>
    <row r="1917" spans="1:4" x14ac:dyDescent="0.2">
      <c r="A1917" t="str">
        <f>"1916"</f>
        <v>1916</v>
      </c>
      <c r="B1917" t="str">
        <f>"0.76"</f>
        <v>0.76</v>
      </c>
      <c r="C1917" t="str">
        <f>"89"</f>
        <v>89</v>
      </c>
      <c r="D1917" t="str">
        <f>"The Magic Numbers"</f>
        <v>The Magic Numbers</v>
      </c>
    </row>
    <row r="1918" spans="1:4" x14ac:dyDescent="0.2">
      <c r="A1918" t="str">
        <f>"1917"</f>
        <v>1917</v>
      </c>
      <c r="B1918" t="str">
        <f>"1.61"</f>
        <v>1.61</v>
      </c>
      <c r="C1918" t="str">
        <f>"14"</f>
        <v>14</v>
      </c>
      <c r="D1918" t="str">
        <f>"Camping"</f>
        <v>Camping</v>
      </c>
    </row>
    <row r="1919" spans="1:4" x14ac:dyDescent="0.2">
      <c r="A1919" t="str">
        <f>"1918"</f>
        <v>1918</v>
      </c>
      <c r="B1919" t="str">
        <f>"0.61"</f>
        <v>0.61</v>
      </c>
      <c r="C1919" t="str">
        <f>"57"</f>
        <v>57</v>
      </c>
      <c r="D1919" t="str">
        <f>"Hello More"</f>
        <v>Hello More</v>
      </c>
    </row>
    <row r="1920" spans="1:4" x14ac:dyDescent="0.2">
      <c r="A1920" t="str">
        <f>"1919"</f>
        <v>1919</v>
      </c>
      <c r="B1920" t="str">
        <f>"-1.85"</f>
        <v>-1.85</v>
      </c>
      <c r="C1920" t="str">
        <f>"17"</f>
        <v>17</v>
      </c>
      <c r="D1920" t="str">
        <f>"Strange We Should Meet Here"</f>
        <v>Strange We Should Meet Here</v>
      </c>
    </row>
    <row r="1921" spans="1:4" x14ac:dyDescent="0.2">
      <c r="A1921" t="str">
        <f>"1920"</f>
        <v>1920</v>
      </c>
      <c r="B1921" t="str">
        <f>"-1.29"</f>
        <v>-1.29</v>
      </c>
      <c r="C1921" t="str">
        <f>"34"</f>
        <v>34</v>
      </c>
      <c r="D1921" t="str">
        <f>"New World Observer"</f>
        <v>New World Observer</v>
      </c>
    </row>
    <row r="1922" spans="1:4" x14ac:dyDescent="0.2">
      <c r="A1922" t="str">
        <f>"1921"</f>
        <v>1921</v>
      </c>
      <c r="B1922" t="str">
        <f>"-0.09"</f>
        <v>-0.09</v>
      </c>
      <c r="C1922" t="str">
        <f>"28"</f>
        <v>28</v>
      </c>
      <c r="D1922" t="str">
        <f>"Sanddollars EP"</f>
        <v>Sanddollars EP</v>
      </c>
    </row>
    <row r="1923" spans="1:4" x14ac:dyDescent="0.2">
      <c r="A1923" t="str">
        <f>"1922"</f>
        <v>1922</v>
      </c>
      <c r="B1923" t="str">
        <f>"-0.48"</f>
        <v>-0.48</v>
      </c>
      <c r="C1923" t="str">
        <f>"15"</f>
        <v>15</v>
      </c>
      <c r="D1923" t="str">
        <f>"Snow on the TV EP"</f>
        <v>Snow on the TV EP</v>
      </c>
    </row>
    <row r="1924" spans="1:4" x14ac:dyDescent="0.2">
      <c r="A1924" t="str">
        <f>"1923"</f>
        <v>1923</v>
      </c>
      <c r="B1924" t="str">
        <f>"-0.71"</f>
        <v>-0.71</v>
      </c>
      <c r="C1924" t="str">
        <f>"56"</f>
        <v>56</v>
      </c>
      <c r="D1924" t="str">
        <f>"Demon Days"</f>
        <v>Demon Days</v>
      </c>
    </row>
    <row r="1925" spans="1:4" x14ac:dyDescent="0.2">
      <c r="A1925" t="str">
        <f>"1924"</f>
        <v>1924</v>
      </c>
      <c r="B1925" t="str">
        <f>"0.47"</f>
        <v>0.47</v>
      </c>
      <c r="C1925" t="str">
        <f>"46"</f>
        <v>46</v>
      </c>
      <c r="D1925" t="str">
        <f>"Legacy of Dissolution"</f>
        <v>Legacy of Dissolution</v>
      </c>
    </row>
    <row r="1926" spans="1:4" x14ac:dyDescent="0.2">
      <c r="A1926" t="str">
        <f>"1925"</f>
        <v>1925</v>
      </c>
      <c r="B1926" t="str">
        <f>"0.92"</f>
        <v>0.92</v>
      </c>
      <c r="C1926" t="str">
        <f>"102"</f>
        <v>102</v>
      </c>
      <c r="D1926" t="str">
        <f>"Cats &amp; Kittens"</f>
        <v>Cats &amp; Kittens</v>
      </c>
    </row>
    <row r="1927" spans="1:4" x14ac:dyDescent="0.2">
      <c r="A1927" t="str">
        <f>"1926"</f>
        <v>1926</v>
      </c>
      <c r="B1927" t="str">
        <f>"0.06"</f>
        <v>0.06</v>
      </c>
      <c r="C1927" t="str">
        <f>"13"</f>
        <v>13</v>
      </c>
      <c r="D1927" t="str">
        <f>"Thank You For the Alternative Rock"</f>
        <v>Thank You For the Alternative Rock</v>
      </c>
    </row>
    <row r="1928" spans="1:4" x14ac:dyDescent="0.2">
      <c r="A1928" t="str">
        <f>"1927"</f>
        <v>1927</v>
      </c>
      <c r="B1928" t="str">
        <f>"-0.32"</f>
        <v>-0.32</v>
      </c>
      <c r="C1928" t="str">
        <f>"49"</f>
        <v>49</v>
      </c>
      <c r="D1928" t="str">
        <f>"Straight Outta Newport"</f>
        <v>Straight Outta Newport</v>
      </c>
    </row>
    <row r="1929" spans="1:4" x14ac:dyDescent="0.2">
      <c r="A1929" t="str">
        <f>"1928"</f>
        <v>1928</v>
      </c>
      <c r="B1929" t="str">
        <f>"-0.49"</f>
        <v>-0.49</v>
      </c>
      <c r="C1929" t="str">
        <f>"106"</f>
        <v>106</v>
      </c>
      <c r="D1929" t="str">
        <f>"Today"</f>
        <v>Today</v>
      </c>
    </row>
    <row r="1930" spans="1:4" x14ac:dyDescent="0.2">
      <c r="A1930" t="str">
        <f>"1929"</f>
        <v>1929</v>
      </c>
      <c r="B1930" t="str">
        <f>"0.04"</f>
        <v>0.04</v>
      </c>
      <c r="C1930" t="str">
        <f>"63"</f>
        <v>63</v>
      </c>
      <c r="D1930" t="str">
        <f>"Tour CD 2005"</f>
        <v>Tour CD 2005</v>
      </c>
    </row>
    <row r="1931" spans="1:4" x14ac:dyDescent="0.2">
      <c r="A1931" t="str">
        <f>"1930"</f>
        <v>1930</v>
      </c>
      <c r="B1931" t="str">
        <f>"-0.75"</f>
        <v>-0.75</v>
      </c>
      <c r="C1931" t="str">
        <f>"23"</f>
        <v>23</v>
      </c>
      <c r="D1931" t="str">
        <f>"Kidnapped By Neptune"</f>
        <v>Kidnapped By Neptune</v>
      </c>
    </row>
    <row r="1932" spans="1:4" x14ac:dyDescent="0.2">
      <c r="A1932" t="str">
        <f>"1931"</f>
        <v>1931</v>
      </c>
      <c r="B1932" t="str">
        <f>"0.78"</f>
        <v>0.78</v>
      </c>
      <c r="C1932" t="str">
        <f>"37"</f>
        <v>37</v>
      </c>
      <c r="D1932" t="str">
        <f>"The Cloud Room"</f>
        <v>The Cloud Room</v>
      </c>
    </row>
    <row r="1933" spans="1:4" x14ac:dyDescent="0.2">
      <c r="A1933" t="str">
        <f>"1932"</f>
        <v>1932</v>
      </c>
      <c r="B1933" t="str">
        <f>"0.34"</f>
        <v>0.34</v>
      </c>
      <c r="C1933" t="str">
        <f>"50"</f>
        <v>50</v>
      </c>
      <c r="D1933" t="str">
        <f>"Hal"</f>
        <v>Hal</v>
      </c>
    </row>
    <row r="1934" spans="1:4" x14ac:dyDescent="0.2">
      <c r="A1934" t="str">
        <f>"1933"</f>
        <v>1933</v>
      </c>
      <c r="B1934" t="str">
        <f>"0.53"</f>
        <v>0.53</v>
      </c>
      <c r="C1934" t="str">
        <f>"80"</f>
        <v>80</v>
      </c>
      <c r="D1934" t="str">
        <f>"Easy Beat"</f>
        <v>Easy Beat</v>
      </c>
    </row>
    <row r="1935" spans="1:4" x14ac:dyDescent="0.2">
      <c r="A1935" t="str">
        <f>"1934"</f>
        <v>1934</v>
      </c>
      <c r="B1935" t="str">
        <f>"0.31"</f>
        <v>0.31</v>
      </c>
      <c r="C1935" t="str">
        <f>"30"</f>
        <v>30</v>
      </c>
      <c r="D1935" t="str">
        <f>"Tékitoi"</f>
        <v>Tékitoi</v>
      </c>
    </row>
    <row r="1936" spans="1:4" x14ac:dyDescent="0.2">
      <c r="A1936" t="str">
        <f>"1935"</f>
        <v>1935</v>
      </c>
      <c r="B1936" t="str">
        <f>"0.28"</f>
        <v>0.28</v>
      </c>
      <c r="C1936" t="str">
        <f>"13"</f>
        <v>13</v>
      </c>
      <c r="D1936" t="str">
        <f>"Speckly"</f>
        <v>Speckly</v>
      </c>
    </row>
    <row r="1937" spans="1:4" x14ac:dyDescent="0.2">
      <c r="A1937" t="str">
        <f>"1936"</f>
        <v>1936</v>
      </c>
      <c r="B1937" t="str">
        <f>"0.02"</f>
        <v>0.02</v>
      </c>
      <c r="C1937" t="str">
        <f>"26"</f>
        <v>26</v>
      </c>
      <c r="D1937" t="str">
        <f>"In Love With the Dudley Corporation"</f>
        <v>In Love With the Dudley Corporation</v>
      </c>
    </row>
    <row r="1938" spans="1:4" x14ac:dyDescent="0.2">
      <c r="A1938" t="str">
        <f>"1937"</f>
        <v>1937</v>
      </c>
      <c r="B1938" t="str">
        <f>"-0.17"</f>
        <v>-0.17</v>
      </c>
      <c r="C1938" t="str">
        <f>"74"</f>
        <v>74</v>
      </c>
      <c r="D1938" t="str">
        <f>"1999-2001"</f>
        <v>1999-2001</v>
      </c>
    </row>
    <row r="1939" spans="1:4" x14ac:dyDescent="0.2">
      <c r="A1939" t="str">
        <f>"1938"</f>
        <v>1938</v>
      </c>
      <c r="B1939" t="str">
        <f>"-1.17"</f>
        <v>-1.17</v>
      </c>
      <c r="C1939" t="str">
        <f>"25"</f>
        <v>25</v>
      </c>
      <c r="D1939" t="str">
        <f>"Year of the Beast"</f>
        <v>Year of the Beast</v>
      </c>
    </row>
    <row r="1940" spans="1:4" x14ac:dyDescent="0.2">
      <c r="A1940" t="str">
        <f>"1939"</f>
        <v>1939</v>
      </c>
      <c r="B1940" t="str">
        <f>"-0.58"</f>
        <v>-0.58</v>
      </c>
      <c r="C1940" t="str">
        <f>"94"</f>
        <v>94</v>
      </c>
      <c r="D1940" t="str">
        <f>"The GrimmRobe Demos"</f>
        <v>The GrimmRobe Demos</v>
      </c>
    </row>
    <row r="1941" spans="1:4" x14ac:dyDescent="0.2">
      <c r="A1941" t="str">
        <f>"1940"</f>
        <v>1940</v>
      </c>
      <c r="B1941" t="str">
        <f>"-0.11"</f>
        <v>-0.11</v>
      </c>
      <c r="C1941" t="str">
        <f>"81"</f>
        <v>81</v>
      </c>
      <c r="D1941" t="str">
        <f>"Green Cosmos EP"</f>
        <v>Green Cosmos EP</v>
      </c>
    </row>
    <row r="1942" spans="1:4" x14ac:dyDescent="0.2">
      <c r="A1942" t="str">
        <f>"1941"</f>
        <v>1941</v>
      </c>
      <c r="B1942" t="str">
        <f>"0"</f>
        <v>0</v>
      </c>
      <c r="C1942" t="str">
        <f>"80"</f>
        <v>80</v>
      </c>
      <c r="D1942" t="str">
        <f>"Berserker"</f>
        <v>Berserker</v>
      </c>
    </row>
    <row r="1943" spans="1:4" x14ac:dyDescent="0.2">
      <c r="A1943" t="str">
        <f>"1942"</f>
        <v>1942</v>
      </c>
      <c r="B1943" t="str">
        <f>"0.96"</f>
        <v>0.96</v>
      </c>
      <c r="C1943" t="str">
        <f>"29"</f>
        <v>29</v>
      </c>
      <c r="D1943" t="str">
        <f>"Axes"</f>
        <v>Axes</v>
      </c>
    </row>
    <row r="1944" spans="1:4" x14ac:dyDescent="0.2">
      <c r="A1944" t="str">
        <f>"1943"</f>
        <v>1943</v>
      </c>
      <c r="B1944" t="str">
        <f>"0.89"</f>
        <v>0.89</v>
      </c>
      <c r="C1944" t="str">
        <f>"33"</f>
        <v>33</v>
      </c>
      <c r="D1944" t="str">
        <f>"Touch"</f>
        <v>Touch</v>
      </c>
    </row>
    <row r="1945" spans="1:4" x14ac:dyDescent="0.2">
      <c r="A1945" t="str">
        <f>"1944"</f>
        <v>1944</v>
      </c>
      <c r="B1945" t="str">
        <f>"1.2"</f>
        <v>1.2</v>
      </c>
      <c r="C1945" t="str">
        <f>"16"</f>
        <v>16</v>
      </c>
      <c r="D1945" t="str">
        <f>"Oceans Apart"</f>
        <v>Oceans Apart</v>
      </c>
    </row>
    <row r="1946" spans="1:4" x14ac:dyDescent="0.2">
      <c r="A1946" t="str">
        <f>"1945"</f>
        <v>1945</v>
      </c>
      <c r="B1946" t="str">
        <f>"-0.32"</f>
        <v>-0.32</v>
      </c>
      <c r="C1946" t="str">
        <f>"19"</f>
        <v>19</v>
      </c>
      <c r="D1946" t="str">
        <f>"Georgia Hard"</f>
        <v>Georgia Hard</v>
      </c>
    </row>
    <row r="1947" spans="1:4" x14ac:dyDescent="0.2">
      <c r="A1947" t="str">
        <f>"1946"</f>
        <v>1946</v>
      </c>
      <c r="B1947" t="str">
        <f>"0.04"</f>
        <v>0.04</v>
      </c>
      <c r="C1947" t="str">
        <f>"93"</f>
        <v>93</v>
      </c>
      <c r="D1947" t="str">
        <f>"Advice From the Happy Hippopotamus"</f>
        <v>Advice From the Happy Hippopotamus</v>
      </c>
    </row>
    <row r="1948" spans="1:4" x14ac:dyDescent="0.2">
      <c r="A1948" t="str">
        <f>"1947"</f>
        <v>1947</v>
      </c>
      <c r="B1948" t="str">
        <f>"-0.07"</f>
        <v>-0.07</v>
      </c>
      <c r="C1948" t="str">
        <f>"51"</f>
        <v>51</v>
      </c>
      <c r="D1948" t="str">
        <f>"Cat Spectacular"</f>
        <v>Cat Spectacular</v>
      </c>
    </row>
    <row r="1949" spans="1:4" x14ac:dyDescent="0.2">
      <c r="A1949" t="str">
        <f>"1948"</f>
        <v>1948</v>
      </c>
      <c r="B1949" t="str">
        <f>"0.13"</f>
        <v>0.13</v>
      </c>
      <c r="C1949" t="str">
        <f>"12"</f>
        <v>12</v>
      </c>
      <c r="D1949" t="str">
        <f>"Cached"</f>
        <v>Cached</v>
      </c>
    </row>
    <row r="1950" spans="1:4" x14ac:dyDescent="0.2">
      <c r="A1950" t="str">
        <f>"1949"</f>
        <v>1949</v>
      </c>
      <c r="B1950" t="str">
        <f>"-1.32"</f>
        <v>-1.32</v>
      </c>
      <c r="C1950" t="str">
        <f>"26"</f>
        <v>26</v>
      </c>
      <c r="D1950" t="str">
        <f>"Big City Loser EP"</f>
        <v>Big City Loser EP</v>
      </c>
    </row>
    <row r="1951" spans="1:4" x14ac:dyDescent="0.2">
      <c r="A1951" t="str">
        <f>"1950"</f>
        <v>1950</v>
      </c>
      <c r="B1951" t="str">
        <f>"0.38"</f>
        <v>0.38</v>
      </c>
      <c r="C1951" t="str">
        <f>"16"</f>
        <v>16</v>
      </c>
      <c r="D1951" t="str">
        <f>"The Saga of Mayflower May"</f>
        <v>The Saga of Mayflower May</v>
      </c>
    </row>
    <row r="1952" spans="1:4" x14ac:dyDescent="0.2">
      <c r="A1952" t="str">
        <f>"1951"</f>
        <v>1951</v>
      </c>
      <c r="B1952" t="str">
        <f>"0.69"</f>
        <v>0.69</v>
      </c>
      <c r="C1952" t="str">
        <f>"60"</f>
        <v>60</v>
      </c>
      <c r="D1952" t="str">
        <f>"Seventeen Seconds"</f>
        <v>Seventeen Seconds</v>
      </c>
    </row>
    <row r="1953" spans="1:4" x14ac:dyDescent="0.2">
      <c r="A1953" t="str">
        <f>"1952"</f>
        <v>1952</v>
      </c>
      <c r="B1953" t="str">
        <f>"0.64"</f>
        <v>0.64</v>
      </c>
      <c r="C1953" t="str">
        <f>"20"</f>
        <v>20</v>
      </c>
      <c r="D1953" t="str">
        <f>"Route 23"</f>
        <v>Route 23</v>
      </c>
    </row>
    <row r="1954" spans="1:4" x14ac:dyDescent="0.2">
      <c r="A1954" t="str">
        <f>"1953"</f>
        <v>1953</v>
      </c>
      <c r="B1954" t="str">
        <f>"0.24"</f>
        <v>0.24</v>
      </c>
      <c r="C1954" t="str">
        <f>"90"</f>
        <v>90</v>
      </c>
      <c r="D1954" t="str">
        <f>"Ghost Man on Second"</f>
        <v>Ghost Man on Second</v>
      </c>
    </row>
    <row r="1955" spans="1:4" x14ac:dyDescent="0.2">
      <c r="A1955" t="str">
        <f>"1954"</f>
        <v>1954</v>
      </c>
      <c r="B1955" t="str">
        <f>"-0.19"</f>
        <v>-0.19</v>
      </c>
      <c r="C1955" t="str">
        <f>"37"</f>
        <v>37</v>
      </c>
      <c r="D1955" t="str">
        <f>"Breakbeat Science Exercise 05"</f>
        <v>Breakbeat Science Exercise 05</v>
      </c>
    </row>
    <row r="1956" spans="1:4" x14ac:dyDescent="0.2">
      <c r="A1956" t="str">
        <f>"1955"</f>
        <v>1955</v>
      </c>
      <c r="B1956" t="str">
        <f>"1.84"</f>
        <v>1.84</v>
      </c>
      <c r="C1956" t="str">
        <f>"32"</f>
        <v>32</v>
      </c>
      <c r="D1956" t="str">
        <f>"Queue for Love"</f>
        <v>Queue for Love</v>
      </c>
    </row>
    <row r="1957" spans="1:4" x14ac:dyDescent="0.2">
      <c r="A1957" t="str">
        <f>"1956"</f>
        <v>1956</v>
      </c>
      <c r="B1957" t="str">
        <f>"0.07"</f>
        <v>0.07</v>
      </c>
      <c r="C1957" t="str">
        <f>"59"</f>
        <v>59</v>
      </c>
      <c r="D1957" t="str">
        <f>"Our Thickness"</f>
        <v>Our Thickness</v>
      </c>
    </row>
    <row r="1958" spans="1:4" x14ac:dyDescent="0.2">
      <c r="A1958" t="str">
        <f>"1957"</f>
        <v>1957</v>
      </c>
      <c r="B1958" t="str">
        <f>"0.2"</f>
        <v>0.2</v>
      </c>
      <c r="C1958" t="str">
        <f>"23"</f>
        <v>23</v>
      </c>
      <c r="D1958" t="str">
        <f>"Love"</f>
        <v>Love</v>
      </c>
    </row>
    <row r="1959" spans="1:4" x14ac:dyDescent="0.2">
      <c r="A1959" t="str">
        <f>"1958"</f>
        <v>1958</v>
      </c>
      <c r="B1959" t="str">
        <f>"-0.74"</f>
        <v>-0.74</v>
      </c>
      <c r="C1959" t="str">
        <f>"26"</f>
        <v>26</v>
      </c>
      <c r="D1959" t="str">
        <f>"Live @ the Fillmore"</f>
        <v>Live @ the Fillmore</v>
      </c>
    </row>
    <row r="1960" spans="1:4" x14ac:dyDescent="0.2">
      <c r="A1960" t="str">
        <f>"1959"</f>
        <v>1959</v>
      </c>
      <c r="B1960" t="str">
        <f>"-0.67"</f>
        <v>-0.67</v>
      </c>
      <c r="C1960" t="str">
        <f>"163"</f>
        <v>163</v>
      </c>
      <c r="D1960" t="str">
        <f>"Entertainment!"</f>
        <v>Entertainment!</v>
      </c>
    </row>
    <row r="1961" spans="1:4" x14ac:dyDescent="0.2">
      <c r="A1961" t="str">
        <f>"1960"</f>
        <v>1960</v>
      </c>
      <c r="B1961" t="str">
        <f>"0.32"</f>
        <v>0.32</v>
      </c>
      <c r="C1961" t="str">
        <f>"73"</f>
        <v>73</v>
      </c>
      <c r="D1961" t="str">
        <f>"With Teeth"</f>
        <v>With Teeth</v>
      </c>
    </row>
    <row r="1962" spans="1:4" x14ac:dyDescent="0.2">
      <c r="A1962" t="str">
        <f>"1961"</f>
        <v>1961</v>
      </c>
      <c r="B1962" t="str">
        <f>"-0.93"</f>
        <v>-0.93</v>
      </c>
      <c r="C1962" t="str">
        <f>"26"</f>
        <v>26</v>
      </c>
      <c r="D1962" t="str">
        <f>"Throne"</f>
        <v>Throne</v>
      </c>
    </row>
    <row r="1963" spans="1:4" x14ac:dyDescent="0.2">
      <c r="A1963" t="str">
        <f>"1962"</f>
        <v>1962</v>
      </c>
      <c r="B1963" t="str">
        <f>"-0.46"</f>
        <v>-0.46</v>
      </c>
      <c r="C1963" t="str">
        <f>"56"</f>
        <v>56</v>
      </c>
      <c r="D1963" t="str">
        <f>"Headphones"</f>
        <v>Headphones</v>
      </c>
    </row>
    <row r="1964" spans="1:4" x14ac:dyDescent="0.2">
      <c r="A1964" t="str">
        <f>"1963"</f>
        <v>1963</v>
      </c>
      <c r="B1964" t="str">
        <f>"0.72"</f>
        <v>0.72</v>
      </c>
      <c r="C1964" t="str">
        <f>"33"</f>
        <v>33</v>
      </c>
      <c r="D1964" t="str">
        <f>"Eccentric Soul: The Bandit Label"</f>
        <v>Eccentric Soul: The Bandit Label</v>
      </c>
    </row>
    <row r="1965" spans="1:4" x14ac:dyDescent="0.2">
      <c r="A1965" t="str">
        <f>"1964"</f>
        <v>1964</v>
      </c>
      <c r="B1965" t="str">
        <f>"-0.65"</f>
        <v>-0.65</v>
      </c>
      <c r="C1965" t="str">
        <f>"30"</f>
        <v>30</v>
      </c>
      <c r="D1965" t="str">
        <f>"Childish Music"</f>
        <v>Childish Music</v>
      </c>
    </row>
    <row r="1966" spans="1:4" x14ac:dyDescent="0.2">
      <c r="A1966" t="str">
        <f>"1965"</f>
        <v>1965</v>
      </c>
      <c r="B1966" t="str">
        <f>"-1.07"</f>
        <v>-1.07</v>
      </c>
      <c r="C1966" t="str">
        <f>"20"</f>
        <v>20</v>
      </c>
      <c r="D1966" t="str">
        <f>"The Dirty Old One Man Band"</f>
        <v>The Dirty Old One Man Band</v>
      </c>
    </row>
    <row r="1967" spans="1:4" x14ac:dyDescent="0.2">
      <c r="A1967" t="str">
        <f>"1966"</f>
        <v>1966</v>
      </c>
      <c r="B1967" t="str">
        <f>"1.3"</f>
        <v>1.3</v>
      </c>
      <c r="C1967" t="str">
        <f>"24"</f>
        <v>24</v>
      </c>
      <c r="D1967" t="str">
        <f>"Gimme Fiction"</f>
        <v>Gimme Fiction</v>
      </c>
    </row>
    <row r="1968" spans="1:4" x14ac:dyDescent="0.2">
      <c r="A1968" t="str">
        <f>"1967"</f>
        <v>1967</v>
      </c>
      <c r="B1968" t="str">
        <f>"-0.09"</f>
        <v>-0.09</v>
      </c>
      <c r="C1968" t="str">
        <f>"71"</f>
        <v>71</v>
      </c>
      <c r="D1968" t="str">
        <f>"Dimmer"</f>
        <v>Dimmer</v>
      </c>
    </row>
    <row r="1969" spans="1:4" x14ac:dyDescent="0.2">
      <c r="A1969" t="str">
        <f>"1968"</f>
        <v>1968</v>
      </c>
      <c r="B1969" t="str">
        <f>"-0.35"</f>
        <v>-0.35</v>
      </c>
      <c r="C1969" t="str">
        <f>"15"</f>
        <v>15</v>
      </c>
      <c r="D1969" t="str">
        <f>"Carousel Waltz"</f>
        <v>Carousel Waltz</v>
      </c>
    </row>
    <row r="1970" spans="1:4" x14ac:dyDescent="0.2">
      <c r="A1970" t="str">
        <f>"1969"</f>
        <v>1969</v>
      </c>
      <c r="B1970" t="str">
        <f>"-0.05"</f>
        <v>-0.05</v>
      </c>
      <c r="C1970" t="str">
        <f>"23"</f>
        <v>23</v>
      </c>
      <c r="D1970" t="str">
        <f>"Am I Free?/I Am Free"</f>
        <v>Am I Free?/I Am Free</v>
      </c>
    </row>
    <row r="1971" spans="1:4" x14ac:dyDescent="0.2">
      <c r="A1971" t="str">
        <f>"1970"</f>
        <v>1970</v>
      </c>
      <c r="B1971" t="str">
        <f>"0.11"</f>
        <v>0.11</v>
      </c>
      <c r="C1971" t="str">
        <f>"28"</f>
        <v>28</v>
      </c>
      <c r="D1971" t="str">
        <f>"The Beast"</f>
        <v>The Beast</v>
      </c>
    </row>
    <row r="1972" spans="1:4" x14ac:dyDescent="0.2">
      <c r="A1972" t="str">
        <f>"1971"</f>
        <v>1971</v>
      </c>
      <c r="B1972" t="str">
        <f>"-0.46"</f>
        <v>-0.46</v>
      </c>
      <c r="C1972" t="str">
        <f>"19"</f>
        <v>19</v>
      </c>
      <c r="D1972" t="str">
        <f>"Peel Sessions EP"</f>
        <v>Peel Sessions EP</v>
      </c>
    </row>
    <row r="1973" spans="1:4" x14ac:dyDescent="0.2">
      <c r="A1973" t="str">
        <f>"1972"</f>
        <v>1972</v>
      </c>
      <c r="B1973" t="str">
        <f>"-0.98"</f>
        <v>-0.98</v>
      </c>
      <c r="C1973" t="str">
        <f>"26"</f>
        <v>26</v>
      </c>
      <c r="D1973" t="str">
        <f>"Metal Cares"</f>
        <v>Metal Cares</v>
      </c>
    </row>
    <row r="1974" spans="1:4" x14ac:dyDescent="0.2">
      <c r="A1974" t="str">
        <f>"1973"</f>
        <v>1973</v>
      </c>
      <c r="B1974" t="str">
        <f>"-0.89"</f>
        <v>-0.89</v>
      </c>
      <c r="C1974" t="str">
        <f>"30"</f>
        <v>30</v>
      </c>
      <c r="D1974" t="str">
        <f>"Make Believe"</f>
        <v>Make Believe</v>
      </c>
    </row>
    <row r="1975" spans="1:4" x14ac:dyDescent="0.2">
      <c r="A1975" t="str">
        <f>"1974"</f>
        <v>1974</v>
      </c>
      <c r="B1975" t="str">
        <f>"0.15"</f>
        <v>0.15</v>
      </c>
      <c r="C1975" t="str">
        <f>"53"</f>
        <v>53</v>
      </c>
      <c r="D1975" t="str">
        <f>"King of America"</f>
        <v>King of America</v>
      </c>
    </row>
    <row r="1976" spans="1:4" x14ac:dyDescent="0.2">
      <c r="A1976" t="str">
        <f>"1975"</f>
        <v>1975</v>
      </c>
      <c r="B1976" t="str">
        <f>"0.05"</f>
        <v>0.05</v>
      </c>
      <c r="C1976" t="str">
        <f>"16"</f>
        <v>16</v>
      </c>
      <c r="D1976" t="str">
        <f>"Hives Fives EP"</f>
        <v>Hives Fives EP</v>
      </c>
    </row>
    <row r="1977" spans="1:4" x14ac:dyDescent="0.2">
      <c r="A1977" t="str">
        <f>"1976"</f>
        <v>1976</v>
      </c>
      <c r="B1977" t="str">
        <f>"-0.38"</f>
        <v>-0.38</v>
      </c>
      <c r="C1977" t="str">
        <f>"56"</f>
        <v>56</v>
      </c>
      <c r="D1977" t="str">
        <f>"Paper Tigers"</f>
        <v>Paper Tigers</v>
      </c>
    </row>
    <row r="1978" spans="1:4" x14ac:dyDescent="0.2">
      <c r="A1978" t="str">
        <f>"1977"</f>
        <v>1977</v>
      </c>
      <c r="B1978" t="str">
        <f>"-1.38"</f>
        <v>-1.38</v>
      </c>
      <c r="C1978" t="str">
        <f>"23"</f>
        <v>23</v>
      </c>
      <c r="D1978" t="str">
        <f>"Separation Sunday"</f>
        <v>Separation Sunday</v>
      </c>
    </row>
    <row r="1979" spans="1:4" x14ac:dyDescent="0.2">
      <c r="A1979" t="str">
        <f>"1978"</f>
        <v>1978</v>
      </c>
      <c r="B1979" t="str">
        <f>"-1.34"</f>
        <v>-1.34</v>
      </c>
      <c r="C1979" t="str">
        <f>"36"</f>
        <v>36</v>
      </c>
      <c r="D1979" t="str">
        <f>"Rio Baile Funk: Favela Booty Beats"</f>
        <v>Rio Baile Funk: Favela Booty Beats</v>
      </c>
    </row>
    <row r="1980" spans="1:4" x14ac:dyDescent="0.2">
      <c r="A1980" t="str">
        <f>"1979"</f>
        <v>1979</v>
      </c>
      <c r="B1980" t="str">
        <f>"0.05"</f>
        <v>0.05</v>
      </c>
      <c r="C1980" t="str">
        <f>"29"</f>
        <v>29</v>
      </c>
      <c r="D1980" t="str">
        <f>"Lost Recordings 2000-04"</f>
        <v>Lost Recordings 2000-04</v>
      </c>
    </row>
    <row r="1981" spans="1:4" x14ac:dyDescent="0.2">
      <c r="A1981" t="str">
        <f>"1980"</f>
        <v>1980</v>
      </c>
      <c r="B1981" t="str">
        <f>"-0.17"</f>
        <v>-0.17</v>
      </c>
      <c r="C1981" t="str">
        <f>"94"</f>
        <v>94</v>
      </c>
      <c r="D1981" t="str">
        <f>"13 &amp; God"</f>
        <v>13 &amp; God</v>
      </c>
    </row>
    <row r="1982" spans="1:4" x14ac:dyDescent="0.2">
      <c r="A1982" t="str">
        <f>"1981"</f>
        <v>1981</v>
      </c>
      <c r="B1982" t="str">
        <f>"0.15"</f>
        <v>0.15</v>
      </c>
      <c r="C1982" t="str">
        <f>"20"</f>
        <v>20</v>
      </c>
      <c r="D1982" t="str">
        <f>"Talking Voice vs. Singing Voice"</f>
        <v>Talking Voice vs. Singing Voice</v>
      </c>
    </row>
    <row r="1983" spans="1:4" x14ac:dyDescent="0.2">
      <c r="A1983" t="str">
        <f>"1982"</f>
        <v>1982</v>
      </c>
      <c r="B1983" t="str">
        <f>"-0.49"</f>
        <v>-0.49</v>
      </c>
      <c r="C1983" t="str">
        <f>"41"</f>
        <v>41</v>
      </c>
      <c r="D1983" t="str">
        <f>"Remixes: Four Tet"</f>
        <v>Remixes: Four Tet</v>
      </c>
    </row>
    <row r="1984" spans="1:4" x14ac:dyDescent="0.2">
      <c r="A1984" t="str">
        <f>"1983"</f>
        <v>1983</v>
      </c>
      <c r="B1984" t="str">
        <f>"-0.43"</f>
        <v>-0.43</v>
      </c>
      <c r="C1984" t="str">
        <f>"51"</f>
        <v>51</v>
      </c>
      <c r="D1984" t="str">
        <f>"Haughty Melodic"</f>
        <v>Haughty Melodic</v>
      </c>
    </row>
    <row r="1985" spans="1:4" x14ac:dyDescent="0.2">
      <c r="A1985" t="str">
        <f>"1984"</f>
        <v>1984</v>
      </c>
      <c r="B1985" t="str">
        <f>"0.81"</f>
        <v>0.81</v>
      </c>
      <c r="C1985" t="str">
        <f>"68"</f>
        <v>68</v>
      </c>
      <c r="D1985" t="str">
        <f>"Datarock Datarock"</f>
        <v>Datarock Datarock</v>
      </c>
    </row>
    <row r="1986" spans="1:4" x14ac:dyDescent="0.2">
      <c r="A1986" t="str">
        <f>"1985"</f>
        <v>1985</v>
      </c>
      <c r="B1986" t="str">
        <f>"0.98"</f>
        <v>0.98</v>
      </c>
      <c r="C1986" t="str">
        <f>"30"</f>
        <v>30</v>
      </c>
      <c r="D1986" t="s">
        <v>56</v>
      </c>
    </row>
    <row r="1987" spans="1:4" x14ac:dyDescent="0.2">
      <c r="A1987" t="str">
        <f>"1986"</f>
        <v>1986</v>
      </c>
      <c r="B1987" t="str">
        <f>"1.23"</f>
        <v>1.23</v>
      </c>
      <c r="C1987" t="str">
        <f>"60"</f>
        <v>60</v>
      </c>
      <c r="D1987" t="str">
        <f>"Under the Influence"</f>
        <v>Under the Influence</v>
      </c>
    </row>
    <row r="1988" spans="1:4" x14ac:dyDescent="0.2">
      <c r="A1988" t="str">
        <f>"1987"</f>
        <v>1987</v>
      </c>
      <c r="B1988" t="str">
        <f>"0.75"</f>
        <v>0.75</v>
      </c>
      <c r="C1988" t="str">
        <f>"18"</f>
        <v>18</v>
      </c>
      <c r="D1988" t="str">
        <f>"The Seven Autumn Flowers"</f>
        <v>The Seven Autumn Flowers</v>
      </c>
    </row>
    <row r="1989" spans="1:4" x14ac:dyDescent="0.2">
      <c r="A1989" t="str">
        <f>"1988"</f>
        <v>1988</v>
      </c>
      <c r="B1989" t="str">
        <f>"0.47"</f>
        <v>0.47</v>
      </c>
      <c r="C1989" t="str">
        <f>"19"</f>
        <v>19</v>
      </c>
      <c r="D1989" t="str">
        <f>"Shinutokiwa Betsu"</f>
        <v>Shinutokiwa Betsu</v>
      </c>
    </row>
    <row r="1990" spans="1:4" x14ac:dyDescent="0.2">
      <c r="A1990" t="str">
        <f>"1989"</f>
        <v>1989</v>
      </c>
      <c r="B1990" t="str">
        <f>"0.91"</f>
        <v>0.91</v>
      </c>
      <c r="C1990" t="str">
        <f>"25"</f>
        <v>25</v>
      </c>
      <c r="D1990" t="str">
        <f>"In Case We Die"</f>
        <v>In Case We Die</v>
      </c>
    </row>
    <row r="1991" spans="1:4" x14ac:dyDescent="0.2">
      <c r="A1991" t="str">
        <f>"1990"</f>
        <v>1990</v>
      </c>
      <c r="B1991" t="str">
        <f>"-0.39"</f>
        <v>-0.39</v>
      </c>
      <c r="C1991" t="str">
        <f>"25"</f>
        <v>25</v>
      </c>
      <c r="D1991" t="str">
        <f>"Cold Roses"</f>
        <v>Cold Roses</v>
      </c>
    </row>
    <row r="1992" spans="1:4" x14ac:dyDescent="0.2">
      <c r="A1992" t="str">
        <f>"1991"</f>
        <v>1991</v>
      </c>
      <c r="B1992" t="str">
        <f>"-0.63"</f>
        <v>-0.63</v>
      </c>
      <c r="C1992" t="str">
        <f>"24"</f>
        <v>24</v>
      </c>
      <c r="D1992" t="str">
        <f>"Worn Copy"</f>
        <v>Worn Copy</v>
      </c>
    </row>
    <row r="1993" spans="1:4" x14ac:dyDescent="0.2">
      <c r="A1993" t="str">
        <f>"1992"</f>
        <v>1992</v>
      </c>
      <c r="B1993" t="str">
        <f>"0.69"</f>
        <v>0.69</v>
      </c>
      <c r="C1993" t="str">
        <f>"73"</f>
        <v>73</v>
      </c>
      <c r="D1993" t="str">
        <f>"Kuutarha"</f>
        <v>Kuutarha</v>
      </c>
    </row>
    <row r="1994" spans="1:4" x14ac:dyDescent="0.2">
      <c r="A1994" t="str">
        <f>"1993"</f>
        <v>1993</v>
      </c>
      <c r="B1994" t="str">
        <f>"0.4"</f>
        <v>0.4</v>
      </c>
      <c r="C1994" t="str">
        <f>"49"</f>
        <v>49</v>
      </c>
      <c r="D1994" t="str">
        <f>"Copycat Killers"</f>
        <v>Copycat Killers</v>
      </c>
    </row>
    <row r="1995" spans="1:4" x14ac:dyDescent="0.2">
      <c r="A1995" t="str">
        <f>"1994"</f>
        <v>1994</v>
      </c>
      <c r="B1995" t="str">
        <f>"2.11"</f>
        <v>2.11</v>
      </c>
      <c r="C1995" t="str">
        <f>"14"</f>
        <v>14</v>
      </c>
      <c r="D1995" t="str">
        <f>"Celebration Castle"</f>
        <v>Celebration Castle</v>
      </c>
    </row>
    <row r="1996" spans="1:4" x14ac:dyDescent="0.2">
      <c r="A1996" t="str">
        <f>"1995"</f>
        <v>1995</v>
      </c>
      <c r="B1996" t="str">
        <f>"-0.53"</f>
        <v>-0.53</v>
      </c>
      <c r="C1996" t="str">
        <f>"20"</f>
        <v>20</v>
      </c>
      <c r="D1996" t="str">
        <f>"The Needle Was Travelling"</f>
        <v>The Needle Was Travelling</v>
      </c>
    </row>
    <row r="1997" spans="1:4" x14ac:dyDescent="0.2">
      <c r="A1997" t="str">
        <f>"1996"</f>
        <v>1996</v>
      </c>
      <c r="B1997" t="str">
        <f>"0.83"</f>
        <v>0.83</v>
      </c>
      <c r="C1997" t="str">
        <f>"28"</f>
        <v>28</v>
      </c>
      <c r="D1997" t="str">
        <f>"Pretty in Black"</f>
        <v>Pretty in Black</v>
      </c>
    </row>
    <row r="1998" spans="1:4" x14ac:dyDescent="0.2">
      <c r="A1998" t="str">
        <f>"1997"</f>
        <v>1997</v>
      </c>
      <c r="B1998" t="str">
        <f>"0.07"</f>
        <v>0.07</v>
      </c>
      <c r="C1998" t="str">
        <f>"53"</f>
        <v>53</v>
      </c>
      <c r="D1998" t="str">
        <f>"Oscillons From the Anti-Sun"</f>
        <v>Oscillons From the Anti-Sun</v>
      </c>
    </row>
    <row r="1999" spans="1:4" x14ac:dyDescent="0.2">
      <c r="A1999" t="str">
        <f>"1998"</f>
        <v>1998</v>
      </c>
      <c r="B1999" t="str">
        <f>"0.16"</f>
        <v>0.16</v>
      </c>
      <c r="C1999" t="str">
        <f>"25"</f>
        <v>25</v>
      </c>
      <c r="D1999" t="str">
        <f>"OK Cowboy"</f>
        <v>OK Cowboy</v>
      </c>
    </row>
    <row r="2000" spans="1:4" x14ac:dyDescent="0.2">
      <c r="A2000" t="str">
        <f>"1999"</f>
        <v>1999</v>
      </c>
      <c r="B2000" t="str">
        <f>"0.27"</f>
        <v>0.27</v>
      </c>
      <c r="C2000" t="str">
        <f>"17"</f>
        <v>17</v>
      </c>
      <c r="D2000" t="str">
        <f>"Laughter's Fifth"</f>
        <v>Laughter's Fifth</v>
      </c>
    </row>
    <row r="2001" spans="1:4" x14ac:dyDescent="0.2">
      <c r="A2001" t="str">
        <f>"2000"</f>
        <v>2000</v>
      </c>
      <c r="B2001" t="str">
        <f>"0.61"</f>
        <v>0.61</v>
      </c>
      <c r="C2001" t="str">
        <f>"45"</f>
        <v>45</v>
      </c>
      <c r="D2001" t="str">
        <f>"Basement Anthology 1976-84"</f>
        <v>Basement Anthology 1976-84</v>
      </c>
    </row>
    <row r="2002" spans="1:4" x14ac:dyDescent="0.2">
      <c r="A2002" t="str">
        <f>"2001"</f>
        <v>2001</v>
      </c>
      <c r="B2002" t="str">
        <f>"1.4"</f>
        <v>1.4</v>
      </c>
      <c r="C2002" t="str">
        <f>"47"</f>
        <v>47</v>
      </c>
      <c r="D2002" t="str">
        <f>"Warnings/Promises"</f>
        <v>Warnings/Promises</v>
      </c>
    </row>
    <row r="2003" spans="1:4" x14ac:dyDescent="0.2">
      <c r="A2003" t="str">
        <f>"2002"</f>
        <v>2002</v>
      </c>
      <c r="B2003" t="str">
        <f>"-0.54"</f>
        <v>-0.54</v>
      </c>
      <c r="C2003" t="str">
        <f>"28"</f>
        <v>28</v>
      </c>
      <c r="D2003" t="str">
        <f>"Trans Balkan Express"</f>
        <v>Trans Balkan Express</v>
      </c>
    </row>
    <row r="2004" spans="1:4" x14ac:dyDescent="0.2">
      <c r="A2004" t="str">
        <f>"2003"</f>
        <v>2003</v>
      </c>
      <c r="B2004" t="str">
        <f>"0.34"</f>
        <v>0.34</v>
      </c>
      <c r="C2004" t="str">
        <f>"27"</f>
        <v>27</v>
      </c>
      <c r="D2004" t="str">
        <f>"The Art of Rolling"</f>
        <v>The Art of Rolling</v>
      </c>
    </row>
    <row r="2005" spans="1:4" x14ac:dyDescent="0.2">
      <c r="A2005" t="str">
        <f>"2004"</f>
        <v>2004</v>
      </c>
      <c r="B2005" t="str">
        <f>"-0.28"</f>
        <v>-0.28</v>
      </c>
      <c r="C2005" t="str">
        <f>"93"</f>
        <v>93</v>
      </c>
      <c r="D2005" t="str">
        <f>"One Night in Bangkok"</f>
        <v>One Night in Bangkok</v>
      </c>
    </row>
    <row r="2006" spans="1:4" x14ac:dyDescent="0.2">
      <c r="A2006" t="str">
        <f>"2005"</f>
        <v>2005</v>
      </c>
      <c r="B2006" t="str">
        <f>"-1.12"</f>
        <v>-1.12</v>
      </c>
      <c r="C2006" t="str">
        <f>"108"</f>
        <v>108</v>
      </c>
      <c r="D2006" t="str">
        <f>"Blinking Lights and Other Revelations"</f>
        <v>Blinking Lights and Other Revelations</v>
      </c>
    </row>
    <row r="2007" spans="1:4" x14ac:dyDescent="0.2">
      <c r="A2007" t="str">
        <f>"2006"</f>
        <v>2006</v>
      </c>
      <c r="B2007" t="str">
        <f>"-0.05"</f>
        <v>-0.05</v>
      </c>
      <c r="C2007" t="str">
        <f>"28"</f>
        <v>28</v>
      </c>
      <c r="D2007" t="str">
        <f>"The Best Party Ever"</f>
        <v>The Best Party Ever</v>
      </c>
    </row>
    <row r="2008" spans="1:4" x14ac:dyDescent="0.2">
      <c r="A2008" t="str">
        <f>"2007"</f>
        <v>2007</v>
      </c>
      <c r="B2008" t="str">
        <f>"-0.48"</f>
        <v>-0.48</v>
      </c>
      <c r="C2008" t="str">
        <f>"26"</f>
        <v>26</v>
      </c>
      <c r="D2008" t="str">
        <f>"Futurist"</f>
        <v>Futurist</v>
      </c>
    </row>
    <row r="2009" spans="1:4" x14ac:dyDescent="0.2">
      <c r="A2009" t="str">
        <f>"2008"</f>
        <v>2008</v>
      </c>
      <c r="B2009" t="str">
        <f>"-0.41"</f>
        <v>-0.41</v>
      </c>
      <c r="C2009" t="str">
        <f>"91"</f>
        <v>91</v>
      </c>
      <c r="D2009" t="str">
        <f>"Songs for Silverman"</f>
        <v>Songs for Silverman</v>
      </c>
    </row>
    <row r="2010" spans="1:4" x14ac:dyDescent="0.2">
      <c r="A2010" t="str">
        <f>"2009"</f>
        <v>2009</v>
      </c>
      <c r="B2010" t="str">
        <f>"-0.46"</f>
        <v>-0.46</v>
      </c>
      <c r="C2010" t="str">
        <f>"56"</f>
        <v>56</v>
      </c>
      <c r="D2010" t="str">
        <f>"Growing Green"</f>
        <v>Growing Green</v>
      </c>
    </row>
    <row r="2011" spans="1:4" x14ac:dyDescent="0.2">
      <c r="A2011" t="str">
        <f>"2010"</f>
        <v>2010</v>
      </c>
      <c r="B2011" t="str">
        <f>"1.19"</f>
        <v>1.19</v>
      </c>
      <c r="C2011" t="str">
        <f>"15"</f>
        <v>15</v>
      </c>
      <c r="D2011" t="str">
        <f>"Darkness at Noon"</f>
        <v>Darkness at Noon</v>
      </c>
    </row>
    <row r="2012" spans="1:4" x14ac:dyDescent="0.2">
      <c r="A2012" t="str">
        <f>"2011"</f>
        <v>2011</v>
      </c>
      <c r="B2012" t="str">
        <f>"1.24"</f>
        <v>1.24</v>
      </c>
      <c r="C2012" t="str">
        <f>"17"</f>
        <v>17</v>
      </c>
      <c r="D2012" t="str">
        <f>"Goodbye"</f>
        <v>Goodbye</v>
      </c>
    </row>
    <row r="2013" spans="1:4" x14ac:dyDescent="0.2">
      <c r="A2013" t="str">
        <f>"2012"</f>
        <v>2012</v>
      </c>
      <c r="B2013" t="str">
        <f>"-0.3"</f>
        <v>-0.3</v>
      </c>
      <c r="C2013" t="str">
        <f>"26"</f>
        <v>26</v>
      </c>
      <c r="D2013" t="str">
        <f>"Low Road"</f>
        <v>Low Road</v>
      </c>
    </row>
    <row r="2014" spans="1:4" x14ac:dyDescent="0.2">
      <c r="A2014" t="str">
        <f>"2013"</f>
        <v>2013</v>
      </c>
      <c r="B2014" t="str">
        <f>"-1.19"</f>
        <v>-1.19</v>
      </c>
      <c r="C2014" t="str">
        <f>"46"</f>
        <v>46</v>
      </c>
      <c r="D2014" t="str">
        <f>"Ragga Ragga Ragga 2005"</f>
        <v>Ragga Ragga Ragga 2005</v>
      </c>
    </row>
    <row r="2015" spans="1:4" x14ac:dyDescent="0.2">
      <c r="A2015" t="str">
        <f>"2014"</f>
        <v>2014</v>
      </c>
      <c r="B2015" t="str">
        <f>"0.21"</f>
        <v>0.21</v>
      </c>
      <c r="C2015" t="str">
        <f>"72"</f>
        <v>72</v>
      </c>
      <c r="D2015" t="str">
        <f>"Nothing's Lost"</f>
        <v>Nothing's Lost</v>
      </c>
    </row>
    <row r="2016" spans="1:4" x14ac:dyDescent="0.2">
      <c r="A2016" t="str">
        <f>"2015"</f>
        <v>2015</v>
      </c>
      <c r="B2016" t="str">
        <f>"-0.15"</f>
        <v>-0.15</v>
      </c>
      <c r="C2016" t="str">
        <f>"104"</f>
        <v>104</v>
      </c>
      <c r="D2016" t="str">
        <f>"The Sunset Tree"</f>
        <v>The Sunset Tree</v>
      </c>
    </row>
    <row r="2017" spans="1:4" x14ac:dyDescent="0.2">
      <c r="A2017" t="str">
        <f>"2016"</f>
        <v>2016</v>
      </c>
      <c r="B2017" t="str">
        <f>"0.66"</f>
        <v>0.66</v>
      </c>
      <c r="C2017" t="str">
        <f>"21"</f>
        <v>21</v>
      </c>
      <c r="D2017" t="str">
        <f>"Rituals"</f>
        <v>Rituals</v>
      </c>
    </row>
    <row r="2018" spans="1:4" x14ac:dyDescent="0.2">
      <c r="A2018" t="str">
        <f>"2017"</f>
        <v>2017</v>
      </c>
      <c r="B2018" t="str">
        <f>"0.66"</f>
        <v>0.66</v>
      </c>
      <c r="C2018" t="str">
        <f>"30"</f>
        <v>30</v>
      </c>
      <c r="D2018" t="str">
        <f>"ASAP: The Afrobeat Sudan Aid Project"</f>
        <v>ASAP: The Afrobeat Sudan Aid Project</v>
      </c>
    </row>
    <row r="2019" spans="1:4" x14ac:dyDescent="0.2">
      <c r="A2019" t="str">
        <f>"2018"</f>
        <v>2018</v>
      </c>
      <c r="B2019" t="str">
        <f>"-0.1"</f>
        <v>-0.1</v>
      </c>
      <c r="C2019" t="str">
        <f>"48"</f>
        <v>48</v>
      </c>
      <c r="D2019" t="str">
        <f>"Always Never Again"</f>
        <v>Always Never Again</v>
      </c>
    </row>
    <row r="2020" spans="1:4" x14ac:dyDescent="0.2">
      <c r="A2020" t="str">
        <f>"2019"</f>
        <v>2019</v>
      </c>
      <c r="B2020" t="str">
        <f>"0.68"</f>
        <v>0.68</v>
      </c>
      <c r="C2020" t="str">
        <f>"23"</f>
        <v>23</v>
      </c>
      <c r="D2020" t="str">
        <f>"1981"</f>
        <v>1981</v>
      </c>
    </row>
    <row r="2021" spans="1:4" x14ac:dyDescent="0.2">
      <c r="A2021" t="str">
        <f>"2020"</f>
        <v>2020</v>
      </c>
      <c r="B2021" t="str">
        <f>"0.92"</f>
        <v>0.92</v>
      </c>
      <c r="C2021" t="str">
        <f>"49"</f>
        <v>49</v>
      </c>
      <c r="D2021" t="str">
        <f>"DJ-Kicks"</f>
        <v>DJ-Kicks</v>
      </c>
    </row>
    <row r="2022" spans="1:4" x14ac:dyDescent="0.2">
      <c r="A2022" t="str">
        <f>"2021"</f>
        <v>2021</v>
      </c>
      <c r="B2022" t="str">
        <f>"0.68"</f>
        <v>0.68</v>
      </c>
      <c r="C2022" t="str">
        <f>"41"</f>
        <v>41</v>
      </c>
      <c r="D2022" t="str">
        <f>"Slow Hands"</f>
        <v>Slow Hands</v>
      </c>
    </row>
    <row r="2023" spans="1:4" x14ac:dyDescent="0.2">
      <c r="A2023" t="str">
        <f>"2022"</f>
        <v>2022</v>
      </c>
      <c r="B2023" t="str">
        <f>"1.33"</f>
        <v>1.33</v>
      </c>
      <c r="C2023" t="str">
        <f>"26"</f>
        <v>26</v>
      </c>
      <c r="D2023" t="str">
        <f>"Brazilian Girls"</f>
        <v>Brazilian Girls</v>
      </c>
    </row>
    <row r="2024" spans="1:4" x14ac:dyDescent="0.2">
      <c r="A2024" t="str">
        <f>"2023"</f>
        <v>2023</v>
      </c>
      <c r="B2024" t="str">
        <f>"-1.04"</f>
        <v>-1.04</v>
      </c>
      <c r="C2024" t="str">
        <f>"49"</f>
        <v>49</v>
      </c>
      <c r="D2024" t="str">
        <f>"Dutch Dub"</f>
        <v>Dutch Dub</v>
      </c>
    </row>
    <row r="2025" spans="1:4" x14ac:dyDescent="0.2">
      <c r="A2025" t="str">
        <f>"2024"</f>
        <v>2024</v>
      </c>
      <c r="B2025" t="str">
        <f>"-0.36"</f>
        <v>-0.36</v>
      </c>
      <c r="C2025" t="str">
        <f>"21"</f>
        <v>21</v>
      </c>
      <c r="D2025" t="str">
        <f>"Hold Me to This: Christopher O'Riley Plays Radiohead"</f>
        <v>Hold Me to This: Christopher O'Riley Plays Radiohead</v>
      </c>
    </row>
    <row r="2026" spans="1:4" x14ac:dyDescent="0.2">
      <c r="A2026" t="str">
        <f>"2025"</f>
        <v>2025</v>
      </c>
      <c r="B2026" t="str">
        <f>"0.16"</f>
        <v>0.16</v>
      </c>
      <c r="C2026" t="str">
        <f>"105"</f>
        <v>105</v>
      </c>
      <c r="D2026" t="str">
        <f>"Untilted"</f>
        <v>Untilted</v>
      </c>
    </row>
    <row r="2027" spans="1:4" x14ac:dyDescent="0.2">
      <c r="A2027" t="str">
        <f>"2026"</f>
        <v>2026</v>
      </c>
      <c r="B2027" t="str">
        <f>"0.26"</f>
        <v>0.26</v>
      </c>
      <c r="C2027" t="str">
        <f>"28"</f>
        <v>28</v>
      </c>
      <c r="D2027" t="str">
        <f>"The Milk of Human Kindness"</f>
        <v>The Milk of Human Kindness</v>
      </c>
    </row>
    <row r="2028" spans="1:4" x14ac:dyDescent="0.2">
      <c r="A2028" t="str">
        <f>"2027"</f>
        <v>2027</v>
      </c>
      <c r="B2028" t="str">
        <f>"-0.75"</f>
        <v>-0.75</v>
      </c>
      <c r="C2028" t="str">
        <f>"29"</f>
        <v>29</v>
      </c>
      <c r="D2028" t="str">
        <f>"Run War"</f>
        <v>Run War</v>
      </c>
    </row>
    <row r="2029" spans="1:4" x14ac:dyDescent="0.2">
      <c r="A2029" t="str">
        <f>"2028"</f>
        <v>2028</v>
      </c>
      <c r="B2029" t="str">
        <f>"-0.78"</f>
        <v>-0.78</v>
      </c>
      <c r="C2029" t="str">
        <f>"46"</f>
        <v>46</v>
      </c>
      <c r="D2029" t="str">
        <f>"Relaxation of the Asshole"</f>
        <v>Relaxation of the Asshole</v>
      </c>
    </row>
    <row r="2030" spans="1:4" x14ac:dyDescent="0.2">
      <c r="A2030" t="str">
        <f>"2029"</f>
        <v>2029</v>
      </c>
      <c r="B2030" t="str">
        <f>"1.13"</f>
        <v>1.13</v>
      </c>
      <c r="C2030" t="str">
        <f>"19"</f>
        <v>19</v>
      </c>
      <c r="D2030" t="str">
        <f>"Elevators and Oscillators"</f>
        <v>Elevators and Oscillators</v>
      </c>
    </row>
    <row r="2031" spans="1:4" x14ac:dyDescent="0.2">
      <c r="A2031" t="str">
        <f>"2030"</f>
        <v>2030</v>
      </c>
      <c r="B2031" t="str">
        <f>"-0.13"</f>
        <v>-0.13</v>
      </c>
      <c r="C2031" t="str">
        <f>"11"</f>
        <v>11</v>
      </c>
      <c r="D2031" t="str">
        <f>"Central Hug/Friendarmy/Fractaldunes (And the Dreams that Resulted)"</f>
        <v>Central Hug/Friendarmy/Fractaldunes (And the Dreams that Resulted)</v>
      </c>
    </row>
    <row r="2032" spans="1:4" x14ac:dyDescent="0.2">
      <c r="A2032" t="str">
        <f>"2031"</f>
        <v>2031</v>
      </c>
      <c r="B2032" t="str">
        <f>"-1.16"</f>
        <v>-1.16</v>
      </c>
      <c r="C2032" t="str">
        <f>"20"</f>
        <v>20</v>
      </c>
      <c r="D2032" t="str">
        <f>"Suspended Animation"</f>
        <v>Suspended Animation</v>
      </c>
    </row>
    <row r="2033" spans="1:4" x14ac:dyDescent="0.2">
      <c r="A2033" t="str">
        <f>"2032"</f>
        <v>2032</v>
      </c>
      <c r="B2033" t="str">
        <f>"-0.71"</f>
        <v>-0.71</v>
      </c>
      <c r="C2033" t="str">
        <f>"24"</f>
        <v>24</v>
      </c>
      <c r="D2033" t="str">
        <f>"Micah P. Hinson and the Gospel of Progress"</f>
        <v>Micah P. Hinson and the Gospel of Progress</v>
      </c>
    </row>
    <row r="2034" spans="1:4" x14ac:dyDescent="0.2">
      <c r="A2034" t="str">
        <f>"2033"</f>
        <v>2033</v>
      </c>
      <c r="B2034" t="str">
        <f>"-0.26"</f>
        <v>-0.26</v>
      </c>
      <c r="C2034" t="str">
        <f>"21"</f>
        <v>21</v>
      </c>
      <c r="D2034" t="str">
        <f>"How to Prosper in the Coming Bad Years"</f>
        <v>How to Prosper in the Coming Bad Years</v>
      </c>
    </row>
    <row r="2035" spans="1:4" x14ac:dyDescent="0.2">
      <c r="A2035" t="str">
        <f>"2034"</f>
        <v>2034</v>
      </c>
      <c r="B2035" t="str">
        <f>"0.81"</f>
        <v>0.81</v>
      </c>
      <c r="C2035" t="str">
        <f>"14"</f>
        <v>14</v>
      </c>
      <c r="D2035" t="str">
        <f>"Absencen"</f>
        <v>Absencen</v>
      </c>
    </row>
    <row r="2036" spans="1:4" x14ac:dyDescent="0.2">
      <c r="A2036" t="str">
        <f>"2035"</f>
        <v>2035</v>
      </c>
      <c r="B2036" t="str">
        <f>"0.63"</f>
        <v>0.63</v>
      </c>
      <c r="C2036" t="str">
        <f>"72"</f>
        <v>72</v>
      </c>
      <c r="D2036" t="str">
        <f>"Warmer Corners; 2005"</f>
        <v>Warmer Corners; 2005</v>
      </c>
    </row>
    <row r="2037" spans="1:4" x14ac:dyDescent="0.2">
      <c r="A2037" t="str">
        <f>"2036"</f>
        <v>2036</v>
      </c>
      <c r="B2037" t="str">
        <f>"0.95"</f>
        <v>0.95</v>
      </c>
      <c r="C2037" t="str">
        <f>"54"</f>
        <v>54</v>
      </c>
      <c r="D2037" t="str">
        <f>"The Carlton Chronicles: Not Until the Operation's Through"</f>
        <v>The Carlton Chronicles: Not Until the Operation's Through</v>
      </c>
    </row>
    <row r="2038" spans="1:4" x14ac:dyDescent="0.2">
      <c r="A2038" t="str">
        <f>"2037"</f>
        <v>2037</v>
      </c>
      <c r="B2038" t="str">
        <f>"-0.75"</f>
        <v>-0.75</v>
      </c>
      <c r="C2038" t="str">
        <f>"22"</f>
        <v>22</v>
      </c>
      <c r="D2038" t="str">
        <f>"The Bravery"</f>
        <v>The Bravery</v>
      </c>
    </row>
    <row r="2039" spans="1:4" x14ac:dyDescent="0.2">
      <c r="A2039" t="str">
        <f>"2038"</f>
        <v>2038</v>
      </c>
      <c r="B2039" t="str">
        <f>"-0.24"</f>
        <v>-0.24</v>
      </c>
      <c r="C2039" t="str">
        <f>"20"</f>
        <v>20</v>
      </c>
      <c r="D2039" t="str">
        <f>"Polysics or Die!!!"</f>
        <v>Polysics or Die!!!</v>
      </c>
    </row>
    <row r="2040" spans="1:4" x14ac:dyDescent="0.2">
      <c r="A2040" t="str">
        <f>"2039"</f>
        <v>2039</v>
      </c>
      <c r="B2040" t="str">
        <f>"0.41"</f>
        <v>0.41</v>
      </c>
      <c r="C2040" t="str">
        <f>"37"</f>
        <v>37</v>
      </c>
      <c r="D2040" t="str">
        <f>"Illuminated By the Light"</f>
        <v>Illuminated By the Light</v>
      </c>
    </row>
    <row r="2041" spans="1:4" x14ac:dyDescent="0.2">
      <c r="A2041" t="str">
        <f>"2040"</f>
        <v>2040</v>
      </c>
      <c r="B2041" t="str">
        <f>"0.7"</f>
        <v>0.7</v>
      </c>
      <c r="C2041" t="str">
        <f>"41"</f>
        <v>41</v>
      </c>
      <c r="D2041" t="str">
        <f>"Beauty and the Beat"</f>
        <v>Beauty and the Beat</v>
      </c>
    </row>
    <row r="2042" spans="1:4" x14ac:dyDescent="0.2">
      <c r="A2042" t="str">
        <f>"2041"</f>
        <v>2041</v>
      </c>
      <c r="B2042" t="str">
        <f>"0.86"</f>
        <v>0.86</v>
      </c>
      <c r="C2042" t="str">
        <f>"38"</f>
        <v>38</v>
      </c>
      <c r="D2042" t="str">
        <f>"Trade Test Tramsmissions"</f>
        <v>Trade Test Tramsmissions</v>
      </c>
    </row>
    <row r="2043" spans="1:4" x14ac:dyDescent="0.2">
      <c r="A2043" t="str">
        <f>"2042"</f>
        <v>2042</v>
      </c>
      <c r="B2043" t="str">
        <f>"-1.2"</f>
        <v>-1.2</v>
      </c>
      <c r="C2043" t="str">
        <f>"27"</f>
        <v>27</v>
      </c>
      <c r="D2043" t="str">
        <f>"Press the Space Bar"</f>
        <v>Press the Space Bar</v>
      </c>
    </row>
    <row r="2044" spans="1:4" x14ac:dyDescent="0.2">
      <c r="A2044" t="str">
        <f>"2043"</f>
        <v>2043</v>
      </c>
      <c r="B2044" t="str">
        <f>"0.09"</f>
        <v>0.09</v>
      </c>
      <c r="C2044" t="str">
        <f>"36"</f>
        <v>36</v>
      </c>
      <c r="D2044" t="str">
        <f>"Juggernaut Rides"</f>
        <v>Juggernaut Rides</v>
      </c>
    </row>
    <row r="2045" spans="1:4" x14ac:dyDescent="0.2">
      <c r="A2045" t="str">
        <f>"2044"</f>
        <v>2044</v>
      </c>
      <c r="B2045" t="str">
        <f>"-0.54"</f>
        <v>-0.54</v>
      </c>
      <c r="C2045" t="str">
        <f>"77"</f>
        <v>77</v>
      </c>
      <c r="D2045" t="str">
        <f>"Akron/Family"</f>
        <v>Akron/Family</v>
      </c>
    </row>
    <row r="2046" spans="1:4" x14ac:dyDescent="0.2">
      <c r="A2046" t="str">
        <f>"2045"</f>
        <v>2045</v>
      </c>
      <c r="B2046" t="str">
        <f>"0.74"</f>
        <v>0.74</v>
      </c>
      <c r="C2046" t="str">
        <f>"38"</f>
        <v>38</v>
      </c>
      <c r="D2046" t="str">
        <f>"Music for Films"</f>
        <v>Music for Films</v>
      </c>
    </row>
    <row r="2047" spans="1:4" x14ac:dyDescent="0.2">
      <c r="A2047" t="str">
        <f>"2046"</f>
        <v>2046</v>
      </c>
      <c r="B2047" t="str">
        <f>"0.84"</f>
        <v>0.84</v>
      </c>
      <c r="C2047" t="str">
        <f>"36"</f>
        <v>36</v>
      </c>
      <c r="D2047" t="str">
        <f>"Yellow Pills"</f>
        <v>Yellow Pills</v>
      </c>
    </row>
    <row r="2048" spans="1:4" x14ac:dyDescent="0.2">
      <c r="A2048" t="str">
        <f>"2047"</f>
        <v>2047</v>
      </c>
      <c r="B2048" t="str">
        <f>"0.05"</f>
        <v>0.05</v>
      </c>
      <c r="C2048" t="str">
        <f>"17"</f>
        <v>17</v>
      </c>
      <c r="D2048" t="str">
        <f>"Shakey"</f>
        <v>Shakey</v>
      </c>
    </row>
    <row r="2049" spans="1:4" x14ac:dyDescent="0.2">
      <c r="A2049" t="str">
        <f>"2048"</f>
        <v>2048</v>
      </c>
      <c r="B2049" t="str">
        <f>"-0.56"</f>
        <v>-0.56</v>
      </c>
      <c r="C2049" t="str">
        <f>"21"</f>
        <v>21</v>
      </c>
      <c r="D2049" t="str">
        <f>"Horses in the Sky"</f>
        <v>Horses in the Sky</v>
      </c>
    </row>
    <row r="2050" spans="1:4" x14ac:dyDescent="0.2">
      <c r="A2050" t="str">
        <f>"2049"</f>
        <v>2049</v>
      </c>
      <c r="B2050" t="str">
        <f>"0.11"</f>
        <v>0.11</v>
      </c>
      <c r="C2050" t="str">
        <f>"24"</f>
        <v>24</v>
      </c>
      <c r="D2050" t="str">
        <f>"Black Sheep Boy"</f>
        <v>Black Sheep Boy</v>
      </c>
    </row>
    <row r="2051" spans="1:4" x14ac:dyDescent="0.2">
      <c r="A2051" t="str">
        <f>"2050"</f>
        <v>2050</v>
      </c>
      <c r="B2051" t="str">
        <f>"-0.42"</f>
        <v>-0.42</v>
      </c>
      <c r="C2051" t="str">
        <f>"74"</f>
        <v>74</v>
      </c>
      <c r="D2051" t="str">
        <f>"What Comes After the Blues?"</f>
        <v>What Comes After the Blues?</v>
      </c>
    </row>
    <row r="2052" spans="1:4" x14ac:dyDescent="0.2">
      <c r="A2052" t="str">
        <f>"2051"</f>
        <v>2051</v>
      </c>
      <c r="B2052" t="str">
        <f>"0.11"</f>
        <v>0.11</v>
      </c>
      <c r="C2052" t="str">
        <f>"50"</f>
        <v>50</v>
      </c>
      <c r="D2052" t="str">
        <f>"Hypnotic Suggestion:01"</f>
        <v>Hypnotic Suggestion:01</v>
      </c>
    </row>
    <row r="2053" spans="1:4" x14ac:dyDescent="0.2">
      <c r="A2053" t="str">
        <f>"2052"</f>
        <v>2052</v>
      </c>
      <c r="B2053" t="str">
        <f>"-0.24"</f>
        <v>-0.24</v>
      </c>
      <c r="C2053" t="str">
        <f>"26"</f>
        <v>26</v>
      </c>
      <c r="D2053" t="str">
        <f>"God's Money"</f>
        <v>God's Money</v>
      </c>
    </row>
    <row r="2054" spans="1:4" x14ac:dyDescent="0.2">
      <c r="A2054" t="str">
        <f>"2053"</f>
        <v>2053</v>
      </c>
      <c r="B2054" t="str">
        <f>"0.71"</f>
        <v>0.71</v>
      </c>
      <c r="C2054" t="str">
        <f>"34"</f>
        <v>34</v>
      </c>
      <c r="D2054" t="str">
        <f>"American Whip"</f>
        <v>American Whip</v>
      </c>
    </row>
    <row r="2055" spans="1:4" x14ac:dyDescent="0.2">
      <c r="A2055" t="str">
        <f>"2054"</f>
        <v>2054</v>
      </c>
      <c r="B2055" t="str">
        <f>"1.61"</f>
        <v>1.61</v>
      </c>
      <c r="C2055" t="str">
        <f>"16"</f>
        <v>16</v>
      </c>
      <c r="D2055" t="str">
        <f>"A Closed Universe EP"</f>
        <v>A Closed Universe EP</v>
      </c>
    </row>
    <row r="2056" spans="1:4" x14ac:dyDescent="0.2">
      <c r="A2056" t="str">
        <f>"2055"</f>
        <v>2055</v>
      </c>
      <c r="B2056" t="str">
        <f>"0.32"</f>
        <v>0.32</v>
      </c>
      <c r="C2056" t="str">
        <f>"27"</f>
        <v>27</v>
      </c>
      <c r="D2056" t="str">
        <f>"Wheedle's Groove: Seattle's Finest Soul &amp; Funk 1965-1975"</f>
        <v>Wheedle's Groove: Seattle's Finest Soul &amp; Funk 1965-1975</v>
      </c>
    </row>
    <row r="2057" spans="1:4" x14ac:dyDescent="0.2">
      <c r="A2057" t="str">
        <f>"2056"</f>
        <v>2056</v>
      </c>
      <c r="B2057" t="str">
        <f>"-0.45"</f>
        <v>-0.45</v>
      </c>
      <c r="C2057" t="str">
        <f>"26"</f>
        <v>26</v>
      </c>
      <c r="D2057" t="str">
        <f>"The B.Coming"</f>
        <v>The B.Coming</v>
      </c>
    </row>
    <row r="2058" spans="1:4" x14ac:dyDescent="0.2">
      <c r="A2058" t="str">
        <f>"2057"</f>
        <v>2057</v>
      </c>
      <c r="B2058" t="str">
        <f>"-0.07"</f>
        <v>-0.07</v>
      </c>
      <c r="C2058" t="str">
        <f>"128"</f>
        <v>128</v>
      </c>
      <c r="D2058" t="str">
        <f>"Music From The O.C. Mix 4"</f>
        <v>Music From The O.C. Mix 4</v>
      </c>
    </row>
    <row r="2059" spans="1:4" x14ac:dyDescent="0.2">
      <c r="A2059" t="str">
        <f>"2058"</f>
        <v>2058</v>
      </c>
      <c r="B2059" t="str">
        <f>"-0.64"</f>
        <v>-0.64</v>
      </c>
      <c r="C2059" t="str">
        <f>"54"</f>
        <v>54</v>
      </c>
      <c r="D2059" t="str">
        <f>"Folks Music"</f>
        <v>Folks Music</v>
      </c>
    </row>
    <row r="2060" spans="1:4" x14ac:dyDescent="0.2">
      <c r="A2060" t="str">
        <f>"2059"</f>
        <v>2059</v>
      </c>
      <c r="B2060" t="str">
        <f>"-0.24"</f>
        <v>-0.24</v>
      </c>
      <c r="C2060" t="str">
        <f>"21"</f>
        <v>21</v>
      </c>
      <c r="D2060" t="str">
        <f>"Black Oni"</f>
        <v>Black Oni</v>
      </c>
    </row>
    <row r="2061" spans="1:4" x14ac:dyDescent="0.2">
      <c r="A2061" t="str">
        <f>"2060"</f>
        <v>2060</v>
      </c>
      <c r="B2061" t="str">
        <f>"-0.12"</f>
        <v>-0.12</v>
      </c>
      <c r="C2061" t="str">
        <f>"77"</f>
        <v>77</v>
      </c>
      <c r="D2061" t="str">
        <f>"The Sunlandic Twins"</f>
        <v>The Sunlandic Twins</v>
      </c>
    </row>
    <row r="2062" spans="1:4" x14ac:dyDescent="0.2">
      <c r="A2062" t="str">
        <f>"2061"</f>
        <v>2061</v>
      </c>
      <c r="B2062" t="str">
        <f>"0.63"</f>
        <v>0.63</v>
      </c>
      <c r="C2062" t="str">
        <f>"19"</f>
        <v>19</v>
      </c>
      <c r="D2062" t="str">
        <f>"Rivers Roll on By"</f>
        <v>Rivers Roll on By</v>
      </c>
    </row>
    <row r="2063" spans="1:4" x14ac:dyDescent="0.2">
      <c r="A2063" t="str">
        <f>"2062"</f>
        <v>2062</v>
      </c>
      <c r="B2063" t="str">
        <f>"-0.01"</f>
        <v>-0.01</v>
      </c>
      <c r="C2063" t="str">
        <f>"49"</f>
        <v>49</v>
      </c>
      <c r="D2063" t="str">
        <f>"Prettier in the Dark EP"</f>
        <v>Prettier in the Dark EP</v>
      </c>
    </row>
    <row r="2064" spans="1:4" x14ac:dyDescent="0.2">
      <c r="A2064" t="str">
        <f>"2063"</f>
        <v>2063</v>
      </c>
      <c r="B2064" t="str">
        <f>"1.91"</f>
        <v>1.91</v>
      </c>
      <c r="C2064" t="str">
        <f>"17"</f>
        <v>17</v>
      </c>
      <c r="D2064" t="str">
        <f>"Our Bed Is Green"</f>
        <v>Our Bed Is Green</v>
      </c>
    </row>
    <row r="2065" spans="1:4" x14ac:dyDescent="0.2">
      <c r="A2065" t="str">
        <f>"2064"</f>
        <v>2064</v>
      </c>
      <c r="B2065" t="str">
        <f>"-1.19"</f>
        <v>-1.19</v>
      </c>
      <c r="C2065" t="str">
        <f>"12"</f>
        <v>12</v>
      </c>
      <c r="D2065" t="str">
        <f>"Body/End/Basement"</f>
        <v>Body/End/Basement</v>
      </c>
    </row>
    <row r="2066" spans="1:4" x14ac:dyDescent="0.2">
      <c r="A2066" t="str">
        <f>"2065"</f>
        <v>2065</v>
      </c>
      <c r="B2066" t="str">
        <f>"1.08"</f>
        <v>1.08</v>
      </c>
      <c r="C2066" t="str">
        <f>"23"</f>
        <v>23</v>
      </c>
      <c r="D2066" t="str">
        <f>"The Getty Address"</f>
        <v>The Getty Address</v>
      </c>
    </row>
    <row r="2067" spans="1:4" x14ac:dyDescent="0.2">
      <c r="A2067" t="str">
        <f>"2066"</f>
        <v>2066</v>
      </c>
      <c r="B2067" t="str">
        <f>"-0.94"</f>
        <v>-0.94</v>
      </c>
      <c r="C2067" t="str">
        <f>"22"</f>
        <v>22</v>
      </c>
      <c r="D2067" t="str">
        <f>"Rossz Csillag Alatt Született"</f>
        <v>Rossz Csillag Alatt Született</v>
      </c>
    </row>
    <row r="2068" spans="1:4" x14ac:dyDescent="0.2">
      <c r="A2068" t="str">
        <f>"2067"</f>
        <v>2067</v>
      </c>
      <c r="B2068" t="str">
        <f>"-0.7"</f>
        <v>-0.7</v>
      </c>
      <c r="C2068" t="str">
        <f>"64"</f>
        <v>64</v>
      </c>
      <c r="D2068" t="str">
        <f>"Her Love Is Real...But She Is Not"</f>
        <v>Her Love Is Real...But She Is Not</v>
      </c>
    </row>
    <row r="2069" spans="1:4" x14ac:dyDescent="0.2">
      <c r="A2069" t="str">
        <f>"2068"</f>
        <v>2068</v>
      </c>
      <c r="B2069" t="str">
        <f>"-0.75"</f>
        <v>-0.75</v>
      </c>
      <c r="C2069" t="str">
        <f>"20"</f>
        <v>20</v>
      </c>
      <c r="D2069" t="str">
        <f>"Great Lake Swimmers"</f>
        <v>Great Lake Swimmers</v>
      </c>
    </row>
    <row r="2070" spans="1:4" x14ac:dyDescent="0.2">
      <c r="A2070" t="str">
        <f>"2069"</f>
        <v>2069</v>
      </c>
      <c r="B2070" t="str">
        <f>"-0.67"</f>
        <v>-0.67</v>
      </c>
      <c r="C2070" t="str">
        <f>"31"</f>
        <v>31</v>
      </c>
      <c r="D2070" t="str">
        <f>"Bleed Like Me"</f>
        <v>Bleed Like Me</v>
      </c>
    </row>
    <row r="2071" spans="1:4" x14ac:dyDescent="0.2">
      <c r="A2071" t="str">
        <f>"2070"</f>
        <v>2070</v>
      </c>
      <c r="B2071" t="str">
        <f>"0.39"</f>
        <v>0.39</v>
      </c>
      <c r="C2071" t="str">
        <f>"74"</f>
        <v>74</v>
      </c>
      <c r="D2071" t="str">
        <f>"Dinosaur"</f>
        <v>Dinosaur</v>
      </c>
    </row>
    <row r="2072" spans="1:4" x14ac:dyDescent="0.2">
      <c r="A2072" t="str">
        <f>"2071"</f>
        <v>2071</v>
      </c>
      <c r="B2072" t="str">
        <f>"0.89"</f>
        <v>0.89</v>
      </c>
      <c r="C2072" t="str">
        <f>"56"</f>
        <v>56</v>
      </c>
      <c r="D2072" t="str">
        <f>"On My Way to Absence"</f>
        <v>On My Way to Absence</v>
      </c>
    </row>
    <row r="2073" spans="1:4" x14ac:dyDescent="0.2">
      <c r="A2073" t="str">
        <f>"2072"</f>
        <v>2072</v>
      </c>
      <c r="B2073" t="str">
        <f>"-0.23"</f>
        <v>-0.23</v>
      </c>
      <c r="C2073" t="str">
        <f>"25"</f>
        <v>25</v>
      </c>
      <c r="D2073" t="str">
        <f>"Odyssey"</f>
        <v>Odyssey</v>
      </c>
    </row>
    <row r="2074" spans="1:4" x14ac:dyDescent="0.2">
      <c r="A2074" t="str">
        <f>"2073"</f>
        <v>2073</v>
      </c>
      <c r="B2074" t="str">
        <f>"0.11"</f>
        <v>0.11</v>
      </c>
      <c r="C2074" t="str">
        <f>"17"</f>
        <v>17</v>
      </c>
      <c r="D2074" t="str">
        <f>"Speed"</f>
        <v>Speed</v>
      </c>
    </row>
    <row r="2075" spans="1:4" x14ac:dyDescent="0.2">
      <c r="A2075" t="str">
        <f>"2074"</f>
        <v>2074</v>
      </c>
      <c r="B2075" t="str">
        <f>"1.2"</f>
        <v>1.2</v>
      </c>
      <c r="C2075" t="str">
        <f>"22"</f>
        <v>22</v>
      </c>
      <c r="D2075" t="str">
        <f>"A Hyperactive Workout for the Flying Squad"</f>
        <v>A Hyperactive Workout for the Flying Squad</v>
      </c>
    </row>
    <row r="2076" spans="1:4" x14ac:dyDescent="0.2">
      <c r="A2076" t="str">
        <f>"2075"</f>
        <v>2075</v>
      </c>
      <c r="B2076" t="str">
        <f>"0.13"</f>
        <v>0.13</v>
      </c>
      <c r="C2076" t="str">
        <f>"59"</f>
        <v>59</v>
      </c>
      <c r="D2076" t="str">
        <f>"Open Season"</f>
        <v>Open Season</v>
      </c>
    </row>
    <row r="2077" spans="1:4" x14ac:dyDescent="0.2">
      <c r="A2077" t="str">
        <f>"2076"</f>
        <v>2076</v>
      </c>
      <c r="B2077" t="str">
        <f>"1.17"</f>
        <v>1.17</v>
      </c>
      <c r="C2077" t="str">
        <f>"36"</f>
        <v>36</v>
      </c>
      <c r="D2077" t="str">
        <f>"Sing For Very Important People"</f>
        <v>Sing For Very Important People</v>
      </c>
    </row>
    <row r="2078" spans="1:4" x14ac:dyDescent="0.2">
      <c r="A2078" t="str">
        <f>"2077"</f>
        <v>2077</v>
      </c>
      <c r="B2078" t="str">
        <f>"-0.24"</f>
        <v>-0.24</v>
      </c>
      <c r="C2078" t="str">
        <f>"59"</f>
        <v>59</v>
      </c>
      <c r="D2078" t="str">
        <f>"Unwind EP"</f>
        <v>Unwind EP</v>
      </c>
    </row>
    <row r="2079" spans="1:4" x14ac:dyDescent="0.2">
      <c r="A2079" t="str">
        <f>"2078"</f>
        <v>2078</v>
      </c>
      <c r="B2079" t="str">
        <f>"-0.07"</f>
        <v>-0.07</v>
      </c>
      <c r="C2079" t="str">
        <f>"29"</f>
        <v>29</v>
      </c>
      <c r="D2079" t="s">
        <v>57</v>
      </c>
    </row>
    <row r="2080" spans="1:4" x14ac:dyDescent="0.2">
      <c r="A2080" t="str">
        <f>"2079"</f>
        <v>2079</v>
      </c>
      <c r="B2080" t="str">
        <f>"-1.29"</f>
        <v>-1.29</v>
      </c>
      <c r="C2080" t="str">
        <f>"21"</f>
        <v>21</v>
      </c>
      <c r="D2080" t="str">
        <f>"The Fallen Leaf Pages"</f>
        <v>The Fallen Leaf Pages</v>
      </c>
    </row>
    <row r="2081" spans="1:4" x14ac:dyDescent="0.2">
      <c r="A2081" t="str">
        <f>"2080"</f>
        <v>2080</v>
      </c>
      <c r="B2081" t="str">
        <f>"-0.75"</f>
        <v>-0.75</v>
      </c>
      <c r="C2081" t="str">
        <f>"32"</f>
        <v>32</v>
      </c>
      <c r="D2081" t="str">
        <f>"Bigger Than Blue"</f>
        <v>Bigger Than Blue</v>
      </c>
    </row>
    <row r="2082" spans="1:4" x14ac:dyDescent="0.2">
      <c r="A2082" t="str">
        <f>"2081"</f>
        <v>2081</v>
      </c>
      <c r="B2082" t="str">
        <f>"0.64"</f>
        <v>0.64</v>
      </c>
      <c r="C2082" t="str">
        <f>"17"</f>
        <v>17</v>
      </c>
      <c r="D2082" t="str">
        <f>"Par Noussss Touss Les Trous De Vos Crânes"</f>
        <v>Par Noussss Touss Les Trous De Vos Crânes</v>
      </c>
    </row>
    <row r="2083" spans="1:4" x14ac:dyDescent="0.2">
      <c r="A2083" t="str">
        <f>"2082"</f>
        <v>2082</v>
      </c>
      <c r="B2083" t="str">
        <f>"0.47"</f>
        <v>0.47</v>
      </c>
      <c r="C2083" t="str">
        <f>"27"</f>
        <v>27</v>
      </c>
      <c r="D2083" t="str">
        <f>"The Push Pull"</f>
        <v>The Push Pull</v>
      </c>
    </row>
    <row r="2084" spans="1:4" x14ac:dyDescent="0.2">
      <c r="A2084" t="str">
        <f>"2083"</f>
        <v>2083</v>
      </c>
      <c r="B2084" t="str">
        <f>"0.38"</f>
        <v>0.38</v>
      </c>
      <c r="C2084" t="str">
        <f>"51"</f>
        <v>51</v>
      </c>
      <c r="D2084" t="str">
        <f>"Ex Hex"</f>
        <v>Ex Hex</v>
      </c>
    </row>
    <row r="2085" spans="1:4" x14ac:dyDescent="0.2">
      <c r="A2085" t="str">
        <f>"2084"</f>
        <v>2084</v>
      </c>
      <c r="B2085" t="str">
        <f>"0.45"</f>
        <v>0.45</v>
      </c>
      <c r="C2085" t="str">
        <f>"18"</f>
        <v>18</v>
      </c>
      <c r="D2085" t="str">
        <f>"The John Byrd EP"</f>
        <v>The John Byrd EP</v>
      </c>
    </row>
    <row r="2086" spans="1:4" x14ac:dyDescent="0.2">
      <c r="A2086" t="str">
        <f>"2085"</f>
        <v>2085</v>
      </c>
      <c r="B2086" t="str">
        <f>"0.46"</f>
        <v>0.46</v>
      </c>
      <c r="C2086" t="str">
        <f>"29"</f>
        <v>29</v>
      </c>
      <c r="D2086" t="str">
        <f>"Lost and Safe"</f>
        <v>Lost and Safe</v>
      </c>
    </row>
    <row r="2087" spans="1:4" x14ac:dyDescent="0.2">
      <c r="A2087" t="str">
        <f>"2086"</f>
        <v>2086</v>
      </c>
      <c r="B2087" t="str">
        <f>"-1"</f>
        <v>-1</v>
      </c>
      <c r="C2087" t="str">
        <f>"13"</f>
        <v>13</v>
      </c>
      <c r="D2087" t="str">
        <f>"Live! 30 Days Ago"</f>
        <v>Live! 30 Days Ago</v>
      </c>
    </row>
    <row r="2088" spans="1:4" x14ac:dyDescent="0.2">
      <c r="A2088" t="str">
        <f>"2087"</f>
        <v>2087</v>
      </c>
      <c r="B2088" t="str">
        <f>"-1.16"</f>
        <v>-1.16</v>
      </c>
      <c r="C2088" t="str">
        <f>"24"</f>
        <v>24</v>
      </c>
      <c r="D2088" t="str">
        <f>"Irrevocably Overdriven Break Freakout Megamix"</f>
        <v>Irrevocably Overdriven Break Freakout Megamix</v>
      </c>
    </row>
    <row r="2089" spans="1:4" x14ac:dyDescent="0.2">
      <c r="A2089" t="str">
        <f>"2088"</f>
        <v>2088</v>
      </c>
      <c r="B2089" t="str">
        <f>"-0.94"</f>
        <v>-0.94</v>
      </c>
      <c r="C2089" t="str">
        <f>"20"</f>
        <v>20</v>
      </c>
      <c r="D2089" t="str">
        <f>"Am Byth: Casgliad O Ganeuon Coll '86-'92"</f>
        <v>Am Byth: Casgliad O Ganeuon Coll '86-'92</v>
      </c>
    </row>
    <row r="2090" spans="1:4" x14ac:dyDescent="0.2">
      <c r="A2090" t="str">
        <f>"2089"</f>
        <v>2089</v>
      </c>
      <c r="B2090" t="str">
        <f>"-0.65"</f>
        <v>-0.65</v>
      </c>
      <c r="C2090" t="str">
        <f>"16"</f>
        <v>16</v>
      </c>
      <c r="D2090" t="str">
        <f>"Alligator"</f>
        <v>Alligator</v>
      </c>
    </row>
    <row r="2091" spans="1:4" x14ac:dyDescent="0.2">
      <c r="A2091" t="str">
        <f>"2090"</f>
        <v>2090</v>
      </c>
      <c r="B2091" t="str">
        <f>"1.46"</f>
        <v>1.46</v>
      </c>
      <c r="C2091" t="str">
        <f>"23"</f>
        <v>23</v>
      </c>
      <c r="D2091" t="str">
        <f>"Who's Your New Professor?"</f>
        <v>Who's Your New Professor?</v>
      </c>
    </row>
    <row r="2092" spans="1:4" x14ac:dyDescent="0.2">
      <c r="A2092" t="str">
        <f>"2091"</f>
        <v>2091</v>
      </c>
      <c r="B2092" t="str">
        <f>"0.29"</f>
        <v>0.29</v>
      </c>
      <c r="C2092" t="str">
        <f>"20"</f>
        <v>20</v>
      </c>
      <c r="D2092" t="str">
        <f>"Oak or Rock"</f>
        <v>Oak or Rock</v>
      </c>
    </row>
    <row r="2093" spans="1:4" x14ac:dyDescent="0.2">
      <c r="A2093" t="str">
        <f>"2092"</f>
        <v>2092</v>
      </c>
      <c r="B2093" t="str">
        <f>"-0.18"</f>
        <v>-0.18</v>
      </c>
      <c r="C2093" t="str">
        <f>"17"</f>
        <v>17</v>
      </c>
      <c r="D2093" t="str">
        <f>"Let Them Drink"</f>
        <v>Let Them Drink</v>
      </c>
    </row>
    <row r="2094" spans="1:4" x14ac:dyDescent="0.2">
      <c r="A2094" t="str">
        <f>"2093"</f>
        <v>2093</v>
      </c>
      <c r="B2094" t="str">
        <f>"0.68"</f>
        <v>0.68</v>
      </c>
      <c r="C2094" t="str">
        <f>"42"</f>
        <v>42</v>
      </c>
      <c r="D2094" t="str">
        <f>"Fisherman's Woman"</f>
        <v>Fisherman's Woman</v>
      </c>
    </row>
    <row r="2095" spans="1:4" x14ac:dyDescent="0.2">
      <c r="A2095" t="str">
        <f>"2094"</f>
        <v>2094</v>
      </c>
      <c r="B2095" t="str">
        <f>"-1.14"</f>
        <v>-1.14</v>
      </c>
      <c r="C2095" t="str">
        <f>"31"</f>
        <v>31</v>
      </c>
      <c r="D2095" t="str">
        <f>"Elevator"</f>
        <v>Elevator</v>
      </c>
    </row>
    <row r="2096" spans="1:4" x14ac:dyDescent="0.2">
      <c r="A2096" t="str">
        <f>"2095"</f>
        <v>2095</v>
      </c>
      <c r="B2096" t="str">
        <f>"-1.23"</f>
        <v>-1.23</v>
      </c>
      <c r="C2096" t="str">
        <f>"19"</f>
        <v>19</v>
      </c>
      <c r="D2096" t="str">
        <f>"Language. Sex. Violence. Other?"</f>
        <v>Language. Sex. Violence. Other?</v>
      </c>
    </row>
    <row r="2097" spans="1:4" x14ac:dyDescent="0.2">
      <c r="A2097" t="str">
        <f>"2096"</f>
        <v>2096</v>
      </c>
      <c r="B2097" t="str">
        <f>"0.06"</f>
        <v>0.06</v>
      </c>
      <c r="C2097" t="str">
        <f>"24"</f>
        <v>24</v>
      </c>
      <c r="D2097" t="str">
        <f>"D.U.M.E. EP"</f>
        <v>D.U.M.E. EP</v>
      </c>
    </row>
    <row r="2098" spans="1:4" x14ac:dyDescent="0.2">
      <c r="A2098" t="str">
        <f>"2097"</f>
        <v>2097</v>
      </c>
      <c r="B2098" t="str">
        <f>"0.4"</f>
        <v>0.4</v>
      </c>
      <c r="C2098" t="str">
        <f>"37"</f>
        <v>37</v>
      </c>
      <c r="D2098" t="str">
        <f>"Petra Haden Sings: The Who Sell Out"</f>
        <v>Petra Haden Sings: The Who Sell Out</v>
      </c>
    </row>
    <row r="2099" spans="1:4" x14ac:dyDescent="0.2">
      <c r="A2099" t="str">
        <f>"2098"</f>
        <v>2098</v>
      </c>
      <c r="B2099" t="str">
        <f>"0.48"</f>
        <v>0.48</v>
      </c>
      <c r="C2099" t="str">
        <f>"23"</f>
        <v>23</v>
      </c>
      <c r="D2099" t="str">
        <f>"Live at Earls Court"</f>
        <v>Live at Earls Court</v>
      </c>
    </row>
    <row r="2100" spans="1:4" x14ac:dyDescent="0.2">
      <c r="A2100" t="str">
        <f>"2099"</f>
        <v>2099</v>
      </c>
      <c r="B2100" t="str">
        <f>"-1.4"</f>
        <v>-1.4</v>
      </c>
      <c r="C2100" t="str">
        <f>"45"</f>
        <v>45</v>
      </c>
      <c r="D2100" t="str">
        <f>"Raydoncong 2005"</f>
        <v>Raydoncong 2005</v>
      </c>
    </row>
    <row r="2101" spans="1:4" x14ac:dyDescent="0.2">
      <c r="A2101" t="str">
        <f>"2100"</f>
        <v>2100</v>
      </c>
      <c r="B2101" t="str">
        <f>"0.4"</f>
        <v>0.4</v>
      </c>
      <c r="C2101" t="str">
        <f>"24"</f>
        <v>24</v>
      </c>
      <c r="D2101" t="str">
        <f>"Metamorphosis: Ghost Chronicles 1984-2004"</f>
        <v>Metamorphosis: Ghost Chronicles 1984-2004</v>
      </c>
    </row>
    <row r="2102" spans="1:4" x14ac:dyDescent="0.2">
      <c r="A2102" t="str">
        <f>"2101"</f>
        <v>2101</v>
      </c>
      <c r="B2102" t="str">
        <f>"0.83"</f>
        <v>0.83</v>
      </c>
      <c r="C2102" t="str">
        <f>"22"</f>
        <v>22</v>
      </c>
      <c r="D2102" t="str">
        <f>"What We Must"</f>
        <v>What We Must</v>
      </c>
    </row>
    <row r="2103" spans="1:4" x14ac:dyDescent="0.2">
      <c r="A2103" t="str">
        <f>"2102"</f>
        <v>2102</v>
      </c>
      <c r="B2103" t="str">
        <f>"1.11"</f>
        <v>1.11</v>
      </c>
      <c r="C2103" t="str">
        <f>"23"</f>
        <v>23</v>
      </c>
      <c r="D2103" t="str">
        <f>"Let Us Never Speak of It Again"</f>
        <v>Let Us Never Speak of It Again</v>
      </c>
    </row>
    <row r="2104" spans="1:4" x14ac:dyDescent="0.2">
      <c r="A2104" t="str">
        <f>"2103"</f>
        <v>2103</v>
      </c>
      <c r="B2104" t="str">
        <f>"-0.12"</f>
        <v>-0.12</v>
      </c>
      <c r="C2104" t="str">
        <f>"23"</f>
        <v>23</v>
      </c>
      <c r="D2104" t="str">
        <f>"Early"</f>
        <v>Early</v>
      </c>
    </row>
    <row r="2105" spans="1:4" x14ac:dyDescent="0.2">
      <c r="A2105" t="str">
        <f>"2104"</f>
        <v>2104</v>
      </c>
      <c r="B2105" t="str">
        <f>"-1.23"</f>
        <v>-1.23</v>
      </c>
      <c r="C2105" t="str">
        <f>"30"</f>
        <v>30</v>
      </c>
      <c r="D2105" t="str">
        <f>"All the Answers"</f>
        <v>All the Answers</v>
      </c>
    </row>
    <row r="2106" spans="1:4" x14ac:dyDescent="0.2">
      <c r="A2106" t="str">
        <f>"2105"</f>
        <v>2105</v>
      </c>
      <c r="B2106" t="str">
        <f>"-0.39"</f>
        <v>-0.39</v>
      </c>
      <c r="C2106" t="str">
        <f>"15"</f>
        <v>15</v>
      </c>
      <c r="D2106" t="str">
        <f>"Yearlong"</f>
        <v>Yearlong</v>
      </c>
    </row>
    <row r="2107" spans="1:4" x14ac:dyDescent="0.2">
      <c r="A2107" t="str">
        <f>"2106"</f>
        <v>2106</v>
      </c>
      <c r="B2107" t="str">
        <f>"0.3"</f>
        <v>0.3</v>
      </c>
      <c r="C2107" t="str">
        <f>"71"</f>
        <v>71</v>
      </c>
      <c r="D2107" t="str">
        <f>"Waiting for the Sirens' Call"</f>
        <v>Waiting for the Sirens' Call</v>
      </c>
    </row>
    <row r="2108" spans="1:4" x14ac:dyDescent="0.2">
      <c r="A2108" t="str">
        <f>"2107"</f>
        <v>2107</v>
      </c>
      <c r="B2108" t="str">
        <f>"-0.63"</f>
        <v>-0.63</v>
      </c>
      <c r="C2108" t="str">
        <f>"18"</f>
        <v>18</v>
      </c>
      <c r="D2108" t="str">
        <f>"This Means Forever"</f>
        <v>This Means Forever</v>
      </c>
    </row>
    <row r="2109" spans="1:4" x14ac:dyDescent="0.2">
      <c r="A2109" t="str">
        <f>"2108"</f>
        <v>2108</v>
      </c>
      <c r="B2109" t="str">
        <f>"-1.35"</f>
        <v>-1.35</v>
      </c>
      <c r="C2109" t="str">
        <f>"90"</f>
        <v>90</v>
      </c>
      <c r="D2109" t="str">
        <f>"The Best Little Secrets Are Kept"</f>
        <v>The Best Little Secrets Are Kept</v>
      </c>
    </row>
    <row r="2110" spans="1:4" x14ac:dyDescent="0.2">
      <c r="A2110" t="str">
        <f>"2109"</f>
        <v>2109</v>
      </c>
      <c r="B2110" t="str">
        <f>"-0.52"</f>
        <v>-0.52</v>
      </c>
      <c r="C2110" t="str">
        <f>"30"</f>
        <v>30</v>
      </c>
      <c r="D2110" t="str">
        <f>"Neat Neat Neat: The Alternative Anthology"</f>
        <v>Neat Neat Neat: The Alternative Anthology</v>
      </c>
    </row>
    <row r="2111" spans="1:4" x14ac:dyDescent="0.2">
      <c r="A2111" t="str">
        <f>"2110"</f>
        <v>2110</v>
      </c>
      <c r="B2111" t="str">
        <f>"0.6"</f>
        <v>0.6</v>
      </c>
      <c r="C2111" t="str">
        <f>"42"</f>
        <v>42</v>
      </c>
      <c r="D2111" t="str">
        <f>"Prisoners of Love"</f>
        <v>Prisoners of Love</v>
      </c>
    </row>
    <row r="2112" spans="1:4" x14ac:dyDescent="0.2">
      <c r="A2112" t="str">
        <f>"2111"</f>
        <v>2111</v>
      </c>
      <c r="B2112" t="str">
        <f>"-0.08"</f>
        <v>-0.08</v>
      </c>
      <c r="C2112" t="str">
        <f>"16"</f>
        <v>16</v>
      </c>
      <c r="D2112" t="str">
        <f>"Meltdown"</f>
        <v>Meltdown</v>
      </c>
    </row>
    <row r="2113" spans="1:4" x14ac:dyDescent="0.2">
      <c r="A2113" t="str">
        <f>"2112"</f>
        <v>2112</v>
      </c>
      <c r="B2113" t="str">
        <f>"-0.17"</f>
        <v>-0.17</v>
      </c>
      <c r="C2113" t="str">
        <f>"26"</f>
        <v>26</v>
      </c>
      <c r="D2113" t="str">
        <f>"Ghetto Bells"</f>
        <v>Ghetto Bells</v>
      </c>
    </row>
    <row r="2114" spans="1:4" x14ac:dyDescent="0.2">
      <c r="A2114" t="str">
        <f>"2113"</f>
        <v>2113</v>
      </c>
      <c r="B2114" t="str">
        <f>"-0.22"</f>
        <v>-0.22</v>
      </c>
      <c r="C2114" t="str">
        <f>"52"</f>
        <v>52</v>
      </c>
      <c r="D2114" t="str">
        <f>"Awake Is the New Sleep"</f>
        <v>Awake Is the New Sleep</v>
      </c>
    </row>
    <row r="2115" spans="1:4" x14ac:dyDescent="0.2">
      <c r="A2115" t="str">
        <f>"2114"</f>
        <v>2114</v>
      </c>
      <c r="B2115" t="str">
        <f>"0.43"</f>
        <v>0.43</v>
      </c>
      <c r="C2115" t="str">
        <f>"23"</f>
        <v>23</v>
      </c>
      <c r="D2115" t="str">
        <f>"Analord 3"</f>
        <v>Analord 3</v>
      </c>
    </row>
    <row r="2116" spans="1:4" x14ac:dyDescent="0.2">
      <c r="A2116" t="str">
        <f>"2115"</f>
        <v>2115</v>
      </c>
      <c r="B2116" t="str">
        <f>"-1.62"</f>
        <v>-1.62</v>
      </c>
      <c r="C2116" t="str">
        <f>"71"</f>
        <v>71</v>
      </c>
      <c r="D2116" t="str">
        <f>"The Shunned Country"</f>
        <v>The Shunned Country</v>
      </c>
    </row>
    <row r="2117" spans="1:4" x14ac:dyDescent="0.2">
      <c r="A2117" t="str">
        <f>"2116"</f>
        <v>2116</v>
      </c>
      <c r="B2117" t="str">
        <f>"0.9"</f>
        <v>0.9</v>
      </c>
      <c r="C2117" t="str">
        <f>"57"</f>
        <v>57</v>
      </c>
      <c r="D2117" t="str">
        <f>"The Alternative to Love"</f>
        <v>The Alternative to Love</v>
      </c>
    </row>
    <row r="2118" spans="1:4" x14ac:dyDescent="0.2">
      <c r="A2118" t="str">
        <f>"2117"</f>
        <v>2117</v>
      </c>
      <c r="B2118" t="str">
        <f>"0.58"</f>
        <v>0.58</v>
      </c>
      <c r="C2118" t="str">
        <f>"22"</f>
        <v>22</v>
      </c>
      <c r="D2118" t="str">
        <f>"In the Clear"</f>
        <v>In the Clear</v>
      </c>
    </row>
    <row r="2119" spans="1:4" x14ac:dyDescent="0.2">
      <c r="A2119" t="str">
        <f>"2118"</f>
        <v>2118</v>
      </c>
      <c r="B2119" t="str">
        <f>"-0.55"</f>
        <v>-0.55</v>
      </c>
      <c r="C2119" t="str">
        <f>"72"</f>
        <v>72</v>
      </c>
      <c r="D2119" t="str">
        <f>"Guero"</f>
        <v>Guero</v>
      </c>
    </row>
    <row r="2120" spans="1:4" x14ac:dyDescent="0.2">
      <c r="A2120" t="str">
        <f>"2119"</f>
        <v>2119</v>
      </c>
      <c r="B2120" t="str">
        <f>"-0.28"</f>
        <v>-0.28</v>
      </c>
      <c r="C2120" t="str">
        <f>"25"</f>
        <v>25</v>
      </c>
      <c r="D2120" t="str">
        <f>"Awfully Deep"</f>
        <v>Awfully Deep</v>
      </c>
    </row>
    <row r="2121" spans="1:4" x14ac:dyDescent="0.2">
      <c r="A2121" t="str">
        <f>"2120"</f>
        <v>2120</v>
      </c>
      <c r="B2121" t="str">
        <f>"-1.46"</f>
        <v>-1.46</v>
      </c>
      <c r="C2121" t="str">
        <f>"51"</f>
        <v>51</v>
      </c>
      <c r="D2121" t="str">
        <f>"The Dissociatives"</f>
        <v>The Dissociatives</v>
      </c>
    </row>
    <row r="2122" spans="1:4" x14ac:dyDescent="0.2">
      <c r="A2122" t="str">
        <f>"2121"</f>
        <v>2121</v>
      </c>
      <c r="B2122" t="str">
        <f>"-0.42"</f>
        <v>-0.42</v>
      </c>
      <c r="C2122" t="str">
        <f>"32"</f>
        <v>32</v>
      </c>
      <c r="D2122" t="str">
        <f>"Surrounded By Silence"</f>
        <v>Surrounded By Silence</v>
      </c>
    </row>
    <row r="2123" spans="1:4" x14ac:dyDescent="0.2">
      <c r="A2123" t="str">
        <f>"2122"</f>
        <v>2122</v>
      </c>
      <c r="B2123" t="str">
        <f>"-0.03"</f>
        <v>-0.03</v>
      </c>
      <c r="C2123" t="str">
        <f>"17"</f>
        <v>17</v>
      </c>
      <c r="D2123" t="str">
        <f>"Solarized"</f>
        <v>Solarized</v>
      </c>
    </row>
    <row r="2124" spans="1:4" x14ac:dyDescent="0.2">
      <c r="A2124" t="str">
        <f>"2123"</f>
        <v>2123</v>
      </c>
      <c r="B2124" t="str">
        <f>"0.24"</f>
        <v>0.24</v>
      </c>
      <c r="C2124" t="str">
        <f>"59"</f>
        <v>59</v>
      </c>
      <c r="D2124" t="str">
        <f>"Sing ""Other People"""</f>
        <v>Sing "Other People"</v>
      </c>
    </row>
    <row r="2125" spans="1:4" x14ac:dyDescent="0.2">
      <c r="A2125" t="str">
        <f>"2124"</f>
        <v>2124</v>
      </c>
      <c r="B2125" t="str">
        <f>"-0.77"</f>
        <v>-0.77</v>
      </c>
      <c r="C2125" t="str">
        <f>"21"</f>
        <v>21</v>
      </c>
      <c r="D2125" t="str">
        <f>"Rettet Die Wale"</f>
        <v>Rettet Die Wale</v>
      </c>
    </row>
    <row r="2126" spans="1:4" x14ac:dyDescent="0.2">
      <c r="A2126" t="str">
        <f>"2125"</f>
        <v>2125</v>
      </c>
      <c r="B2126" t="str">
        <f>"-0.26"</f>
        <v>-0.26</v>
      </c>
      <c r="C2126" t="str">
        <f>"100"</f>
        <v>100</v>
      </c>
      <c r="D2126" t="str">
        <f>"The Singles"</f>
        <v>The Singles</v>
      </c>
    </row>
    <row r="2127" spans="1:4" x14ac:dyDescent="0.2">
      <c r="A2127" t="str">
        <f>"2126"</f>
        <v>2126</v>
      </c>
      <c r="B2127" t="str">
        <f>"0.45"</f>
        <v>0.45</v>
      </c>
      <c r="C2127" t="str">
        <f>"37"</f>
        <v>37</v>
      </c>
      <c r="D2127" t="str">
        <f>"Picaresque"</f>
        <v>Picaresque</v>
      </c>
    </row>
    <row r="2128" spans="1:4" x14ac:dyDescent="0.2">
      <c r="A2128" t="str">
        <f>"2127"</f>
        <v>2127</v>
      </c>
      <c r="B2128" t="str">
        <f>"0.38"</f>
        <v>0.38</v>
      </c>
      <c r="C2128" t="str">
        <f>"23"</f>
        <v>23</v>
      </c>
      <c r="D2128" t="str">
        <f>"Church Gone Wild/Chirpin' Hard"</f>
        <v>Church Gone Wild/Chirpin' Hard</v>
      </c>
    </row>
    <row r="2129" spans="1:4" x14ac:dyDescent="0.2">
      <c r="A2129" t="str">
        <f>"2128"</f>
        <v>2128</v>
      </c>
      <c r="B2129" t="str">
        <f>"-1.2"</f>
        <v>-1.2</v>
      </c>
      <c r="C2129" t="str">
        <f>"54"</f>
        <v>54</v>
      </c>
      <c r="D2129" t="str">
        <f>"Good Fortune"</f>
        <v>Good Fortune</v>
      </c>
    </row>
    <row r="2130" spans="1:4" x14ac:dyDescent="0.2">
      <c r="A2130" t="str">
        <f>"2129"</f>
        <v>2129</v>
      </c>
      <c r="B2130" t="str">
        <f>"-0.87"</f>
        <v>-0.87</v>
      </c>
      <c r="C2130" t="str">
        <f>"53"</f>
        <v>53</v>
      </c>
      <c r="D2130" t="str">
        <f>"Palm Reader"</f>
        <v>Palm Reader</v>
      </c>
    </row>
    <row r="2131" spans="1:4" x14ac:dyDescent="0.2">
      <c r="A2131" t="str">
        <f>"2130"</f>
        <v>2130</v>
      </c>
      <c r="B2131" t="str">
        <f>"0.58"</f>
        <v>0.58</v>
      </c>
      <c r="C2131" t="str">
        <f>"40"</f>
        <v>40</v>
      </c>
      <c r="D2131" t="str">
        <f>"Cadence Weapon Is the Black Hand"</f>
        <v>Cadence Weapon Is the Black Hand</v>
      </c>
    </row>
    <row r="2132" spans="1:4" x14ac:dyDescent="0.2">
      <c r="A2132" t="str">
        <f>"2131"</f>
        <v>2131</v>
      </c>
      <c r="B2132" t="str">
        <f>"-0.84"</f>
        <v>-0.84</v>
      </c>
      <c r="C2132" t="str">
        <f>"42"</f>
        <v>42</v>
      </c>
      <c r="D2132" t="str">
        <f>"Flies the Fields"</f>
        <v>Flies the Fields</v>
      </c>
    </row>
    <row r="2133" spans="1:4" x14ac:dyDescent="0.2">
      <c r="A2133" t="str">
        <f>"2132"</f>
        <v>2132</v>
      </c>
      <c r="B2133" t="str">
        <f>"-0.35"</f>
        <v>-0.35</v>
      </c>
      <c r="C2133" t="str">
        <f>"13"</f>
        <v>13</v>
      </c>
      <c r="D2133" t="str">
        <f>"Mice and Rats in the Loft"</f>
        <v>Mice and Rats in the Loft</v>
      </c>
    </row>
    <row r="2134" spans="1:4" x14ac:dyDescent="0.2">
      <c r="A2134" t="str">
        <f>"2133"</f>
        <v>2133</v>
      </c>
      <c r="B2134" t="str">
        <f>"0.02"</f>
        <v>0.02</v>
      </c>
      <c r="C2134" t="str">
        <f>"30"</f>
        <v>30</v>
      </c>
      <c r="D2134" t="str">
        <f>"Arular"</f>
        <v>Arular</v>
      </c>
    </row>
    <row r="2135" spans="1:4" x14ac:dyDescent="0.2">
      <c r="A2135" t="str">
        <f>"2134"</f>
        <v>2134</v>
      </c>
      <c r="B2135" t="str">
        <f>"-0.14"</f>
        <v>-0.14</v>
      </c>
      <c r="C2135" t="str">
        <f>"23"</f>
        <v>23</v>
      </c>
      <c r="D2135" t="str">
        <f>"Whatever and Ever Amen"</f>
        <v>Whatever and Ever Amen</v>
      </c>
    </row>
    <row r="2136" spans="1:4" x14ac:dyDescent="0.2">
      <c r="A2136" t="str">
        <f>"2135"</f>
        <v>2135</v>
      </c>
      <c r="B2136" t="str">
        <f>"-0.21"</f>
        <v>-0.21</v>
      </c>
      <c r="C2136" t="str">
        <f>"51"</f>
        <v>51</v>
      </c>
      <c r="D2136" t="str">
        <f>"Black Forest"</f>
        <v>Black Forest</v>
      </c>
    </row>
    <row r="2137" spans="1:4" x14ac:dyDescent="0.2">
      <c r="A2137" t="str">
        <f>"2136"</f>
        <v>2136</v>
      </c>
      <c r="B2137" t="str">
        <f>"0.85"</f>
        <v>0.85</v>
      </c>
      <c r="C2137" t="str">
        <f>"32"</f>
        <v>32</v>
      </c>
      <c r="D2137" t="str">
        <f>"Imperial f.f.r.r."</f>
        <v>Imperial f.f.r.r.</v>
      </c>
    </row>
    <row r="2138" spans="1:4" x14ac:dyDescent="0.2">
      <c r="A2138" t="str">
        <f>"2137"</f>
        <v>2137</v>
      </c>
      <c r="B2138" t="str">
        <f>"-0.15"</f>
        <v>-0.15</v>
      </c>
      <c r="C2138" t="str">
        <f>"54"</f>
        <v>54</v>
      </c>
      <c r="D2138" t="str">
        <f>"The Trip"</f>
        <v>The Trip</v>
      </c>
    </row>
    <row r="2139" spans="1:4" x14ac:dyDescent="0.2">
      <c r="A2139" t="str">
        <f>"2138"</f>
        <v>2138</v>
      </c>
      <c r="B2139" t="str">
        <f>"0.13"</f>
        <v>0.13</v>
      </c>
      <c r="C2139" t="str">
        <f>"21"</f>
        <v>21</v>
      </c>
      <c r="D2139" t="str">
        <f>"B-Sides and Rarities"</f>
        <v>B-Sides and Rarities</v>
      </c>
    </row>
    <row r="2140" spans="1:4" x14ac:dyDescent="0.2">
      <c r="A2140" t="str">
        <f>"2139"</f>
        <v>2139</v>
      </c>
      <c r="B2140" t="str">
        <f>"-0.39"</f>
        <v>-0.39</v>
      </c>
      <c r="C2140" t="str">
        <f>"12"</f>
        <v>12</v>
      </c>
      <c r="D2140" t="str">
        <f>"Living Contact"</f>
        <v>Living Contact</v>
      </c>
    </row>
    <row r="2141" spans="1:4" x14ac:dyDescent="0.2">
      <c r="A2141" t="str">
        <f>"2140"</f>
        <v>2140</v>
      </c>
      <c r="B2141" t="str">
        <f>"-0.52"</f>
        <v>-0.52</v>
      </c>
      <c r="C2141" t="str">
        <f>"35"</f>
        <v>35</v>
      </c>
      <c r="D2141" t="str">
        <f>"Pony Up!"</f>
        <v>Pony Up!</v>
      </c>
    </row>
    <row r="2142" spans="1:4" x14ac:dyDescent="0.2">
      <c r="A2142" t="str">
        <f>"2141"</f>
        <v>2141</v>
      </c>
      <c r="B2142" t="str">
        <f>"-0.75"</f>
        <v>-0.75</v>
      </c>
      <c r="C2142" t="str">
        <f>"19"</f>
        <v>19</v>
      </c>
      <c r="D2142" t="str">
        <f>"Lullabies to Paralyze"</f>
        <v>Lullabies to Paralyze</v>
      </c>
    </row>
    <row r="2143" spans="1:4" x14ac:dyDescent="0.2">
      <c r="A2143" t="str">
        <f>"2142"</f>
        <v>2142</v>
      </c>
      <c r="B2143" t="str">
        <f>"0"</f>
        <v>0</v>
      </c>
      <c r="C2143" t="str">
        <f>"58"</f>
        <v>58</v>
      </c>
      <c r="D2143" t="str">
        <f>"Ragas &amp; Blues"</f>
        <v>Ragas &amp; Blues</v>
      </c>
    </row>
    <row r="2144" spans="1:4" x14ac:dyDescent="0.2">
      <c r="A2144" t="str">
        <f>"2143"</f>
        <v>2143</v>
      </c>
      <c r="B2144" t="str">
        <f>"0.32"</f>
        <v>0.32</v>
      </c>
      <c r="C2144" t="str">
        <f>"12"</f>
        <v>12</v>
      </c>
      <c r="D2144" t="str">
        <f>"As Upon the Road Thereto"</f>
        <v>As Upon the Road Thereto</v>
      </c>
    </row>
    <row r="2145" spans="1:4" x14ac:dyDescent="0.2">
      <c r="A2145" t="str">
        <f>"2144"</f>
        <v>2144</v>
      </c>
      <c r="B2145" t="str">
        <f>"0.13"</f>
        <v>0.13</v>
      </c>
      <c r="C2145" t="str">
        <f>"34"</f>
        <v>34</v>
      </c>
      <c r="D2145" t="str">
        <f>"10th Avenue Freakout"</f>
        <v>10th Avenue Freakout</v>
      </c>
    </row>
    <row r="2146" spans="1:4" x14ac:dyDescent="0.2">
      <c r="A2146" t="str">
        <f>"2145"</f>
        <v>2145</v>
      </c>
      <c r="B2146" t="str">
        <f>"-0.71"</f>
        <v>-0.71</v>
      </c>
      <c r="C2146" t="str">
        <f>"21"</f>
        <v>21</v>
      </c>
      <c r="D2146" t="str">
        <f>"The Waiting Room"</f>
        <v>The Waiting Room</v>
      </c>
    </row>
    <row r="2147" spans="1:4" x14ac:dyDescent="0.2">
      <c r="A2147" t="str">
        <f>"2146"</f>
        <v>2146</v>
      </c>
      <c r="B2147" t="str">
        <f>"-0.67"</f>
        <v>-0.67</v>
      </c>
      <c r="C2147" t="str">
        <f>"88"</f>
        <v>88</v>
      </c>
      <c r="D2147" t="str">
        <f>"Hotel"</f>
        <v>Hotel</v>
      </c>
    </row>
    <row r="2148" spans="1:4" x14ac:dyDescent="0.2">
      <c r="A2148" t="str">
        <f>"2147"</f>
        <v>2147</v>
      </c>
      <c r="B2148" t="str">
        <f>"-0.12"</f>
        <v>-0.12</v>
      </c>
      <c r="C2148" t="str">
        <f>"32"</f>
        <v>32</v>
      </c>
      <c r="D2148" t="str">
        <f>"Rare Grooves"</f>
        <v>Rare Grooves</v>
      </c>
    </row>
    <row r="2149" spans="1:4" x14ac:dyDescent="0.2">
      <c r="A2149" t="str">
        <f>"2148"</f>
        <v>2148</v>
      </c>
      <c r="B2149" t="str">
        <f>"1.33"</f>
        <v>1.33</v>
      </c>
      <c r="C2149" t="str">
        <f>"20"</f>
        <v>20</v>
      </c>
      <c r="D2149" t="str">
        <f>"What I Did After My Band Broke Up"</f>
        <v>What I Did After My Band Broke Up</v>
      </c>
    </row>
    <row r="2150" spans="1:4" x14ac:dyDescent="0.2">
      <c r="A2150" t="str">
        <f>"2149"</f>
        <v>2149</v>
      </c>
      <c r="B2150" t="str">
        <f>"0.04"</f>
        <v>0.04</v>
      </c>
      <c r="C2150" t="str">
        <f>"43"</f>
        <v>43</v>
      </c>
      <c r="D2150" t="str">
        <f>"Field Rexx"</f>
        <v>Field Rexx</v>
      </c>
    </row>
    <row r="2151" spans="1:4" x14ac:dyDescent="0.2">
      <c r="A2151" t="str">
        <f>"2150"</f>
        <v>2150</v>
      </c>
      <c r="B2151" t="str">
        <f>"1.1"</f>
        <v>1.1</v>
      </c>
      <c r="C2151" t="str">
        <f>"18"</f>
        <v>18</v>
      </c>
      <c r="D2151" t="str">
        <f>"Dream Sounds"</f>
        <v>Dream Sounds</v>
      </c>
    </row>
    <row r="2152" spans="1:4" x14ac:dyDescent="0.2">
      <c r="A2152" t="str">
        <f>"2151"</f>
        <v>2151</v>
      </c>
      <c r="B2152" t="str">
        <f>"1.12"</f>
        <v>1.12</v>
      </c>
      <c r="C2152" t="str">
        <f>"23"</f>
        <v>23</v>
      </c>
      <c r="D2152" t="str">
        <f>"A Few Steps More"</f>
        <v>A Few Steps More</v>
      </c>
    </row>
    <row r="2153" spans="1:4" x14ac:dyDescent="0.2">
      <c r="A2153" t="str">
        <f>"2152"</f>
        <v>2152</v>
      </c>
      <c r="B2153" t="str">
        <f>"1.07"</f>
        <v>1.07</v>
      </c>
      <c r="C2153" t="str">
        <f>"55"</f>
        <v>55</v>
      </c>
      <c r="D2153" t="str">
        <f>"Snowball + Singles"</f>
        <v>Snowball + Singles</v>
      </c>
    </row>
    <row r="2154" spans="1:4" x14ac:dyDescent="0.2">
      <c r="A2154" t="str">
        <f>"2153"</f>
        <v>2153</v>
      </c>
      <c r="B2154" t="str">
        <f>"0.43"</f>
        <v>0.43</v>
      </c>
      <c r="C2154" t="str">
        <f>"61"</f>
        <v>61</v>
      </c>
      <c r="D2154" t="str">
        <f>"Justamustache"</f>
        <v>Justamustache</v>
      </c>
    </row>
    <row r="2155" spans="1:4" x14ac:dyDescent="0.2">
      <c r="A2155" t="str">
        <f>"2154"</f>
        <v>2154</v>
      </c>
      <c r="B2155" t="str">
        <f>"0"</f>
        <v>0</v>
      </c>
      <c r="C2155" t="str">
        <f>"29"</f>
        <v>29</v>
      </c>
      <c r="D2155" t="str">
        <f>"Congotronics"</f>
        <v>Congotronics</v>
      </c>
    </row>
    <row r="2156" spans="1:4" x14ac:dyDescent="0.2">
      <c r="A2156" t="str">
        <f>"2155"</f>
        <v>2155</v>
      </c>
      <c r="B2156" t="str">
        <f>"-0.44"</f>
        <v>-0.44</v>
      </c>
      <c r="C2156" t="str">
        <f>"37"</f>
        <v>37</v>
      </c>
      <c r="D2156" t="str">
        <f>"12""/80's"</f>
        <v>12"/80's</v>
      </c>
    </row>
    <row r="2157" spans="1:4" x14ac:dyDescent="0.2">
      <c r="A2157" t="str">
        <f>"2156"</f>
        <v>2156</v>
      </c>
      <c r="B2157" t="str">
        <f>"-0.27"</f>
        <v>-0.27</v>
      </c>
      <c r="C2157" t="str">
        <f>"27"</f>
        <v>27</v>
      </c>
      <c r="D2157" t="str">
        <f>"In a Cave"</f>
        <v>In a Cave</v>
      </c>
    </row>
    <row r="2158" spans="1:4" x14ac:dyDescent="0.2">
      <c r="A2158" t="str">
        <f>"2157"</f>
        <v>2157</v>
      </c>
      <c r="B2158" t="str">
        <f>"1.31"</f>
        <v>1.31</v>
      </c>
      <c r="C2158" t="str">
        <f>"21"</f>
        <v>21</v>
      </c>
      <c r="D2158" t="str">
        <f>"Employment"</f>
        <v>Employment</v>
      </c>
    </row>
    <row r="2159" spans="1:4" x14ac:dyDescent="0.2">
      <c r="A2159" t="str">
        <f>"2158"</f>
        <v>2158</v>
      </c>
      <c r="B2159" t="str">
        <f>"-0.63"</f>
        <v>-0.63</v>
      </c>
      <c r="C2159" t="str">
        <f>"45"</f>
        <v>45</v>
      </c>
      <c r="D2159" t="str">
        <f>"Golden Ocean"</f>
        <v>Golden Ocean</v>
      </c>
    </row>
    <row r="2160" spans="1:4" x14ac:dyDescent="0.2">
      <c r="A2160" t="str">
        <f>"2159"</f>
        <v>2159</v>
      </c>
      <c r="B2160" t="str">
        <f>"0.3"</f>
        <v>0.3</v>
      </c>
      <c r="C2160" t="str">
        <f>"22"</f>
        <v>22</v>
      </c>
      <c r="D2160" t="str">
        <f>"Fabric20"</f>
        <v>Fabric20</v>
      </c>
    </row>
    <row r="2161" spans="1:4" x14ac:dyDescent="0.2">
      <c r="A2161" t="str">
        <f>"2160"</f>
        <v>2160</v>
      </c>
      <c r="B2161" t="str">
        <f>"-0.23"</f>
        <v>-0.23</v>
      </c>
      <c r="C2161" t="str">
        <f>"22"</f>
        <v>22</v>
      </c>
      <c r="D2161" t="str">
        <f>"D.O.D."</f>
        <v>D.O.D.</v>
      </c>
    </row>
    <row r="2162" spans="1:4" x14ac:dyDescent="0.2">
      <c r="A2162" t="str">
        <f>"2161"</f>
        <v>2161</v>
      </c>
      <c r="B2162" t="str">
        <f>"0.18"</f>
        <v>0.18</v>
      </c>
      <c r="C2162" t="str">
        <f>"21"</f>
        <v>21</v>
      </c>
      <c r="D2162" t="str">
        <f>"Human After All"</f>
        <v>Human After All</v>
      </c>
    </row>
    <row r="2163" spans="1:4" x14ac:dyDescent="0.2">
      <c r="A2163" t="str">
        <f>"2162"</f>
        <v>2162</v>
      </c>
      <c r="B2163" t="str">
        <f>"0.03"</f>
        <v>0.03</v>
      </c>
      <c r="C2163" t="str">
        <f>"42"</f>
        <v>42</v>
      </c>
      <c r="D2163" t="str">
        <f>"Spiritual Unity"</f>
        <v>Spiritual Unity</v>
      </c>
    </row>
    <row r="2164" spans="1:4" x14ac:dyDescent="0.2">
      <c r="A2164" t="str">
        <f>"2163"</f>
        <v>2163</v>
      </c>
      <c r="B2164" t="str">
        <f>"0.36"</f>
        <v>0.36</v>
      </c>
      <c r="C2164" t="str">
        <f>"63"</f>
        <v>63</v>
      </c>
      <c r="D2164" t="str">
        <f>"Nolita"</f>
        <v>Nolita</v>
      </c>
    </row>
    <row r="2165" spans="1:4" x14ac:dyDescent="0.2">
      <c r="A2165" t="str">
        <f>"2164"</f>
        <v>2164</v>
      </c>
      <c r="B2165" t="str">
        <f>"-0.59"</f>
        <v>-0.59</v>
      </c>
      <c r="C2165" t="str">
        <f>"18"</f>
        <v>18</v>
      </c>
      <c r="D2165" t="s">
        <v>58</v>
      </c>
    </row>
    <row r="2166" spans="1:4" x14ac:dyDescent="0.2">
      <c r="A2166" t="str">
        <f>"2165"</f>
        <v>2165</v>
      </c>
      <c r="B2166" t="str">
        <f>"0.81"</f>
        <v>0.81</v>
      </c>
      <c r="C2166" t="str">
        <f>"47"</f>
        <v>47</v>
      </c>
      <c r="D2166" t="str">
        <f>"A House Full of Friends"</f>
        <v>A House Full of Friends</v>
      </c>
    </row>
    <row r="2167" spans="1:4" x14ac:dyDescent="0.2">
      <c r="A2167" t="str">
        <f>"2166"</f>
        <v>2166</v>
      </c>
      <c r="B2167" t="str">
        <f>"-0.21"</f>
        <v>-0.21</v>
      </c>
      <c r="C2167" t="str">
        <f>"55"</f>
        <v>55</v>
      </c>
      <c r="D2167" t="str">
        <f>"Hello Stranger"</f>
        <v>Hello Stranger</v>
      </c>
    </row>
    <row r="2168" spans="1:4" x14ac:dyDescent="0.2">
      <c r="A2168" t="str">
        <f>"2167"</f>
        <v>2167</v>
      </c>
      <c r="B2168" t="str">
        <f>"1.29"</f>
        <v>1.29</v>
      </c>
      <c r="C2168" t="str">
        <f>"47"</f>
        <v>47</v>
      </c>
      <c r="D2168" t="s">
        <v>59</v>
      </c>
    </row>
    <row r="2169" spans="1:4" x14ac:dyDescent="0.2">
      <c r="A2169" t="str">
        <f>"2168"</f>
        <v>2168</v>
      </c>
      <c r="B2169" t="str">
        <f>"-0.45"</f>
        <v>-0.45</v>
      </c>
      <c r="C2169" t="str">
        <f>"25"</f>
        <v>25</v>
      </c>
      <c r="D2169" t="str">
        <f>"Back to Me"</f>
        <v>Back to Me</v>
      </c>
    </row>
    <row r="2170" spans="1:4" x14ac:dyDescent="0.2">
      <c r="A2170" t="str">
        <f>"2169"</f>
        <v>2169</v>
      </c>
      <c r="B2170" t="str">
        <f>"-0.06"</f>
        <v>-0.06</v>
      </c>
      <c r="C2170" t="str">
        <f>"11"</f>
        <v>11</v>
      </c>
      <c r="D2170" t="str">
        <f>"Congratulations"</f>
        <v>Congratulations</v>
      </c>
    </row>
    <row r="2171" spans="1:4" x14ac:dyDescent="0.2">
      <c r="A2171" t="str">
        <f>"2170"</f>
        <v>2170</v>
      </c>
      <c r="B2171" t="str">
        <f>"0.25"</f>
        <v>0.25</v>
      </c>
      <c r="C2171" t="str">
        <f>"32"</f>
        <v>32</v>
      </c>
      <c r="D2171" t="str">
        <f>"Anomalies"</f>
        <v>Anomalies</v>
      </c>
    </row>
    <row r="2172" spans="1:4" x14ac:dyDescent="0.2">
      <c r="A2172" t="str">
        <f>"2171"</f>
        <v>2171</v>
      </c>
      <c r="B2172" t="str">
        <f>"-0.03"</f>
        <v>-0.03</v>
      </c>
      <c r="C2172" t="str">
        <f>"27"</f>
        <v>27</v>
      </c>
      <c r="D2172" t="str">
        <f>"In the Kingdom of Kitsch You Will Be a Monster"</f>
        <v>In the Kingdom of Kitsch You Will Be a Monster</v>
      </c>
    </row>
    <row r="2173" spans="1:4" x14ac:dyDescent="0.2">
      <c r="A2173" t="str">
        <f>"2172"</f>
        <v>2172</v>
      </c>
      <c r="B2173" t="str">
        <f>"-0.08"</f>
        <v>-0.08</v>
      </c>
      <c r="C2173" t="str">
        <f>"73"</f>
        <v>73</v>
      </c>
      <c r="D2173" t="str">
        <f>"Andrew Bird &amp; the Mysterious Production of Eggs"</f>
        <v>Andrew Bird &amp; the Mysterious Production of Eggs</v>
      </c>
    </row>
    <row r="2174" spans="1:4" x14ac:dyDescent="0.2">
      <c r="A2174" t="str">
        <f>"2173"</f>
        <v>2173</v>
      </c>
      <c r="B2174" t="str">
        <f>"1.19"</f>
        <v>1.19</v>
      </c>
      <c r="C2174" t="str">
        <f>"18"</f>
        <v>18</v>
      </c>
      <c r="D2174" t="str">
        <f>"Somber Wurlitzer"</f>
        <v>Somber Wurlitzer</v>
      </c>
    </row>
    <row r="2175" spans="1:4" x14ac:dyDescent="0.2">
      <c r="A2175" t="str">
        <f>"2174"</f>
        <v>2174</v>
      </c>
      <c r="B2175" t="str">
        <f>"0"</f>
        <v>0</v>
      </c>
      <c r="C2175" t="str">
        <f>"32"</f>
        <v>32</v>
      </c>
      <c r="D2175" t="str">
        <f>"Sleepers"</f>
        <v>Sleepers</v>
      </c>
    </row>
    <row r="2176" spans="1:4" x14ac:dyDescent="0.2">
      <c r="A2176" t="str">
        <f>"2175"</f>
        <v>2175</v>
      </c>
      <c r="B2176" t="str">
        <f>"0"</f>
        <v>0</v>
      </c>
      <c r="C2176" t="str">
        <f>"54"</f>
        <v>54</v>
      </c>
      <c r="D2176" t="str">
        <f>"Tribute to Tigers"</f>
        <v>Tribute to Tigers</v>
      </c>
    </row>
    <row r="2177" spans="1:4" x14ac:dyDescent="0.2">
      <c r="A2177" t="str">
        <f>"2176"</f>
        <v>2176</v>
      </c>
      <c r="B2177" t="str">
        <f>"-1.45"</f>
        <v>-1.45</v>
      </c>
      <c r="C2177" t="str">
        <f>"27"</f>
        <v>27</v>
      </c>
      <c r="D2177" t="str">
        <f>"No Wow"</f>
        <v>No Wow</v>
      </c>
    </row>
    <row r="2178" spans="1:4" x14ac:dyDescent="0.2">
      <c r="A2178" t="str">
        <f>"2177"</f>
        <v>2177</v>
      </c>
      <c r="B2178" t="str">
        <f>"-0.74"</f>
        <v>-0.74</v>
      </c>
      <c r="C2178" t="str">
        <f>"14"</f>
        <v>14</v>
      </c>
      <c r="D2178" t="str">
        <f>"Who Killed...the Zutons"</f>
        <v>Who Killed...the Zutons</v>
      </c>
    </row>
    <row r="2179" spans="1:4" x14ac:dyDescent="0.2">
      <c r="A2179" t="str">
        <f>"2178"</f>
        <v>2178</v>
      </c>
      <c r="B2179" t="str">
        <f>"0.15"</f>
        <v>0.15</v>
      </c>
      <c r="C2179" t="str">
        <f>"42"</f>
        <v>42</v>
      </c>
      <c r="D2179" t="str">
        <f>"Exquisite Corpse"</f>
        <v>Exquisite Corpse</v>
      </c>
    </row>
    <row r="2180" spans="1:4" x14ac:dyDescent="0.2">
      <c r="A2180" t="str">
        <f>"2179"</f>
        <v>2179</v>
      </c>
      <c r="B2180" t="str">
        <f>"1.3"</f>
        <v>1.3</v>
      </c>
      <c r="C2180" t="str">
        <f>"15"</f>
        <v>15</v>
      </c>
      <c r="D2180" t="str">
        <f>"Luggumt"</f>
        <v>Luggumt</v>
      </c>
    </row>
    <row r="2181" spans="1:4" x14ac:dyDescent="0.2">
      <c r="A2181" t="str">
        <f>"2180"</f>
        <v>2180</v>
      </c>
      <c r="B2181" t="str">
        <f>"-1.86"</f>
        <v>-1.86</v>
      </c>
      <c r="C2181" t="str">
        <f>"58"</f>
        <v>58</v>
      </c>
      <c r="D2181" t="str">
        <f>"Illegal Tender EP"</f>
        <v>Illegal Tender EP</v>
      </c>
    </row>
    <row r="2182" spans="1:4" x14ac:dyDescent="0.2">
      <c r="A2182" t="str">
        <f>"2181"</f>
        <v>2181</v>
      </c>
      <c r="B2182" t="str">
        <f>"0"</f>
        <v>0</v>
      </c>
      <c r="C2182" t="str">
        <f>"26"</f>
        <v>26</v>
      </c>
      <c r="D2182" t="str">
        <f>"LateNightTales"</f>
        <v>LateNightTales</v>
      </c>
    </row>
    <row r="2183" spans="1:4" x14ac:dyDescent="0.2">
      <c r="A2183" t="str">
        <f>"2182"</f>
        <v>2182</v>
      </c>
      <c r="B2183" t="str">
        <f>"-1.58"</f>
        <v>-1.58</v>
      </c>
      <c r="C2183" t="str">
        <f>"24"</f>
        <v>24</v>
      </c>
      <c r="D2183" t="str">
        <f>"Fear of a Black Tangent"</f>
        <v>Fear of a Black Tangent</v>
      </c>
    </row>
    <row r="2184" spans="1:4" x14ac:dyDescent="0.2">
      <c r="A2184" t="str">
        <f>"2183"</f>
        <v>2183</v>
      </c>
      <c r="B2184" t="str">
        <f>"0.85"</f>
        <v>0.85</v>
      </c>
      <c r="C2184" t="str">
        <f>"17"</f>
        <v>17</v>
      </c>
      <c r="D2184" t="str">
        <f>"Manzanita"</f>
        <v>Manzanita</v>
      </c>
    </row>
    <row r="2185" spans="1:4" x14ac:dyDescent="0.2">
      <c r="A2185" t="str">
        <f>"2184"</f>
        <v>2184</v>
      </c>
      <c r="B2185" t="str">
        <f>"-0.93"</f>
        <v>-0.93</v>
      </c>
      <c r="C2185" t="str">
        <f>"73"</f>
        <v>73</v>
      </c>
      <c r="D2185" t="str">
        <f>"Fright Makes Right"</f>
        <v>Fright Makes Right</v>
      </c>
    </row>
    <row r="2186" spans="1:4" x14ac:dyDescent="0.2">
      <c r="A2186" t="str">
        <f>"2185"</f>
        <v>2185</v>
      </c>
      <c r="B2186" t="str">
        <f>"-0.44"</f>
        <v>-0.44</v>
      </c>
      <c r="C2186" t="str">
        <f>"22"</f>
        <v>22</v>
      </c>
      <c r="D2186" t="str">
        <f>"Nano-Nucleonic Cyborg Summoning EP"</f>
        <v>Nano-Nucleonic Cyborg Summoning EP</v>
      </c>
    </row>
    <row r="2187" spans="1:4" x14ac:dyDescent="0.2">
      <c r="A2187" t="str">
        <f>"2186"</f>
        <v>2186</v>
      </c>
      <c r="B2187" t="str">
        <f>"0.47"</f>
        <v>0.47</v>
      </c>
      <c r="C2187" t="str">
        <f>"52"</f>
        <v>52</v>
      </c>
      <c r="D2187" t="str">
        <f>"The Evens"</f>
        <v>The Evens</v>
      </c>
    </row>
    <row r="2188" spans="1:4" x14ac:dyDescent="0.2">
      <c r="A2188" t="str">
        <f>"2187"</f>
        <v>2187</v>
      </c>
      <c r="B2188" t="str">
        <f>"-0.28"</f>
        <v>-0.28</v>
      </c>
      <c r="C2188" t="str">
        <f>"30"</f>
        <v>30</v>
      </c>
      <c r="D2188" t="s">
        <v>60</v>
      </c>
    </row>
    <row r="2189" spans="1:4" x14ac:dyDescent="0.2">
      <c r="A2189" t="str">
        <f>"2188"</f>
        <v>2188</v>
      </c>
      <c r="B2189" t="str">
        <f>"0.73"</f>
        <v>0.73</v>
      </c>
      <c r="C2189" t="str">
        <f>"67"</f>
        <v>67</v>
      </c>
      <c r="D2189" t="str">
        <f>"Popcorn Box"</f>
        <v>Popcorn Box</v>
      </c>
    </row>
    <row r="2190" spans="1:4" x14ac:dyDescent="0.2">
      <c r="A2190" t="str">
        <f>"2189"</f>
        <v>2189</v>
      </c>
      <c r="B2190" t="str">
        <f>"0.19"</f>
        <v>0.19</v>
      </c>
      <c r="C2190" t="str">
        <f>"33"</f>
        <v>33</v>
      </c>
      <c r="D2190" t="str">
        <f>"Guns &amp; Roses"</f>
        <v>Guns &amp; Roses</v>
      </c>
    </row>
    <row r="2191" spans="1:4" x14ac:dyDescent="0.2">
      <c r="A2191" t="str">
        <f>"2190"</f>
        <v>2190</v>
      </c>
      <c r="B2191" t="str">
        <f>"-0.63"</f>
        <v>-0.63</v>
      </c>
      <c r="C2191" t="str">
        <f>"15"</f>
        <v>15</v>
      </c>
      <c r="D2191" t="str">
        <f>"In the Fishtank 12 EP"</f>
        <v>In the Fishtank 12 EP</v>
      </c>
    </row>
    <row r="2192" spans="1:4" x14ac:dyDescent="0.2">
      <c r="A2192" t="str">
        <f>"2191"</f>
        <v>2191</v>
      </c>
      <c r="B2192" t="str">
        <f>"0.28"</f>
        <v>0.28</v>
      </c>
      <c r="C2192" t="str">
        <f>"41"</f>
        <v>41</v>
      </c>
      <c r="D2192" t="str">
        <f>"Expo"</f>
        <v>Expo</v>
      </c>
    </row>
    <row r="2193" spans="1:4" x14ac:dyDescent="0.2">
      <c r="A2193" t="str">
        <f>"2192"</f>
        <v>2192</v>
      </c>
      <c r="B2193" t="str">
        <f>"-0.42"</f>
        <v>-0.42</v>
      </c>
      <c r="C2193" t="str">
        <f>"78"</f>
        <v>78</v>
      </c>
      <c r="D2193" t="str">
        <f>"The Massacre"</f>
        <v>The Massacre</v>
      </c>
    </row>
    <row r="2194" spans="1:4" x14ac:dyDescent="0.2">
      <c r="A2194" t="str">
        <f>"2193"</f>
        <v>2193</v>
      </c>
      <c r="B2194" t="str">
        <f>"-0.13"</f>
        <v>-0.13</v>
      </c>
      <c r="C2194" t="str">
        <f>"68"</f>
        <v>68</v>
      </c>
      <c r="D2194" t="str">
        <f>"You Fail Me"</f>
        <v>You Fail Me</v>
      </c>
    </row>
    <row r="2195" spans="1:4" x14ac:dyDescent="0.2">
      <c r="A2195" t="str">
        <f>"2194"</f>
        <v>2194</v>
      </c>
      <c r="B2195" t="str">
        <f>"-0.98"</f>
        <v>-0.98</v>
      </c>
      <c r="C2195" t="str">
        <f>"108"</f>
        <v>108</v>
      </c>
      <c r="D2195" t="str">
        <f>"Arrived in Gold"</f>
        <v>Arrived in Gold</v>
      </c>
    </row>
    <row r="2196" spans="1:4" x14ac:dyDescent="0.2">
      <c r="A2196" t="str">
        <f>"2195"</f>
        <v>2195</v>
      </c>
      <c r="B2196" t="str">
        <f>"1.33"</f>
        <v>1.33</v>
      </c>
      <c r="C2196" t="str">
        <f>"15"</f>
        <v>15</v>
      </c>
      <c r="D2196" t="str">
        <f>"Hurricane Bar"</f>
        <v>Hurricane Bar</v>
      </c>
    </row>
    <row r="2197" spans="1:4" x14ac:dyDescent="0.2">
      <c r="A2197" t="str">
        <f>"2196"</f>
        <v>2196</v>
      </c>
      <c r="B2197" t="str">
        <f>"0.51"</f>
        <v>0.51</v>
      </c>
      <c r="C2197" t="str">
        <f>"25"</f>
        <v>25</v>
      </c>
      <c r="D2197" t="str">
        <f>"Wind in the Wires"</f>
        <v>Wind in the Wires</v>
      </c>
    </row>
    <row r="2198" spans="1:4" x14ac:dyDescent="0.2">
      <c r="A2198" t="str">
        <f>"2197"</f>
        <v>2197</v>
      </c>
      <c r="B2198" t="str">
        <f>"-0.1"</f>
        <v>-0.1</v>
      </c>
      <c r="C2198" t="str">
        <f>"23"</f>
        <v>23</v>
      </c>
      <c r="D2198" t="str">
        <f>"Paper White EP"</f>
        <v>Paper White EP</v>
      </c>
    </row>
    <row r="2199" spans="1:4" x14ac:dyDescent="0.2">
      <c r="A2199" t="str">
        <f>"2198"</f>
        <v>2198</v>
      </c>
      <c r="B2199" t="str">
        <f>"0.23"</f>
        <v>0.23</v>
      </c>
      <c r="C2199" t="str">
        <f>"20"</f>
        <v>20</v>
      </c>
      <c r="D2199" t="str">
        <f>"Miniatures"</f>
        <v>Miniatures</v>
      </c>
    </row>
    <row r="2200" spans="1:4" x14ac:dyDescent="0.2">
      <c r="A2200" t="str">
        <f>"2199"</f>
        <v>2199</v>
      </c>
      <c r="B2200" t="str">
        <f>"-0.43"</f>
        <v>-0.43</v>
      </c>
      <c r="C2200" t="str">
        <f>"12"</f>
        <v>12</v>
      </c>
      <c r="D2200" t="str">
        <f>"Heaven and Hell EP"</f>
        <v>Heaven and Hell EP</v>
      </c>
    </row>
    <row r="2201" spans="1:4" x14ac:dyDescent="0.2">
      <c r="A2201" t="str">
        <f>"2200"</f>
        <v>2200</v>
      </c>
      <c r="B2201" t="str">
        <f>"-0.66"</f>
        <v>-0.66</v>
      </c>
      <c r="C2201" t="str">
        <f>"18"</f>
        <v>18</v>
      </c>
      <c r="D2201" t="str">
        <f>"Vehicles of Travel"</f>
        <v>Vehicles of Travel</v>
      </c>
    </row>
    <row r="2202" spans="1:4" x14ac:dyDescent="0.2">
      <c r="A2202" t="str">
        <f>"2201"</f>
        <v>2201</v>
      </c>
      <c r="B2202" t="str">
        <f>"-0.25"</f>
        <v>-0.25</v>
      </c>
      <c r="C2202" t="str">
        <f>"43"</f>
        <v>43</v>
      </c>
      <c r="D2202" t="str">
        <f>"Feathers"</f>
        <v>Feathers</v>
      </c>
    </row>
    <row r="2203" spans="1:4" x14ac:dyDescent="0.2">
      <c r="A2203" t="str">
        <f>"2202"</f>
        <v>2202</v>
      </c>
      <c r="B2203" t="str">
        <f>"0.8"</f>
        <v>0.8</v>
      </c>
      <c r="C2203" t="str">
        <f>"22"</f>
        <v>22</v>
      </c>
      <c r="D2203" t="str">
        <f>"City vs Country EP"</f>
        <v>City vs Country EP</v>
      </c>
    </row>
    <row r="2204" spans="1:4" x14ac:dyDescent="0.2">
      <c r="A2204" t="str">
        <f>"2203"</f>
        <v>2203</v>
      </c>
      <c r="B2204" t="str">
        <f>"0.11"</f>
        <v>0.11</v>
      </c>
      <c r="C2204" t="str">
        <f>"58"</f>
        <v>58</v>
      </c>
      <c r="D2204" t="str">
        <f>"Pink Mountaintops"</f>
        <v>Pink Mountaintops</v>
      </c>
    </row>
    <row r="2205" spans="1:4" x14ac:dyDescent="0.2">
      <c r="A2205" t="str">
        <f>"2204"</f>
        <v>2204</v>
      </c>
      <c r="B2205" t="str">
        <f>"-0.68"</f>
        <v>-0.68</v>
      </c>
      <c r="C2205" t="str">
        <f>"23"</f>
        <v>23</v>
      </c>
      <c r="D2205" t="str">
        <f>"What Became of the Likely Lads EP"</f>
        <v>What Became of the Likely Lads EP</v>
      </c>
    </row>
    <row r="2206" spans="1:4" x14ac:dyDescent="0.2">
      <c r="A2206" t="str">
        <f>"2205"</f>
        <v>2205</v>
      </c>
      <c r="B2206" t="str">
        <f>"-0.53"</f>
        <v>-0.53</v>
      </c>
      <c r="C2206" t="str">
        <f>"59"</f>
        <v>59</v>
      </c>
      <c r="D2206" t="str">
        <f>"Fighting Style Killer Panda EP"</f>
        <v>Fighting Style Killer Panda EP</v>
      </c>
    </row>
    <row r="2207" spans="1:4" x14ac:dyDescent="0.2">
      <c r="A2207" t="str">
        <f>"2206"</f>
        <v>2206</v>
      </c>
      <c r="B2207" t="str">
        <f>"-0.25"</f>
        <v>-0.25</v>
      </c>
      <c r="C2207" t="str">
        <f>"60"</f>
        <v>60</v>
      </c>
      <c r="D2207" t="str">
        <f>"Italo DeRuggiero"</f>
        <v>Italo DeRuggiero</v>
      </c>
    </row>
    <row r="2208" spans="1:4" x14ac:dyDescent="0.2">
      <c r="A2208" t="str">
        <f>"2207"</f>
        <v>2207</v>
      </c>
      <c r="B2208" t="str">
        <f>"0.8"</f>
        <v>0.8</v>
      </c>
      <c r="C2208" t="str">
        <f>"25"</f>
        <v>25</v>
      </c>
      <c r="D2208" t="str">
        <f>"Doppelleben"</f>
        <v>Doppelleben</v>
      </c>
    </row>
    <row r="2209" spans="1:4" x14ac:dyDescent="0.2">
      <c r="A2209" t="str">
        <f>"2208"</f>
        <v>2208</v>
      </c>
      <c r="B2209" t="str">
        <f>"0.03"</f>
        <v>0.03</v>
      </c>
      <c r="C2209" t="str">
        <f>"49"</f>
        <v>49</v>
      </c>
      <c r="D2209" t="str">
        <f>"Stick Music"</f>
        <v>Stick Music</v>
      </c>
    </row>
    <row r="2210" spans="1:4" x14ac:dyDescent="0.2">
      <c r="A2210" t="str">
        <f>"2209"</f>
        <v>2209</v>
      </c>
      <c r="B2210" t="str">
        <f>"0.18"</f>
        <v>0.18</v>
      </c>
      <c r="C2210" t="str">
        <f>"50"</f>
        <v>50</v>
      </c>
      <c r="D2210" t="str">
        <f>"Born to Be a Motorcycle"</f>
        <v>Born to Be a Motorcycle</v>
      </c>
    </row>
    <row r="2211" spans="1:4" x14ac:dyDescent="0.2">
      <c r="A2211" t="str">
        <f>"2210"</f>
        <v>2210</v>
      </c>
      <c r="B2211" t="str">
        <f>"-0.47"</f>
        <v>-0.47</v>
      </c>
      <c r="C2211" t="str">
        <f>"23"</f>
        <v>23</v>
      </c>
      <c r="D2211" t="str">
        <f>"Husk"</f>
        <v>Husk</v>
      </c>
    </row>
    <row r="2212" spans="1:4" x14ac:dyDescent="0.2">
      <c r="A2212" t="str">
        <f>"2211"</f>
        <v>2211</v>
      </c>
      <c r="B2212" t="str">
        <f>"0.34"</f>
        <v>0.34</v>
      </c>
      <c r="C2212" t="str">
        <f>"26"</f>
        <v>26</v>
      </c>
      <c r="D2212" t="str">
        <f>"Some Cities"</f>
        <v>Some Cities</v>
      </c>
    </row>
    <row r="2213" spans="1:4" x14ac:dyDescent="0.2">
      <c r="A2213" t="str">
        <f>"2212"</f>
        <v>2212</v>
      </c>
      <c r="B2213" t="str">
        <f>"0.65"</f>
        <v>0.65</v>
      </c>
      <c r="C2213" t="str">
        <f>"20"</f>
        <v>20</v>
      </c>
      <c r="D2213" t="str">
        <f>"It's the Motherfucking Remix"</f>
        <v>It's the Motherfucking Remix</v>
      </c>
    </row>
    <row r="2214" spans="1:4" x14ac:dyDescent="0.2">
      <c r="A2214" t="str">
        <f>"2213"</f>
        <v>2213</v>
      </c>
      <c r="B2214" t="str">
        <f>"0.56"</f>
        <v>0.56</v>
      </c>
      <c r="C2214" t="str">
        <f>"69"</f>
        <v>69</v>
      </c>
      <c r="D2214" t="str">
        <f>"Life &amp; Love in Sparrow's Meadow"</f>
        <v>Life &amp; Love in Sparrow's Meadow</v>
      </c>
    </row>
    <row r="2215" spans="1:4" x14ac:dyDescent="0.2">
      <c r="A2215" t="str">
        <f>"2214"</f>
        <v>2214</v>
      </c>
      <c r="B2215" t="str">
        <f>"0.21"</f>
        <v>0.21</v>
      </c>
      <c r="C2215" t="str">
        <f>"16"</f>
        <v>16</v>
      </c>
      <c r="D2215" t="str">
        <f>"Headgit EP"</f>
        <v>Headgit EP</v>
      </c>
    </row>
    <row r="2216" spans="1:4" x14ac:dyDescent="0.2">
      <c r="A2216" t="str">
        <f>"2215"</f>
        <v>2215</v>
      </c>
      <c r="B2216" t="str">
        <f>"-0.22"</f>
        <v>-0.22</v>
      </c>
      <c r="C2216" t="str">
        <f>"21"</f>
        <v>21</v>
      </c>
      <c r="D2216" t="s">
        <v>61</v>
      </c>
    </row>
    <row r="2217" spans="1:4" x14ac:dyDescent="0.2">
      <c r="A2217" t="str">
        <f>"2216"</f>
        <v>2216</v>
      </c>
      <c r="B2217" t="str">
        <f>"-0.23"</f>
        <v>-0.23</v>
      </c>
      <c r="C2217" t="str">
        <f>"44"</f>
        <v>44</v>
      </c>
      <c r="D2217" t="str">
        <f>"Frances the Mute"</f>
        <v>Frances the Mute</v>
      </c>
    </row>
    <row r="2218" spans="1:4" x14ac:dyDescent="0.2">
      <c r="A2218" t="str">
        <f>"2217"</f>
        <v>2217</v>
      </c>
      <c r="B2218" t="str">
        <f>"0.82"</f>
        <v>0.82</v>
      </c>
      <c r="C2218" t="str">
        <f>"43"</f>
        <v>43</v>
      </c>
      <c r="D2218" t="str">
        <f>"From Here to Eternity"</f>
        <v>From Here to Eternity</v>
      </c>
    </row>
    <row r="2219" spans="1:4" x14ac:dyDescent="0.2">
      <c r="A2219" t="str">
        <f>"2218"</f>
        <v>2218</v>
      </c>
      <c r="B2219" t="str">
        <f>"0.79"</f>
        <v>0.79</v>
      </c>
      <c r="C2219" t="str">
        <f>"16"</f>
        <v>16</v>
      </c>
      <c r="D2219" t="str">
        <f>"Jeff Hanson"</f>
        <v>Jeff Hanson</v>
      </c>
    </row>
    <row r="2220" spans="1:4" x14ac:dyDescent="0.2">
      <c r="A2220" t="str">
        <f>"2219"</f>
        <v>2219</v>
      </c>
      <c r="B2220" t="str">
        <f>"-0.25"</f>
        <v>-0.25</v>
      </c>
      <c r="C2220" t="str">
        <f>"20"</f>
        <v>20</v>
      </c>
      <c r="D2220" t="str">
        <f>"The Mother of Love Emulates the Shapes of Cynthia"</f>
        <v>The Mother of Love Emulates the Shapes of Cynthia</v>
      </c>
    </row>
    <row r="2221" spans="1:4" x14ac:dyDescent="0.2">
      <c r="A2221" t="str">
        <f>"2220"</f>
        <v>2220</v>
      </c>
      <c r="B2221" t="str">
        <f>"0.07"</f>
        <v>0.07</v>
      </c>
      <c r="C2221" t="str">
        <f>"24"</f>
        <v>24</v>
      </c>
      <c r="D2221" t="str">
        <f>"Heart Like a River"</f>
        <v>Heart Like a River</v>
      </c>
    </row>
    <row r="2222" spans="1:4" x14ac:dyDescent="0.2">
      <c r="A2222" t="str">
        <f>"2221"</f>
        <v>2221</v>
      </c>
      <c r="B2222" t="str">
        <f>"0.35"</f>
        <v>0.35</v>
      </c>
      <c r="C2222" t="str">
        <f>"26"</f>
        <v>26</v>
      </c>
      <c r="D2222" t="str">
        <f>"Talk Amongst the Trees"</f>
        <v>Talk Amongst the Trees</v>
      </c>
    </row>
    <row r="2223" spans="1:4" x14ac:dyDescent="0.2">
      <c r="A2223" t="str">
        <f>"2222"</f>
        <v>2222</v>
      </c>
      <c r="B2223" t="str">
        <f>"0.52"</f>
        <v>0.52</v>
      </c>
      <c r="C2223" t="str">
        <f>"17"</f>
        <v>17</v>
      </c>
      <c r="D2223" t="s">
        <v>62</v>
      </c>
    </row>
    <row r="2224" spans="1:4" x14ac:dyDescent="0.2">
      <c r="A2224" t="str">
        <f>"2223"</f>
        <v>2223</v>
      </c>
      <c r="B2224" t="str">
        <f>"0.02"</f>
        <v>0.02</v>
      </c>
      <c r="C2224" t="str">
        <f>"24"</f>
        <v>24</v>
      </c>
      <c r="D2224" t="str">
        <f>"One Ten Hundred Thousand Million"</f>
        <v>One Ten Hundred Thousand Million</v>
      </c>
    </row>
    <row r="2225" spans="1:4" x14ac:dyDescent="0.2">
      <c r="A2225" t="str">
        <f>"2224"</f>
        <v>2224</v>
      </c>
      <c r="B2225" t="str">
        <f>"0.85"</f>
        <v>0.85</v>
      </c>
      <c r="C2225" t="str">
        <f>"21"</f>
        <v>21</v>
      </c>
      <c r="D2225" t="str">
        <f>"End of Love"</f>
        <v>End of Love</v>
      </c>
    </row>
    <row r="2226" spans="1:4" x14ac:dyDescent="0.2">
      <c r="A2226" t="str">
        <f>"2225"</f>
        <v>2225</v>
      </c>
      <c r="B2226" t="str">
        <f>"0.35"</f>
        <v>0.35</v>
      </c>
      <c r="C2226" t="str">
        <f>"55"</f>
        <v>55</v>
      </c>
      <c r="D2226" t="str">
        <f>"Sunset Panorama"</f>
        <v>Sunset Panorama</v>
      </c>
    </row>
    <row r="2227" spans="1:4" x14ac:dyDescent="0.2">
      <c r="A2227" t="str">
        <f>"2226"</f>
        <v>2226</v>
      </c>
      <c r="B2227" t="str">
        <f>"0.55"</f>
        <v>0.55</v>
      </c>
      <c r="C2227" t="str">
        <f>"26"</f>
        <v>26</v>
      </c>
      <c r="D2227" t="str">
        <f>"Lost Marbles and Exploded Evidence"</f>
        <v>Lost Marbles and Exploded Evidence</v>
      </c>
    </row>
    <row r="2228" spans="1:4" x14ac:dyDescent="0.2">
      <c r="A2228" t="str">
        <f>"2227"</f>
        <v>2227</v>
      </c>
      <c r="B2228" t="str">
        <f>"0.58"</f>
        <v>0.58</v>
      </c>
      <c r="C2228" t="str">
        <f>"62"</f>
        <v>62</v>
      </c>
      <c r="D2228" t="str">
        <f>"Cut"</f>
        <v>Cut</v>
      </c>
    </row>
    <row r="2229" spans="1:4" x14ac:dyDescent="0.2">
      <c r="A2229" t="str">
        <f>"2228"</f>
        <v>2228</v>
      </c>
      <c r="B2229" t="str">
        <f>"1.15"</f>
        <v>1.15</v>
      </c>
      <c r="C2229" t="str">
        <f>"17"</f>
        <v>17</v>
      </c>
      <c r="D2229" t="s">
        <v>63</v>
      </c>
    </row>
    <row r="2230" spans="1:4" x14ac:dyDescent="0.2">
      <c r="A2230" t="str">
        <f>"2229"</f>
        <v>2229</v>
      </c>
      <c r="B2230" t="str">
        <f>"0.42"</f>
        <v>0.42</v>
      </c>
      <c r="C2230" t="str">
        <f>"16"</f>
        <v>16</v>
      </c>
      <c r="D2230" t="str">
        <f>"The Cosmic Game"</f>
        <v>The Cosmic Game</v>
      </c>
    </row>
    <row r="2231" spans="1:4" x14ac:dyDescent="0.2">
      <c r="A2231" t="str">
        <f>"2230"</f>
        <v>2230</v>
      </c>
      <c r="B2231" t="str">
        <f>"0.59"</f>
        <v>0.59</v>
      </c>
      <c r="C2231" t="str">
        <f>"17"</f>
        <v>17</v>
      </c>
      <c r="D2231" t="str">
        <f>"How to Make a Monster"</f>
        <v>How to Make a Monster</v>
      </c>
    </row>
    <row r="2232" spans="1:4" x14ac:dyDescent="0.2">
      <c r="A2232" t="str">
        <f>"2231"</f>
        <v>2231</v>
      </c>
      <c r="B2232" t="str">
        <f>"1.17"</f>
        <v>1.17</v>
      </c>
      <c r="C2232" t="str">
        <f>"54"</f>
        <v>54</v>
      </c>
      <c r="D2232" t="str">
        <f>"Nashville"</f>
        <v>Nashville</v>
      </c>
    </row>
    <row r="2233" spans="1:4" x14ac:dyDescent="0.2">
      <c r="A2233" t="str">
        <f>"2232"</f>
        <v>2232</v>
      </c>
      <c r="B2233" t="str">
        <f>"-0.46"</f>
        <v>-0.46</v>
      </c>
      <c r="C2233" t="str">
        <f>"85"</f>
        <v>85</v>
      </c>
      <c r="D2233" t="str">
        <f>"Jesu"</f>
        <v>Jesu</v>
      </c>
    </row>
    <row r="2234" spans="1:4" x14ac:dyDescent="0.2">
      <c r="A2234" t="str">
        <f>"2233"</f>
        <v>2233</v>
      </c>
      <c r="B2234" t="str">
        <f>"-1.26"</f>
        <v>-1.26</v>
      </c>
      <c r="C2234" t="str">
        <f>"38"</f>
        <v>38</v>
      </c>
      <c r="D2234" t="s">
        <v>64</v>
      </c>
    </row>
    <row r="2235" spans="1:4" x14ac:dyDescent="0.2">
      <c r="A2235" t="str">
        <f>"2234"</f>
        <v>2234</v>
      </c>
      <c r="B2235" t="str">
        <f>"-0.76"</f>
        <v>-0.76</v>
      </c>
      <c r="C2235" t="str">
        <f>"39"</f>
        <v>39</v>
      </c>
      <c r="D2235" t="str">
        <f>"Helter Stupid"</f>
        <v>Helter Stupid</v>
      </c>
    </row>
    <row r="2236" spans="1:4" x14ac:dyDescent="0.2">
      <c r="A2236" t="str">
        <f>"2235"</f>
        <v>2235</v>
      </c>
      <c r="B2236" t="str">
        <f>"-0.34"</f>
        <v>-0.34</v>
      </c>
      <c r="C2236" t="str">
        <f>"20"</f>
        <v>20</v>
      </c>
      <c r="D2236" t="str">
        <f>"The Article"</f>
        <v>The Article</v>
      </c>
    </row>
    <row r="2237" spans="1:4" x14ac:dyDescent="0.2">
      <c r="A2237" t="str">
        <f>"2236"</f>
        <v>2236</v>
      </c>
      <c r="B2237" t="str">
        <f>"-1.82"</f>
        <v>-1.82</v>
      </c>
      <c r="C2237" t="str">
        <f>"35"</f>
        <v>35</v>
      </c>
      <c r="D2237" t="str">
        <f>"Naninani II"</f>
        <v>Naninani II</v>
      </c>
    </row>
    <row r="2238" spans="1:4" x14ac:dyDescent="0.2">
      <c r="A2238" t="str">
        <f>"2237"</f>
        <v>2237</v>
      </c>
      <c r="B2238" t="str">
        <f>"-0.18"</f>
        <v>-0.18</v>
      </c>
      <c r="C2238" t="str">
        <f>"120"</f>
        <v>120</v>
      </c>
      <c r="D2238" t="str">
        <f>"Dignity and Shame"</f>
        <v>Dignity and Shame</v>
      </c>
    </row>
    <row r="2239" spans="1:4" x14ac:dyDescent="0.2">
      <c r="A2239" t="str">
        <f>"2238"</f>
        <v>2238</v>
      </c>
      <c r="B2239" t="str">
        <f>"1.41"</f>
        <v>1.41</v>
      </c>
      <c r="C2239" t="str">
        <f>"18"</f>
        <v>18</v>
      </c>
      <c r="D2239" t="str">
        <f>"Has a Good Home"</f>
        <v>Has a Good Home</v>
      </c>
    </row>
    <row r="2240" spans="1:4" x14ac:dyDescent="0.2">
      <c r="A2240" t="str">
        <f>"2239"</f>
        <v>2239</v>
      </c>
      <c r="B2240" t="str">
        <f>"0.19"</f>
        <v>0.19</v>
      </c>
      <c r="C2240" t="str">
        <f>"19"</f>
        <v>19</v>
      </c>
      <c r="D2240" t="str">
        <f>"'65-'95"</f>
        <v>'65-'95</v>
      </c>
    </row>
    <row r="2241" spans="1:4" x14ac:dyDescent="0.2">
      <c r="A2241" t="str">
        <f>"2240"</f>
        <v>2240</v>
      </c>
      <c r="B2241" t="str">
        <f>"0.09"</f>
        <v>0.09</v>
      </c>
      <c r="C2241" t="str">
        <f>"24"</f>
        <v>24</v>
      </c>
      <c r="D2241" t="str">
        <f>"Unseen Forces"</f>
        <v>Unseen Forces</v>
      </c>
    </row>
    <row r="2242" spans="1:4" x14ac:dyDescent="0.2">
      <c r="A2242" t="str">
        <f>"2241"</f>
        <v>2241</v>
      </c>
      <c r="B2242" t="str">
        <f>"0.41"</f>
        <v>0.41</v>
      </c>
      <c r="C2242" t="str">
        <f>"26"</f>
        <v>26</v>
      </c>
      <c r="D2242" t="str">
        <f>"Woman King EP"</f>
        <v>Woman King EP</v>
      </c>
    </row>
    <row r="2243" spans="1:4" x14ac:dyDescent="0.2">
      <c r="A2243" t="str">
        <f>"2242"</f>
        <v>2242</v>
      </c>
      <c r="B2243" t="str">
        <f>"-1.1"</f>
        <v>-1.1</v>
      </c>
      <c r="C2243" t="str">
        <f>"18"</f>
        <v>18</v>
      </c>
      <c r="D2243" t="str">
        <f>"A Gun Called Tension"</f>
        <v>A Gun Called Tension</v>
      </c>
    </row>
    <row r="2244" spans="1:4" x14ac:dyDescent="0.2">
      <c r="A2244" t="str">
        <f>"2243"</f>
        <v>2243</v>
      </c>
      <c r="B2244" t="str">
        <f>"0.18"</f>
        <v>0.18</v>
      </c>
      <c r="C2244" t="str">
        <f>"73"</f>
        <v>73</v>
      </c>
      <c r="D2244" t="str">
        <f>"The Baby Huey Story: The Living Legend"</f>
        <v>The Baby Huey Story: The Living Legend</v>
      </c>
    </row>
    <row r="2245" spans="1:4" x14ac:dyDescent="0.2">
      <c r="A2245" t="str">
        <f>"2244"</f>
        <v>2244</v>
      </c>
      <c r="B2245" t="str">
        <f>"0.01"</f>
        <v>0.01</v>
      </c>
      <c r="C2245" t="str">
        <f>"22"</f>
        <v>22</v>
      </c>
      <c r="D2245" t="str">
        <f>"Live From Rome"</f>
        <v>Live From Rome</v>
      </c>
    </row>
    <row r="2246" spans="1:4" x14ac:dyDescent="0.2">
      <c r="A2246" t="str">
        <f>"2245"</f>
        <v>2245</v>
      </c>
      <c r="B2246" t="str">
        <f>"-0.52"</f>
        <v>-0.52</v>
      </c>
      <c r="C2246" t="str">
        <f>"16"</f>
        <v>16</v>
      </c>
      <c r="D2246" t="str">
        <f>"All-Night Fox"</f>
        <v>All-Night Fox</v>
      </c>
    </row>
    <row r="2247" spans="1:4" x14ac:dyDescent="0.2">
      <c r="A2247" t="str">
        <f>"2246"</f>
        <v>2246</v>
      </c>
      <c r="B2247" t="str">
        <f>"0.52"</f>
        <v>0.52</v>
      </c>
      <c r="C2247" t="str">
        <f>"77"</f>
        <v>77</v>
      </c>
      <c r="D2247" t="str">
        <f>"Transistor Radio"</f>
        <v>Transistor Radio</v>
      </c>
    </row>
    <row r="2248" spans="1:4" x14ac:dyDescent="0.2">
      <c r="A2248" t="str">
        <f>"2247"</f>
        <v>2247</v>
      </c>
      <c r="B2248" t="str">
        <f>"-0.61"</f>
        <v>-0.61</v>
      </c>
      <c r="C2248" t="str">
        <f>"21"</f>
        <v>21</v>
      </c>
      <c r="D2248" t="s">
        <v>65</v>
      </c>
    </row>
    <row r="2249" spans="1:4" x14ac:dyDescent="0.2">
      <c r="A2249" t="str">
        <f>"2248"</f>
        <v>2248</v>
      </c>
      <c r="B2249" t="str">
        <f>"-0.25"</f>
        <v>-0.25</v>
      </c>
      <c r="C2249" t="str">
        <f>"16"</f>
        <v>16</v>
      </c>
      <c r="D2249" t="str">
        <f>"This Cloud Is Learning"</f>
        <v>This Cloud Is Learning</v>
      </c>
    </row>
    <row r="2250" spans="1:4" x14ac:dyDescent="0.2">
      <c r="A2250" t="str">
        <f>"2249"</f>
        <v>2249</v>
      </c>
      <c r="B2250" t="str">
        <f>"-0.41"</f>
        <v>-0.41</v>
      </c>
      <c r="C2250" t="str">
        <f>"20"</f>
        <v>20</v>
      </c>
      <c r="D2250" t="str">
        <f>"The Cloud Making Machine"</f>
        <v>The Cloud Making Machine</v>
      </c>
    </row>
    <row r="2251" spans="1:4" x14ac:dyDescent="0.2">
      <c r="A2251" t="str">
        <f>"2250"</f>
        <v>2250</v>
      </c>
      <c r="B2251" t="str">
        <f>"0.2"</f>
        <v>0.2</v>
      </c>
      <c r="C2251" t="str">
        <f>"31"</f>
        <v>31</v>
      </c>
      <c r="D2251" t="str">
        <f>"Tree City"</f>
        <v>Tree City</v>
      </c>
    </row>
    <row r="2252" spans="1:4" x14ac:dyDescent="0.2">
      <c r="A2252" t="str">
        <f>"2251"</f>
        <v>2251</v>
      </c>
      <c r="B2252" t="str">
        <f>"-0.45"</f>
        <v>-0.45</v>
      </c>
      <c r="C2252" t="str">
        <f>"24"</f>
        <v>24</v>
      </c>
      <c r="D2252" t="str">
        <f>"Absence"</f>
        <v>Absence</v>
      </c>
    </row>
    <row r="2253" spans="1:4" x14ac:dyDescent="0.2">
      <c r="A2253" t="str">
        <f>"2252"</f>
        <v>2252</v>
      </c>
      <c r="B2253" t="str">
        <f>"-0.27"</f>
        <v>-0.27</v>
      </c>
      <c r="C2253" t="str">
        <f>"23"</f>
        <v>23</v>
      </c>
      <c r="D2253" t="str">
        <f>"Ruin Everything!"</f>
        <v>Ruin Everything!</v>
      </c>
    </row>
    <row r="2254" spans="1:4" x14ac:dyDescent="0.2">
      <c r="A2254" t="str">
        <f>"2253"</f>
        <v>2253</v>
      </c>
      <c r="B2254" t="str">
        <f>"0.59"</f>
        <v>0.59</v>
      </c>
      <c r="C2254" t="str">
        <f>"20"</f>
        <v>20</v>
      </c>
      <c r="D2254" t="str">
        <f>"Believe"</f>
        <v>Believe</v>
      </c>
    </row>
    <row r="2255" spans="1:4" x14ac:dyDescent="0.2">
      <c r="A2255" t="str">
        <f>"2254"</f>
        <v>2254</v>
      </c>
      <c r="B2255" t="str">
        <f>"0.56"</f>
        <v>0.56</v>
      </c>
      <c r="C2255" t="str">
        <f>"18"</f>
        <v>18</v>
      </c>
      <c r="D2255" t="str">
        <f>"Touchpool"</f>
        <v>Touchpool</v>
      </c>
    </row>
    <row r="2256" spans="1:4" x14ac:dyDescent="0.2">
      <c r="A2256" t="str">
        <f>"2255"</f>
        <v>2255</v>
      </c>
      <c r="B2256" t="str">
        <f>"-0.15"</f>
        <v>-0.15</v>
      </c>
      <c r="C2256" t="str">
        <f>"37"</f>
        <v>37</v>
      </c>
      <c r="D2256" t="str">
        <f>"Nouvelle Vague"</f>
        <v>Nouvelle Vague</v>
      </c>
    </row>
    <row r="2257" spans="1:4" x14ac:dyDescent="0.2">
      <c r="A2257" t="str">
        <f>"2256"</f>
        <v>2256</v>
      </c>
      <c r="B2257" t="str">
        <f>"-0.21"</f>
        <v>-0.21</v>
      </c>
      <c r="C2257" t="str">
        <f>"23"</f>
        <v>23</v>
      </c>
      <c r="D2257" t="s">
        <v>66</v>
      </c>
    </row>
    <row r="2258" spans="1:4" x14ac:dyDescent="0.2">
      <c r="A2258" t="str">
        <f>"2257"</f>
        <v>2257</v>
      </c>
      <c r="B2258" t="str">
        <f>"-0.45"</f>
        <v>-0.45</v>
      </c>
      <c r="C2258" t="str">
        <f>"40"</f>
        <v>40</v>
      </c>
      <c r="D2258" t="str">
        <f>"Silent Night"</f>
        <v>Silent Night</v>
      </c>
    </row>
    <row r="2259" spans="1:4" x14ac:dyDescent="0.2">
      <c r="A2259" t="str">
        <f>"2258"</f>
        <v>2258</v>
      </c>
      <c r="B2259" t="str">
        <f>"-0.31"</f>
        <v>-0.31</v>
      </c>
      <c r="C2259" t="str">
        <f>"21"</f>
        <v>21</v>
      </c>
      <c r="D2259" t="str">
        <f>"Love in the Fascist Brothel"</f>
        <v>Love in the Fascist Brothel</v>
      </c>
    </row>
    <row r="2260" spans="1:4" x14ac:dyDescent="0.2">
      <c r="A2260" t="str">
        <f>"2259"</f>
        <v>2259</v>
      </c>
      <c r="B2260" t="str">
        <f>"0.52"</f>
        <v>0.52</v>
      </c>
      <c r="C2260" t="str">
        <f>"27"</f>
        <v>27</v>
      </c>
      <c r="D2260" t="str">
        <f>"All the Plans Resting"</f>
        <v>All the Plans Resting</v>
      </c>
    </row>
    <row r="2261" spans="1:4" x14ac:dyDescent="0.2">
      <c r="A2261" t="str">
        <f>"2260"</f>
        <v>2260</v>
      </c>
      <c r="B2261" t="str">
        <f>"0.91"</f>
        <v>0.91</v>
      </c>
      <c r="C2261" t="str">
        <f>"24"</f>
        <v>24</v>
      </c>
      <c r="D2261" t="str">
        <f>"Sing Out America!"</f>
        <v>Sing Out America!</v>
      </c>
    </row>
    <row r="2262" spans="1:4" x14ac:dyDescent="0.2">
      <c r="A2262" t="str">
        <f>"2261"</f>
        <v>2261</v>
      </c>
      <c r="B2262" t="str">
        <f>"1.59"</f>
        <v>1.59</v>
      </c>
      <c r="C2262" t="str">
        <f>"42"</f>
        <v>42</v>
      </c>
      <c r="D2262" t="str">
        <f>"Silent Alarm"</f>
        <v>Silent Alarm</v>
      </c>
    </row>
    <row r="2263" spans="1:4" x14ac:dyDescent="0.2">
      <c r="A2263" t="str">
        <f>"2262"</f>
        <v>2262</v>
      </c>
      <c r="B2263" t="str">
        <f>"0.18"</f>
        <v>0.18</v>
      </c>
      <c r="C2263" t="str">
        <f>"23"</f>
        <v>23</v>
      </c>
      <c r="D2263" t="str">
        <f>"Gangstabilly"</f>
        <v>Gangstabilly</v>
      </c>
    </row>
    <row r="2264" spans="1:4" x14ac:dyDescent="0.2">
      <c r="A2264" t="str">
        <f>"2263"</f>
        <v>2263</v>
      </c>
      <c r="B2264" t="str">
        <f>"0.38"</f>
        <v>0.38</v>
      </c>
      <c r="C2264" t="str">
        <f>"27"</f>
        <v>27</v>
      </c>
      <c r="D2264" t="str">
        <f>"Take Fountain"</f>
        <v>Take Fountain</v>
      </c>
    </row>
    <row r="2265" spans="1:4" x14ac:dyDescent="0.2">
      <c r="A2265" t="str">
        <f>"2264"</f>
        <v>2264</v>
      </c>
      <c r="B2265" t="str">
        <f>"0.08"</f>
        <v>0.08</v>
      </c>
      <c r="C2265" t="str">
        <f>"21"</f>
        <v>21</v>
      </c>
      <c r="D2265" t="str">
        <f>"Hello Starling"</f>
        <v>Hello Starling</v>
      </c>
    </row>
    <row r="2266" spans="1:4" x14ac:dyDescent="0.2">
      <c r="A2266" t="str">
        <f>"2265"</f>
        <v>2265</v>
      </c>
      <c r="B2266" t="str">
        <f>"-1.06"</f>
        <v>-1.06</v>
      </c>
      <c r="C2266" t="str">
        <f>"25"</f>
        <v>25</v>
      </c>
      <c r="D2266" t="str">
        <f>"Bovine Rearrangement"</f>
        <v>Bovine Rearrangement</v>
      </c>
    </row>
    <row r="2267" spans="1:4" x14ac:dyDescent="0.2">
      <c r="A2267" t="str">
        <f>"2266"</f>
        <v>2266</v>
      </c>
      <c r="B2267" t="str">
        <f>"0.48"</f>
        <v>0.48</v>
      </c>
      <c r="C2267" t="str">
        <f>"14"</f>
        <v>14</v>
      </c>
      <c r="D2267" t="str">
        <f>"Inside of Emptiness"</f>
        <v>Inside of Emptiness</v>
      </c>
    </row>
    <row r="2268" spans="1:4" x14ac:dyDescent="0.2">
      <c r="A2268" t="str">
        <f>"2267"</f>
        <v>2267</v>
      </c>
      <c r="B2268" t="str">
        <f>"0.98"</f>
        <v>0.98</v>
      </c>
      <c r="C2268" t="str">
        <f>"41"</f>
        <v>41</v>
      </c>
      <c r="D2268" t="str">
        <f>"2"</f>
        <v>2</v>
      </c>
    </row>
    <row r="2269" spans="1:4" x14ac:dyDescent="0.2">
      <c r="A2269" t="str">
        <f>"2268"</f>
        <v>2268</v>
      </c>
      <c r="B2269" t="str">
        <f>"0.35"</f>
        <v>0.35</v>
      </c>
      <c r="C2269" t="str">
        <f>"35"</f>
        <v>35</v>
      </c>
      <c r="D2269" t="str">
        <f>"The Great Santa Barbara Oil Slick"</f>
        <v>The Great Santa Barbara Oil Slick</v>
      </c>
    </row>
    <row r="2270" spans="1:4" x14ac:dyDescent="0.2">
      <c r="A2270" t="str">
        <f>"2269"</f>
        <v>2269</v>
      </c>
      <c r="B2270" t="str">
        <f>"1.46"</f>
        <v>1.46</v>
      </c>
      <c r="C2270" t="str">
        <f>"15"</f>
        <v>15</v>
      </c>
      <c r="D2270" t="str">
        <f>"The Earth Is Blue"</f>
        <v>The Earth Is Blue</v>
      </c>
    </row>
    <row r="2271" spans="1:4" x14ac:dyDescent="0.2">
      <c r="A2271" t="str">
        <f>"2270"</f>
        <v>2270</v>
      </c>
      <c r="B2271" t="str">
        <f>"0.63"</f>
        <v>0.63</v>
      </c>
      <c r="C2271" t="str">
        <f>"29"</f>
        <v>29</v>
      </c>
      <c r="D2271" t="str">
        <f>"Different Days"</f>
        <v>Different Days</v>
      </c>
    </row>
    <row r="2272" spans="1:4" x14ac:dyDescent="0.2">
      <c r="A2272" t="str">
        <f>"2271"</f>
        <v>2271</v>
      </c>
      <c r="B2272" t="str">
        <f>"-0.02"</f>
        <v>-0.02</v>
      </c>
      <c r="C2272" t="str">
        <f>"41"</f>
        <v>41</v>
      </c>
      <c r="D2272" t="str">
        <f>"Run the Road"</f>
        <v>Run the Road</v>
      </c>
    </row>
    <row r="2273" spans="1:4" x14ac:dyDescent="0.2">
      <c r="A2273" t="str">
        <f>"2272"</f>
        <v>2272</v>
      </c>
      <c r="B2273" t="str">
        <f>"0.97"</f>
        <v>0.97</v>
      </c>
      <c r="C2273" t="str">
        <f>"30"</f>
        <v>30</v>
      </c>
      <c r="D2273" t="str">
        <f>"I Am a Bird Now"</f>
        <v>I Am a Bird Now</v>
      </c>
    </row>
    <row r="2274" spans="1:4" x14ac:dyDescent="0.2">
      <c r="A2274" t="str">
        <f>"2273"</f>
        <v>2273</v>
      </c>
      <c r="B2274" t="str">
        <f>"-1.01"</f>
        <v>-1.01</v>
      </c>
      <c r="C2274" t="str">
        <f>"34"</f>
        <v>34</v>
      </c>
      <c r="D2274" t="str">
        <f>"A Healthy Distrust"</f>
        <v>A Healthy Distrust</v>
      </c>
    </row>
    <row r="2275" spans="1:4" x14ac:dyDescent="0.2">
      <c r="A2275" t="str">
        <f>"2274"</f>
        <v>2274</v>
      </c>
      <c r="B2275" t="str">
        <f>"0.22"</f>
        <v>0.22</v>
      </c>
      <c r="C2275" t="str">
        <f>"11"</f>
        <v>11</v>
      </c>
      <c r="D2275" t="str">
        <f>"Horn of Plenty"</f>
        <v>Horn of Plenty</v>
      </c>
    </row>
    <row r="2276" spans="1:4" x14ac:dyDescent="0.2">
      <c r="A2276" t="str">
        <f>"2275"</f>
        <v>2275</v>
      </c>
      <c r="B2276" t="str">
        <f>"-1.09"</f>
        <v>-1.09</v>
      </c>
      <c r="C2276" t="str">
        <f>"17"</f>
        <v>17</v>
      </c>
      <c r="D2276" t="str">
        <f>"I Am Kloot"</f>
        <v>I Am Kloot</v>
      </c>
    </row>
    <row r="2277" spans="1:4" x14ac:dyDescent="0.2">
      <c r="A2277" t="str">
        <f>"2276"</f>
        <v>2276</v>
      </c>
      <c r="B2277" t="str">
        <f>"-0.71"</f>
        <v>-0.71</v>
      </c>
      <c r="C2277" t="str">
        <f>"27"</f>
        <v>27</v>
      </c>
      <c r="D2277" t="str">
        <f>"Winnipeg Is a Frozen Shithole"</f>
        <v>Winnipeg Is a Frozen Shithole</v>
      </c>
    </row>
    <row r="2278" spans="1:4" x14ac:dyDescent="0.2">
      <c r="A2278" t="str">
        <f>"2277"</f>
        <v>2277</v>
      </c>
      <c r="B2278" t="str">
        <f>"0.41"</f>
        <v>0.41</v>
      </c>
      <c r="C2278" t="str">
        <f>"41"</f>
        <v>41</v>
      </c>
      <c r="D2278" t="str">
        <f>"School of the Flower"</f>
        <v>School of the Flower</v>
      </c>
    </row>
    <row r="2279" spans="1:4" x14ac:dyDescent="0.2">
      <c r="A2279" t="str">
        <f>"2278"</f>
        <v>2278</v>
      </c>
      <c r="B2279" t="str">
        <f>"0.46"</f>
        <v>0.46</v>
      </c>
      <c r="C2279" t="str">
        <f>"12"</f>
        <v>12</v>
      </c>
      <c r="D2279" t="str">
        <f>"Joji"</f>
        <v>Joji</v>
      </c>
    </row>
    <row r="2280" spans="1:4" x14ac:dyDescent="0.2">
      <c r="A2280" t="str">
        <f>"2279"</f>
        <v>2279</v>
      </c>
      <c r="B2280" t="str">
        <f>"-0.23"</f>
        <v>-0.23</v>
      </c>
      <c r="C2280" t="str">
        <f>"17"</f>
        <v>17</v>
      </c>
      <c r="D2280" t="str">
        <f>"Triple Your Work Force"</f>
        <v>Triple Your Work Force</v>
      </c>
    </row>
    <row r="2281" spans="1:4" x14ac:dyDescent="0.2">
      <c r="A2281" t="str">
        <f>"2280"</f>
        <v>2280</v>
      </c>
      <c r="B2281" t="str">
        <f>"0.75"</f>
        <v>0.75</v>
      </c>
      <c r="C2281" t="str">
        <f>"20"</f>
        <v>20</v>
      </c>
      <c r="D2281" t="str">
        <f>"Horus"</f>
        <v>Horus</v>
      </c>
    </row>
    <row r="2282" spans="1:4" x14ac:dyDescent="0.2">
      <c r="A2282" t="str">
        <f>"2281"</f>
        <v>2281</v>
      </c>
      <c r="B2282" t="str">
        <f>"0.28"</f>
        <v>0.28</v>
      </c>
      <c r="C2282" t="str">
        <f>"23"</f>
        <v>23</v>
      </c>
      <c r="D2282" t="str">
        <f>"Do the Bambi"</f>
        <v>Do the Bambi</v>
      </c>
    </row>
    <row r="2283" spans="1:4" x14ac:dyDescent="0.2">
      <c r="A2283" t="str">
        <f>"2282"</f>
        <v>2282</v>
      </c>
      <c r="B2283" t="str">
        <f>"-0.98"</f>
        <v>-0.98</v>
      </c>
      <c r="C2283" t="str">
        <f>"30"</f>
        <v>30</v>
      </c>
      <c r="D2283" t="str">
        <f>"Anarchy In Paris!"</f>
        <v>Anarchy In Paris!</v>
      </c>
    </row>
    <row r="2284" spans="1:4" x14ac:dyDescent="0.2">
      <c r="A2284" t="str">
        <f>"2283"</f>
        <v>2283</v>
      </c>
      <c r="B2284" t="str">
        <f>"0.71"</f>
        <v>0.71</v>
      </c>
      <c r="C2284" t="str">
        <f>"29"</f>
        <v>29</v>
      </c>
      <c r="D2284" t="str">
        <f>"Hurry Up and Wait"</f>
        <v>Hurry Up and Wait</v>
      </c>
    </row>
    <row r="2285" spans="1:4" x14ac:dyDescent="0.2">
      <c r="A2285" t="str">
        <f>"2284"</f>
        <v>2284</v>
      </c>
      <c r="B2285" t="str">
        <f>"-0.21"</f>
        <v>-0.21</v>
      </c>
      <c r="C2285" t="str">
        <f>"30"</f>
        <v>30</v>
      </c>
      <c r="D2285" t="str">
        <f>"Headshots: Se7en"</f>
        <v>Headshots: Se7en</v>
      </c>
    </row>
    <row r="2286" spans="1:4" x14ac:dyDescent="0.2">
      <c r="A2286" t="str">
        <f>"2285"</f>
        <v>2285</v>
      </c>
      <c r="B2286" t="str">
        <f>"0"</f>
        <v>0</v>
      </c>
      <c r="C2286" t="str">
        <f>"14"</f>
        <v>14</v>
      </c>
      <c r="D2286" t="str">
        <f>"Attagirl"</f>
        <v>Attagirl</v>
      </c>
    </row>
    <row r="2287" spans="1:4" x14ac:dyDescent="0.2">
      <c r="A2287" t="str">
        <f>"2286"</f>
        <v>2286</v>
      </c>
      <c r="B2287" t="str">
        <f>"-1.25"</f>
        <v>-1.25</v>
      </c>
      <c r="C2287" t="str">
        <f>"35"</f>
        <v>35</v>
      </c>
      <c r="D2287" t="str">
        <f>"Out of Breach (Manchester's Revenge)"</f>
        <v>Out of Breach (Manchester's Revenge)</v>
      </c>
    </row>
    <row r="2288" spans="1:4" x14ac:dyDescent="0.2">
      <c r="A2288" t="str">
        <f>"2287"</f>
        <v>2287</v>
      </c>
      <c r="B2288" t="str">
        <f>"0.1"</f>
        <v>0.1</v>
      </c>
      <c r="C2288" t="str">
        <f>"51"</f>
        <v>51</v>
      </c>
      <c r="D2288" t="str">
        <f>"Yr Atal Genhedlaeth"</f>
        <v>Yr Atal Genhedlaeth</v>
      </c>
    </row>
    <row r="2289" spans="1:4" x14ac:dyDescent="0.2">
      <c r="A2289" t="str">
        <f>"2288"</f>
        <v>2288</v>
      </c>
      <c r="B2289" t="str">
        <f>"-0.22"</f>
        <v>-0.22</v>
      </c>
      <c r="C2289" t="str">
        <f>"24"</f>
        <v>24</v>
      </c>
      <c r="D2289" t="str">
        <f>"Blessed Black Wings"</f>
        <v>Blessed Black Wings</v>
      </c>
    </row>
    <row r="2290" spans="1:4" x14ac:dyDescent="0.2">
      <c r="A2290" t="str">
        <f>"2289"</f>
        <v>2289</v>
      </c>
      <c r="B2290" t="str">
        <f>"-1.05"</f>
        <v>-1.05</v>
      </c>
      <c r="C2290" t="str">
        <f>"16"</f>
        <v>16</v>
      </c>
      <c r="D2290" t="str">
        <f>"La Merde et Les Etoiles"</f>
        <v>La Merde et Les Etoiles</v>
      </c>
    </row>
    <row r="2291" spans="1:4" x14ac:dyDescent="0.2">
      <c r="A2291" t="str">
        <f>"2290"</f>
        <v>2290</v>
      </c>
      <c r="B2291" t="str">
        <f>"-0.65"</f>
        <v>-0.65</v>
      </c>
      <c r="C2291" t="str">
        <f>"28"</f>
        <v>28</v>
      </c>
      <c r="D2291" t="s">
        <v>67</v>
      </c>
    </row>
    <row r="2292" spans="1:4" x14ac:dyDescent="0.2">
      <c r="A2292" t="str">
        <f>"2291"</f>
        <v>2291</v>
      </c>
      <c r="B2292" t="str">
        <f>"-0.32"</f>
        <v>-0.32</v>
      </c>
      <c r="C2292" t="str">
        <f>"57"</f>
        <v>57</v>
      </c>
      <c r="D2292" t="str">
        <f>"We Will Become Silhouettes EP"</f>
        <v>We Will Become Silhouettes EP</v>
      </c>
    </row>
    <row r="2293" spans="1:4" x14ac:dyDescent="0.2">
      <c r="A2293" t="str">
        <f>"2292"</f>
        <v>2292</v>
      </c>
      <c r="B2293" t="str">
        <f>"-0.13"</f>
        <v>-0.13</v>
      </c>
      <c r="C2293" t="str">
        <f>"20"</f>
        <v>20</v>
      </c>
      <c r="D2293" t="str">
        <f>"Nobody's Listening/Nobody's Watching"</f>
        <v>Nobody's Listening/Nobody's Watching</v>
      </c>
    </row>
    <row r="2294" spans="1:4" x14ac:dyDescent="0.2">
      <c r="A2294" t="str">
        <f>"2293"</f>
        <v>2293</v>
      </c>
      <c r="B2294" t="str">
        <f>"0.34"</f>
        <v>0.34</v>
      </c>
      <c r="C2294" t="str">
        <f>"18"</f>
        <v>18</v>
      </c>
      <c r="D2294" t="str">
        <f>"Bleeding Light"</f>
        <v>Bleeding Light</v>
      </c>
    </row>
    <row r="2295" spans="1:4" x14ac:dyDescent="0.2">
      <c r="A2295" t="str">
        <f>"2294"</f>
        <v>2294</v>
      </c>
      <c r="B2295" t="str">
        <f>"-0.13"</f>
        <v>-0.13</v>
      </c>
      <c r="C2295" t="str">
        <f>"13"</f>
        <v>13</v>
      </c>
      <c r="D2295" t="str">
        <f>"Silizium EP"</f>
        <v>Silizium EP</v>
      </c>
    </row>
    <row r="2296" spans="1:4" x14ac:dyDescent="0.2">
      <c r="A2296" t="str">
        <f>"2295"</f>
        <v>2295</v>
      </c>
      <c r="B2296" t="str">
        <f>"0.92"</f>
        <v>0.92</v>
      </c>
      <c r="C2296" t="str">
        <f>"19"</f>
        <v>19</v>
      </c>
      <c r="D2296" t="str">
        <f>"The Hate Yourself Change"</f>
        <v>The Hate Yourself Change</v>
      </c>
    </row>
    <row r="2297" spans="1:4" x14ac:dyDescent="0.2">
      <c r="A2297" t="str">
        <f>"2296"</f>
        <v>2296</v>
      </c>
      <c r="B2297" t="str">
        <f>"0.9"</f>
        <v>0.9</v>
      </c>
      <c r="C2297" t="str">
        <f>"25"</f>
        <v>25</v>
      </c>
      <c r="D2297" t="str">
        <f>"Push the Button"</f>
        <v>Push the Button</v>
      </c>
    </row>
    <row r="2298" spans="1:4" x14ac:dyDescent="0.2">
      <c r="A2298" t="str">
        <f>"2297"</f>
        <v>2297</v>
      </c>
      <c r="B2298" t="str">
        <f>"0.26"</f>
        <v>0.26</v>
      </c>
      <c r="C2298" t="str">
        <f>"21"</f>
        <v>21</v>
      </c>
      <c r="D2298" t="str">
        <f>"Opencast Heart EP"</f>
        <v>Opencast Heart EP</v>
      </c>
    </row>
    <row r="2299" spans="1:4" x14ac:dyDescent="0.2">
      <c r="A2299" t="str">
        <f>"2298"</f>
        <v>2298</v>
      </c>
      <c r="B2299" t="str">
        <f>"0.55"</f>
        <v>0.55</v>
      </c>
      <c r="C2299" t="str">
        <f>"19"</f>
        <v>19</v>
      </c>
      <c r="D2299" t="str">
        <f>"Blue Eyed in the Red Room"</f>
        <v>Blue Eyed in the Red Room</v>
      </c>
    </row>
    <row r="2300" spans="1:4" x14ac:dyDescent="0.2">
      <c r="A2300" t="str">
        <f>"2299"</f>
        <v>2299</v>
      </c>
      <c r="B2300" t="str">
        <f>"-0.5"</f>
        <v>-0.5</v>
      </c>
      <c r="C2300" t="str">
        <f>"23"</f>
        <v>23</v>
      </c>
      <c r="D2300" t="str">
        <f>"Kling Klang"</f>
        <v>Kling Klang</v>
      </c>
    </row>
    <row r="2301" spans="1:4" x14ac:dyDescent="0.2">
      <c r="A2301" t="str">
        <f>"2300"</f>
        <v>2300</v>
      </c>
      <c r="B2301" t="str">
        <f>"-0.78"</f>
        <v>-0.78</v>
      </c>
      <c r="C2301" t="str">
        <f>"21"</f>
        <v>21</v>
      </c>
      <c r="D2301" t="str">
        <f>"Tourist"</f>
        <v>Tourist</v>
      </c>
    </row>
    <row r="2302" spans="1:4" x14ac:dyDescent="0.2">
      <c r="A2302" t="str">
        <f>"2301"</f>
        <v>2301</v>
      </c>
      <c r="B2302" t="str">
        <f>"0.65"</f>
        <v>0.65</v>
      </c>
      <c r="C2302" t="str">
        <f>"32"</f>
        <v>32</v>
      </c>
      <c r="D2302" t="str">
        <f>"LCD Soundsystem"</f>
        <v>LCD Soundsystem</v>
      </c>
    </row>
    <row r="2303" spans="1:4" x14ac:dyDescent="0.2">
      <c r="A2303" t="str">
        <f>"2302"</f>
        <v>2302</v>
      </c>
      <c r="B2303" t="str">
        <f>"1.55"</f>
        <v>1.55</v>
      </c>
      <c r="C2303" t="str">
        <f>"22"</f>
        <v>22</v>
      </c>
      <c r="D2303" t="str">
        <f>"A Question of Temperature"</f>
        <v>A Question of Temperature</v>
      </c>
    </row>
    <row r="2304" spans="1:4" x14ac:dyDescent="0.2">
      <c r="A2304" t="str">
        <f>"2303"</f>
        <v>2303</v>
      </c>
      <c r="B2304" t="str">
        <f>"0.88"</f>
        <v>0.88</v>
      </c>
      <c r="C2304" t="str">
        <f>"14"</f>
        <v>14</v>
      </c>
      <c r="D2304" t="str">
        <f>"Close Selections"</f>
        <v>Close Selections</v>
      </c>
    </row>
    <row r="2305" spans="1:4" x14ac:dyDescent="0.2">
      <c r="A2305" t="str">
        <f>"2304"</f>
        <v>2304</v>
      </c>
      <c r="B2305" t="str">
        <f>"-0.46"</f>
        <v>-0.46</v>
      </c>
      <c r="C2305" t="str">
        <f>"32"</f>
        <v>32</v>
      </c>
      <c r="D2305" t="str">
        <f>"Tom Clancy's Splinter Cell: Chaos Theory OST"</f>
        <v>Tom Clancy's Splinter Cell: Chaos Theory OST</v>
      </c>
    </row>
    <row r="2306" spans="1:4" x14ac:dyDescent="0.2">
      <c r="A2306" t="str">
        <f>"2305"</f>
        <v>2305</v>
      </c>
      <c r="B2306" t="str">
        <f>"0.48"</f>
        <v>0.48</v>
      </c>
      <c r="C2306" t="str">
        <f>"40"</f>
        <v>40</v>
      </c>
      <c r="D2306" t="str">
        <f>"Sweetheart 2005"</f>
        <v>Sweetheart 2005</v>
      </c>
    </row>
    <row r="2307" spans="1:4" x14ac:dyDescent="0.2">
      <c r="A2307" t="str">
        <f>"2306"</f>
        <v>2306</v>
      </c>
      <c r="B2307" t="str">
        <f>"0.03"</f>
        <v>0.03</v>
      </c>
      <c r="C2307" t="str">
        <f>"26"</f>
        <v>26</v>
      </c>
      <c r="D2307" t="str">
        <f>"Blondie"</f>
        <v>Blondie</v>
      </c>
    </row>
    <row r="2308" spans="1:4" x14ac:dyDescent="0.2">
      <c r="A2308" t="str">
        <f>"2307"</f>
        <v>2307</v>
      </c>
      <c r="B2308" t="str">
        <f>"0.85"</f>
        <v>0.85</v>
      </c>
      <c r="C2308" t="str">
        <f>"14"</f>
        <v>14</v>
      </c>
      <c r="D2308" t="str">
        <f>"Constant Lover EP"</f>
        <v>Constant Lover EP</v>
      </c>
    </row>
    <row r="2309" spans="1:4" x14ac:dyDescent="0.2">
      <c r="A2309" t="str">
        <f>"2308"</f>
        <v>2308</v>
      </c>
      <c r="B2309" t="str">
        <f>"-0.25"</f>
        <v>-0.25</v>
      </c>
      <c r="C2309" t="str">
        <f>"13"</f>
        <v>13</v>
      </c>
      <c r="D2309" t="str">
        <f>"The Bodyshop"</f>
        <v>The Bodyshop</v>
      </c>
    </row>
    <row r="2310" spans="1:4" x14ac:dyDescent="0.2">
      <c r="A2310" t="str">
        <f>"2309"</f>
        <v>2309</v>
      </c>
      <c r="B2310" t="str">
        <f>"-1.25"</f>
        <v>-1.25</v>
      </c>
      <c r="C2310" t="str">
        <f>"19"</f>
        <v>19</v>
      </c>
      <c r="D2310" t="str">
        <f>"Peanut Butter and Jelly Live at the Ginger Minge"</f>
        <v>Peanut Butter and Jelly Live at the Ginger Minge</v>
      </c>
    </row>
    <row r="2311" spans="1:4" x14ac:dyDescent="0.2">
      <c r="A2311" t="str">
        <f>"2310"</f>
        <v>2310</v>
      </c>
      <c r="B2311" t="str">
        <f>"-0.66"</f>
        <v>-0.66</v>
      </c>
      <c r="C2311" t="str">
        <f>"30"</f>
        <v>30</v>
      </c>
      <c r="D2311" t="str">
        <f>"Burn the Maps"</f>
        <v>Burn the Maps</v>
      </c>
    </row>
    <row r="2312" spans="1:4" x14ac:dyDescent="0.2">
      <c r="A2312" t="str">
        <f>"2311"</f>
        <v>2311</v>
      </c>
      <c r="B2312" t="str">
        <f>"-0.26"</f>
        <v>-0.26</v>
      </c>
      <c r="C2312" t="str">
        <f>"100"</f>
        <v>100</v>
      </c>
      <c r="D2312" t="str">
        <f>"Starship Galactica"</f>
        <v>Starship Galactica</v>
      </c>
    </row>
    <row r="2313" spans="1:4" x14ac:dyDescent="0.2">
      <c r="A2313" t="str">
        <f>"2312"</f>
        <v>2312</v>
      </c>
      <c r="B2313" t="str">
        <f>"0.4"</f>
        <v>0.4</v>
      </c>
      <c r="C2313" t="str">
        <f>"18"</f>
        <v>18</v>
      </c>
      <c r="D2313" t="str">
        <f>"Superwolf"</f>
        <v>Superwolf</v>
      </c>
    </row>
    <row r="2314" spans="1:4" x14ac:dyDescent="0.2">
      <c r="A2314" t="str">
        <f>"2313"</f>
        <v>2313</v>
      </c>
      <c r="B2314" t="str">
        <f>"0.35"</f>
        <v>0.35</v>
      </c>
      <c r="C2314" t="str">
        <f>"31"</f>
        <v>31</v>
      </c>
      <c r="D2314" t="str">
        <f>"Trials &amp; Errors"</f>
        <v>Trials &amp; Errors</v>
      </c>
    </row>
    <row r="2315" spans="1:4" x14ac:dyDescent="0.2">
      <c r="A2315" t="str">
        <f>"2314"</f>
        <v>2314</v>
      </c>
      <c r="B2315" t="str">
        <f>"-0.66"</f>
        <v>-0.66</v>
      </c>
      <c r="C2315" t="str">
        <f>"57"</f>
        <v>57</v>
      </c>
      <c r="D2315" t="str">
        <f>"We Should Have Never Lived Like We Were Skyscrapers"</f>
        <v>We Should Have Never Lived Like We Were Skyscrapers</v>
      </c>
    </row>
    <row r="2316" spans="1:4" x14ac:dyDescent="0.2">
      <c r="A2316" t="str">
        <f>"2315"</f>
        <v>2315</v>
      </c>
      <c r="B2316" t="str">
        <f>"1.2"</f>
        <v>1.2</v>
      </c>
      <c r="C2316" t="str">
        <f>"31"</f>
        <v>31</v>
      </c>
      <c r="D2316" t="str">
        <f>"Where the Humans Eat"</f>
        <v>Where the Humans Eat</v>
      </c>
    </row>
    <row r="2317" spans="1:4" x14ac:dyDescent="0.2">
      <c r="A2317" t="str">
        <f>"2316"</f>
        <v>2316</v>
      </c>
      <c r="B2317" t="str">
        <f>"-0.35"</f>
        <v>-0.35</v>
      </c>
      <c r="C2317" t="str">
        <f>"22"</f>
        <v>22</v>
      </c>
      <c r="D2317" t="str">
        <f>"PREfection"</f>
        <v>PREfection</v>
      </c>
    </row>
    <row r="2318" spans="1:4" x14ac:dyDescent="0.2">
      <c r="A2318" t="str">
        <f>"2317"</f>
        <v>2317</v>
      </c>
      <c r="B2318" t="str">
        <f>"-0.61"</f>
        <v>-0.61</v>
      </c>
      <c r="C2318" t="str">
        <f>"79"</f>
        <v>79</v>
      </c>
      <c r="D2318" t="str">
        <f>"Songbook: The Singles Volume One"</f>
        <v>Songbook: The Singles Volume One</v>
      </c>
    </row>
    <row r="2319" spans="1:4" x14ac:dyDescent="0.2">
      <c r="A2319" t="str">
        <f>"2318"</f>
        <v>2318</v>
      </c>
      <c r="B2319" t="str">
        <f>"0.25"</f>
        <v>0.25</v>
      </c>
      <c r="C2319" t="str">
        <f>"16"</f>
        <v>16</v>
      </c>
      <c r="D2319" t="str">
        <f>"Thieves EP"</f>
        <v>Thieves EP</v>
      </c>
    </row>
    <row r="2320" spans="1:4" x14ac:dyDescent="0.2">
      <c r="A2320" t="str">
        <f>"2319"</f>
        <v>2319</v>
      </c>
      <c r="B2320" t="str">
        <f>"0.31"</f>
        <v>0.31</v>
      </c>
      <c r="C2320" t="str">
        <f>"21"</f>
        <v>21</v>
      </c>
      <c r="D2320" t="str">
        <f>"Negrophilia"</f>
        <v>Negrophilia</v>
      </c>
    </row>
    <row r="2321" spans="1:4" x14ac:dyDescent="0.2">
      <c r="A2321" t="str">
        <f>"2320"</f>
        <v>2320</v>
      </c>
      <c r="B2321" t="str">
        <f>"-0.52"</f>
        <v>-0.52</v>
      </c>
      <c r="C2321" t="str">
        <f>"29"</f>
        <v>29</v>
      </c>
      <c r="D2321" t="str">
        <f>"Very Pleasure"</f>
        <v>Very Pleasure</v>
      </c>
    </row>
    <row r="2322" spans="1:4" x14ac:dyDescent="0.2">
      <c r="A2322" t="str">
        <f>"2321"</f>
        <v>2321</v>
      </c>
      <c r="B2322" t="str">
        <f>"-0.04"</f>
        <v>-0.04</v>
      </c>
      <c r="C2322" t="str">
        <f>"35"</f>
        <v>35</v>
      </c>
      <c r="D2322" t="str">
        <f>"Analord 1"</f>
        <v>Analord 1</v>
      </c>
    </row>
    <row r="2323" spans="1:4" x14ac:dyDescent="0.2">
      <c r="A2323" t="str">
        <f>"2322"</f>
        <v>2322</v>
      </c>
      <c r="B2323" t="str">
        <f>"-0.51"</f>
        <v>-0.51</v>
      </c>
      <c r="C2323" t="str">
        <f>"29"</f>
        <v>29</v>
      </c>
      <c r="D2323" t="str">
        <f>"The Visible Sign of the Invisible Order"</f>
        <v>The Visible Sign of the Invisible Order</v>
      </c>
    </row>
    <row r="2324" spans="1:4" x14ac:dyDescent="0.2">
      <c r="A2324" t="str">
        <f>"2323"</f>
        <v>2323</v>
      </c>
      <c r="B2324" t="str">
        <f>"0.13"</f>
        <v>0.13</v>
      </c>
      <c r="C2324" t="str">
        <f>"15"</f>
        <v>15</v>
      </c>
      <c r="D2324" t="str">
        <f>"Notorious Lightning and Other Works EP"</f>
        <v>Notorious Lightning and Other Works EP</v>
      </c>
    </row>
    <row r="2325" spans="1:4" x14ac:dyDescent="0.2">
      <c r="A2325" t="str">
        <f>"2324"</f>
        <v>2324</v>
      </c>
      <c r="B2325" t="str">
        <f>"0.09"</f>
        <v>0.09</v>
      </c>
      <c r="C2325" t="str">
        <f>"60"</f>
        <v>60</v>
      </c>
      <c r="D2325" t="str">
        <f>"Sings Morrissey EP"</f>
        <v>Sings Morrissey EP</v>
      </c>
    </row>
    <row r="2326" spans="1:4" x14ac:dyDescent="0.2">
      <c r="A2326" t="str">
        <f>"2325"</f>
        <v>2325</v>
      </c>
      <c r="B2326" t="str">
        <f>"-0.67"</f>
        <v>-0.67</v>
      </c>
      <c r="C2326" t="str">
        <f>"18"</f>
        <v>18</v>
      </c>
      <c r="D2326" t="str">
        <f>"Origin 1"</f>
        <v>Origin 1</v>
      </c>
    </row>
    <row r="2327" spans="1:4" x14ac:dyDescent="0.2">
      <c r="A2327" t="str">
        <f>"2326"</f>
        <v>2326</v>
      </c>
      <c r="B2327" t="str">
        <f>"-0.19"</f>
        <v>-0.19</v>
      </c>
      <c r="C2327" t="str">
        <f>"48"</f>
        <v>48</v>
      </c>
      <c r="D2327" t="str">
        <f>"The Great Destroyer"</f>
        <v>The Great Destroyer</v>
      </c>
    </row>
    <row r="2328" spans="1:4" x14ac:dyDescent="0.2">
      <c r="A2328" t="str">
        <f>"2327"</f>
        <v>2327</v>
      </c>
      <c r="B2328" t="str">
        <f>"0.39"</f>
        <v>0.39</v>
      </c>
      <c r="C2328" t="str">
        <f>"29"</f>
        <v>29</v>
      </c>
      <c r="D2328" t="str">
        <f>"Before the Dawn Heals Us"</f>
        <v>Before the Dawn Heals Us</v>
      </c>
    </row>
    <row r="2329" spans="1:4" x14ac:dyDescent="0.2">
      <c r="A2329" t="str">
        <f>"2328"</f>
        <v>2328</v>
      </c>
      <c r="B2329" t="str">
        <f>"-0.79"</f>
        <v>-0.79</v>
      </c>
      <c r="C2329" t="str">
        <f>"25"</f>
        <v>25</v>
      </c>
      <c r="D2329" t="str">
        <f>"Purple Haze"</f>
        <v>Purple Haze</v>
      </c>
    </row>
    <row r="2330" spans="1:4" x14ac:dyDescent="0.2">
      <c r="A2330" t="str">
        <f>"2329"</f>
        <v>2329</v>
      </c>
      <c r="B2330" t="str">
        <f>"0.18"</f>
        <v>0.18</v>
      </c>
      <c r="C2330" t="str">
        <f>"17"</f>
        <v>17</v>
      </c>
      <c r="D2330" t="str">
        <f>"A Way of Life"</f>
        <v>A Way of Life</v>
      </c>
    </row>
    <row r="2331" spans="1:4" x14ac:dyDescent="0.2">
      <c r="A2331" t="str">
        <f>"2330"</f>
        <v>2330</v>
      </c>
      <c r="B2331" t="str">
        <f>"-0.31"</f>
        <v>-0.31</v>
      </c>
      <c r="C2331" t="str">
        <f>"19"</f>
        <v>19</v>
      </c>
      <c r="D2331" t="str">
        <f>"I Sold Gold"</f>
        <v>I Sold Gold</v>
      </c>
    </row>
    <row r="2332" spans="1:4" x14ac:dyDescent="0.2">
      <c r="A2332" t="str">
        <f>"2331"</f>
        <v>2331</v>
      </c>
      <c r="B2332" t="str">
        <f>"0.88"</f>
        <v>0.88</v>
      </c>
      <c r="C2332" t="str">
        <f>"21"</f>
        <v>21</v>
      </c>
      <c r="D2332" t="str">
        <f>"Touch"</f>
        <v>Touch</v>
      </c>
    </row>
    <row r="2333" spans="1:4" x14ac:dyDescent="0.2">
      <c r="A2333" t="str">
        <f>"2332"</f>
        <v>2332</v>
      </c>
      <c r="B2333" t="str">
        <f>"0"</f>
        <v>0</v>
      </c>
      <c r="C2333" t="str">
        <f>"27"</f>
        <v>27</v>
      </c>
      <c r="D2333" t="str">
        <f>"Eveningland"</f>
        <v>Eveningland</v>
      </c>
    </row>
    <row r="2334" spans="1:4" x14ac:dyDescent="0.2">
      <c r="A2334" t="str">
        <f>"2333"</f>
        <v>2333</v>
      </c>
      <c r="B2334" t="str">
        <f>"0.21"</f>
        <v>0.21</v>
      </c>
      <c r="C2334" t="str">
        <f>"40"</f>
        <v>40</v>
      </c>
      <c r="D2334" t="str">
        <f>"Emoh"</f>
        <v>Emoh</v>
      </c>
    </row>
    <row r="2335" spans="1:4" x14ac:dyDescent="0.2">
      <c r="A2335" t="str">
        <f>"2334"</f>
        <v>2334</v>
      </c>
      <c r="B2335" t="str">
        <f>"-1.38"</f>
        <v>-1.38</v>
      </c>
      <c r="C2335" t="str">
        <f>"22"</f>
        <v>22</v>
      </c>
      <c r="D2335" t="str">
        <f>"Girls of War"</f>
        <v>Girls of War</v>
      </c>
    </row>
    <row r="2336" spans="1:4" x14ac:dyDescent="0.2">
      <c r="A2336" t="str">
        <f>"2335"</f>
        <v>2335</v>
      </c>
      <c r="B2336" t="str">
        <f>"-0.82"</f>
        <v>-0.82</v>
      </c>
      <c r="C2336" t="str">
        <f>"65"</f>
        <v>65</v>
      </c>
      <c r="D2336" t="str">
        <f>"Worlds Apart"</f>
        <v>Worlds Apart</v>
      </c>
    </row>
    <row r="2337" spans="1:4" x14ac:dyDescent="0.2">
      <c r="A2337" t="str">
        <f>"2336"</f>
        <v>2336</v>
      </c>
      <c r="B2337" t="str">
        <f>"-0.56"</f>
        <v>-0.56</v>
      </c>
      <c r="C2337" t="str">
        <f>"22"</f>
        <v>22</v>
      </c>
      <c r="D2337" t="str">
        <f>"And the Black Moths Play the Grand Cinema"</f>
        <v>And the Black Moths Play the Grand Cinema</v>
      </c>
    </row>
    <row r="2338" spans="1:4" x14ac:dyDescent="0.2">
      <c r="A2338" t="str">
        <f>"2337"</f>
        <v>2337</v>
      </c>
      <c r="B2338" t="str">
        <f>"1.15"</f>
        <v>1.15</v>
      </c>
      <c r="C2338" t="str">
        <f>"29"</f>
        <v>29</v>
      </c>
      <c r="D2338" t="str">
        <f>"How to Kill the DJ [Part Two]"</f>
        <v>How to Kill the DJ [Part Two]</v>
      </c>
    </row>
    <row r="2339" spans="1:4" x14ac:dyDescent="0.2">
      <c r="A2339" t="str">
        <f>"2338"</f>
        <v>2338</v>
      </c>
      <c r="B2339" t="str">
        <f>"-0.36"</f>
        <v>-0.36</v>
      </c>
      <c r="C2339" t="str">
        <f>"20"</f>
        <v>20</v>
      </c>
      <c r="D2339" t="str">
        <f>"Naturally"</f>
        <v>Naturally</v>
      </c>
    </row>
    <row r="2340" spans="1:4" x14ac:dyDescent="0.2">
      <c r="A2340" t="str">
        <f>"2339"</f>
        <v>2339</v>
      </c>
      <c r="B2340" t="str">
        <f>"-0.38"</f>
        <v>-0.38</v>
      </c>
      <c r="C2340" t="str">
        <f>"56"</f>
        <v>56</v>
      </c>
      <c r="D2340" t="str">
        <f>"So Jealous"</f>
        <v>So Jealous</v>
      </c>
    </row>
    <row r="2341" spans="1:4" x14ac:dyDescent="0.2">
      <c r="A2341" t="str">
        <f>"2340"</f>
        <v>2340</v>
      </c>
      <c r="B2341" t="str">
        <f>"0.55"</f>
        <v>0.55</v>
      </c>
      <c r="C2341" t="str">
        <f>"35"</f>
        <v>35</v>
      </c>
      <c r="D2341" t="s">
        <v>68</v>
      </c>
    </row>
    <row r="2342" spans="1:4" x14ac:dyDescent="0.2">
      <c r="A2342" t="str">
        <f>"2341"</f>
        <v>2341</v>
      </c>
      <c r="B2342" t="str">
        <f>"-0.8"</f>
        <v>-0.8</v>
      </c>
      <c r="C2342" t="str">
        <f>"23"</f>
        <v>23</v>
      </c>
      <c r="D2342" t="str">
        <f>"Before the Poison"</f>
        <v>Before the Poison</v>
      </c>
    </row>
    <row r="2343" spans="1:4" x14ac:dyDescent="0.2">
      <c r="A2343" t="str">
        <f>"2342"</f>
        <v>2342</v>
      </c>
      <c r="B2343" t="str">
        <f>"-0.36"</f>
        <v>-0.36</v>
      </c>
      <c r="C2343" t="str">
        <f>"24"</f>
        <v>24</v>
      </c>
      <c r="D2343" t="str">
        <f>"Volume One: unIndian songs"</f>
        <v>Volume One: unIndian songs</v>
      </c>
    </row>
    <row r="2344" spans="1:4" x14ac:dyDescent="0.2">
      <c r="A2344" t="str">
        <f>"2343"</f>
        <v>2343</v>
      </c>
      <c r="B2344" t="str">
        <f>"0.36"</f>
        <v>0.36</v>
      </c>
      <c r="C2344" t="str">
        <f>"14"</f>
        <v>14</v>
      </c>
      <c r="D2344" t="str">
        <f>"This Right Here Is Buck 65"</f>
        <v>This Right Here Is Buck 65</v>
      </c>
    </row>
    <row r="2345" spans="1:4" x14ac:dyDescent="0.2">
      <c r="A2345" t="str">
        <f>"2344"</f>
        <v>2344</v>
      </c>
      <c r="B2345" t="str">
        <f>"-0.62"</f>
        <v>-0.62</v>
      </c>
      <c r="C2345" t="str">
        <f>"24"</f>
        <v>24</v>
      </c>
      <c r="D2345" t="str">
        <f>"All Harm Ends Here"</f>
        <v>All Harm Ends Here</v>
      </c>
    </row>
    <row r="2346" spans="1:4" x14ac:dyDescent="0.2">
      <c r="A2346" t="str">
        <f>"2345"</f>
        <v>2345</v>
      </c>
      <c r="B2346" t="str">
        <f>"0.46"</f>
        <v>0.46</v>
      </c>
      <c r="C2346" t="str">
        <f>"26"</f>
        <v>26</v>
      </c>
      <c r="D2346" t="str">
        <f>"Outside Closer"</f>
        <v>Outside Closer</v>
      </c>
    </row>
    <row r="2347" spans="1:4" x14ac:dyDescent="0.2">
      <c r="A2347" t="str">
        <f>"2346"</f>
        <v>2346</v>
      </c>
      <c r="B2347" t="str">
        <f>"0.14"</f>
        <v>0.14</v>
      </c>
      <c r="C2347" t="str">
        <f>"17"</f>
        <v>17</v>
      </c>
      <c r="D2347" t="str">
        <f>"Unclassics"</f>
        <v>Unclassics</v>
      </c>
    </row>
    <row r="2348" spans="1:4" x14ac:dyDescent="0.2">
      <c r="A2348" t="str">
        <f>"2347"</f>
        <v>2347</v>
      </c>
      <c r="B2348" t="str">
        <f>"0.12"</f>
        <v>0.12</v>
      </c>
      <c r="C2348" t="str">
        <f>"30"</f>
        <v>30</v>
      </c>
      <c r="D2348" t="str">
        <f>"Rvng Prsnts Mx3"</f>
        <v>Rvng Prsnts Mx3</v>
      </c>
    </row>
    <row r="2349" spans="1:4" x14ac:dyDescent="0.2">
      <c r="A2349" t="str">
        <f>"2348"</f>
        <v>2348</v>
      </c>
      <c r="B2349" t="str">
        <f>"1.03"</f>
        <v>1.03</v>
      </c>
      <c r="C2349" t="str">
        <f>"26"</f>
        <v>26</v>
      </c>
      <c r="D2349" t="str">
        <f>"The Surviving Elements: From the Soul Survivor II Sessions"</f>
        <v>The Surviving Elements: From the Soul Survivor II Sessions</v>
      </c>
    </row>
    <row r="2350" spans="1:4" x14ac:dyDescent="0.2">
      <c r="A2350" t="str">
        <f>"2349"</f>
        <v>2349</v>
      </c>
      <c r="B2350" t="str">
        <f>"-0.77"</f>
        <v>-0.77</v>
      </c>
      <c r="C2350" t="str">
        <f>"63"</f>
        <v>63</v>
      </c>
      <c r="D2350" t="str">
        <f>"Gemstones"</f>
        <v>Gemstones</v>
      </c>
    </row>
    <row r="2351" spans="1:4" x14ac:dyDescent="0.2">
      <c r="A2351" t="str">
        <f>"2350"</f>
        <v>2350</v>
      </c>
      <c r="B2351" t="str">
        <f>"-0.68"</f>
        <v>-0.68</v>
      </c>
      <c r="C2351" t="str">
        <f>"33"</f>
        <v>33</v>
      </c>
      <c r="D2351" t="str">
        <f>"Sunday Nights: The Songs of Junior Kimbrough"</f>
        <v>Sunday Nights: The Songs of Junior Kimbrough</v>
      </c>
    </row>
    <row r="2352" spans="1:4" x14ac:dyDescent="0.2">
      <c r="A2352" t="str">
        <f>"2351"</f>
        <v>2351</v>
      </c>
      <c r="B2352" t="str">
        <f>"-0.38"</f>
        <v>-0.38</v>
      </c>
      <c r="C2352" t="str">
        <f>"51"</f>
        <v>51</v>
      </c>
      <c r="D2352" t="str">
        <f>"The Complete Studio Recordings"</f>
        <v>The Complete Studio Recordings</v>
      </c>
    </row>
    <row r="2353" spans="1:4" x14ac:dyDescent="0.2">
      <c r="A2353" t="str">
        <f>"2352"</f>
        <v>2352</v>
      </c>
      <c r="B2353" t="str">
        <f>"0.46"</f>
        <v>0.46</v>
      </c>
      <c r="C2353" t="str">
        <f>"16"</f>
        <v>16</v>
      </c>
      <c r="D2353" t="str">
        <f>"Our Love Will Change the World"</f>
        <v>Our Love Will Change the World</v>
      </c>
    </row>
    <row r="2354" spans="1:4" x14ac:dyDescent="0.2">
      <c r="A2354" t="str">
        <f>"2353"</f>
        <v>2353</v>
      </c>
      <c r="B2354" t="str">
        <f>"0.75"</f>
        <v>0.75</v>
      </c>
      <c r="C2354" t="str">
        <f>"17"</f>
        <v>17</v>
      </c>
      <c r="D2354" t="str">
        <f>"The Relatives"</f>
        <v>The Relatives</v>
      </c>
    </row>
    <row r="2355" spans="1:4" x14ac:dyDescent="0.2">
      <c r="A2355" t="str">
        <f>"2354"</f>
        <v>2354</v>
      </c>
      <c r="B2355" t="str">
        <f>"0.01"</f>
        <v>0.01</v>
      </c>
      <c r="C2355" t="str">
        <f>"69"</f>
        <v>69</v>
      </c>
      <c r="D2355" t="str">
        <f>"Blasted"</f>
        <v>Blasted</v>
      </c>
    </row>
    <row r="2356" spans="1:4" x14ac:dyDescent="0.2">
      <c r="A2356" t="str">
        <f>"2355"</f>
        <v>2355</v>
      </c>
      <c r="B2356" t="str">
        <f>"0.51"</f>
        <v>0.51</v>
      </c>
      <c r="C2356" t="str">
        <f>"30"</f>
        <v>30</v>
      </c>
      <c r="D2356" t="str">
        <f>"Wilderness"</f>
        <v>Wilderness</v>
      </c>
    </row>
    <row r="2357" spans="1:4" x14ac:dyDescent="0.2">
      <c r="A2357" t="str">
        <f>"2356"</f>
        <v>2356</v>
      </c>
      <c r="B2357" t="str">
        <f>"-0.08"</f>
        <v>-0.08</v>
      </c>
      <c r="C2357" t="str">
        <f>"43"</f>
        <v>43</v>
      </c>
      <c r="D2357" t="str">
        <f>"The Documentary"</f>
        <v>The Documentary</v>
      </c>
    </row>
    <row r="2358" spans="1:4" x14ac:dyDescent="0.2">
      <c r="A2358" t="str">
        <f>"2357"</f>
        <v>2357</v>
      </c>
      <c r="B2358" t="str">
        <f>"-0.34"</f>
        <v>-0.34</v>
      </c>
      <c r="C2358" t="str">
        <f>"57"</f>
        <v>57</v>
      </c>
      <c r="D2358" t="str">
        <f>"Snapshot EP"</f>
        <v>Snapshot EP</v>
      </c>
    </row>
    <row r="2359" spans="1:4" x14ac:dyDescent="0.2">
      <c r="A2359" t="str">
        <f>"2358"</f>
        <v>2358</v>
      </c>
      <c r="B2359" t="str">
        <f>"-0.24"</f>
        <v>-0.24</v>
      </c>
      <c r="C2359" t="str">
        <f>"27"</f>
        <v>27</v>
      </c>
      <c r="D2359" t="str">
        <f>"Folkloric Feel"</f>
        <v>Folkloric Feel</v>
      </c>
    </row>
    <row r="2360" spans="1:4" x14ac:dyDescent="0.2">
      <c r="A2360" t="str">
        <f>"2359"</f>
        <v>2359</v>
      </c>
      <c r="B2360" t="str">
        <f>"-0.73"</f>
        <v>-0.73</v>
      </c>
      <c r="C2360" t="str">
        <f>"23"</f>
        <v>23</v>
      </c>
      <c r="D2360" t="str">
        <f>"Fuck Pete Larsen"</f>
        <v>Fuck Pete Larsen</v>
      </c>
    </row>
    <row r="2361" spans="1:4" x14ac:dyDescent="0.2">
      <c r="A2361" t="str">
        <f>"2360"</f>
        <v>2360</v>
      </c>
      <c r="B2361" t="str">
        <f>"-0.52"</f>
        <v>-0.52</v>
      </c>
      <c r="C2361" t="str">
        <f>"61"</f>
        <v>61</v>
      </c>
      <c r="D2361" t="str">
        <f>"Everyday Examples of Humans Facing Straight Into the Blow"</f>
        <v>Everyday Examples of Humans Facing Straight Into the Blow</v>
      </c>
    </row>
    <row r="2362" spans="1:4" x14ac:dyDescent="0.2">
      <c r="A2362" t="str">
        <f>"2361"</f>
        <v>2361</v>
      </c>
      <c r="B2362" t="str">
        <f>"-0.29"</f>
        <v>-0.29</v>
      </c>
      <c r="C2362" t="str">
        <f>"33"</f>
        <v>33</v>
      </c>
      <c r="D2362" t="str">
        <f>"The Holy Bible"</f>
        <v>The Holy Bible</v>
      </c>
    </row>
    <row r="2363" spans="1:4" x14ac:dyDescent="0.2">
      <c r="A2363" t="str">
        <f>"2362"</f>
        <v>2362</v>
      </c>
      <c r="B2363" t="str">
        <f>"-0.48"</f>
        <v>-0.48</v>
      </c>
      <c r="C2363" t="str">
        <f>"21"</f>
        <v>21</v>
      </c>
      <c r="D2363" t="str">
        <f>"Valende"</f>
        <v>Valende</v>
      </c>
    </row>
    <row r="2364" spans="1:4" x14ac:dyDescent="0.2">
      <c r="A2364" t="str">
        <f>"2363"</f>
        <v>2363</v>
      </c>
      <c r="B2364" t="str">
        <f>"0.37"</f>
        <v>0.37</v>
      </c>
      <c r="C2364" t="str">
        <f>"32"</f>
        <v>32</v>
      </c>
      <c r="D2364" t="str">
        <f>"Cypher Documents I"</f>
        <v>Cypher Documents I</v>
      </c>
    </row>
    <row r="2365" spans="1:4" x14ac:dyDescent="0.2">
      <c r="A2365" t="str">
        <f>"2364"</f>
        <v>2364</v>
      </c>
      <c r="B2365" t="str">
        <f>"0.48"</f>
        <v>0.48</v>
      </c>
      <c r="C2365" t="str">
        <f>"24"</f>
        <v>24</v>
      </c>
      <c r="D2365" t="str">
        <f>"Out of Nothing"</f>
        <v>Out of Nothing</v>
      </c>
    </row>
    <row r="2366" spans="1:4" x14ac:dyDescent="0.2">
      <c r="A2366" t="str">
        <f>"2365"</f>
        <v>2365</v>
      </c>
      <c r="B2366" t="str">
        <f>"0.65"</f>
        <v>0.65</v>
      </c>
      <c r="C2366" t="str">
        <f>"36"</f>
        <v>36</v>
      </c>
      <c r="D2366" t="str">
        <f>"Black Mountain"</f>
        <v>Black Mountain</v>
      </c>
    </row>
    <row r="2367" spans="1:4" x14ac:dyDescent="0.2">
      <c r="A2367" t="str">
        <f>"2366"</f>
        <v>2366</v>
      </c>
      <c r="B2367" t="str">
        <f>"0.74"</f>
        <v>0.74</v>
      </c>
      <c r="C2367" t="str">
        <f>"27"</f>
        <v>27</v>
      </c>
      <c r="D2367" t="str">
        <f>"Peace With Every Step"</f>
        <v>Peace With Every Step</v>
      </c>
    </row>
    <row r="2368" spans="1:4" x14ac:dyDescent="0.2">
      <c r="A2368" t="str">
        <f>"2367"</f>
        <v>2367</v>
      </c>
      <c r="B2368" t="str">
        <f>"-0.63"</f>
        <v>-0.63</v>
      </c>
      <c r="C2368" t="str">
        <f>"17"</f>
        <v>17</v>
      </c>
      <c r="D2368" t="str">
        <f>"Blood Is Trouble"</f>
        <v>Blood Is Trouble</v>
      </c>
    </row>
    <row r="2369" spans="1:4" x14ac:dyDescent="0.2">
      <c r="A2369" t="str">
        <f>"2368"</f>
        <v>2368</v>
      </c>
      <c r="B2369" t="str">
        <f>"-0.08"</f>
        <v>-0.08</v>
      </c>
      <c r="C2369" t="str">
        <f>"20"</f>
        <v>20</v>
      </c>
      <c r="D2369" t="str">
        <f>"Gnayse"</f>
        <v>Gnayse</v>
      </c>
    </row>
    <row r="2370" spans="1:4" x14ac:dyDescent="0.2">
      <c r="A2370" t="str">
        <f>"2369"</f>
        <v>2369</v>
      </c>
      <c r="B2370" t="str">
        <f>"0.54"</f>
        <v>0.54</v>
      </c>
      <c r="C2370" t="str">
        <f>"21"</f>
        <v>21</v>
      </c>
      <c r="D2370" t="str">
        <f>"Highly Bred and Sweetly Tempered"</f>
        <v>Highly Bred and Sweetly Tempered</v>
      </c>
    </row>
    <row r="2371" spans="1:4" x14ac:dyDescent="0.2">
      <c r="A2371" t="str">
        <f>"2370"</f>
        <v>2370</v>
      </c>
      <c r="B2371" t="str">
        <f>"0.52"</f>
        <v>0.52</v>
      </c>
      <c r="C2371" t="str">
        <f>"118"</f>
        <v>118</v>
      </c>
      <c r="D2371" t="str">
        <f>"KCRW Sounds Eclectic 3"</f>
        <v>KCRW Sounds Eclectic 3</v>
      </c>
    </row>
    <row r="2372" spans="1:4" x14ac:dyDescent="0.2">
      <c r="A2372" t="str">
        <f>"2371"</f>
        <v>2371</v>
      </c>
      <c r="B2372" t="str">
        <f>"-0.1"</f>
        <v>-0.1</v>
      </c>
      <c r="C2372" t="str">
        <f>"34"</f>
        <v>34</v>
      </c>
      <c r="D2372" t="str">
        <f>"Early Trax"</f>
        <v>Early Trax</v>
      </c>
    </row>
    <row r="2373" spans="1:4" x14ac:dyDescent="0.2">
      <c r="A2373" t="str">
        <f>"2372"</f>
        <v>2372</v>
      </c>
      <c r="B2373" t="str">
        <f>"-0.39"</f>
        <v>-0.39</v>
      </c>
      <c r="C2373" t="str">
        <f>"21"</f>
        <v>21</v>
      </c>
      <c r="D2373" t="str">
        <f>"Sunset Homes"</f>
        <v>Sunset Homes</v>
      </c>
    </row>
    <row r="2374" spans="1:4" x14ac:dyDescent="0.2">
      <c r="A2374" t="str">
        <f>"2373"</f>
        <v>2373</v>
      </c>
      <c r="B2374" t="str">
        <f>"0.7"</f>
        <v>0.7</v>
      </c>
      <c r="C2374" t="str">
        <f>"13"</f>
        <v>13</v>
      </c>
      <c r="D2374" t="str">
        <f>"There Are Giants in the Earth"</f>
        <v>There Are Giants in the Earth</v>
      </c>
    </row>
    <row r="2375" spans="1:4" x14ac:dyDescent="0.2">
      <c r="A2375" t="str">
        <f>"2374"</f>
        <v>2374</v>
      </c>
      <c r="B2375" t="str">
        <f>"-0.05"</f>
        <v>-0.05</v>
      </c>
      <c r="C2375" t="str">
        <f>"20"</f>
        <v>20</v>
      </c>
      <c r="D2375" t="str">
        <f>"Amok"</f>
        <v>Amok</v>
      </c>
    </row>
    <row r="2376" spans="1:4" x14ac:dyDescent="0.2">
      <c r="A2376" t="str">
        <f>"2375"</f>
        <v>2375</v>
      </c>
      <c r="B2376" t="str">
        <f>"0.2"</f>
        <v>0.2</v>
      </c>
      <c r="C2376" t="str">
        <f>"28"</f>
        <v>28</v>
      </c>
      <c r="D2376" t="str">
        <f>"EP"</f>
        <v>EP</v>
      </c>
    </row>
    <row r="2377" spans="1:4" x14ac:dyDescent="0.2">
      <c r="A2377" t="str">
        <f>"2376"</f>
        <v>2376</v>
      </c>
      <c r="B2377" t="str">
        <f>"-1.45"</f>
        <v>-1.45</v>
      </c>
      <c r="C2377" t="str">
        <f>"38"</f>
        <v>38</v>
      </c>
      <c r="D2377" t="str">
        <f>"Osirus: The Official Mixtape"</f>
        <v>Osirus: The Official Mixtape</v>
      </c>
    </row>
    <row r="2378" spans="1:4" x14ac:dyDescent="0.2">
      <c r="A2378" t="str">
        <f>"2377"</f>
        <v>2377</v>
      </c>
      <c r="B2378" t="str">
        <f>"0.12"</f>
        <v>0.12</v>
      </c>
      <c r="C2378" t="str">
        <f>"29"</f>
        <v>29</v>
      </c>
      <c r="D2378" t="str">
        <f>"Strange Bird"</f>
        <v>Strange Bird</v>
      </c>
    </row>
    <row r="2379" spans="1:4" x14ac:dyDescent="0.2">
      <c r="A2379" t="str">
        <f>"2378"</f>
        <v>2378</v>
      </c>
      <c r="B2379" t="str">
        <f>"0.05"</f>
        <v>0.05</v>
      </c>
      <c r="C2379" t="str">
        <f>"18"</f>
        <v>18</v>
      </c>
      <c r="D2379" t="str">
        <f>"Sleeps With Fishes"</f>
        <v>Sleeps With Fishes</v>
      </c>
    </row>
    <row r="2380" spans="1:4" x14ac:dyDescent="0.2">
      <c r="A2380" t="str">
        <f>"2379"</f>
        <v>2379</v>
      </c>
      <c r="B2380" t="str">
        <f>"-0.05"</f>
        <v>-0.05</v>
      </c>
      <c r="C2380" t="str">
        <f>"29"</f>
        <v>29</v>
      </c>
      <c r="D2380" t="str">
        <f>"Lowflow"</f>
        <v>Lowflow</v>
      </c>
    </row>
    <row r="2381" spans="1:4" x14ac:dyDescent="0.2">
      <c r="A2381" t="str">
        <f>"2380"</f>
        <v>2380</v>
      </c>
      <c r="B2381" t="str">
        <f>"0.48"</f>
        <v>0.48</v>
      </c>
      <c r="C2381" t="str">
        <f>"27"</f>
        <v>27</v>
      </c>
      <c r="D2381" t="str">
        <f>"Grab That Gun"</f>
        <v>Grab That Gun</v>
      </c>
    </row>
    <row r="2382" spans="1:4" x14ac:dyDescent="0.2">
      <c r="A2382" t="str">
        <f>"2381"</f>
        <v>2381</v>
      </c>
      <c r="B2382" t="str">
        <f>"0.27"</f>
        <v>0.27</v>
      </c>
      <c r="C2382" t="str">
        <f>"28"</f>
        <v>28</v>
      </c>
      <c r="D2382" t="str">
        <f>"The Life Aquatic With Steve Zissou OST"</f>
        <v>The Life Aquatic With Steve Zissou OST</v>
      </c>
    </row>
    <row r="2383" spans="1:4" x14ac:dyDescent="0.2">
      <c r="A2383" t="str">
        <f>"2382"</f>
        <v>2382</v>
      </c>
      <c r="B2383" t="str">
        <f>"-0.33"</f>
        <v>-0.33</v>
      </c>
      <c r="C2383" t="str">
        <f>"20"</f>
        <v>20</v>
      </c>
      <c r="D2383" t="str">
        <f>"Thè au Harem d'Archiméde"</f>
        <v>Thè au Harem d'Archiméde</v>
      </c>
    </row>
    <row r="2384" spans="1:4" x14ac:dyDescent="0.2">
      <c r="A2384" t="str">
        <f>"2383"</f>
        <v>2383</v>
      </c>
      <c r="B2384" t="str">
        <f>"0.78"</f>
        <v>0.78</v>
      </c>
      <c r="C2384" t="str">
        <f>"22"</f>
        <v>22</v>
      </c>
      <c r="D2384" t="str">
        <f>"Cultural Norms"</f>
        <v>Cultural Norms</v>
      </c>
    </row>
    <row r="2385" spans="1:4" x14ac:dyDescent="0.2">
      <c r="A2385" t="str">
        <f>"2384"</f>
        <v>2384</v>
      </c>
      <c r="B2385" t="str">
        <f>"0.23"</f>
        <v>0.23</v>
      </c>
      <c r="C2385" t="str">
        <f>"19"</f>
        <v>19</v>
      </c>
      <c r="D2385" t="str">
        <f>"The Wreath"</f>
        <v>The Wreath</v>
      </c>
    </row>
    <row r="2386" spans="1:4" x14ac:dyDescent="0.2">
      <c r="A2386" t="str">
        <f>"2385"</f>
        <v>2385</v>
      </c>
      <c r="B2386" t="str">
        <f>"-0.78"</f>
        <v>-0.78</v>
      </c>
      <c r="C2386" t="str">
        <f>"29"</f>
        <v>29</v>
      </c>
      <c r="D2386" t="str">
        <f>"Box the Bunny"</f>
        <v>Box the Bunny</v>
      </c>
    </row>
    <row r="2387" spans="1:4" x14ac:dyDescent="0.2">
      <c r="A2387" t="str">
        <f>"2386"</f>
        <v>2386</v>
      </c>
      <c r="B2387" t="str">
        <f>"-0.56"</f>
        <v>-0.56</v>
      </c>
      <c r="C2387" t="str">
        <f>"21"</f>
        <v>21</v>
      </c>
      <c r="D2387" t="str">
        <f>"When It's All Over We Still Have to Clear Up"</f>
        <v>When It's All Over We Still Have to Clear Up</v>
      </c>
    </row>
    <row r="2388" spans="1:4" x14ac:dyDescent="0.2">
      <c r="A2388" t="str">
        <f>"2387"</f>
        <v>2387</v>
      </c>
      <c r="B2388" t="str">
        <f>"-0.38"</f>
        <v>-0.38</v>
      </c>
      <c r="C2388" t="str">
        <f>"21"</f>
        <v>21</v>
      </c>
      <c r="D2388" t="str">
        <f>"Advent"</f>
        <v>Advent</v>
      </c>
    </row>
    <row r="2389" spans="1:4" x14ac:dyDescent="0.2">
      <c r="A2389" t="str">
        <f>"2388"</f>
        <v>2388</v>
      </c>
      <c r="B2389" t="str">
        <f>"0.5"</f>
        <v>0.5</v>
      </c>
      <c r="C2389" t="str">
        <f>"26"</f>
        <v>26</v>
      </c>
      <c r="D2389" t="str">
        <f>"ZE Xmas Record Reloaded 2004"</f>
        <v>ZE Xmas Record Reloaded 2004</v>
      </c>
    </row>
    <row r="2390" spans="1:4" x14ac:dyDescent="0.2">
      <c r="A2390" t="str">
        <f>"2389"</f>
        <v>2389</v>
      </c>
      <c r="B2390" t="str">
        <f>"-0.31"</f>
        <v>-0.31</v>
      </c>
      <c r="C2390" t="str">
        <f>"21"</f>
        <v>21</v>
      </c>
      <c r="D2390" t="str">
        <f>"Abhayamaudra"</f>
        <v>Abhayamaudra</v>
      </c>
    </row>
    <row r="2391" spans="1:4" x14ac:dyDescent="0.2">
      <c r="A2391" t="str">
        <f>"2390"</f>
        <v>2390</v>
      </c>
      <c r="B2391" t="str">
        <f>"-0.37"</f>
        <v>-0.37</v>
      </c>
      <c r="C2391" t="str">
        <f>"21"</f>
        <v>21</v>
      </c>
      <c r="D2391" t="str">
        <f>"The Secret Migration"</f>
        <v>The Secret Migration</v>
      </c>
    </row>
    <row r="2392" spans="1:4" x14ac:dyDescent="0.2">
      <c r="A2392" t="str">
        <f>"2391"</f>
        <v>2391</v>
      </c>
      <c r="B2392" t="str">
        <f>"-0.44"</f>
        <v>-0.44</v>
      </c>
      <c r="C2392" t="str">
        <f>"43"</f>
        <v>43</v>
      </c>
      <c r="D2392" t="str">
        <f>"Leviathan"</f>
        <v>Leviathan</v>
      </c>
    </row>
    <row r="2393" spans="1:4" x14ac:dyDescent="0.2">
      <c r="A2393" t="str">
        <f>"2392"</f>
        <v>2392</v>
      </c>
      <c r="B2393" t="str">
        <f>"-0.49"</f>
        <v>-0.49</v>
      </c>
      <c r="C2393" t="str">
        <f>"54"</f>
        <v>54</v>
      </c>
      <c r="D2393" t="str">
        <f>"The World Is Saved"</f>
        <v>The World Is Saved</v>
      </c>
    </row>
    <row r="2394" spans="1:4" x14ac:dyDescent="0.2">
      <c r="A2394" t="str">
        <f>"2393"</f>
        <v>2393</v>
      </c>
      <c r="B2394" t="str">
        <f>"-0.59"</f>
        <v>-0.59</v>
      </c>
      <c r="C2394" t="str">
        <f>"28"</f>
        <v>28</v>
      </c>
      <c r="D2394" t="str">
        <f>"Clicks &amp; Cuts 4"</f>
        <v>Clicks &amp; Cuts 4</v>
      </c>
    </row>
    <row r="2395" spans="1:4" x14ac:dyDescent="0.2">
      <c r="A2395" t="str">
        <f>"2394"</f>
        <v>2394</v>
      </c>
      <c r="B2395" t="str">
        <f>"-1.25"</f>
        <v>-1.25</v>
      </c>
      <c r="C2395" t="str">
        <f>"15"</f>
        <v>15</v>
      </c>
      <c r="D2395" t="str">
        <f>"Red v Green"</f>
        <v>Red v Green</v>
      </c>
    </row>
    <row r="2396" spans="1:4" x14ac:dyDescent="0.2">
      <c r="A2396" t="str">
        <f>"2395"</f>
        <v>2395</v>
      </c>
      <c r="B2396" t="str">
        <f>"0.13"</f>
        <v>0.13</v>
      </c>
      <c r="C2396" t="str">
        <f>"37"</f>
        <v>37</v>
      </c>
      <c r="D2396" t="str">
        <f>"Be With"</f>
        <v>Be With</v>
      </c>
    </row>
    <row r="2397" spans="1:4" x14ac:dyDescent="0.2">
      <c r="A2397" t="str">
        <f>"2396"</f>
        <v>2396</v>
      </c>
      <c r="B2397" t="str">
        <f>"-0.11"</f>
        <v>-0.11</v>
      </c>
      <c r="C2397" t="str">
        <f>"31"</f>
        <v>31</v>
      </c>
      <c r="D2397" t="str">
        <f>"Chapter 1: The Sandworm Cometh"</f>
        <v>Chapter 1: The Sandworm Cometh</v>
      </c>
    </row>
    <row r="2398" spans="1:4" x14ac:dyDescent="0.2">
      <c r="A2398" t="str">
        <f>"2397"</f>
        <v>2397</v>
      </c>
      <c r="B2398" t="str">
        <f>"-0.16"</f>
        <v>-0.16</v>
      </c>
      <c r="C2398" t="str">
        <f>"38"</f>
        <v>38</v>
      </c>
      <c r="D2398" t="str">
        <f>"World of Echo"</f>
        <v>World of Echo</v>
      </c>
    </row>
    <row r="2399" spans="1:4" x14ac:dyDescent="0.2">
      <c r="A2399" t="str">
        <f>"2398"</f>
        <v>2398</v>
      </c>
      <c r="B2399" t="str">
        <f>"0.17"</f>
        <v>0.17</v>
      </c>
      <c r="C2399" t="str">
        <f>"21"</f>
        <v>21</v>
      </c>
      <c r="D2399" t="str">
        <f>"Ballads of Living and Dying"</f>
        <v>Ballads of Living and Dying</v>
      </c>
    </row>
    <row r="2400" spans="1:4" x14ac:dyDescent="0.2">
      <c r="A2400" t="str">
        <f>"2399"</f>
        <v>2399</v>
      </c>
      <c r="B2400" t="str">
        <f>"0.05"</f>
        <v>0.05</v>
      </c>
      <c r="C2400" t="str">
        <f>"29"</f>
        <v>29</v>
      </c>
      <c r="D2400" t="str">
        <f>"Deep Cuts"</f>
        <v>Deep Cuts</v>
      </c>
    </row>
    <row r="2401" spans="1:4" x14ac:dyDescent="0.2">
      <c r="A2401" t="str">
        <f>"2400"</f>
        <v>2400</v>
      </c>
      <c r="B2401" t="str">
        <f>"-0.93"</f>
        <v>-0.93</v>
      </c>
      <c r="C2401" t="str">
        <f>"26"</f>
        <v>26</v>
      </c>
      <c r="D2401" t="str">
        <f>"Die Rugged Man Die"</f>
        <v>Die Rugged Man Die</v>
      </c>
    </row>
    <row r="2402" spans="1:4" x14ac:dyDescent="0.2">
      <c r="A2402" t="str">
        <f>"2401"</f>
        <v>2401</v>
      </c>
      <c r="B2402" t="str">
        <f>"0.69"</f>
        <v>0.69</v>
      </c>
      <c r="C2402" t="str">
        <f>"69"</f>
        <v>69</v>
      </c>
      <c r="D2402" t="str">
        <f>"Inner North"</f>
        <v>Inner North</v>
      </c>
    </row>
    <row r="2403" spans="1:4" x14ac:dyDescent="0.2">
      <c r="A2403" t="str">
        <f>"2402"</f>
        <v>2402</v>
      </c>
      <c r="B2403" t="str">
        <f>"0.77"</f>
        <v>0.77</v>
      </c>
      <c r="C2403" t="str">
        <f>"39"</f>
        <v>39</v>
      </c>
      <c r="D2403" t="str">
        <f>"Three Imaginary Boys [Deluxe Edition]"</f>
        <v>Three Imaginary Boys [Deluxe Edition]</v>
      </c>
    </row>
    <row r="2404" spans="1:4" x14ac:dyDescent="0.2">
      <c r="A2404" t="str">
        <f>"2403"</f>
        <v>2403</v>
      </c>
      <c r="B2404" t="str">
        <f>"0.88"</f>
        <v>0.88</v>
      </c>
      <c r="C2404" t="str">
        <f>"18"</f>
        <v>18</v>
      </c>
      <c r="D2404" t="str">
        <f>"Tripper"</f>
        <v>Tripper</v>
      </c>
    </row>
    <row r="2405" spans="1:4" x14ac:dyDescent="0.2">
      <c r="A2405" t="str">
        <f>"2404"</f>
        <v>2404</v>
      </c>
      <c r="B2405" t="str">
        <f>"-0.52"</f>
        <v>-0.52</v>
      </c>
      <c r="C2405" t="str">
        <f>"22"</f>
        <v>22</v>
      </c>
      <c r="D2405" t="str">
        <f>"East Nashville Skyline"</f>
        <v>East Nashville Skyline</v>
      </c>
    </row>
    <row r="2406" spans="1:4" x14ac:dyDescent="0.2">
      <c r="A2406" t="str">
        <f>"2405"</f>
        <v>2405</v>
      </c>
      <c r="B2406" t="str">
        <f>"-0.62"</f>
        <v>-0.62</v>
      </c>
      <c r="C2406" t="str">
        <f>"49"</f>
        <v>49</v>
      </c>
      <c r="D2406" t="str">
        <f>"Strong for the Future"</f>
        <v>Strong for the Future</v>
      </c>
    </row>
    <row r="2407" spans="1:4" x14ac:dyDescent="0.2">
      <c r="A2407" t="str">
        <f>"2406"</f>
        <v>2406</v>
      </c>
      <c r="B2407" t="str">
        <f>"-1.48"</f>
        <v>-1.48</v>
      </c>
      <c r="C2407" t="str">
        <f>"27"</f>
        <v>27</v>
      </c>
      <c r="D2407" t="str">
        <f>"Danny the Dog OST"</f>
        <v>Danny the Dog OST</v>
      </c>
    </row>
    <row r="2408" spans="1:4" x14ac:dyDescent="0.2">
      <c r="A2408" t="str">
        <f>"2407"</f>
        <v>2407</v>
      </c>
      <c r="B2408" t="str">
        <f>"1.02"</f>
        <v>1.02</v>
      </c>
      <c r="C2408" t="str">
        <f>"47"</f>
        <v>47</v>
      </c>
      <c r="D2408" t="s">
        <v>69</v>
      </c>
    </row>
    <row r="2409" spans="1:4" x14ac:dyDescent="0.2">
      <c r="A2409" t="str">
        <f>"2408"</f>
        <v>2408</v>
      </c>
      <c r="B2409" t="str">
        <f>"0.54"</f>
        <v>0.54</v>
      </c>
      <c r="C2409" t="str">
        <f>"39"</f>
        <v>39</v>
      </c>
      <c r="D2409" t="str">
        <f>"Doll in the Box"</f>
        <v>Doll in the Box</v>
      </c>
    </row>
    <row r="2410" spans="1:4" x14ac:dyDescent="0.2">
      <c r="A2410" t="str">
        <f>"2409"</f>
        <v>2409</v>
      </c>
      <c r="B2410" t="str">
        <f>"0.17"</f>
        <v>0.17</v>
      </c>
      <c r="C2410" t="str">
        <f>"29"</f>
        <v>29</v>
      </c>
      <c r="D2410" t="str">
        <f>"Skittish/Rockity Roll"</f>
        <v>Skittish/Rockity Roll</v>
      </c>
    </row>
    <row r="2411" spans="1:4" x14ac:dyDescent="0.2">
      <c r="A2411" t="str">
        <f>"2410"</f>
        <v>2410</v>
      </c>
      <c r="B2411" t="str">
        <f>"-0.5"</f>
        <v>-0.5</v>
      </c>
      <c r="C2411" t="str">
        <f>"20"</f>
        <v>20</v>
      </c>
      <c r="D2411" t="str">
        <f>"Midnight Movies"</f>
        <v>Midnight Movies</v>
      </c>
    </row>
    <row r="2412" spans="1:4" x14ac:dyDescent="0.2">
      <c r="A2412" t="str">
        <f>"2411"</f>
        <v>2411</v>
      </c>
      <c r="B2412" t="str">
        <f>"0.42"</f>
        <v>0.42</v>
      </c>
      <c r="C2412" t="str">
        <f>"18"</f>
        <v>18</v>
      </c>
      <c r="D2412" t="str">
        <f>"Dark Matter Moving at the Speed of Light"</f>
        <v>Dark Matter Moving at the Speed of Light</v>
      </c>
    </row>
    <row r="2413" spans="1:4" x14ac:dyDescent="0.2">
      <c r="A2413" t="str">
        <f>"2412"</f>
        <v>2412</v>
      </c>
      <c r="B2413" t="str">
        <f>"-0.64"</f>
        <v>-0.64</v>
      </c>
      <c r="C2413" t="str">
        <f>"17"</f>
        <v>17</v>
      </c>
      <c r="D2413" t="str">
        <f>"Tell It to the Dust"</f>
        <v>Tell It to the Dust</v>
      </c>
    </row>
    <row r="2414" spans="1:4" x14ac:dyDescent="0.2">
      <c r="A2414" t="str">
        <f>"2413"</f>
        <v>2413</v>
      </c>
      <c r="B2414" t="str">
        <f>"-0.4"</f>
        <v>-0.4</v>
      </c>
      <c r="C2414" t="str">
        <f>"17"</f>
        <v>17</v>
      </c>
      <c r="D2414" t="str">
        <f>"A Cricket in Times Square"</f>
        <v>A Cricket in Times Square</v>
      </c>
    </row>
    <row r="2415" spans="1:4" x14ac:dyDescent="0.2">
      <c r="A2415" t="str">
        <f>"2414"</f>
        <v>2414</v>
      </c>
      <c r="B2415" t="str">
        <f>"-0.79"</f>
        <v>-0.79</v>
      </c>
      <c r="C2415" t="str">
        <f>"16"</f>
        <v>16</v>
      </c>
      <c r="D2415" t="str">
        <f>"Signal to Noise"</f>
        <v>Signal to Noise</v>
      </c>
    </row>
    <row r="2416" spans="1:4" x14ac:dyDescent="0.2">
      <c r="A2416" t="str">
        <f>"2415"</f>
        <v>2415</v>
      </c>
      <c r="B2416" t="str">
        <f>"0.57"</f>
        <v>0.57</v>
      </c>
      <c r="C2416" t="str">
        <f>"23"</f>
        <v>23</v>
      </c>
      <c r="D2416" t="s">
        <v>70</v>
      </c>
    </row>
    <row r="2417" spans="1:4" x14ac:dyDescent="0.2">
      <c r="A2417" t="str">
        <f>"2416"</f>
        <v>2416</v>
      </c>
      <c r="B2417" t="str">
        <f>"0"</f>
        <v>0</v>
      </c>
      <c r="C2417" t="str">
        <f>"47"</f>
        <v>47</v>
      </c>
      <c r="D2417" t="str">
        <f>"K.A"</f>
        <v>K.A</v>
      </c>
    </row>
    <row r="2418" spans="1:4" x14ac:dyDescent="0.2">
      <c r="A2418" t="str">
        <f>"2417"</f>
        <v>2417</v>
      </c>
      <c r="B2418" t="str">
        <f>"-0.09"</f>
        <v>-0.09</v>
      </c>
      <c r="C2418" t="str">
        <f>"39"</f>
        <v>39</v>
      </c>
      <c r="D2418" t="str">
        <f>"Bush Meat"</f>
        <v>Bush Meat</v>
      </c>
    </row>
    <row r="2419" spans="1:4" x14ac:dyDescent="0.2">
      <c r="A2419" t="str">
        <f>"2418"</f>
        <v>2418</v>
      </c>
      <c r="B2419" t="str">
        <f>"1.42"</f>
        <v>1.42</v>
      </c>
      <c r="C2419" t="str">
        <f>"27"</f>
        <v>27</v>
      </c>
      <c r="D2419" t="str">
        <f>"Tales Told"</f>
        <v>Tales Told</v>
      </c>
    </row>
    <row r="2420" spans="1:4" x14ac:dyDescent="0.2">
      <c r="A2420" t="str">
        <f>"2419"</f>
        <v>2419</v>
      </c>
      <c r="B2420" t="str">
        <f>"-0.44"</f>
        <v>-0.44</v>
      </c>
      <c r="C2420" t="str">
        <f>"36"</f>
        <v>36</v>
      </c>
      <c r="D2420" t="str">
        <f>"Stones Throw 101"</f>
        <v>Stones Throw 101</v>
      </c>
    </row>
    <row r="2421" spans="1:4" x14ac:dyDescent="0.2">
      <c r="A2421" t="str">
        <f>"2420"</f>
        <v>2420</v>
      </c>
      <c r="B2421" t="str">
        <f>"0.96"</f>
        <v>0.96</v>
      </c>
      <c r="C2421" t="str">
        <f>"18"</f>
        <v>18</v>
      </c>
      <c r="D2421" t="s">
        <v>71</v>
      </c>
    </row>
    <row r="2422" spans="1:4" x14ac:dyDescent="0.2">
      <c r="A2422" t="str">
        <f>"2421"</f>
        <v>2421</v>
      </c>
      <c r="B2422" t="str">
        <f>"0.55"</f>
        <v>0.55</v>
      </c>
      <c r="C2422" t="str">
        <f>"34"</f>
        <v>34</v>
      </c>
      <c r="D2422" t="str">
        <f>"Tepid Peppermint Wonderland: A Retrospective"</f>
        <v>Tepid Peppermint Wonderland: A Retrospective</v>
      </c>
    </row>
    <row r="2423" spans="1:4" x14ac:dyDescent="0.2">
      <c r="A2423" t="str">
        <f>"2422"</f>
        <v>2422</v>
      </c>
      <c r="B2423" t="str">
        <f>"-1.26"</f>
        <v>-1.26</v>
      </c>
      <c r="C2423" t="str">
        <f>"41"</f>
        <v>41</v>
      </c>
      <c r="D2423" t="str">
        <f>"The Man in a Blue Turban With a Face"</f>
        <v>The Man in a Blue Turban With a Face</v>
      </c>
    </row>
    <row r="2424" spans="1:4" x14ac:dyDescent="0.2">
      <c r="A2424" t="str">
        <f>"2423"</f>
        <v>2423</v>
      </c>
      <c r="B2424" t="str">
        <f>"0.75"</f>
        <v>0.75</v>
      </c>
      <c r="C2424" t="str">
        <f>"22"</f>
        <v>22</v>
      </c>
      <c r="D2424" t="str">
        <f>"For Those Who Hear Actual Voices"</f>
        <v>For Those Who Hear Actual Voices</v>
      </c>
    </row>
    <row r="2425" spans="1:4" x14ac:dyDescent="0.2">
      <c r="A2425" t="str">
        <f>"2424"</f>
        <v>2424</v>
      </c>
      <c r="B2425" t="str">
        <f>"0.79"</f>
        <v>0.79</v>
      </c>
      <c r="C2425" t="str">
        <f>"24"</f>
        <v>24</v>
      </c>
      <c r="D2425" t="str">
        <f>"Charmer"</f>
        <v>Charmer</v>
      </c>
    </row>
    <row r="2426" spans="1:4" x14ac:dyDescent="0.2">
      <c r="A2426" t="str">
        <f>"2425"</f>
        <v>2425</v>
      </c>
      <c r="B2426" t="str">
        <f>"1.03"</f>
        <v>1.03</v>
      </c>
      <c r="C2426" t="str">
        <f>"22"</f>
        <v>22</v>
      </c>
      <c r="D2426" t="str">
        <f>"Tambourine"</f>
        <v>Tambourine</v>
      </c>
    </row>
    <row r="2427" spans="1:4" x14ac:dyDescent="0.2">
      <c r="A2427" t="str">
        <f>"2426"</f>
        <v>2426</v>
      </c>
      <c r="B2427" t="str">
        <f>"-0.24"</f>
        <v>-0.24</v>
      </c>
      <c r="C2427" t="str">
        <f>"26"</f>
        <v>26</v>
      </c>
      <c r="D2427" t="str">
        <f>"An Anthology of Noise &amp; Electronic Music / Third A-Chronology 1952-2004"</f>
        <v>An Anthology of Noise &amp; Electronic Music / Third A-Chronology 1952-2004</v>
      </c>
    </row>
    <row r="2428" spans="1:4" x14ac:dyDescent="0.2">
      <c r="A2428" t="str">
        <f>"2427"</f>
        <v>2427</v>
      </c>
      <c r="B2428" t="str">
        <f>"-0.86"</f>
        <v>-0.86</v>
      </c>
      <c r="C2428" t="str">
        <f>"39"</f>
        <v>39</v>
      </c>
      <c r="D2428" t="str">
        <f>"KA"</f>
        <v>KA</v>
      </c>
    </row>
    <row r="2429" spans="1:4" x14ac:dyDescent="0.2">
      <c r="A2429" t="str">
        <f>"2428"</f>
        <v>2428</v>
      </c>
      <c r="B2429" t="str">
        <f>"0"</f>
        <v>0</v>
      </c>
      <c r="C2429" t="str">
        <f>"19"</f>
        <v>19</v>
      </c>
      <c r="D2429" t="str">
        <f>"Long Live the Well-Doer"</f>
        <v>Long Live the Well-Doer</v>
      </c>
    </row>
    <row r="2430" spans="1:4" x14ac:dyDescent="0.2">
      <c r="A2430" t="str">
        <f>"2429"</f>
        <v>2429</v>
      </c>
      <c r="B2430" t="str">
        <f>"-0.06"</f>
        <v>-0.06</v>
      </c>
      <c r="C2430" t="str">
        <f>"21"</f>
        <v>21</v>
      </c>
      <c r="D2430" t="str">
        <f>"Happenstance"</f>
        <v>Happenstance</v>
      </c>
    </row>
    <row r="2431" spans="1:4" x14ac:dyDescent="0.2">
      <c r="A2431" t="str">
        <f>"2430"</f>
        <v>2430</v>
      </c>
      <c r="B2431" t="str">
        <f>"-0.61"</f>
        <v>-0.61</v>
      </c>
      <c r="C2431" t="str">
        <f>"24"</f>
        <v>24</v>
      </c>
      <c r="D2431" t="str">
        <f>"Bangzilla"</f>
        <v>Bangzilla</v>
      </c>
    </row>
    <row r="2432" spans="1:4" x14ac:dyDescent="0.2">
      <c r="A2432" t="str">
        <f>"2431"</f>
        <v>2431</v>
      </c>
      <c r="B2432" t="str">
        <f>"-0.14"</f>
        <v>-0.14</v>
      </c>
      <c r="C2432" t="str">
        <f>"36"</f>
        <v>36</v>
      </c>
      <c r="D2432" t="str">
        <f>"Bee Thousand: The Director's Cut"</f>
        <v>Bee Thousand: The Director's Cut</v>
      </c>
    </row>
    <row r="2433" spans="1:4" x14ac:dyDescent="0.2">
      <c r="A2433" t="str">
        <f>"2432"</f>
        <v>2432</v>
      </c>
      <c r="B2433" t="str">
        <f>"1.08"</f>
        <v>1.08</v>
      </c>
      <c r="C2433" t="str">
        <f>"17"</f>
        <v>17</v>
      </c>
      <c r="D2433" t="str">
        <f>"Nicky Siano's The Gallery"</f>
        <v>Nicky Siano's The Gallery</v>
      </c>
    </row>
    <row r="2434" spans="1:4" x14ac:dyDescent="0.2">
      <c r="A2434" t="str">
        <f>"2433"</f>
        <v>2433</v>
      </c>
      <c r="B2434" t="str">
        <f>"1.14"</f>
        <v>1.14</v>
      </c>
      <c r="C2434" t="str">
        <f>"24"</f>
        <v>24</v>
      </c>
      <c r="D2434" t="str">
        <f>"Our Hopes and Dreams"</f>
        <v>Our Hopes and Dreams</v>
      </c>
    </row>
    <row r="2435" spans="1:4" x14ac:dyDescent="0.2">
      <c r="A2435" t="str">
        <f>"2434"</f>
        <v>2434</v>
      </c>
      <c r="B2435" t="str">
        <f>"0.9"</f>
        <v>0.9</v>
      </c>
      <c r="C2435" t="str">
        <f>"23"</f>
        <v>23</v>
      </c>
      <c r="D2435" t="str">
        <f>"The Floating Glass Key in the Sky"</f>
        <v>The Floating Glass Key in the Sky</v>
      </c>
    </row>
    <row r="2436" spans="1:4" x14ac:dyDescent="0.2">
      <c r="A2436" t="str">
        <f>"2435"</f>
        <v>2435</v>
      </c>
      <c r="B2436" t="str">
        <f>"0.03"</f>
        <v>0.03</v>
      </c>
      <c r="C2436" t="str">
        <f>"21"</f>
        <v>21</v>
      </c>
      <c r="D2436" t="str">
        <f>"In/Out"</f>
        <v>In/Out</v>
      </c>
    </row>
    <row r="2437" spans="1:4" x14ac:dyDescent="0.2">
      <c r="A2437" t="str">
        <f>"2436"</f>
        <v>2436</v>
      </c>
      <c r="B2437" t="str">
        <f>"-0.14"</f>
        <v>-0.14</v>
      </c>
      <c r="C2437" t="str">
        <f>"49"</f>
        <v>49</v>
      </c>
      <c r="D2437" t="str">
        <f>"Street's Disciple"</f>
        <v>Street's Disciple</v>
      </c>
    </row>
    <row r="2438" spans="1:4" x14ac:dyDescent="0.2">
      <c r="A2438" t="str">
        <f>"2437"</f>
        <v>2437</v>
      </c>
      <c r="B2438" t="str">
        <f>"0.79"</f>
        <v>0.79</v>
      </c>
      <c r="C2438" t="str">
        <f>"21"</f>
        <v>21</v>
      </c>
      <c r="D2438" t="str">
        <f>"Im Funftonraum"</f>
        <v>Im Funftonraum</v>
      </c>
    </row>
    <row r="2439" spans="1:4" x14ac:dyDescent="0.2">
      <c r="A2439" t="str">
        <f>"2438"</f>
        <v>2438</v>
      </c>
      <c r="B2439" t="str">
        <f>"0.83"</f>
        <v>0.83</v>
      </c>
      <c r="C2439" t="str">
        <f>"21"</f>
        <v>21</v>
      </c>
      <c r="D2439" t="str">
        <f>"Nights of Forgotten Films"</f>
        <v>Nights of Forgotten Films</v>
      </c>
    </row>
    <row r="2440" spans="1:4" x14ac:dyDescent="0.2">
      <c r="A2440" t="str">
        <f>"2439"</f>
        <v>2439</v>
      </c>
      <c r="B2440" t="str">
        <f>"0.69"</f>
        <v>0.69</v>
      </c>
      <c r="C2440" t="str">
        <f>"26"</f>
        <v>26</v>
      </c>
      <c r="D2440" t="str">
        <f>"Underfed"</f>
        <v>Underfed</v>
      </c>
    </row>
    <row r="2441" spans="1:4" x14ac:dyDescent="0.2">
      <c r="A2441" t="str">
        <f>"2440"</f>
        <v>2440</v>
      </c>
      <c r="B2441" t="str">
        <f>"-0.42"</f>
        <v>-0.42</v>
      </c>
      <c r="C2441" t="str">
        <f>"28"</f>
        <v>28</v>
      </c>
      <c r="D2441" t="str">
        <f>"Palimpsest"</f>
        <v>Palimpsest</v>
      </c>
    </row>
    <row r="2442" spans="1:4" x14ac:dyDescent="0.2">
      <c r="A2442" t="str">
        <f>"2441"</f>
        <v>2441</v>
      </c>
      <c r="B2442" t="str">
        <f>"-0.2"</f>
        <v>-0.2</v>
      </c>
      <c r="C2442" t="str">
        <f>"29"</f>
        <v>29</v>
      </c>
      <c r="D2442" t="str">
        <f>"Where Will You Be Christmas Day?"</f>
        <v>Where Will You Be Christmas Day?</v>
      </c>
    </row>
    <row r="2443" spans="1:4" x14ac:dyDescent="0.2">
      <c r="A2443" t="str">
        <f>"2442"</f>
        <v>2442</v>
      </c>
      <c r="B2443" t="str">
        <f>"0.45"</f>
        <v>0.45</v>
      </c>
      <c r="C2443" t="str">
        <f>"29"</f>
        <v>29</v>
      </c>
      <c r="D2443" t="str">
        <f>"The Curse of the Longest Day EP"</f>
        <v>The Curse of the Longest Day EP</v>
      </c>
    </row>
    <row r="2444" spans="1:4" x14ac:dyDescent="0.2">
      <c r="A2444" t="str">
        <f>"2443"</f>
        <v>2443</v>
      </c>
      <c r="B2444" t="str">
        <f>"1.02"</f>
        <v>1.02</v>
      </c>
      <c r="C2444" t="str">
        <f>"23"</f>
        <v>23</v>
      </c>
      <c r="D2444" t="str">
        <f>"The Way I Were"</f>
        <v>The Way I Were</v>
      </c>
    </row>
    <row r="2445" spans="1:4" x14ac:dyDescent="0.2">
      <c r="A2445" t="str">
        <f>"2444"</f>
        <v>2444</v>
      </c>
      <c r="B2445" t="str">
        <f>"-0.26"</f>
        <v>-0.26</v>
      </c>
      <c r="C2445" t="str">
        <f>"25"</f>
        <v>25</v>
      </c>
      <c r="D2445" t="str">
        <f>"The Young Machines Remixed"</f>
        <v>The Young Machines Remixed</v>
      </c>
    </row>
    <row r="2446" spans="1:4" x14ac:dyDescent="0.2">
      <c r="A2446" t="str">
        <f>"2445"</f>
        <v>2445</v>
      </c>
      <c r="B2446" t="str">
        <f>"-0.23"</f>
        <v>-0.23</v>
      </c>
      <c r="C2446" t="str">
        <f>"20"</f>
        <v>20</v>
      </c>
      <c r="D2446" t="str">
        <f>"A Sectioned Beam"</f>
        <v>A Sectioned Beam</v>
      </c>
    </row>
    <row r="2447" spans="1:4" x14ac:dyDescent="0.2">
      <c r="A2447" t="str">
        <f>"2446"</f>
        <v>2446</v>
      </c>
      <c r="B2447" t="str">
        <f>"0.36"</f>
        <v>0.36</v>
      </c>
      <c r="C2447" t="str">
        <f>"46"</f>
        <v>46</v>
      </c>
      <c r="D2447" t="str">
        <f>"Catch the Breeze"</f>
        <v>Catch the Breeze</v>
      </c>
    </row>
    <row r="2448" spans="1:4" x14ac:dyDescent="0.2">
      <c r="A2448" t="str">
        <f>"2447"</f>
        <v>2447</v>
      </c>
      <c r="B2448" t="str">
        <f>"1.25"</f>
        <v>1.25</v>
      </c>
      <c r="C2448" t="str">
        <f>"26"</f>
        <v>26</v>
      </c>
      <c r="D2448" t="str">
        <f>"Homeland"</f>
        <v>Homeland</v>
      </c>
    </row>
    <row r="2449" spans="1:4" x14ac:dyDescent="0.2">
      <c r="A2449" t="str">
        <f>"2448"</f>
        <v>2448</v>
      </c>
      <c r="B2449" t="str">
        <f>"0.15"</f>
        <v>0.15</v>
      </c>
      <c r="C2449" t="str">
        <f>"30"</f>
        <v>30</v>
      </c>
      <c r="D2449" t="str">
        <f>"718"</f>
        <v>718</v>
      </c>
    </row>
    <row r="2450" spans="1:4" x14ac:dyDescent="0.2">
      <c r="A2450" t="str">
        <f>"2449"</f>
        <v>2449</v>
      </c>
      <c r="B2450" t="str">
        <f>"-1.03"</f>
        <v>-1.03</v>
      </c>
      <c r="C2450" t="str">
        <f>"24"</f>
        <v>24</v>
      </c>
      <c r="D2450" t="str">
        <f>"Welcome to the North"</f>
        <v>Welcome to the North</v>
      </c>
    </row>
    <row r="2451" spans="1:4" x14ac:dyDescent="0.2">
      <c r="A2451" t="str">
        <f>"2450"</f>
        <v>2450</v>
      </c>
      <c r="B2451" t="str">
        <f>"-0.69"</f>
        <v>-0.69</v>
      </c>
      <c r="C2451" t="str">
        <f>"26"</f>
        <v>26</v>
      </c>
      <c r="D2451" t="str">
        <f>"Interim"</f>
        <v>Interim</v>
      </c>
    </row>
    <row r="2452" spans="1:4" x14ac:dyDescent="0.2">
      <c r="A2452" t="str">
        <f>"2451"</f>
        <v>2451</v>
      </c>
      <c r="B2452" t="str">
        <f>"-0.82"</f>
        <v>-0.82</v>
      </c>
      <c r="C2452" t="str">
        <f>"23"</f>
        <v>23</v>
      </c>
      <c r="D2452" t="str">
        <f>"Consider the Birds"</f>
        <v>Consider the Birds</v>
      </c>
    </row>
    <row r="2453" spans="1:4" x14ac:dyDescent="0.2">
      <c r="A2453" t="str">
        <f>"2452"</f>
        <v>2452</v>
      </c>
      <c r="B2453" t="str">
        <f>"0.02"</f>
        <v>0.02</v>
      </c>
      <c r="C2453" t="str">
        <f>"29"</f>
        <v>29</v>
      </c>
      <c r="D2453" t="str">
        <f>"Von"</f>
        <v>Von</v>
      </c>
    </row>
    <row r="2454" spans="1:4" x14ac:dyDescent="0.2">
      <c r="A2454" t="str">
        <f>"2453"</f>
        <v>2453</v>
      </c>
      <c r="B2454" t="str">
        <f>"0.04"</f>
        <v>0.04</v>
      </c>
      <c r="C2454" t="str">
        <f>"25"</f>
        <v>25</v>
      </c>
      <c r="D2454" t="str">
        <f>"Galaxies' Incredible Sensual Transmission Field of the Tower Recordings"</f>
        <v>Galaxies' Incredible Sensual Transmission Field of the Tower Recordings</v>
      </c>
    </row>
    <row r="2455" spans="1:4" x14ac:dyDescent="0.2">
      <c r="A2455" t="str">
        <f>"2454"</f>
        <v>2454</v>
      </c>
      <c r="B2455" t="str">
        <f>"-0.67"</f>
        <v>-0.67</v>
      </c>
      <c r="C2455" t="str">
        <f>"38"</f>
        <v>38</v>
      </c>
      <c r="D2455" t="str">
        <f>"Aha Shake Heartbreak"</f>
        <v>Aha Shake Heartbreak</v>
      </c>
    </row>
    <row r="2456" spans="1:4" x14ac:dyDescent="0.2">
      <c r="A2456" t="str">
        <f>"2455"</f>
        <v>2455</v>
      </c>
      <c r="B2456" t="str">
        <f>"0.47"</f>
        <v>0.47</v>
      </c>
      <c r="C2456" t="str">
        <f>"36"</f>
        <v>36</v>
      </c>
      <c r="D2456" t="str">
        <f>"Greatest Hits"</f>
        <v>Greatest Hits</v>
      </c>
    </row>
    <row r="2457" spans="1:4" x14ac:dyDescent="0.2">
      <c r="A2457" t="str">
        <f>"2456"</f>
        <v>2456</v>
      </c>
      <c r="B2457" t="str">
        <f>"-0.79"</f>
        <v>-0.79</v>
      </c>
      <c r="C2457" t="str">
        <f>"29"</f>
        <v>29</v>
      </c>
      <c r="D2457" t="str">
        <f>"Future Perfect"</f>
        <v>Future Perfect</v>
      </c>
    </row>
    <row r="2458" spans="1:4" x14ac:dyDescent="0.2">
      <c r="A2458" t="str">
        <f>"2457"</f>
        <v>2457</v>
      </c>
      <c r="B2458" t="str">
        <f>"1.08"</f>
        <v>1.08</v>
      </c>
      <c r="C2458" t="str">
        <f>"35"</f>
        <v>35</v>
      </c>
      <c r="D2458" t="str">
        <f>"The Fair Store"</f>
        <v>The Fair Store</v>
      </c>
    </row>
    <row r="2459" spans="1:4" x14ac:dyDescent="0.2">
      <c r="A2459" t="str">
        <f>"2458"</f>
        <v>2458</v>
      </c>
      <c r="B2459" t="str">
        <f>"0.35"</f>
        <v>0.35</v>
      </c>
      <c r="C2459" t="str">
        <f>"20"</f>
        <v>20</v>
      </c>
      <c r="D2459" t="str">
        <f>"Getting Even"</f>
        <v>Getting Even</v>
      </c>
    </row>
    <row r="2460" spans="1:4" x14ac:dyDescent="0.2">
      <c r="A2460" t="str">
        <f>"2459"</f>
        <v>2459</v>
      </c>
      <c r="B2460" t="str">
        <f>"-0.53"</f>
        <v>-0.53</v>
      </c>
      <c r="C2460" t="str">
        <f>"35"</f>
        <v>35</v>
      </c>
      <c r="D2460" t="str">
        <f>"Size Matters"</f>
        <v>Size Matters</v>
      </c>
    </row>
    <row r="2461" spans="1:4" x14ac:dyDescent="0.2">
      <c r="A2461" t="str">
        <f>"2460"</f>
        <v>2460</v>
      </c>
      <c r="B2461" t="str">
        <f>"-0.48"</f>
        <v>-0.48</v>
      </c>
      <c r="C2461" t="str">
        <f>"36"</f>
        <v>36</v>
      </c>
      <c r="D2461" t="str">
        <f>"The Downward Spiral [Deluxe Edition]"</f>
        <v>The Downward Spiral [Deluxe Edition]</v>
      </c>
    </row>
    <row r="2462" spans="1:4" x14ac:dyDescent="0.2">
      <c r="A2462" t="str">
        <f>"2461"</f>
        <v>2461</v>
      </c>
      <c r="B2462" t="str">
        <f>"0.84"</f>
        <v>0.84</v>
      </c>
      <c r="C2462" t="str">
        <f>"29"</f>
        <v>29</v>
      </c>
      <c r="D2462" t="str">
        <f>"Cockahoop"</f>
        <v>Cockahoop</v>
      </c>
    </row>
    <row r="2463" spans="1:4" x14ac:dyDescent="0.2">
      <c r="A2463" t="str">
        <f>"2462"</f>
        <v>2462</v>
      </c>
      <c r="B2463" t="str">
        <f>"0.64"</f>
        <v>0.64</v>
      </c>
      <c r="C2463" t="str">
        <f>"32"</f>
        <v>32</v>
      </c>
      <c r="D2463" t="str">
        <f>"But Then Again"</f>
        <v>But Then Again</v>
      </c>
    </row>
    <row r="2464" spans="1:4" x14ac:dyDescent="0.2">
      <c r="A2464" t="str">
        <f>"2463"</f>
        <v>2463</v>
      </c>
      <c r="B2464" t="str">
        <f>"-1.65"</f>
        <v>-1.65</v>
      </c>
      <c r="C2464" t="str">
        <f>"41"</f>
        <v>41</v>
      </c>
      <c r="D2464" t="str">
        <f>"Must Die"</f>
        <v>Must Die</v>
      </c>
    </row>
    <row r="2465" spans="1:4" x14ac:dyDescent="0.2">
      <c r="A2465" t="str">
        <f>"2464"</f>
        <v>2464</v>
      </c>
      <c r="B2465" t="str">
        <f>"0.06"</f>
        <v>0.06</v>
      </c>
      <c r="C2465" t="str">
        <f>"22"</f>
        <v>22</v>
      </c>
      <c r="D2465" t="str">
        <f>"Nice: Splittin' Peaches EP"</f>
        <v>Nice: Splittin' Peaches EP</v>
      </c>
    </row>
    <row r="2466" spans="1:4" x14ac:dyDescent="0.2">
      <c r="A2466" t="str">
        <f>"2465"</f>
        <v>2465</v>
      </c>
      <c r="B2466" t="str">
        <f>"0.06"</f>
        <v>0.06</v>
      </c>
      <c r="C2466" t="str">
        <f>"104"</f>
        <v>104</v>
      </c>
      <c r="D2466" t="str">
        <f>"With the Lights Out"</f>
        <v>With the Lights Out</v>
      </c>
    </row>
    <row r="2467" spans="1:4" x14ac:dyDescent="0.2">
      <c r="A2467" t="str">
        <f>"2466"</f>
        <v>2466</v>
      </c>
      <c r="B2467" t="str">
        <f>"0.13"</f>
        <v>0.13</v>
      </c>
      <c r="C2467" t="str">
        <f>"33"</f>
        <v>33</v>
      </c>
      <c r="D2467" t="str">
        <f>"Love Angel Music Baby"</f>
        <v>Love Angel Music Baby</v>
      </c>
    </row>
    <row r="2468" spans="1:4" x14ac:dyDescent="0.2">
      <c r="A2468" t="str">
        <f>"2467"</f>
        <v>2467</v>
      </c>
      <c r="B2468" t="str">
        <f>"0.55"</f>
        <v>0.55</v>
      </c>
      <c r="C2468" t="str">
        <f>"29"</f>
        <v>29</v>
      </c>
      <c r="D2468" t="str">
        <f>"Virðulegu forsetar"</f>
        <v>Virðulegu forsetar</v>
      </c>
    </row>
    <row r="2469" spans="1:4" x14ac:dyDescent="0.2">
      <c r="A2469" t="str">
        <f>"2468"</f>
        <v>2468</v>
      </c>
      <c r="B2469" t="str">
        <f>"-0.2"</f>
        <v>-0.2</v>
      </c>
      <c r="C2469" t="str">
        <f>"24"</f>
        <v>24</v>
      </c>
      <c r="D2469" t="str">
        <f>"Wandering Stranger"</f>
        <v>Wandering Stranger</v>
      </c>
    </row>
    <row r="2470" spans="1:4" x14ac:dyDescent="0.2">
      <c r="A2470" t="str">
        <f>"2469"</f>
        <v>2469</v>
      </c>
      <c r="B2470" t="str">
        <f>"1.02"</f>
        <v>1.02</v>
      </c>
      <c r="C2470" t="str">
        <f>"37"</f>
        <v>37</v>
      </c>
      <c r="D2470" t="str">
        <f>"Everyone Is Here"</f>
        <v>Everyone Is Here</v>
      </c>
    </row>
    <row r="2471" spans="1:4" x14ac:dyDescent="0.2">
      <c r="A2471" t="str">
        <f>"2470"</f>
        <v>2470</v>
      </c>
      <c r="B2471" t="str">
        <f>"-0.3"</f>
        <v>-0.3</v>
      </c>
      <c r="C2471" t="str">
        <f>"29"</f>
        <v>29</v>
      </c>
      <c r="D2471" t="str">
        <f>"Kasabian"</f>
        <v>Kasabian</v>
      </c>
    </row>
    <row r="2472" spans="1:4" x14ac:dyDescent="0.2">
      <c r="A2472" t="str">
        <f>"2471"</f>
        <v>2471</v>
      </c>
      <c r="B2472" t="str">
        <f>"0.79"</f>
        <v>0.79</v>
      </c>
      <c r="C2472" t="str">
        <f>"91"</f>
        <v>91</v>
      </c>
      <c r="D2472" t="s">
        <v>72</v>
      </c>
    </row>
    <row r="2473" spans="1:4" x14ac:dyDescent="0.2">
      <c r="A2473" t="str">
        <f>"2472"</f>
        <v>2472</v>
      </c>
      <c r="B2473" t="str">
        <f>"0.67"</f>
        <v>0.67</v>
      </c>
      <c r="C2473" t="str">
        <f>"25"</f>
        <v>25</v>
      </c>
      <c r="D2473" t="str">
        <f>"A Trip to Marineville"</f>
        <v>A Trip to Marineville</v>
      </c>
    </row>
    <row r="2474" spans="1:4" x14ac:dyDescent="0.2">
      <c r="A2474" t="str">
        <f>"2473"</f>
        <v>2473</v>
      </c>
      <c r="B2474" t="str">
        <f>"0.01"</f>
        <v>0.01</v>
      </c>
      <c r="C2474" t="str">
        <f>"37"</f>
        <v>37</v>
      </c>
      <c r="D2474" t="str">
        <f>"Zwei"</f>
        <v>Zwei</v>
      </c>
    </row>
    <row r="2475" spans="1:4" x14ac:dyDescent="0.2">
      <c r="A2475" t="str">
        <f>"2474"</f>
        <v>2474</v>
      </c>
      <c r="B2475" t="str">
        <f>"-0.04"</f>
        <v>-0.04</v>
      </c>
      <c r="C2475" t="str">
        <f>"21"</f>
        <v>21</v>
      </c>
      <c r="D2475" t="s">
        <v>73</v>
      </c>
    </row>
    <row r="2476" spans="1:4" x14ac:dyDescent="0.2">
      <c r="A2476" t="str">
        <f>"2475"</f>
        <v>2475</v>
      </c>
      <c r="B2476" t="str">
        <f>"-0.41"</f>
        <v>-0.41</v>
      </c>
      <c r="C2476" t="str">
        <f>"42"</f>
        <v>42</v>
      </c>
      <c r="D2476" t="str">
        <f>"Chiaroscuro"</f>
        <v>Chiaroscuro</v>
      </c>
    </row>
    <row r="2477" spans="1:4" x14ac:dyDescent="0.2">
      <c r="A2477" t="str">
        <f>"2476"</f>
        <v>2476</v>
      </c>
      <c r="B2477" t="str">
        <f>"-0.48"</f>
        <v>-0.48</v>
      </c>
      <c r="C2477" t="str">
        <f>"39"</f>
        <v>39</v>
      </c>
      <c r="D2477" t="str">
        <f>"How to Dismantle an Atomic Bomb"</f>
        <v>How to Dismantle an Atomic Bomb</v>
      </c>
    </row>
    <row r="2478" spans="1:4" x14ac:dyDescent="0.2">
      <c r="A2478" t="str">
        <f>"2477"</f>
        <v>2477</v>
      </c>
      <c r="B2478" t="str">
        <f>"-0.27"</f>
        <v>-0.27</v>
      </c>
      <c r="C2478" t="str">
        <f>"27"</f>
        <v>27</v>
      </c>
      <c r="D2478" t="s">
        <v>74</v>
      </c>
    </row>
    <row r="2479" spans="1:4" x14ac:dyDescent="0.2">
      <c r="A2479" t="str">
        <f>"2478"</f>
        <v>2478</v>
      </c>
      <c r="B2479" t="str">
        <f>"-1.48"</f>
        <v>-1.48</v>
      </c>
      <c r="C2479" t="str">
        <f>"28"</f>
        <v>28</v>
      </c>
      <c r="D2479" t="str">
        <f>"Bidnezz"</f>
        <v>Bidnezz</v>
      </c>
    </row>
    <row r="2480" spans="1:4" x14ac:dyDescent="0.2">
      <c r="A2480" t="str">
        <f>"2479"</f>
        <v>2479</v>
      </c>
      <c r="B2480" t="str">
        <f>"-0.09"</f>
        <v>-0.09</v>
      </c>
      <c r="C2480" t="str">
        <f>"23"</f>
        <v>23</v>
      </c>
      <c r="D2480" t="str">
        <f>"I Before E"</f>
        <v>I Before E</v>
      </c>
    </row>
    <row r="2481" spans="1:4" x14ac:dyDescent="0.2">
      <c r="A2481" t="str">
        <f>"2480"</f>
        <v>2480</v>
      </c>
      <c r="B2481" t="str">
        <f>"0.64"</f>
        <v>0.64</v>
      </c>
      <c r="C2481" t="str">
        <f>"33"</f>
        <v>33</v>
      </c>
      <c r="D2481" t="str">
        <f>"Fuzzy Warbles 5"</f>
        <v>Fuzzy Warbles 5</v>
      </c>
    </row>
    <row r="2482" spans="1:4" x14ac:dyDescent="0.2">
      <c r="A2482" t="str">
        <f>"2481"</f>
        <v>2481</v>
      </c>
      <c r="B2482" t="str">
        <f>"0.58"</f>
        <v>0.58</v>
      </c>
      <c r="C2482" t="str">
        <f>"34"</f>
        <v>34</v>
      </c>
      <c r="D2482" t="str">
        <f>"White People"</f>
        <v>White People</v>
      </c>
    </row>
    <row r="2483" spans="1:4" x14ac:dyDescent="0.2">
      <c r="A2483" t="str">
        <f>"2482"</f>
        <v>2482</v>
      </c>
      <c r="B2483" t="str">
        <f>"0.81"</f>
        <v>0.81</v>
      </c>
      <c r="C2483" t="str">
        <f>"53"</f>
        <v>53</v>
      </c>
      <c r="D2483" t="str">
        <f>"This Is Music: The Singles 92-98"</f>
        <v>This Is Music: The Singles 92-98</v>
      </c>
    </row>
    <row r="2484" spans="1:4" x14ac:dyDescent="0.2">
      <c r="A2484" t="str">
        <f>"2483"</f>
        <v>2483</v>
      </c>
      <c r="B2484" t="str">
        <f>"2.08"</f>
        <v>2.08</v>
      </c>
      <c r="C2484" t="str">
        <f>"26"</f>
        <v>26</v>
      </c>
      <c r="D2484" t="str">
        <f>"Not So Much to Be Loved as to Love"</f>
        <v>Not So Much to Be Loved as to Love</v>
      </c>
    </row>
    <row r="2485" spans="1:4" x14ac:dyDescent="0.2">
      <c r="A2485" t="str">
        <f>"2484"</f>
        <v>2484</v>
      </c>
      <c r="B2485" t="str">
        <f>"-0.24"</f>
        <v>-0.24</v>
      </c>
      <c r="C2485" t="str">
        <f>"24"</f>
        <v>24</v>
      </c>
      <c r="D2485" t="str">
        <f>"The Frequency"</f>
        <v>The Frequency</v>
      </c>
    </row>
    <row r="2486" spans="1:4" x14ac:dyDescent="0.2">
      <c r="A2486" t="str">
        <f>"2485"</f>
        <v>2485</v>
      </c>
      <c r="B2486" t="str">
        <f>"-0.01"</f>
        <v>-0.01</v>
      </c>
      <c r="C2486" t="str">
        <f>"33"</f>
        <v>33</v>
      </c>
      <c r="D2486" t="str">
        <f>"Wire on the Box 1979"</f>
        <v>Wire on the Box 1979</v>
      </c>
    </row>
    <row r="2487" spans="1:4" x14ac:dyDescent="0.2">
      <c r="A2487" t="str">
        <f>"2486"</f>
        <v>2486</v>
      </c>
      <c r="B2487" t="str">
        <f>"-0.09"</f>
        <v>-0.09</v>
      </c>
      <c r="C2487" t="str">
        <f>"33"</f>
        <v>33</v>
      </c>
      <c r="D2487" t="str">
        <f>"R&amp;G (Rhythm &amp; Gangsta): The Masterpiece"</f>
        <v>R&amp;G (Rhythm &amp; Gangsta): The Masterpiece</v>
      </c>
    </row>
    <row r="2488" spans="1:4" x14ac:dyDescent="0.2">
      <c r="A2488" t="str">
        <f>"2487"</f>
        <v>2487</v>
      </c>
      <c r="B2488" t="str">
        <f>"0.2"</f>
        <v>0.2</v>
      </c>
      <c r="C2488" t="str">
        <f>"33"</f>
        <v>33</v>
      </c>
      <c r="D2488" t="str">
        <f>"Turn"</f>
        <v>Turn</v>
      </c>
    </row>
    <row r="2489" spans="1:4" x14ac:dyDescent="0.2">
      <c r="A2489" t="str">
        <f>"2488"</f>
        <v>2488</v>
      </c>
      <c r="B2489" t="str">
        <f>"0.22"</f>
        <v>0.22</v>
      </c>
      <c r="C2489" t="str">
        <f>"25"</f>
        <v>25</v>
      </c>
      <c r="D2489" t="str">
        <f>"The Disrupt"</f>
        <v>The Disrupt</v>
      </c>
    </row>
    <row r="2490" spans="1:4" x14ac:dyDescent="0.2">
      <c r="A2490" t="str">
        <f>"2489"</f>
        <v>2489</v>
      </c>
      <c r="B2490" t="str">
        <f>"-0.48"</f>
        <v>-0.48</v>
      </c>
      <c r="C2490" t="str">
        <f>"33"</f>
        <v>33</v>
      </c>
      <c r="D2490" t="str">
        <f>"Logic Memory Center"</f>
        <v>Logic Memory Center</v>
      </c>
    </row>
    <row r="2491" spans="1:4" x14ac:dyDescent="0.2">
      <c r="A2491" t="str">
        <f>"2490"</f>
        <v>2490</v>
      </c>
      <c r="B2491" t="str">
        <f>"-0.23"</f>
        <v>-0.23</v>
      </c>
      <c r="C2491" t="str">
        <f>"53"</f>
        <v>53</v>
      </c>
      <c r="D2491" t="str">
        <f>"Rearviewmirror (Greatest Hits 1991-2003)"</f>
        <v>Rearviewmirror (Greatest Hits 1991-2003)</v>
      </c>
    </row>
    <row r="2492" spans="1:4" x14ac:dyDescent="0.2">
      <c r="A2492" t="str">
        <f>"2491"</f>
        <v>2491</v>
      </c>
      <c r="B2492" t="str">
        <f>"0.51"</f>
        <v>0.51</v>
      </c>
      <c r="C2492" t="str">
        <f>"34"</f>
        <v>34</v>
      </c>
      <c r="D2492" t="str">
        <f>"The Gris Gris"</f>
        <v>The Gris Gris</v>
      </c>
    </row>
    <row r="2493" spans="1:4" x14ac:dyDescent="0.2">
      <c r="A2493" t="str">
        <f>"2492"</f>
        <v>2492</v>
      </c>
      <c r="B2493" t="str">
        <f>"-1.11"</f>
        <v>-1.11</v>
      </c>
      <c r="C2493" t="str">
        <f>"23"</f>
        <v>23</v>
      </c>
      <c r="D2493" t="str">
        <f>"Barbez"</f>
        <v>Barbez</v>
      </c>
    </row>
    <row r="2494" spans="1:4" x14ac:dyDescent="0.2">
      <c r="A2494" t="str">
        <f>"2493"</f>
        <v>2493</v>
      </c>
      <c r="B2494" t="str">
        <f>"-0.23"</f>
        <v>-0.23</v>
      </c>
      <c r="C2494" t="str">
        <f>"23"</f>
        <v>23</v>
      </c>
      <c r="D2494" t="str">
        <f>"Sleep and Wake Up Songs EP"</f>
        <v>Sleep and Wake Up Songs EP</v>
      </c>
    </row>
    <row r="2495" spans="1:4" x14ac:dyDescent="0.2">
      <c r="A2495" t="str">
        <f>"2494"</f>
        <v>2494</v>
      </c>
      <c r="B2495" t="str">
        <f>"-0.03"</f>
        <v>-0.03</v>
      </c>
      <c r="C2495" t="str">
        <f>"33"</f>
        <v>33</v>
      </c>
      <c r="D2495" t="str">
        <f>"B EP"</f>
        <v>B EP</v>
      </c>
    </row>
    <row r="2496" spans="1:4" x14ac:dyDescent="0.2">
      <c r="A2496" t="str">
        <f>"2495"</f>
        <v>2495</v>
      </c>
      <c r="B2496" t="str">
        <f>"-1.26"</f>
        <v>-1.26</v>
      </c>
      <c r="C2496" t="str">
        <f>"61"</f>
        <v>61</v>
      </c>
      <c r="D2496" t="str">
        <f>"Mm..Food?"</f>
        <v>Mm..Food?</v>
      </c>
    </row>
    <row r="2497" spans="1:4" x14ac:dyDescent="0.2">
      <c r="A2497" t="str">
        <f>"2496"</f>
        <v>2496</v>
      </c>
      <c r="B2497" t="str">
        <f>"-0.15"</f>
        <v>-0.15</v>
      </c>
      <c r="C2497" t="str">
        <f>"33"</f>
        <v>33</v>
      </c>
      <c r="D2497" t="str">
        <f>"Want Two"</f>
        <v>Want Two</v>
      </c>
    </row>
    <row r="2498" spans="1:4" x14ac:dyDescent="0.2">
      <c r="A2498" t="str">
        <f>"2497"</f>
        <v>2497</v>
      </c>
      <c r="B2498" t="str">
        <f>"0.21"</f>
        <v>0.21</v>
      </c>
      <c r="C2498" t="str">
        <f>"22"</f>
        <v>22</v>
      </c>
      <c r="D2498" t="str">
        <f>"fi"</f>
        <v>fi</v>
      </c>
    </row>
    <row r="2499" spans="1:4" x14ac:dyDescent="0.2">
      <c r="A2499" t="str">
        <f>"2498"</f>
        <v>2498</v>
      </c>
      <c r="B2499" t="str">
        <f>"0.67"</f>
        <v>0.67</v>
      </c>
      <c r="C2499" t="str">
        <f>"27"</f>
        <v>27</v>
      </c>
      <c r="D2499" t="str">
        <f>"The Commercial Album: 25th Anniversary Edition"</f>
        <v>The Commercial Album: 25th Anniversary Edition</v>
      </c>
    </row>
    <row r="2500" spans="1:4" x14ac:dyDescent="0.2">
      <c r="A2500" t="str">
        <f>"2499"</f>
        <v>2499</v>
      </c>
      <c r="B2500" t="str">
        <f>"0.61"</f>
        <v>0.61</v>
      </c>
      <c r="C2500" t="str">
        <f>"19"</f>
        <v>19</v>
      </c>
      <c r="D2500" t="str">
        <f>"Black Holes in the Sand"</f>
        <v>Black Holes in the Sand</v>
      </c>
    </row>
    <row r="2501" spans="1:4" x14ac:dyDescent="0.2">
      <c r="A2501" t="str">
        <f>"2500"</f>
        <v>2500</v>
      </c>
      <c r="B2501" t="str">
        <f>"0.19"</f>
        <v>0.19</v>
      </c>
      <c r="C2501" t="str">
        <f>"22"</f>
        <v>22</v>
      </c>
      <c r="D2501" t="str">
        <f>"Songs About the Ocean"</f>
        <v>Songs About the Ocean</v>
      </c>
    </row>
    <row r="2502" spans="1:4" x14ac:dyDescent="0.2">
      <c r="A2502" t="str">
        <f>"2501"</f>
        <v>2501</v>
      </c>
      <c r="B2502" t="str">
        <f>"0.19"</f>
        <v>0.19</v>
      </c>
      <c r="C2502" t="str">
        <f>"63"</f>
        <v>63</v>
      </c>
      <c r="D2502" t="str">
        <f>"The Ultimate Collection"</f>
        <v>The Ultimate Collection</v>
      </c>
    </row>
    <row r="2503" spans="1:4" x14ac:dyDescent="0.2">
      <c r="A2503" t="str">
        <f>"2502"</f>
        <v>2502</v>
      </c>
      <c r="B2503" t="str">
        <f>"-0.12"</f>
        <v>-0.12</v>
      </c>
      <c r="C2503" t="str">
        <f>"44"</f>
        <v>44</v>
      </c>
      <c r="D2503" t="str">
        <f>"Disciples of the 36 Chambers: Chapter 1"</f>
        <v>Disciples of the 36 Chambers: Chapter 1</v>
      </c>
    </row>
    <row r="2504" spans="1:4" x14ac:dyDescent="0.2">
      <c r="A2504" t="str">
        <f>"2503"</f>
        <v>2503</v>
      </c>
      <c r="B2504" t="str">
        <f>"-0.79"</f>
        <v>-0.79</v>
      </c>
      <c r="C2504" t="str">
        <f>"22"</f>
        <v>22</v>
      </c>
      <c r="D2504" t="str">
        <f>"Creative Playthings"</f>
        <v>Creative Playthings</v>
      </c>
    </row>
    <row r="2505" spans="1:4" x14ac:dyDescent="0.2">
      <c r="A2505" t="str">
        <f>"2504"</f>
        <v>2504</v>
      </c>
      <c r="B2505" t="str">
        <f>"-0.24"</f>
        <v>-0.24</v>
      </c>
      <c r="C2505" t="str">
        <f>"25"</f>
        <v>25</v>
      </c>
      <c r="D2505" t="str">
        <f>"Aghast Agape"</f>
        <v>Aghast Agape</v>
      </c>
    </row>
    <row r="2506" spans="1:4" x14ac:dyDescent="0.2">
      <c r="A2506" t="str">
        <f>"2505"</f>
        <v>2505</v>
      </c>
      <c r="B2506" t="str">
        <f>"0.19"</f>
        <v>0.19</v>
      </c>
      <c r="C2506" t="str">
        <f>"98"</f>
        <v>98</v>
      </c>
      <c r="D2506" t="str">
        <f>"Encore"</f>
        <v>Encore</v>
      </c>
    </row>
    <row r="2507" spans="1:4" x14ac:dyDescent="0.2">
      <c r="A2507" t="str">
        <f>"2506"</f>
        <v>2506</v>
      </c>
      <c r="B2507" t="str">
        <f>"-0.29"</f>
        <v>-0.29</v>
      </c>
      <c r="C2507" t="str">
        <f>"73"</f>
        <v>73</v>
      </c>
      <c r="D2507" t="str">
        <f>"A Treasury"</f>
        <v>A Treasury</v>
      </c>
    </row>
    <row r="2508" spans="1:4" x14ac:dyDescent="0.2">
      <c r="A2508" t="str">
        <f>"2507"</f>
        <v>2507</v>
      </c>
      <c r="B2508" t="str">
        <f>"0.85"</f>
        <v>0.85</v>
      </c>
      <c r="C2508" t="str">
        <f>"17"</f>
        <v>17</v>
      </c>
      <c r="D2508" t="str">
        <f>"Paradise Now"</f>
        <v>Paradise Now</v>
      </c>
    </row>
    <row r="2509" spans="1:4" x14ac:dyDescent="0.2">
      <c r="A2509" t="str">
        <f>"2508"</f>
        <v>2508</v>
      </c>
      <c r="B2509" t="str">
        <f>"-1"</f>
        <v>-1</v>
      </c>
      <c r="C2509" t="str">
        <f>"23"</f>
        <v>23</v>
      </c>
      <c r="D2509" t="str">
        <f>"Love Suffers Long"</f>
        <v>Love Suffers Long</v>
      </c>
    </row>
    <row r="2510" spans="1:4" x14ac:dyDescent="0.2">
      <c r="A2510" t="str">
        <f>"2509"</f>
        <v>2509</v>
      </c>
      <c r="B2510" t="str">
        <f>"0.06"</f>
        <v>0.06</v>
      </c>
      <c r="C2510" t="str">
        <f>"27"</f>
        <v>27</v>
      </c>
      <c r="D2510" t="str">
        <f>"Retrospective"</f>
        <v>Retrospective</v>
      </c>
    </row>
    <row r="2511" spans="1:4" x14ac:dyDescent="0.2">
      <c r="A2511" t="str">
        <f>"2510"</f>
        <v>2510</v>
      </c>
      <c r="B2511" t="str">
        <f>"1.5"</f>
        <v>1.5</v>
      </c>
      <c r="C2511" t="str">
        <f>"63"</f>
        <v>63</v>
      </c>
      <c r="D2511" t="str">
        <f>"Monster Movie"</f>
        <v>Monster Movie</v>
      </c>
    </row>
    <row r="2512" spans="1:4" x14ac:dyDescent="0.2">
      <c r="A2512" t="str">
        <f>"2511"</f>
        <v>2511</v>
      </c>
      <c r="B2512" t="str">
        <f>"1.26"</f>
        <v>1.26</v>
      </c>
      <c r="C2512" t="str">
        <f>"33"</f>
        <v>33</v>
      </c>
      <c r="D2512" t="str">
        <f>"Kompilation"</f>
        <v>Kompilation</v>
      </c>
    </row>
    <row r="2513" spans="1:4" x14ac:dyDescent="0.2">
      <c r="A2513" t="str">
        <f>"2512"</f>
        <v>2512</v>
      </c>
      <c r="B2513" t="str">
        <f>"-0.09"</f>
        <v>-0.09</v>
      </c>
      <c r="C2513" t="str">
        <f>"23"</f>
        <v>23</v>
      </c>
      <c r="D2513" t="str">
        <f>"Tanakh"</f>
        <v>Tanakh</v>
      </c>
    </row>
    <row r="2514" spans="1:4" x14ac:dyDescent="0.2">
      <c r="A2514" t="str">
        <f>"2513"</f>
        <v>2513</v>
      </c>
      <c r="B2514" t="str">
        <f>"-0.99"</f>
        <v>-0.99</v>
      </c>
      <c r="C2514" t="str">
        <f>"37"</f>
        <v>37</v>
      </c>
      <c r="D2514" t="str">
        <f>"Special Herbs Vol. 3-8"</f>
        <v>Special Herbs Vol. 3-8</v>
      </c>
    </row>
    <row r="2515" spans="1:4" x14ac:dyDescent="0.2">
      <c r="A2515" t="str">
        <f>"2514"</f>
        <v>2514</v>
      </c>
      <c r="B2515" t="str">
        <f>"1.02"</f>
        <v>1.02</v>
      </c>
      <c r="C2515" t="str">
        <f>"19"</f>
        <v>19</v>
      </c>
      <c r="D2515" t="str">
        <f>"Serial Hodgepodge"</f>
        <v>Serial Hodgepodge</v>
      </c>
    </row>
    <row r="2516" spans="1:4" x14ac:dyDescent="0.2">
      <c r="A2516" t="str">
        <f>"2515"</f>
        <v>2515</v>
      </c>
      <c r="B2516" t="str">
        <f>"0.37"</f>
        <v>0.37</v>
      </c>
      <c r="C2516" t="str">
        <f>"59"</f>
        <v>59</v>
      </c>
      <c r="D2516" t="str">
        <f>"Acoustic / Rock 'n' Roll"</f>
        <v>Acoustic / Rock 'n' Roll</v>
      </c>
    </row>
    <row r="2517" spans="1:4" x14ac:dyDescent="0.2">
      <c r="A2517" t="str">
        <f>"2516"</f>
        <v>2516</v>
      </c>
      <c r="B2517" t="str">
        <f>"-0.4"</f>
        <v>-0.4</v>
      </c>
      <c r="C2517" t="str">
        <f>"20"</f>
        <v>20</v>
      </c>
      <c r="D2517" t="str">
        <f>"Poison &amp; Snakes"</f>
        <v>Poison &amp; Snakes</v>
      </c>
    </row>
    <row r="2518" spans="1:4" x14ac:dyDescent="0.2">
      <c r="A2518" t="str">
        <f>"2517"</f>
        <v>2517</v>
      </c>
      <c r="B2518" t="str">
        <f>"0"</f>
        <v>0</v>
      </c>
      <c r="C2518" t="str">
        <f>"19"</f>
        <v>19</v>
      </c>
      <c r="D2518" t="str">
        <f>"Of Natural History"</f>
        <v>Of Natural History</v>
      </c>
    </row>
    <row r="2519" spans="1:4" x14ac:dyDescent="0.2">
      <c r="A2519" t="str">
        <f>"2518"</f>
        <v>2518</v>
      </c>
      <c r="B2519" t="str">
        <f>"-0.18"</f>
        <v>-0.18</v>
      </c>
      <c r="C2519" t="str">
        <f>"29"</f>
        <v>29</v>
      </c>
      <c r="D2519" t="str">
        <f>"The Giant Pin"</f>
        <v>The Giant Pin</v>
      </c>
    </row>
    <row r="2520" spans="1:4" x14ac:dyDescent="0.2">
      <c r="A2520" t="str">
        <f>"2519"</f>
        <v>2519</v>
      </c>
      <c r="B2520" t="str">
        <f>"-0.05"</f>
        <v>-0.05</v>
      </c>
      <c r="C2520" t="str">
        <f>"166"</f>
        <v>166</v>
      </c>
      <c r="D2520" t="str">
        <f>"Relationship of Command"</f>
        <v>Relationship of Command</v>
      </c>
    </row>
    <row r="2521" spans="1:4" x14ac:dyDescent="0.2">
      <c r="A2521" t="str">
        <f>"2520"</f>
        <v>2520</v>
      </c>
      <c r="B2521" t="str">
        <f>"-0.52"</f>
        <v>-0.52</v>
      </c>
      <c r="C2521" t="str">
        <f>"39"</f>
        <v>39</v>
      </c>
      <c r="D2521" t="str">
        <f>"Speaking for Trees"</f>
        <v>Speaking for Trees</v>
      </c>
    </row>
    <row r="2522" spans="1:4" x14ac:dyDescent="0.2">
      <c r="A2522" t="str">
        <f>"2521"</f>
        <v>2521</v>
      </c>
      <c r="B2522" t="str">
        <f>"-0.14"</f>
        <v>-0.14</v>
      </c>
      <c r="C2522" t="str">
        <f>"29"</f>
        <v>29</v>
      </c>
      <c r="D2522" t="str">
        <f>"The SpongeBob SquarePants Movie"</f>
        <v>The SpongeBob SquarePants Movie</v>
      </c>
    </row>
    <row r="2523" spans="1:4" x14ac:dyDescent="0.2">
      <c r="A2523" t="str">
        <f>"2522"</f>
        <v>2522</v>
      </c>
      <c r="B2523" t="str">
        <f>"-0.24"</f>
        <v>-0.24</v>
      </c>
      <c r="C2523" t="str">
        <f>"30"</f>
        <v>30</v>
      </c>
      <c r="D2523" t="str">
        <f>"Panopticon"</f>
        <v>Panopticon</v>
      </c>
    </row>
    <row r="2524" spans="1:4" x14ac:dyDescent="0.2">
      <c r="A2524" t="str">
        <f>"2523"</f>
        <v>2523</v>
      </c>
      <c r="B2524" t="str">
        <f>"0.61"</f>
        <v>0.61</v>
      </c>
      <c r="C2524" t="str">
        <f>"22"</f>
        <v>22</v>
      </c>
      <c r="D2524" t="str">
        <f>"Fabric 17"</f>
        <v>Fabric 17</v>
      </c>
    </row>
    <row r="2525" spans="1:4" x14ac:dyDescent="0.2">
      <c r="A2525" t="str">
        <f>"2524"</f>
        <v>2524</v>
      </c>
      <c r="B2525" t="str">
        <f>"-1.11"</f>
        <v>-1.11</v>
      </c>
      <c r="C2525" t="str">
        <f>"26"</f>
        <v>26</v>
      </c>
      <c r="D2525" t="str">
        <f>"We Move Through Weather"</f>
        <v>We Move Through Weather</v>
      </c>
    </row>
    <row r="2526" spans="1:4" x14ac:dyDescent="0.2">
      <c r="A2526" t="str">
        <f>"2525"</f>
        <v>2525</v>
      </c>
      <c r="B2526" t="str">
        <f>"-0.62"</f>
        <v>-0.62</v>
      </c>
      <c r="C2526" t="str">
        <f>"27"</f>
        <v>27</v>
      </c>
      <c r="D2526" t="str">
        <f>"City at Night"</f>
        <v>City at Night</v>
      </c>
    </row>
    <row r="2527" spans="1:4" x14ac:dyDescent="0.2">
      <c r="A2527" t="str">
        <f>"2526"</f>
        <v>2526</v>
      </c>
      <c r="B2527" t="str">
        <f>"0.97"</f>
        <v>0.97</v>
      </c>
      <c r="C2527" t="str">
        <f>"77"</f>
        <v>77</v>
      </c>
      <c r="D2527" t="str">
        <f>"Anniemal"</f>
        <v>Anniemal</v>
      </c>
    </row>
    <row r="2528" spans="1:4" x14ac:dyDescent="0.2">
      <c r="A2528" t="str">
        <f>"2527"</f>
        <v>2527</v>
      </c>
      <c r="B2528" t="str">
        <f>"0.02"</f>
        <v>0.02</v>
      </c>
      <c r="C2528" t="str">
        <f>"30"</f>
        <v>30</v>
      </c>
      <c r="D2528" t="str">
        <f>"Friday Night Lights OST"</f>
        <v>Friday Night Lights OST</v>
      </c>
    </row>
    <row r="2529" spans="1:4" x14ac:dyDescent="0.2">
      <c r="A2529" t="str">
        <f>"2528"</f>
        <v>2528</v>
      </c>
      <c r="B2529" t="str">
        <f>"-0.29"</f>
        <v>-0.29</v>
      </c>
      <c r="C2529" t="str">
        <f>"29"</f>
        <v>29</v>
      </c>
      <c r="D2529" t="str">
        <f>"Perfect Colors"</f>
        <v>Perfect Colors</v>
      </c>
    </row>
    <row r="2530" spans="1:4" x14ac:dyDescent="0.2">
      <c r="A2530" t="str">
        <f>"2529"</f>
        <v>2529</v>
      </c>
      <c r="B2530" t="str">
        <f>"-0.02"</f>
        <v>-0.02</v>
      </c>
      <c r="C2530" t="str">
        <f>"20"</f>
        <v>20</v>
      </c>
      <c r="D2530" t="str">
        <f>"It Always Will Be"</f>
        <v>It Always Will Be</v>
      </c>
    </row>
    <row r="2531" spans="1:4" x14ac:dyDescent="0.2">
      <c r="A2531" t="str">
        <f>"2530"</f>
        <v>2530</v>
      </c>
      <c r="B2531" t="str">
        <f>"0.55"</f>
        <v>0.55</v>
      </c>
      <c r="C2531" t="str">
        <f>"15"</f>
        <v>15</v>
      </c>
      <c r="D2531" t="str">
        <f>"Isms"</f>
        <v>Isms</v>
      </c>
    </row>
    <row r="2532" spans="1:4" x14ac:dyDescent="0.2">
      <c r="A2532" t="str">
        <f>"2531"</f>
        <v>2531</v>
      </c>
      <c r="B2532" t="str">
        <f>"0.14"</f>
        <v>0.14</v>
      </c>
      <c r="C2532" t="str">
        <f>"37"</f>
        <v>37</v>
      </c>
      <c r="D2532" t="str">
        <f>"The Tigers Have Spoken"</f>
        <v>The Tigers Have Spoken</v>
      </c>
    </row>
    <row r="2533" spans="1:4" x14ac:dyDescent="0.2">
      <c r="A2533" t="str">
        <f>"2532"</f>
        <v>2532</v>
      </c>
      <c r="B2533" t="str">
        <f>"-0.05"</f>
        <v>-0.05</v>
      </c>
      <c r="C2533" t="str">
        <f>"31"</f>
        <v>31</v>
      </c>
      <c r="D2533" t="str">
        <f>"Remixes 81-04"</f>
        <v>Remixes 81-04</v>
      </c>
    </row>
    <row r="2534" spans="1:4" x14ac:dyDescent="0.2">
      <c r="A2534" t="str">
        <f>"2533"</f>
        <v>2533</v>
      </c>
      <c r="B2534" t="str">
        <f>"-0.05"</f>
        <v>-0.05</v>
      </c>
      <c r="C2534" t="str">
        <f>"31"</f>
        <v>31</v>
      </c>
      <c r="D2534" t="str">
        <f>"The (im)possibility of Longing"</f>
        <v>The (im)possibility of Longing</v>
      </c>
    </row>
    <row r="2535" spans="1:4" x14ac:dyDescent="0.2">
      <c r="A2535" t="str">
        <f>"2534"</f>
        <v>2534</v>
      </c>
      <c r="B2535" t="str">
        <f>"-0.98"</f>
        <v>-0.98</v>
      </c>
      <c r="C2535" t="str">
        <f>"24"</f>
        <v>24</v>
      </c>
      <c r="D2535" t="str">
        <f>"Terra Incognita: Ambient Works 1975-Present"</f>
        <v>Terra Incognita: Ambient Works 1975-Present</v>
      </c>
    </row>
    <row r="2536" spans="1:4" x14ac:dyDescent="0.2">
      <c r="A2536" t="str">
        <f>"2535"</f>
        <v>2535</v>
      </c>
      <c r="B2536" t="str">
        <f>"0.67"</f>
        <v>0.67</v>
      </c>
      <c r="C2536" t="str">
        <f>"32"</f>
        <v>32</v>
      </c>
      <c r="D2536" t="str">
        <f>"The Revolution of Yung Havoks"</f>
        <v>The Revolution of Yung Havoks</v>
      </c>
    </row>
    <row r="2537" spans="1:4" x14ac:dyDescent="0.2">
      <c r="A2537" t="str">
        <f>"2536"</f>
        <v>2536</v>
      </c>
      <c r="B2537" t="str">
        <f>"0.65"</f>
        <v>0.65</v>
      </c>
      <c r="C2537" t="str">
        <f>"62"</f>
        <v>62</v>
      </c>
      <c r="D2537" t="str">
        <f>"Dear Heather"</f>
        <v>Dear Heather</v>
      </c>
    </row>
    <row r="2538" spans="1:4" x14ac:dyDescent="0.2">
      <c r="A2538" t="str">
        <f>"2537"</f>
        <v>2537</v>
      </c>
      <c r="B2538" t="str">
        <f>"0.37"</f>
        <v>0.37</v>
      </c>
      <c r="C2538" t="str">
        <f>"38"</f>
        <v>38</v>
      </c>
      <c r="D2538" t="str">
        <f>"DFA Compilation #2"</f>
        <v>DFA Compilation #2</v>
      </c>
    </row>
    <row r="2539" spans="1:4" x14ac:dyDescent="0.2">
      <c r="A2539" t="str">
        <f>"2538"</f>
        <v>2538</v>
      </c>
      <c r="B2539" t="str">
        <f>"-0.93"</f>
        <v>-0.93</v>
      </c>
      <c r="C2539" t="str">
        <f>"57"</f>
        <v>57</v>
      </c>
      <c r="D2539" t="str">
        <f>"Do You Want New Wave or Do You Want the Soft Pink Truth?"</f>
        <v>Do You Want New Wave or Do You Want the Soft Pink Truth?</v>
      </c>
    </row>
    <row r="2540" spans="1:4" x14ac:dyDescent="0.2">
      <c r="A2540" t="str">
        <f>"2539"</f>
        <v>2539</v>
      </c>
      <c r="B2540" t="str">
        <f>"0.98"</f>
        <v>0.98</v>
      </c>
      <c r="C2540" t="str">
        <f>"26"</f>
        <v>26</v>
      </c>
      <c r="D2540" t="str">
        <f>"Yes Yes Okay Okay"</f>
        <v>Yes Yes Okay Okay</v>
      </c>
    </row>
    <row r="2541" spans="1:4" x14ac:dyDescent="0.2">
      <c r="A2541" t="str">
        <f>"2540"</f>
        <v>2540</v>
      </c>
      <c r="B2541" t="str">
        <f>"-0.74"</f>
        <v>-0.74</v>
      </c>
      <c r="C2541" t="str">
        <f>"30"</f>
        <v>30</v>
      </c>
      <c r="D2541" t="str">
        <f>"Touch Not the Cat"</f>
        <v>Touch Not the Cat</v>
      </c>
    </row>
    <row r="2542" spans="1:4" x14ac:dyDescent="0.2">
      <c r="A2542" t="str">
        <f>"2541"</f>
        <v>2541</v>
      </c>
      <c r="B2542" t="str">
        <f>"0"</f>
        <v>0</v>
      </c>
      <c r="C2542" t="str">
        <f>"24"</f>
        <v>24</v>
      </c>
      <c r="D2542" t="str">
        <f>"Gogol Bordello vs. Tamir Muskat"</f>
        <v>Gogol Bordello vs. Tamir Muskat</v>
      </c>
    </row>
    <row r="2543" spans="1:4" x14ac:dyDescent="0.2">
      <c r="A2543" t="str">
        <f>"2542"</f>
        <v>2542</v>
      </c>
      <c r="B2543" t="str">
        <f>"-0.25"</f>
        <v>-0.25</v>
      </c>
      <c r="C2543" t="str">
        <f>"31"</f>
        <v>31</v>
      </c>
      <c r="D2543" t="str">
        <f>"Gold Medal"</f>
        <v>Gold Medal</v>
      </c>
    </row>
    <row r="2544" spans="1:4" x14ac:dyDescent="0.2">
      <c r="A2544" t="str">
        <f>"2543"</f>
        <v>2543</v>
      </c>
      <c r="B2544" t="str">
        <f>"-0.01"</f>
        <v>-0.01</v>
      </c>
      <c r="C2544" t="str">
        <f>"27"</f>
        <v>27</v>
      </c>
      <c r="D2544" t="s">
        <v>75</v>
      </c>
    </row>
    <row r="2545" spans="1:4" x14ac:dyDescent="0.2">
      <c r="A2545" t="str">
        <f>"2544"</f>
        <v>2544</v>
      </c>
      <c r="B2545" t="str">
        <f>"-0.12"</f>
        <v>-0.12</v>
      </c>
      <c r="C2545" t="str">
        <f>"32"</f>
        <v>32</v>
      </c>
      <c r="D2545" t="str">
        <f>"The Trickle Down Theory of Lord Knows What"</f>
        <v>The Trickle Down Theory of Lord Knows What</v>
      </c>
    </row>
    <row r="2546" spans="1:4" x14ac:dyDescent="0.2">
      <c r="A2546" t="str">
        <f>"2545"</f>
        <v>2545</v>
      </c>
      <c r="B2546" t="str">
        <f>"0.25"</f>
        <v>0.25</v>
      </c>
      <c r="C2546" t="str">
        <f>"24"</f>
        <v>24</v>
      </c>
      <c r="D2546" t="str">
        <f>"Niceland"</f>
        <v>Niceland</v>
      </c>
    </row>
    <row r="2547" spans="1:4" x14ac:dyDescent="0.2">
      <c r="A2547" t="str">
        <f>"2546"</f>
        <v>2546</v>
      </c>
      <c r="B2547" t="str">
        <f>"1.09"</f>
        <v>1.09</v>
      </c>
      <c r="C2547" t="str">
        <f>"35"</f>
        <v>35</v>
      </c>
      <c r="D2547" t="str">
        <f>"Below the Radio"</f>
        <v>Below the Radio</v>
      </c>
    </row>
    <row r="2548" spans="1:4" x14ac:dyDescent="0.2">
      <c r="A2548" t="str">
        <f>"2547"</f>
        <v>2547</v>
      </c>
      <c r="B2548" t="str">
        <f>"-0.09"</f>
        <v>-0.09</v>
      </c>
      <c r="C2548" t="str">
        <f>"26"</f>
        <v>26</v>
      </c>
      <c r="D2548" t="str">
        <f>"High Water"</f>
        <v>High Water</v>
      </c>
    </row>
    <row r="2549" spans="1:4" x14ac:dyDescent="0.2">
      <c r="A2549" t="str">
        <f>"2548"</f>
        <v>2548</v>
      </c>
      <c r="B2549" t="str">
        <f>"0.31"</f>
        <v>0.31</v>
      </c>
      <c r="C2549" t="str">
        <f>"95"</f>
        <v>95</v>
      </c>
      <c r="D2549" t="str">
        <f>"The Wilco Book"</f>
        <v>The Wilco Book</v>
      </c>
    </row>
    <row r="2550" spans="1:4" x14ac:dyDescent="0.2">
      <c r="A2550" t="str">
        <f>"2549"</f>
        <v>2549</v>
      </c>
      <c r="B2550" t="str">
        <f>"-1"</f>
        <v>-1</v>
      </c>
      <c r="C2550" t="str">
        <f>"22"</f>
        <v>22</v>
      </c>
      <c r="D2550" t="str">
        <f>"The West Is the Future"</f>
        <v>The West Is the Future</v>
      </c>
    </row>
    <row r="2551" spans="1:4" x14ac:dyDescent="0.2">
      <c r="A2551" t="str">
        <f>"2550"</f>
        <v>2550</v>
      </c>
      <c r="B2551" t="str">
        <f>"0.31"</f>
        <v>0.31</v>
      </c>
      <c r="C2551" t="str">
        <f>"31"</f>
        <v>31</v>
      </c>
      <c r="D2551" t="str">
        <f>"Breach EP"</f>
        <v>Breach EP</v>
      </c>
    </row>
    <row r="2552" spans="1:4" x14ac:dyDescent="0.2">
      <c r="A2552" t="str">
        <f>"2551"</f>
        <v>2551</v>
      </c>
      <c r="B2552" t="str">
        <f>"0.82"</f>
        <v>0.82</v>
      </c>
      <c r="C2552" t="str">
        <f>"42"</f>
        <v>42</v>
      </c>
      <c r="D2552" t="str">
        <f>"Matador at Fifteen"</f>
        <v>Matador at Fifteen</v>
      </c>
    </row>
    <row r="2553" spans="1:4" x14ac:dyDescent="0.2">
      <c r="A2553" t="str">
        <f>"2552"</f>
        <v>2552</v>
      </c>
      <c r="B2553" t="str">
        <f>"-1.21"</f>
        <v>-1.21</v>
      </c>
      <c r="C2553" t="str">
        <f>"26"</f>
        <v>26</v>
      </c>
      <c r="D2553" t="s">
        <v>76</v>
      </c>
    </row>
    <row r="2554" spans="1:4" x14ac:dyDescent="0.2">
      <c r="A2554" t="str">
        <f>"2553"</f>
        <v>2553</v>
      </c>
      <c r="B2554" t="str">
        <f>"1.14"</f>
        <v>1.14</v>
      </c>
      <c r="C2554" t="str">
        <f>"16"</f>
        <v>16</v>
      </c>
      <c r="D2554" t="str">
        <f>"Here Comes Everyone"</f>
        <v>Here Comes Everyone</v>
      </c>
    </row>
    <row r="2555" spans="1:4" x14ac:dyDescent="0.2">
      <c r="A2555" t="str">
        <f>"2554"</f>
        <v>2554</v>
      </c>
      <c r="B2555" t="str">
        <f>"-0.44"</f>
        <v>-0.44</v>
      </c>
      <c r="C2555" t="str">
        <f>"19"</f>
        <v>19</v>
      </c>
      <c r="D2555" t="s">
        <v>77</v>
      </c>
    </row>
    <row r="2556" spans="1:4" x14ac:dyDescent="0.2">
      <c r="A2556" t="str">
        <f>"2555"</f>
        <v>2555</v>
      </c>
      <c r="B2556" t="str">
        <f>"0.29"</f>
        <v>0.29</v>
      </c>
      <c r="C2556" t="str">
        <f>"23"</f>
        <v>23</v>
      </c>
      <c r="D2556" t="str">
        <f>"Sun Q"</f>
        <v>Sun Q</v>
      </c>
    </row>
    <row r="2557" spans="1:4" x14ac:dyDescent="0.2">
      <c r="A2557" t="str">
        <f>"2556"</f>
        <v>2556</v>
      </c>
      <c r="B2557" t="str">
        <f>"0.81"</f>
        <v>0.81</v>
      </c>
      <c r="C2557" t="str">
        <f>"37"</f>
        <v>37</v>
      </c>
      <c r="D2557" t="str">
        <f>"Matt Sharp"</f>
        <v>Matt Sharp</v>
      </c>
    </row>
    <row r="2558" spans="1:4" x14ac:dyDescent="0.2">
      <c r="A2558" t="str">
        <f>"2557"</f>
        <v>2557</v>
      </c>
      <c r="B2558" t="str">
        <f>"-0.06"</f>
        <v>-0.06</v>
      </c>
      <c r="C2558" t="str">
        <f>"50"</f>
        <v>50</v>
      </c>
      <c r="D2558" t="str">
        <f>"Unfinished Business"</f>
        <v>Unfinished Business</v>
      </c>
    </row>
    <row r="2559" spans="1:4" x14ac:dyDescent="0.2">
      <c r="A2559" t="str">
        <f>"2558"</f>
        <v>2558</v>
      </c>
      <c r="B2559" t="str">
        <f>"-0.62"</f>
        <v>-0.62</v>
      </c>
      <c r="C2559" t="str">
        <f>"62"</f>
        <v>62</v>
      </c>
      <c r="D2559" t="str">
        <f>"Special Gunpowder"</f>
        <v>Special Gunpowder</v>
      </c>
    </row>
    <row r="2560" spans="1:4" x14ac:dyDescent="0.2">
      <c r="A2560" t="str">
        <f>"2559"</f>
        <v>2559</v>
      </c>
      <c r="B2560" t="str">
        <f>"0.24"</f>
        <v>0.24</v>
      </c>
      <c r="C2560" t="str">
        <f>"45"</f>
        <v>45</v>
      </c>
      <c r="D2560" t="str">
        <f>"Witch Season"</f>
        <v>Witch Season</v>
      </c>
    </row>
    <row r="2561" spans="1:4" x14ac:dyDescent="0.2">
      <c r="A2561" t="str">
        <f>"2560"</f>
        <v>2560</v>
      </c>
      <c r="B2561" t="str">
        <f>"-1.32"</f>
        <v>-1.32</v>
      </c>
      <c r="C2561" t="str">
        <f>"37"</f>
        <v>37</v>
      </c>
      <c r="D2561" t="str">
        <f>"Nothing Is Cool"</f>
        <v>Nothing Is Cool</v>
      </c>
    </row>
    <row r="2562" spans="1:4" x14ac:dyDescent="0.2">
      <c r="A2562" t="str">
        <f>"2561"</f>
        <v>2561</v>
      </c>
      <c r="B2562" t="str">
        <f>"0.44"</f>
        <v>0.44</v>
      </c>
      <c r="C2562" t="str">
        <f>"56"</f>
        <v>56</v>
      </c>
      <c r="D2562" t="s">
        <v>78</v>
      </c>
    </row>
    <row r="2563" spans="1:4" x14ac:dyDescent="0.2">
      <c r="A2563" t="str">
        <f>"2562"</f>
        <v>2562</v>
      </c>
      <c r="B2563" t="str">
        <f>"-0.96"</f>
        <v>-0.96</v>
      </c>
      <c r="C2563" t="str">
        <f>"54"</f>
        <v>54</v>
      </c>
      <c r="D2563" t="str">
        <f>"Shock City Maverick"</f>
        <v>Shock City Maverick</v>
      </c>
    </row>
    <row r="2564" spans="1:4" x14ac:dyDescent="0.2">
      <c r="A2564" t="str">
        <f>"2563"</f>
        <v>2563</v>
      </c>
      <c r="B2564" t="str">
        <f>"0.85"</f>
        <v>0.85</v>
      </c>
      <c r="C2564" t="str">
        <f>"18"</f>
        <v>18</v>
      </c>
      <c r="D2564" t="str">
        <f>"Improvika"</f>
        <v>Improvika</v>
      </c>
    </row>
    <row r="2565" spans="1:4" x14ac:dyDescent="0.2">
      <c r="A2565" t="str">
        <f>"2564"</f>
        <v>2564</v>
      </c>
      <c r="B2565" t="str">
        <f>"-0.31"</f>
        <v>-0.31</v>
      </c>
      <c r="C2565" t="str">
        <f>"21"</f>
        <v>21</v>
      </c>
      <c r="D2565" t="str">
        <f>"Goodnight Nobody"</f>
        <v>Goodnight Nobody</v>
      </c>
    </row>
    <row r="2566" spans="1:4" x14ac:dyDescent="0.2">
      <c r="A2566" t="str">
        <f>"2565"</f>
        <v>2565</v>
      </c>
      <c r="B2566" t="str">
        <f>"-0.39"</f>
        <v>-0.39</v>
      </c>
      <c r="C2566" t="str">
        <f>"31"</f>
        <v>31</v>
      </c>
      <c r="D2566" t="str">
        <f>"Cough"</f>
        <v>Cough</v>
      </c>
    </row>
    <row r="2567" spans="1:4" x14ac:dyDescent="0.2">
      <c r="A2567" t="str">
        <f>"2566"</f>
        <v>2566</v>
      </c>
      <c r="B2567" t="str">
        <f>"0.81"</f>
        <v>0.81</v>
      </c>
      <c r="C2567" t="str">
        <f>"127"</f>
        <v>127</v>
      </c>
      <c r="D2567" t="s">
        <v>79</v>
      </c>
    </row>
    <row r="2568" spans="1:4" x14ac:dyDescent="0.2">
      <c r="A2568" t="str">
        <f>"2567"</f>
        <v>2567</v>
      </c>
      <c r="B2568" t="str">
        <f>"-0.2"</f>
        <v>-0.2</v>
      </c>
      <c r="C2568" t="str">
        <f>"77"</f>
        <v>77</v>
      </c>
      <c r="D2568" t="str">
        <f>"The Doldrums"</f>
        <v>The Doldrums</v>
      </c>
    </row>
    <row r="2569" spans="1:4" x14ac:dyDescent="0.2">
      <c r="A2569" t="str">
        <f>"2568"</f>
        <v>2568</v>
      </c>
      <c r="B2569" t="str">
        <f>"-0.01"</f>
        <v>-0.01</v>
      </c>
      <c r="C2569" t="str">
        <f>"26"</f>
        <v>26</v>
      </c>
      <c r="D2569" t="str">
        <f>"Demos"</f>
        <v>Demos</v>
      </c>
    </row>
    <row r="2570" spans="1:4" x14ac:dyDescent="0.2">
      <c r="A2570" t="str">
        <f>"2569"</f>
        <v>2569</v>
      </c>
      <c r="B2570" t="str">
        <f>"-1.67"</f>
        <v>-1.67</v>
      </c>
      <c r="C2570" t="str">
        <f>"31"</f>
        <v>31</v>
      </c>
      <c r="D2570" t="str">
        <f>"Sur les Traces de Black Eskimo"</f>
        <v>Sur les Traces de Black Eskimo</v>
      </c>
    </row>
    <row r="2571" spans="1:4" x14ac:dyDescent="0.2">
      <c r="A2571" t="str">
        <f>"2570"</f>
        <v>2570</v>
      </c>
      <c r="B2571" t="str">
        <f>"0"</f>
        <v>0</v>
      </c>
      <c r="C2571" t="str">
        <f>"28"</f>
        <v>28</v>
      </c>
      <c r="D2571" t="str">
        <f>"Key"</f>
        <v>Key</v>
      </c>
    </row>
    <row r="2572" spans="1:4" x14ac:dyDescent="0.2">
      <c r="A2572" t="str">
        <f>"2571"</f>
        <v>2571</v>
      </c>
      <c r="B2572" t="str">
        <f>"-0.04"</f>
        <v>-0.04</v>
      </c>
      <c r="C2572" t="str">
        <f>"87"</f>
        <v>87</v>
      </c>
      <c r="D2572" t="str">
        <f>"Seadrum/House of Sun"</f>
        <v>Seadrum/House of Sun</v>
      </c>
    </row>
    <row r="2573" spans="1:4" x14ac:dyDescent="0.2">
      <c r="A2573" t="str">
        <f>"2572"</f>
        <v>2572</v>
      </c>
      <c r="B2573" t="str">
        <f>"0.83"</f>
        <v>0.83</v>
      </c>
      <c r="C2573" t="str">
        <f>"20"</f>
        <v>20</v>
      </c>
      <c r="D2573" t="str">
        <f>"Rendezvous"</f>
        <v>Rendezvous</v>
      </c>
    </row>
    <row r="2574" spans="1:4" x14ac:dyDescent="0.2">
      <c r="A2574" t="str">
        <f>"2573"</f>
        <v>2573</v>
      </c>
      <c r="B2574" t="str">
        <f>"-0.44"</f>
        <v>-0.44</v>
      </c>
      <c r="C2574" t="str">
        <f>"39"</f>
        <v>39</v>
      </c>
      <c r="D2574" t="str">
        <f>"The Dead Texan"</f>
        <v>The Dead Texan</v>
      </c>
    </row>
    <row r="2575" spans="1:4" x14ac:dyDescent="0.2">
      <c r="A2575" t="str">
        <f>"2574"</f>
        <v>2574</v>
      </c>
      <c r="B2575" t="str">
        <f>"-0.18"</f>
        <v>-0.18</v>
      </c>
      <c r="C2575" t="str">
        <f>"24"</f>
        <v>24</v>
      </c>
      <c r="D2575" t="str">
        <f>"Medications EP"</f>
        <v>Medications EP</v>
      </c>
    </row>
    <row r="2576" spans="1:4" x14ac:dyDescent="0.2">
      <c r="A2576" t="str">
        <f>"2575"</f>
        <v>2575</v>
      </c>
      <c r="B2576" t="str">
        <f>"-0.67"</f>
        <v>-0.67</v>
      </c>
      <c r="C2576" t="str">
        <f>"27"</f>
        <v>27</v>
      </c>
      <c r="D2576" t="str">
        <f>"Spooked"</f>
        <v>Spooked</v>
      </c>
    </row>
    <row r="2577" spans="1:4" x14ac:dyDescent="0.2">
      <c r="A2577" t="str">
        <f>"2576"</f>
        <v>2576</v>
      </c>
      <c r="B2577" t="str">
        <f>"-1.21"</f>
        <v>-1.21</v>
      </c>
      <c r="C2577" t="str">
        <f>"52"</f>
        <v>52</v>
      </c>
      <c r="D2577" t="str">
        <f>"Shake the Sheets"</f>
        <v>Shake the Sheets</v>
      </c>
    </row>
    <row r="2578" spans="1:4" x14ac:dyDescent="0.2">
      <c r="A2578" t="str">
        <f>"2577"</f>
        <v>2577</v>
      </c>
      <c r="B2578" t="str">
        <f>"0.62"</f>
        <v>0.62</v>
      </c>
      <c r="C2578" t="str">
        <f>"55"</f>
        <v>55</v>
      </c>
      <c r="D2578" t="str">
        <f>"Happy Like an Autumn Tree"</f>
        <v>Happy Like an Autumn Tree</v>
      </c>
    </row>
    <row r="2579" spans="1:4" x14ac:dyDescent="0.2">
      <c r="A2579" t="str">
        <f>"2578"</f>
        <v>2578</v>
      </c>
      <c r="B2579" t="str">
        <f>"-0.96"</f>
        <v>-0.96</v>
      </c>
      <c r="C2579" t="str">
        <f>"19"</f>
        <v>19</v>
      </c>
      <c r="D2579" t="str">
        <f>"Days vs. Nights"</f>
        <v>Days vs. Nights</v>
      </c>
    </row>
    <row r="2580" spans="1:4" x14ac:dyDescent="0.2">
      <c r="A2580" t="str">
        <f>"2579"</f>
        <v>2579</v>
      </c>
      <c r="B2580" t="str">
        <f>"-0.5"</f>
        <v>-0.5</v>
      </c>
      <c r="C2580" t="str">
        <f>"27"</f>
        <v>27</v>
      </c>
      <c r="D2580" t="str">
        <f>"Songs for Europe"</f>
        <v>Songs for Europe</v>
      </c>
    </row>
    <row r="2581" spans="1:4" x14ac:dyDescent="0.2">
      <c r="A2581" t="str">
        <f>"2580"</f>
        <v>2580</v>
      </c>
      <c r="B2581" t="str">
        <f>"-0.98"</f>
        <v>-0.98</v>
      </c>
      <c r="C2581" t="str">
        <f>"25"</f>
        <v>25</v>
      </c>
      <c r="D2581" t="str">
        <f>"Never Breathe What You Can't See"</f>
        <v>Never Breathe What You Can't See</v>
      </c>
    </row>
    <row r="2582" spans="1:4" x14ac:dyDescent="0.2">
      <c r="A2582" t="str">
        <f>"2581"</f>
        <v>2581</v>
      </c>
      <c r="B2582" t="str">
        <f>"-0.31"</f>
        <v>-0.31</v>
      </c>
      <c r="C2582" t="str">
        <f>"43"</f>
        <v>43</v>
      </c>
      <c r="D2582" t="str">
        <f>"This Island"</f>
        <v>This Island</v>
      </c>
    </row>
    <row r="2583" spans="1:4" x14ac:dyDescent="0.2">
      <c r="A2583" t="str">
        <f>"2582"</f>
        <v>2582</v>
      </c>
      <c r="B2583" t="str">
        <f>"0.63"</f>
        <v>0.63</v>
      </c>
      <c r="C2583" t="str">
        <f>"49"</f>
        <v>49</v>
      </c>
      <c r="D2583" t="str">
        <f>"Just Another Diamond Day"</f>
        <v>Just Another Diamond Day</v>
      </c>
    </row>
    <row r="2584" spans="1:4" x14ac:dyDescent="0.2">
      <c r="A2584" t="str">
        <f>"2583"</f>
        <v>2583</v>
      </c>
      <c r="B2584" t="str">
        <f>"0.46"</f>
        <v>0.46</v>
      </c>
      <c r="C2584" t="str">
        <f>"52"</f>
        <v>52</v>
      </c>
      <c r="D2584" t="str">
        <f>"Eucademix"</f>
        <v>Eucademix</v>
      </c>
    </row>
    <row r="2585" spans="1:4" x14ac:dyDescent="0.2">
      <c r="A2585" t="str">
        <f>"2584"</f>
        <v>2584</v>
      </c>
      <c r="B2585" t="str">
        <f>"1.21"</f>
        <v>1.21</v>
      </c>
      <c r="C2585" t="str">
        <f>"48"</f>
        <v>48</v>
      </c>
      <c r="D2585" t="str">
        <f>"Biggest Bluest Hi-Fi"</f>
        <v>Biggest Bluest Hi-Fi</v>
      </c>
    </row>
    <row r="2586" spans="1:4" x14ac:dyDescent="0.2">
      <c r="A2586" t="str">
        <f>"2585"</f>
        <v>2585</v>
      </c>
      <c r="B2586" t="str">
        <f>"-0.46"</f>
        <v>-0.46</v>
      </c>
      <c r="C2586" t="str">
        <f>"31"</f>
        <v>31</v>
      </c>
      <c r="D2586" t="str">
        <f>"Dead Combo"</f>
        <v>Dead Combo</v>
      </c>
    </row>
    <row r="2587" spans="1:4" x14ac:dyDescent="0.2">
      <c r="A2587" t="str">
        <f>"2586"</f>
        <v>2586</v>
      </c>
      <c r="B2587" t="str">
        <f>"-0.25"</f>
        <v>-0.25</v>
      </c>
      <c r="C2587" t="str">
        <f>"49"</f>
        <v>49</v>
      </c>
      <c r="D2587" t="str">
        <f>"Futures"</f>
        <v>Futures</v>
      </c>
    </row>
    <row r="2588" spans="1:4" x14ac:dyDescent="0.2">
      <c r="A2588" t="str">
        <f>"2587"</f>
        <v>2587</v>
      </c>
      <c r="B2588" t="str">
        <f>"-0.11"</f>
        <v>-0.11</v>
      </c>
      <c r="C2588" t="str">
        <f>"79"</f>
        <v>79</v>
      </c>
      <c r="D2588" t="str">
        <f>"Left of the Dial: Dispatches from the 80s Underground"</f>
        <v>Left of the Dial: Dispatches from the 80s Underground</v>
      </c>
    </row>
    <row r="2589" spans="1:4" x14ac:dyDescent="0.2">
      <c r="A2589" t="str">
        <f>"2588"</f>
        <v>2588</v>
      </c>
      <c r="B2589" t="str">
        <f>"0.56"</f>
        <v>0.56</v>
      </c>
      <c r="C2589" t="str">
        <f>"35"</f>
        <v>35</v>
      </c>
      <c r="D2589" t="str">
        <f>"Apples and Synthesizers"</f>
        <v>Apples and Synthesizers</v>
      </c>
    </row>
    <row r="2590" spans="1:4" x14ac:dyDescent="0.2">
      <c r="A2590" t="str">
        <f>"2589"</f>
        <v>2589</v>
      </c>
      <c r="B2590" t="str">
        <f>"0.42"</f>
        <v>0.42</v>
      </c>
      <c r="C2590" t="str">
        <f>"63"</f>
        <v>63</v>
      </c>
      <c r="D2590" t="str">
        <f>"Stéréotypie"</f>
        <v>Stéréotypie</v>
      </c>
    </row>
    <row r="2591" spans="1:4" x14ac:dyDescent="0.2">
      <c r="A2591" t="str">
        <f>"2590"</f>
        <v>2590</v>
      </c>
      <c r="B2591" t="str">
        <f>"0.53"</f>
        <v>0.53</v>
      </c>
      <c r="C2591" t="str">
        <f>"49"</f>
        <v>49</v>
      </c>
      <c r="D2591" t="str">
        <f>"I Heart Huckabees"</f>
        <v>I Heart Huckabees</v>
      </c>
    </row>
    <row r="2592" spans="1:4" x14ac:dyDescent="0.2">
      <c r="A2592" t="str">
        <f>"2591"</f>
        <v>2591</v>
      </c>
      <c r="B2592" t="str">
        <f>"-1"</f>
        <v>-1</v>
      </c>
      <c r="C2592" t="str">
        <f>"51"</f>
        <v>51</v>
      </c>
      <c r="D2592" t="str">
        <f>"The New Danger"</f>
        <v>The New Danger</v>
      </c>
    </row>
    <row r="2593" spans="1:4" x14ac:dyDescent="0.2">
      <c r="A2593" t="str">
        <f>"2592"</f>
        <v>2592</v>
      </c>
      <c r="B2593" t="str">
        <f>"-0.12"</f>
        <v>-0.12</v>
      </c>
      <c r="C2593" t="str">
        <f>"86"</f>
        <v>86</v>
      </c>
      <c r="D2593" t="str">
        <f>"A Gun to the Head: A Selection from the Ace of Hearts Era"</f>
        <v>A Gun to the Head: A Selection from the Ace of Hearts Era</v>
      </c>
    </row>
    <row r="2594" spans="1:4" x14ac:dyDescent="0.2">
      <c r="A2594" t="str">
        <f>"2593"</f>
        <v>2593</v>
      </c>
      <c r="B2594" t="str">
        <f>"0.08"</f>
        <v>0.08</v>
      </c>
      <c r="C2594" t="str">
        <f>"69"</f>
        <v>69</v>
      </c>
      <c r="D2594" t="str">
        <f>"United States of America"</f>
        <v>United States of America</v>
      </c>
    </row>
    <row r="2595" spans="1:4" x14ac:dyDescent="0.2">
      <c r="A2595" t="str">
        <f>"2594"</f>
        <v>2594</v>
      </c>
      <c r="B2595" t="str">
        <f>"-0.66"</f>
        <v>-0.66</v>
      </c>
      <c r="C2595" t="str">
        <f>"39"</f>
        <v>39</v>
      </c>
      <c r="D2595" t="str">
        <f>"1+1=Ate"</f>
        <v>1+1=Ate</v>
      </c>
    </row>
    <row r="2596" spans="1:4" x14ac:dyDescent="0.2">
      <c r="A2596" t="str">
        <f>"2595"</f>
        <v>2595</v>
      </c>
      <c r="B2596" t="str">
        <f>"0.82"</f>
        <v>0.82</v>
      </c>
      <c r="C2596" t="str">
        <f>"44"</f>
        <v>44</v>
      </c>
      <c r="D2596" t="str">
        <f>"Harmony and Abyss"</f>
        <v>Harmony and Abyss</v>
      </c>
    </row>
    <row r="2597" spans="1:4" x14ac:dyDescent="0.2">
      <c r="A2597" t="str">
        <f>"2596"</f>
        <v>2596</v>
      </c>
      <c r="B2597" t="str">
        <f>"-1.05"</f>
        <v>-1.05</v>
      </c>
      <c r="C2597" t="str">
        <f>"66"</f>
        <v>66</v>
      </c>
      <c r="D2597" t="str">
        <f>"From a Basement on the Hill"</f>
        <v>From a Basement on the Hill</v>
      </c>
    </row>
    <row r="2598" spans="1:4" x14ac:dyDescent="0.2">
      <c r="A2598" t="str">
        <f>"2597"</f>
        <v>2597</v>
      </c>
      <c r="B2598" t="str">
        <f>"0.19"</f>
        <v>0.19</v>
      </c>
      <c r="C2598" t="str">
        <f>"80"</f>
        <v>80</v>
      </c>
      <c r="D2598" t="str">
        <f>"Has Been"</f>
        <v>Has Been</v>
      </c>
    </row>
    <row r="2599" spans="1:4" x14ac:dyDescent="0.2">
      <c r="A2599" t="str">
        <f>"2598"</f>
        <v>2598</v>
      </c>
      <c r="B2599" t="str">
        <f>"-0.92"</f>
        <v>-0.92</v>
      </c>
      <c r="C2599" t="str">
        <f>"57"</f>
        <v>57</v>
      </c>
      <c r="D2599" t="str">
        <f>"The Same and the Other"</f>
        <v>The Same and the Other</v>
      </c>
    </row>
    <row r="2600" spans="1:4" x14ac:dyDescent="0.2">
      <c r="A2600" t="str">
        <f>"2599"</f>
        <v>2599</v>
      </c>
      <c r="B2600" t="str">
        <f>"-0.46"</f>
        <v>-0.46</v>
      </c>
      <c r="C2600" t="str">
        <f>"59"</f>
        <v>59</v>
      </c>
      <c r="D2600" t="str">
        <f>"Late"</f>
        <v>Late</v>
      </c>
    </row>
    <row r="2601" spans="1:4" x14ac:dyDescent="0.2">
      <c r="A2601" t="str">
        <f>"2600"</f>
        <v>2600</v>
      </c>
      <c r="B2601" t="str">
        <f>"-0.21"</f>
        <v>-0.21</v>
      </c>
      <c r="C2601" t="str">
        <f>"48"</f>
        <v>48</v>
      </c>
      <c r="D2601" t="str">
        <f>"Please Describe Yourself"</f>
        <v>Please Describe Yourself</v>
      </c>
    </row>
    <row r="2602" spans="1:4" x14ac:dyDescent="0.2">
      <c r="A2602" t="str">
        <f>"2601"</f>
        <v>2601</v>
      </c>
      <c r="B2602" t="str">
        <f>"-0.04"</f>
        <v>-0.04</v>
      </c>
      <c r="C2602" t="str">
        <f>"64"</f>
        <v>64</v>
      </c>
      <c r="D2602" t="str">
        <f>"Bibidi Babidi Boo"</f>
        <v>Bibidi Babidi Boo</v>
      </c>
    </row>
    <row r="2603" spans="1:4" x14ac:dyDescent="0.2">
      <c r="A2603" t="str">
        <f>"2602"</f>
        <v>2602</v>
      </c>
      <c r="B2603" t="str">
        <f>"0.43"</f>
        <v>0.43</v>
      </c>
      <c r="C2603" t="str">
        <f>"53"</f>
        <v>53</v>
      </c>
      <c r="D2603" t="str">
        <f>"Does the Cosmic Shepherd Dream of Electric Tapirs?"</f>
        <v>Does the Cosmic Shepherd Dream of Electric Tapirs?</v>
      </c>
    </row>
    <row r="2604" spans="1:4" x14ac:dyDescent="0.2">
      <c r="A2604" t="str">
        <f>"2603"</f>
        <v>2603</v>
      </c>
      <c r="B2604" t="str">
        <f>"-0.77"</f>
        <v>-0.77</v>
      </c>
      <c r="C2604" t="str">
        <f>"60"</f>
        <v>60</v>
      </c>
      <c r="D2604" t="str">
        <f>"We Fight Til Death"</f>
        <v>We Fight Til Death</v>
      </c>
    </row>
    <row r="2605" spans="1:4" x14ac:dyDescent="0.2">
      <c r="A2605" t="str">
        <f>"2604"</f>
        <v>2604</v>
      </c>
      <c r="B2605" t="str">
        <f>"-0.16"</f>
        <v>-0.16</v>
      </c>
      <c r="C2605" t="str">
        <f>"60"</f>
        <v>60</v>
      </c>
      <c r="D2605" t="str">
        <f>"New Pagan Love Song"</f>
        <v>New Pagan Love Song</v>
      </c>
    </row>
    <row r="2606" spans="1:4" x14ac:dyDescent="0.2">
      <c r="A2606" t="str">
        <f>"2605"</f>
        <v>2605</v>
      </c>
      <c r="B2606" t="str">
        <f>"0.42"</f>
        <v>0.42</v>
      </c>
      <c r="C2606" t="str">
        <f>"57"</f>
        <v>57</v>
      </c>
      <c r="D2606" t="str">
        <f>"The Delicate Seam"</f>
        <v>The Delicate Seam</v>
      </c>
    </row>
    <row r="2607" spans="1:4" x14ac:dyDescent="0.2">
      <c r="A2607" t="str">
        <f>"2606"</f>
        <v>2606</v>
      </c>
      <c r="B2607" t="str">
        <f>"-0.77"</f>
        <v>-0.77</v>
      </c>
      <c r="C2607" t="str">
        <f>"54"</f>
        <v>54</v>
      </c>
      <c r="D2607" t="str">
        <f>"Crimes"</f>
        <v>Crimes</v>
      </c>
    </row>
    <row r="2608" spans="1:4" x14ac:dyDescent="0.2">
      <c r="A2608" t="str">
        <f>"2607"</f>
        <v>2607</v>
      </c>
      <c r="B2608" t="str">
        <f>"-0.48"</f>
        <v>-0.48</v>
      </c>
      <c r="C2608" t="str">
        <f>"52"</f>
        <v>52</v>
      </c>
      <c r="D2608" t="str">
        <f>"Miss Machine"</f>
        <v>Miss Machine</v>
      </c>
    </row>
    <row r="2609" spans="1:4" x14ac:dyDescent="0.2">
      <c r="A2609" t="str">
        <f>"2608"</f>
        <v>2608</v>
      </c>
      <c r="B2609" t="str">
        <f>"0.03"</f>
        <v>0.03</v>
      </c>
      <c r="C2609" t="str">
        <f>"55"</f>
        <v>55</v>
      </c>
      <c r="D2609" t="str">
        <f>"Slew"</f>
        <v>Slew</v>
      </c>
    </row>
    <row r="2610" spans="1:4" x14ac:dyDescent="0.2">
      <c r="A2610" t="str">
        <f>"2609"</f>
        <v>2609</v>
      </c>
      <c r="B2610" t="str">
        <f>"0.52"</f>
        <v>0.52</v>
      </c>
      <c r="C2610" t="str">
        <f>"51"</f>
        <v>51</v>
      </c>
      <c r="D2610" t="str">
        <f>"Moment Returns"</f>
        <v>Moment Returns</v>
      </c>
    </row>
    <row r="2611" spans="1:4" x14ac:dyDescent="0.2">
      <c r="A2611" t="str">
        <f>"2610"</f>
        <v>2610</v>
      </c>
      <c r="B2611" t="str">
        <f>"-1.05"</f>
        <v>-1.05</v>
      </c>
      <c r="C2611" t="str">
        <f>"48"</f>
        <v>48</v>
      </c>
      <c r="D2611" t="str">
        <f>"On the Offensive EP"</f>
        <v>On the Offensive EP</v>
      </c>
    </row>
    <row r="2612" spans="1:4" x14ac:dyDescent="0.2">
      <c r="A2612" t="str">
        <f>"2611"</f>
        <v>2611</v>
      </c>
      <c r="B2612" t="str">
        <f>"0.52"</f>
        <v>0.52</v>
      </c>
      <c r="C2612" t="str">
        <f>"70"</f>
        <v>70</v>
      </c>
      <c r="D2612" t="str">
        <f>"New Roman Times"</f>
        <v>New Roman Times</v>
      </c>
    </row>
    <row r="2613" spans="1:4" x14ac:dyDescent="0.2">
      <c r="A2613" t="str">
        <f>"2612"</f>
        <v>2612</v>
      </c>
      <c r="B2613" t="str">
        <f>"-0.1"</f>
        <v>-0.1</v>
      </c>
      <c r="C2613" t="str">
        <f>"67"</f>
        <v>67</v>
      </c>
      <c r="D2613" t="str">
        <f>"The Folded Palm"</f>
        <v>The Folded Palm</v>
      </c>
    </row>
    <row r="2614" spans="1:4" x14ac:dyDescent="0.2">
      <c r="A2614" t="str">
        <f>"2613"</f>
        <v>2613</v>
      </c>
      <c r="B2614" t="str">
        <f>"-0.19"</f>
        <v>-0.19</v>
      </c>
      <c r="C2614" t="str">
        <f>"46"</f>
        <v>46</v>
      </c>
      <c r="D2614" t="str">
        <f>"Desperate Straights"</f>
        <v>Desperate Straights</v>
      </c>
    </row>
    <row r="2615" spans="1:4" x14ac:dyDescent="0.2">
      <c r="A2615" t="str">
        <f>"2614"</f>
        <v>2614</v>
      </c>
      <c r="B2615" t="str">
        <f>"-0.46"</f>
        <v>-0.46</v>
      </c>
      <c r="C2615" t="str">
        <f>"52"</f>
        <v>52</v>
      </c>
      <c r="D2615" t="str">
        <f>"Shredders Dub"</f>
        <v>Shredders Dub</v>
      </c>
    </row>
    <row r="2616" spans="1:4" x14ac:dyDescent="0.2">
      <c r="A2616" t="str">
        <f>"2615"</f>
        <v>2615</v>
      </c>
      <c r="B2616" t="str">
        <f>"0.14"</f>
        <v>0.14</v>
      </c>
      <c r="C2616" t="str">
        <f>"21"</f>
        <v>21</v>
      </c>
      <c r="D2616" t="s">
        <v>80</v>
      </c>
    </row>
    <row r="2617" spans="1:4" x14ac:dyDescent="0.2">
      <c r="A2617" t="str">
        <f>"2616"</f>
        <v>2616</v>
      </c>
      <c r="B2617" t="str">
        <f>"-0.27"</f>
        <v>-0.27</v>
      </c>
      <c r="C2617" t="str">
        <f>"66"</f>
        <v>66</v>
      </c>
      <c r="D2617" t="str">
        <f>"Summer in Abaddon"</f>
        <v>Summer in Abaddon</v>
      </c>
    </row>
    <row r="2618" spans="1:4" x14ac:dyDescent="0.2">
      <c r="A2618" t="str">
        <f>"2617"</f>
        <v>2617</v>
      </c>
      <c r="B2618" t="str">
        <f>"-0.24"</f>
        <v>-0.24</v>
      </c>
      <c r="C2618" t="str">
        <f>"58"</f>
        <v>58</v>
      </c>
      <c r="D2618" t="str">
        <f>"Mañana"</f>
        <v>Mañana</v>
      </c>
    </row>
    <row r="2619" spans="1:4" x14ac:dyDescent="0.2">
      <c r="A2619" t="str">
        <f>"2618"</f>
        <v>2618</v>
      </c>
      <c r="B2619" t="str">
        <f>"0.09"</f>
        <v>0.09</v>
      </c>
      <c r="C2619" t="str">
        <f>"59"</f>
        <v>59</v>
      </c>
      <c r="D2619" t="str">
        <f>"Treble &amp; Tremble"</f>
        <v>Treble &amp; Tremble</v>
      </c>
    </row>
    <row r="2620" spans="1:4" x14ac:dyDescent="0.2">
      <c r="A2620" t="str">
        <f>"2619"</f>
        <v>2619</v>
      </c>
      <c r="B2620" t="str">
        <f>"-0.33"</f>
        <v>-0.33</v>
      </c>
      <c r="C2620" t="str">
        <f>"21"</f>
        <v>21</v>
      </c>
      <c r="D2620" t="str">
        <f>"All the Leaves Are Gone"</f>
        <v>All the Leaves Are Gone</v>
      </c>
    </row>
    <row r="2621" spans="1:4" x14ac:dyDescent="0.2">
      <c r="A2621" t="str">
        <f>"2620"</f>
        <v>2620</v>
      </c>
      <c r="B2621" t="str">
        <f>"0.14"</f>
        <v>0.14</v>
      </c>
      <c r="C2621" t="str">
        <f>"47"</f>
        <v>47</v>
      </c>
      <c r="D2621" t="str">
        <f>"One in an Infinity of Ways"</f>
        <v>One in an Infinity of Ways</v>
      </c>
    </row>
    <row r="2622" spans="1:4" x14ac:dyDescent="0.2">
      <c r="A2622" t="str">
        <f>"2621"</f>
        <v>2621</v>
      </c>
      <c r="B2622" t="str">
        <f>"-0.69"</f>
        <v>-0.69</v>
      </c>
      <c r="C2622" t="str">
        <f>"84"</f>
        <v>84</v>
      </c>
      <c r="D2622" t="str">
        <f>"Frank Black Francis"</f>
        <v>Frank Black Francis</v>
      </c>
    </row>
    <row r="2623" spans="1:4" x14ac:dyDescent="0.2">
      <c r="A2623" t="str">
        <f>"2622"</f>
        <v>2622</v>
      </c>
      <c r="B2623" t="str">
        <f>"-0.28"</f>
        <v>-0.28</v>
      </c>
      <c r="C2623" t="str">
        <f>"67"</f>
        <v>67</v>
      </c>
      <c r="D2623" t="str">
        <f>"Love Songs for Patriots"</f>
        <v>Love Songs for Patriots</v>
      </c>
    </row>
    <row r="2624" spans="1:4" x14ac:dyDescent="0.2">
      <c r="A2624" t="str">
        <f>"2623"</f>
        <v>2623</v>
      </c>
      <c r="B2624" t="str">
        <f>"-0.02"</f>
        <v>-0.02</v>
      </c>
      <c r="C2624" t="str">
        <f>"55"</f>
        <v>55</v>
      </c>
      <c r="D2624" t="str">
        <f>"Mirages"</f>
        <v>Mirages</v>
      </c>
    </row>
    <row r="2625" spans="1:4" x14ac:dyDescent="0.2">
      <c r="A2625" t="str">
        <f>"2624"</f>
        <v>2624</v>
      </c>
      <c r="B2625" t="str">
        <f>"-1.13"</f>
        <v>-1.13</v>
      </c>
      <c r="C2625" t="str">
        <f>"61"</f>
        <v>61</v>
      </c>
      <c r="D2625" t="str">
        <f>"Our Shadows Will Remain"</f>
        <v>Our Shadows Will Remain</v>
      </c>
    </row>
    <row r="2626" spans="1:4" x14ac:dyDescent="0.2">
      <c r="A2626" t="str">
        <f>"2625"</f>
        <v>2625</v>
      </c>
      <c r="B2626" t="str">
        <f>"-0.53"</f>
        <v>-0.53</v>
      </c>
      <c r="C2626" t="str">
        <f>"63"</f>
        <v>63</v>
      </c>
      <c r="D2626" t="str">
        <f>"kpt.michi.gan"</f>
        <v>kpt.michi.gan</v>
      </c>
    </row>
    <row r="2627" spans="1:4" x14ac:dyDescent="0.2">
      <c r="A2627" t="str">
        <f>"2626"</f>
        <v>2626</v>
      </c>
      <c r="B2627" t="str">
        <f>"0.25"</f>
        <v>0.25</v>
      </c>
      <c r="C2627" t="str">
        <f>"199"</f>
        <v>199</v>
      </c>
      <c r="D2627" t="str">
        <f>"Discreet Music"</f>
        <v>Discreet Music</v>
      </c>
    </row>
    <row r="2628" spans="1:4" x14ac:dyDescent="0.2">
      <c r="A2628" t="str">
        <f>"2627"</f>
        <v>2627</v>
      </c>
      <c r="B2628" t="str">
        <f>"0.19"</f>
        <v>0.19</v>
      </c>
      <c r="C2628" t="str">
        <f>"54"</f>
        <v>54</v>
      </c>
      <c r="D2628" t="str">
        <f>"The Grind Date"</f>
        <v>The Grind Date</v>
      </c>
    </row>
    <row r="2629" spans="1:4" x14ac:dyDescent="0.2">
      <c r="A2629" t="str">
        <f>"2628"</f>
        <v>2628</v>
      </c>
      <c r="B2629" t="str">
        <f>"-0.86"</f>
        <v>-0.86</v>
      </c>
      <c r="C2629" t="str">
        <f>"53"</f>
        <v>53</v>
      </c>
      <c r="D2629" t="str">
        <f>"Dents and Shells"</f>
        <v>Dents and Shells</v>
      </c>
    </row>
    <row r="2630" spans="1:4" x14ac:dyDescent="0.2">
      <c r="A2630" t="str">
        <f>"2629"</f>
        <v>2629</v>
      </c>
      <c r="B2630" t="str">
        <f>"0.33"</f>
        <v>0.33</v>
      </c>
      <c r="C2630" t="str">
        <f>"51"</f>
        <v>51</v>
      </c>
      <c r="D2630" t="str">
        <f>"Favourite Colours"</f>
        <v>Favourite Colours</v>
      </c>
    </row>
    <row r="2631" spans="1:4" x14ac:dyDescent="0.2">
      <c r="A2631" t="str">
        <f>"2630"</f>
        <v>2630</v>
      </c>
      <c r="B2631" t="str">
        <f>"-0.58"</f>
        <v>-0.58</v>
      </c>
      <c r="C2631" t="str">
        <f>"54"</f>
        <v>54</v>
      </c>
      <c r="D2631" t="str">
        <f>"Hidden Vagenda"</f>
        <v>Hidden Vagenda</v>
      </c>
    </row>
    <row r="2632" spans="1:4" x14ac:dyDescent="0.2">
      <c r="A2632" t="str">
        <f>"2631"</f>
        <v>2631</v>
      </c>
      <c r="B2632" t="str">
        <f>"-0.6"</f>
        <v>-0.6</v>
      </c>
      <c r="C2632" t="str">
        <f>"75"</f>
        <v>75</v>
      </c>
      <c r="D2632" t="str">
        <f>"Hidros 3 (To Patti Smith)"</f>
        <v>Hidros 3 (To Patti Smith)</v>
      </c>
    </row>
    <row r="2633" spans="1:4" x14ac:dyDescent="0.2">
      <c r="A2633" t="str">
        <f>"2632"</f>
        <v>2632</v>
      </c>
      <c r="B2633" t="str">
        <f>"0.23"</f>
        <v>0.23</v>
      </c>
      <c r="C2633" t="str">
        <f>"56"</f>
        <v>56</v>
      </c>
      <c r="D2633" t="str">
        <f>"Pockets"</f>
        <v>Pockets</v>
      </c>
    </row>
    <row r="2634" spans="1:4" x14ac:dyDescent="0.2">
      <c r="A2634" t="str">
        <f>"2633"</f>
        <v>2633</v>
      </c>
      <c r="B2634" t="str">
        <f>"0.7"</f>
        <v>0.7</v>
      </c>
      <c r="C2634" t="str">
        <f>"74"</f>
        <v>74</v>
      </c>
      <c r="D2634" t="str">
        <f>"Conscientious Objector"</f>
        <v>Conscientious Objector</v>
      </c>
    </row>
    <row r="2635" spans="1:4" x14ac:dyDescent="0.2">
      <c r="A2635" t="str">
        <f>"2634"</f>
        <v>2634</v>
      </c>
      <c r="B2635" t="str">
        <f>"0"</f>
        <v>0</v>
      </c>
      <c r="C2635" t="str">
        <f>"37"</f>
        <v>37</v>
      </c>
      <c r="D2635" t="str">
        <f>"Those Who Were Hung Hang Here"</f>
        <v>Those Who Were Hung Hang Here</v>
      </c>
    </row>
    <row r="2636" spans="1:4" x14ac:dyDescent="0.2">
      <c r="A2636" t="str">
        <f>"2635"</f>
        <v>2635</v>
      </c>
      <c r="B2636" t="str">
        <f>"-0.37"</f>
        <v>-0.37</v>
      </c>
      <c r="C2636" t="str">
        <f>"41"</f>
        <v>41</v>
      </c>
      <c r="D2636" t="str">
        <f>"City"</f>
        <v>City</v>
      </c>
    </row>
    <row r="2637" spans="1:4" x14ac:dyDescent="0.2">
      <c r="A2637" t="str">
        <f>"2636"</f>
        <v>2636</v>
      </c>
      <c r="B2637" t="str">
        <f>"-0.18"</f>
        <v>-0.18</v>
      </c>
      <c r="C2637" t="str">
        <f>"70"</f>
        <v>70</v>
      </c>
      <c r="D2637" t="str">
        <f>"Abattoir Blues"</f>
        <v>Abattoir Blues</v>
      </c>
    </row>
    <row r="2638" spans="1:4" x14ac:dyDescent="0.2">
      <c r="A2638" t="str">
        <f>"2637"</f>
        <v>2637</v>
      </c>
      <c r="B2638" t="str">
        <f>"-0.33"</f>
        <v>-0.33</v>
      </c>
      <c r="C2638" t="str">
        <f>"69"</f>
        <v>69</v>
      </c>
      <c r="D2638" t="str">
        <f>"Palookaville"</f>
        <v>Palookaville</v>
      </c>
    </row>
    <row r="2639" spans="1:4" x14ac:dyDescent="0.2">
      <c r="A2639" t="str">
        <f>"2638"</f>
        <v>2638</v>
      </c>
      <c r="B2639" t="str">
        <f>"0.71"</f>
        <v>0.71</v>
      </c>
      <c r="C2639" t="str">
        <f>"43"</f>
        <v>43</v>
      </c>
      <c r="D2639" t="str">
        <f>"In the Alleyway"</f>
        <v>In the Alleyway</v>
      </c>
    </row>
    <row r="2640" spans="1:4" x14ac:dyDescent="0.2">
      <c r="A2640" t="str">
        <f>"2639"</f>
        <v>2639</v>
      </c>
      <c r="B2640" t="str">
        <f>"-0.2"</f>
        <v>-0.2</v>
      </c>
      <c r="C2640" t="str">
        <f>"51"</f>
        <v>51</v>
      </c>
      <c r="D2640" t="str">
        <f>"Handwriting"</f>
        <v>Handwriting</v>
      </c>
    </row>
    <row r="2641" spans="1:4" x14ac:dyDescent="0.2">
      <c r="A2641" t="str">
        <f>"2640"</f>
        <v>2640</v>
      </c>
      <c r="B2641" t="str">
        <f>"-0.35"</f>
        <v>-0.35</v>
      </c>
      <c r="C2641" t="str">
        <f>"54"</f>
        <v>54</v>
      </c>
      <c r="D2641" t="str">
        <f>"Joyful Rebellion"</f>
        <v>Joyful Rebellion</v>
      </c>
    </row>
    <row r="2642" spans="1:4" x14ac:dyDescent="0.2">
      <c r="A2642" t="str">
        <f>"2641"</f>
        <v>2641</v>
      </c>
      <c r="B2642" t="str">
        <f>"-0.08"</f>
        <v>-0.08</v>
      </c>
      <c r="C2642" t="str">
        <f>"72"</f>
        <v>72</v>
      </c>
      <c r="D2642" t="str">
        <f>"Around the Sun"</f>
        <v>Around the Sun</v>
      </c>
    </row>
    <row r="2643" spans="1:4" x14ac:dyDescent="0.2">
      <c r="A2643" t="str">
        <f>"2642"</f>
        <v>2642</v>
      </c>
      <c r="B2643" t="str">
        <f>"-0.3"</f>
        <v>-0.3</v>
      </c>
      <c r="C2643" t="str">
        <f>"72"</f>
        <v>72</v>
      </c>
      <c r="D2643" t="str">
        <f>"Power"</f>
        <v>Power</v>
      </c>
    </row>
    <row r="2644" spans="1:4" x14ac:dyDescent="0.2">
      <c r="A2644" t="str">
        <f>"2643"</f>
        <v>2643</v>
      </c>
      <c r="B2644" t="str">
        <f>"-0.3"</f>
        <v>-0.3</v>
      </c>
      <c r="C2644" t="str">
        <f>"41"</f>
        <v>41</v>
      </c>
      <c r="D2644" t="str">
        <f>"This Week"</f>
        <v>This Week</v>
      </c>
    </row>
    <row r="2645" spans="1:4" x14ac:dyDescent="0.2">
      <c r="A2645" t="str">
        <f>"2644"</f>
        <v>2644</v>
      </c>
      <c r="B2645" t="str">
        <f>"-0.36"</f>
        <v>-0.36</v>
      </c>
      <c r="C2645" t="str">
        <f>"61"</f>
        <v>61</v>
      </c>
      <c r="D2645" t="str">
        <f>"Codename: Dustsucker"</f>
        <v>Codename: Dustsucker</v>
      </c>
    </row>
    <row r="2646" spans="1:4" x14ac:dyDescent="0.2">
      <c r="A2646" t="str">
        <f>"2645"</f>
        <v>2645</v>
      </c>
      <c r="B2646" t="str">
        <f>"0.1"</f>
        <v>0.1</v>
      </c>
      <c r="C2646" t="str">
        <f>"60"</f>
        <v>60</v>
      </c>
      <c r="D2646" t="str">
        <f>"Schöner Flußengel"</f>
        <v>Schöner Flußengel</v>
      </c>
    </row>
    <row r="2647" spans="1:4" x14ac:dyDescent="0.2">
      <c r="A2647" t="str">
        <f>"2646"</f>
        <v>2646</v>
      </c>
      <c r="B2647" t="str">
        <f>"-0.81"</f>
        <v>-0.81</v>
      </c>
      <c r="C2647" t="str">
        <f>"77"</f>
        <v>77</v>
      </c>
      <c r="D2647" t="str">
        <f>"Real Gone"</f>
        <v>Real Gone</v>
      </c>
    </row>
    <row r="2648" spans="1:4" x14ac:dyDescent="0.2">
      <c r="A2648" t="str">
        <f>"2647"</f>
        <v>2647</v>
      </c>
      <c r="B2648" t="str">
        <f>"0.18"</f>
        <v>0.18</v>
      </c>
      <c r="C2648" t="str">
        <f>"82"</f>
        <v>82</v>
      </c>
      <c r="D2648" t="str">
        <f>"Audit in Progress"</f>
        <v>Audit in Progress</v>
      </c>
    </row>
    <row r="2649" spans="1:4" x14ac:dyDescent="0.2">
      <c r="A2649" t="str">
        <f>"2648"</f>
        <v>2648</v>
      </c>
      <c r="B2649" t="str">
        <f>"0.3"</f>
        <v>0.3</v>
      </c>
      <c r="C2649" t="str">
        <f>"61"</f>
        <v>61</v>
      </c>
      <c r="D2649" t="str">
        <f>"Mbira Magic"</f>
        <v>Mbira Magic</v>
      </c>
    </row>
    <row r="2650" spans="1:4" x14ac:dyDescent="0.2">
      <c r="A2650" t="str">
        <f>"2649"</f>
        <v>2649</v>
      </c>
      <c r="B2650" t="str">
        <f>"0.29"</f>
        <v>0.29</v>
      </c>
      <c r="C2650" t="str">
        <f>"49"</f>
        <v>49</v>
      </c>
      <c r="D2650" t="str">
        <f>"The Whispering Wall"</f>
        <v>The Whispering Wall</v>
      </c>
    </row>
    <row r="2651" spans="1:4" x14ac:dyDescent="0.2">
      <c r="A2651" t="str">
        <f>"2650"</f>
        <v>2650</v>
      </c>
      <c r="B2651" t="str">
        <f>"0.02"</f>
        <v>0.02</v>
      </c>
      <c r="C2651" t="str">
        <f>"48"</f>
        <v>48</v>
      </c>
      <c r="D2651" t="str">
        <f>"In the World of Him"</f>
        <v>In the World of Him</v>
      </c>
    </row>
    <row r="2652" spans="1:4" x14ac:dyDescent="0.2">
      <c r="A2652" t="str">
        <f>"2651"</f>
        <v>2651</v>
      </c>
      <c r="B2652" t="str">
        <f>"-0.76"</f>
        <v>-0.76</v>
      </c>
      <c r="C2652" t="str">
        <f>"41"</f>
        <v>41</v>
      </c>
      <c r="D2652" t="str">
        <f>"Damage"</f>
        <v>Damage</v>
      </c>
    </row>
    <row r="2653" spans="1:4" x14ac:dyDescent="0.2">
      <c r="A2653" t="str">
        <f>"2652"</f>
        <v>2652</v>
      </c>
      <c r="B2653" t="str">
        <f>"-0.52"</f>
        <v>-0.52</v>
      </c>
      <c r="C2653" t="str">
        <f>"75"</f>
        <v>75</v>
      </c>
      <c r="D2653" t="str">
        <f>"Burned Mind"</f>
        <v>Burned Mind</v>
      </c>
    </row>
    <row r="2654" spans="1:4" x14ac:dyDescent="0.2">
      <c r="A2654" t="str">
        <f>"2653"</f>
        <v>2653</v>
      </c>
      <c r="B2654" t="str">
        <f>"0.22"</f>
        <v>0.22</v>
      </c>
      <c r="C2654" t="str">
        <f>"60"</f>
        <v>60</v>
      </c>
      <c r="D2654" t="str">
        <f>"Painting a Burning Building"</f>
        <v>Painting a Burning Building</v>
      </c>
    </row>
    <row r="2655" spans="1:4" x14ac:dyDescent="0.2">
      <c r="A2655" t="str">
        <f>"2654"</f>
        <v>2654</v>
      </c>
      <c r="B2655" t="str">
        <f>"0.67"</f>
        <v>0.67</v>
      </c>
      <c r="C2655" t="str">
        <f>"55"</f>
        <v>55</v>
      </c>
      <c r="D2655" t="str">
        <f>"Every Night"</f>
        <v>Every Night</v>
      </c>
    </row>
    <row r="2656" spans="1:4" x14ac:dyDescent="0.2">
      <c r="A2656" t="str">
        <f>"2655"</f>
        <v>2655</v>
      </c>
      <c r="B2656" t="str">
        <f>"-1.09"</f>
        <v>-1.09</v>
      </c>
      <c r="C2656" t="str">
        <f>"36"</f>
        <v>36</v>
      </c>
      <c r="D2656" t="str">
        <f>"Night on Fire"</f>
        <v>Night on Fire</v>
      </c>
    </row>
    <row r="2657" spans="1:4" x14ac:dyDescent="0.2">
      <c r="A2657" t="str">
        <f>"2656"</f>
        <v>2656</v>
      </c>
      <c r="B2657" t="str">
        <f>"-0.51"</f>
        <v>-0.51</v>
      </c>
      <c r="C2657" t="str">
        <f>"66"</f>
        <v>66</v>
      </c>
      <c r="D2657" t="str">
        <f>"The Beautiful Struggle"</f>
        <v>The Beautiful Struggle</v>
      </c>
    </row>
    <row r="2658" spans="1:4" x14ac:dyDescent="0.2">
      <c r="A2658" t="str">
        <f>"2657"</f>
        <v>2657</v>
      </c>
      <c r="B2658" t="str">
        <f>"0.48"</f>
        <v>0.48</v>
      </c>
      <c r="C2658" t="str">
        <f>"56"</f>
        <v>56</v>
      </c>
      <c r="D2658" t="str">
        <f>"Bloc Party EP"</f>
        <v>Bloc Party EP</v>
      </c>
    </row>
    <row r="2659" spans="1:4" x14ac:dyDescent="0.2">
      <c r="A2659" t="str">
        <f>"2658"</f>
        <v>2658</v>
      </c>
      <c r="B2659" t="str">
        <f>"0.47"</f>
        <v>0.47</v>
      </c>
      <c r="C2659" t="str">
        <f>"34"</f>
        <v>34</v>
      </c>
      <c r="D2659" t="str">
        <f>"Young Prayer"</f>
        <v>Young Prayer</v>
      </c>
    </row>
    <row r="2660" spans="1:4" x14ac:dyDescent="0.2">
      <c r="A2660" t="str">
        <f>"2659"</f>
        <v>2659</v>
      </c>
      <c r="B2660" t="str">
        <f>"-0.67"</f>
        <v>-0.67</v>
      </c>
      <c r="C2660" t="str">
        <f>"49"</f>
        <v>49</v>
      </c>
      <c r="D2660" t="str">
        <f>"Trust Not Those in Whom Without Some Touch of Madness"</f>
        <v>Trust Not Those in Whom Without Some Touch of Madness</v>
      </c>
    </row>
    <row r="2661" spans="1:4" x14ac:dyDescent="0.2">
      <c r="A2661" t="str">
        <f>"2660"</f>
        <v>2660</v>
      </c>
      <c r="B2661" t="str">
        <f>"-0.07"</f>
        <v>-0.07</v>
      </c>
      <c r="C2661" t="str">
        <f>"19"</f>
        <v>19</v>
      </c>
      <c r="D2661" t="str">
        <f>"Just Beyond the River"</f>
        <v>Just Beyond the River</v>
      </c>
    </row>
    <row r="2662" spans="1:4" x14ac:dyDescent="0.2">
      <c r="A2662" t="str">
        <f>"2661"</f>
        <v>2661</v>
      </c>
      <c r="B2662" t="str">
        <f>"-0.75"</f>
        <v>-0.75</v>
      </c>
      <c r="C2662" t="str">
        <f>"50"</f>
        <v>50</v>
      </c>
      <c r="D2662" t="str">
        <f>"Transmaniacon"</f>
        <v>Transmaniacon</v>
      </c>
    </row>
    <row r="2663" spans="1:4" x14ac:dyDescent="0.2">
      <c r="A2663" t="str">
        <f>"2662"</f>
        <v>2662</v>
      </c>
      <c r="B2663" t="str">
        <f>"0.47"</f>
        <v>0.47</v>
      </c>
      <c r="C2663" t="str">
        <f>"194"</f>
        <v>194</v>
      </c>
      <c r="D2663" t="str">
        <f>"Smile"</f>
        <v>Smile</v>
      </c>
    </row>
    <row r="2664" spans="1:4" x14ac:dyDescent="0.2">
      <c r="A2664" t="str">
        <f>"2663"</f>
        <v>2663</v>
      </c>
      <c r="B2664" t="str">
        <f>"0.25"</f>
        <v>0.25</v>
      </c>
      <c r="C2664" t="str">
        <f>"52"</f>
        <v>52</v>
      </c>
      <c r="D2664" t="str">
        <f>"Gold"</f>
        <v>Gold</v>
      </c>
    </row>
    <row r="2665" spans="1:4" x14ac:dyDescent="0.2">
      <c r="A2665" t="str">
        <f>"2664"</f>
        <v>2664</v>
      </c>
      <c r="B2665" t="str">
        <f>"1.22"</f>
        <v>1.22</v>
      </c>
      <c r="C2665" t="str">
        <f>"59"</f>
        <v>59</v>
      </c>
      <c r="D2665" t="str">
        <f>"Rhythmatism"</f>
        <v>Rhythmatism</v>
      </c>
    </row>
    <row r="2666" spans="1:4" x14ac:dyDescent="0.2">
      <c r="A2666" t="str">
        <f>"2665"</f>
        <v>2665</v>
      </c>
      <c r="B2666" t="str">
        <f>"-0.64"</f>
        <v>-0.64</v>
      </c>
      <c r="C2666" t="str">
        <f>"47"</f>
        <v>47</v>
      </c>
      <c r="D2666" t="str">
        <f>"It'll Be Cool"</f>
        <v>It'll Be Cool</v>
      </c>
    </row>
    <row r="2667" spans="1:4" x14ac:dyDescent="0.2">
      <c r="A2667" t="str">
        <f>"2666"</f>
        <v>2666</v>
      </c>
      <c r="B2667" t="str">
        <f>"-0.94"</f>
        <v>-0.94</v>
      </c>
      <c r="C2667" t="str">
        <f>"113"</f>
        <v>113</v>
      </c>
      <c r="D2667" t="str">
        <f>"Travistan"</f>
        <v>Travistan</v>
      </c>
    </row>
    <row r="2668" spans="1:4" x14ac:dyDescent="0.2">
      <c r="A2668" t="str">
        <f>"2667"</f>
        <v>2667</v>
      </c>
      <c r="B2668" t="str">
        <f>"-0.78"</f>
        <v>-0.78</v>
      </c>
      <c r="C2668" t="str">
        <f>"46"</f>
        <v>46</v>
      </c>
      <c r="D2668" t="str">
        <f>"Universal Audio"</f>
        <v>Universal Audio</v>
      </c>
    </row>
    <row r="2669" spans="1:4" x14ac:dyDescent="0.2">
      <c r="A2669" t="str">
        <f>"2668"</f>
        <v>2668</v>
      </c>
      <c r="B2669" t="str">
        <f>"0.24"</f>
        <v>0.24</v>
      </c>
      <c r="C2669" t="str">
        <f>"108"</f>
        <v>108</v>
      </c>
      <c r="D2669" t="str">
        <f>"Trax Records: 20th Anniversary Collection"</f>
        <v>Trax Records: 20th Anniversary Collection</v>
      </c>
    </row>
    <row r="2670" spans="1:4" x14ac:dyDescent="0.2">
      <c r="A2670" t="str">
        <f>"2669"</f>
        <v>2669</v>
      </c>
      <c r="B2670" t="str">
        <f>"-0.12"</f>
        <v>-0.12</v>
      </c>
      <c r="C2670" t="str">
        <f>"52"</f>
        <v>52</v>
      </c>
      <c r="D2670" t="str">
        <f>"I Com"</f>
        <v>I Com</v>
      </c>
    </row>
    <row r="2671" spans="1:4" x14ac:dyDescent="0.2">
      <c r="A2671" t="str">
        <f>"2670"</f>
        <v>2670</v>
      </c>
      <c r="B2671" t="str">
        <f>"-0.16"</f>
        <v>-0.16</v>
      </c>
      <c r="C2671" t="str">
        <f>"67"</f>
        <v>67</v>
      </c>
      <c r="D2671" t="str">
        <f>"Little Heart's Ease"</f>
        <v>Little Heart's Ease</v>
      </c>
    </row>
    <row r="2672" spans="1:4" x14ac:dyDescent="0.2">
      <c r="A2672" t="str">
        <f>"2671"</f>
        <v>2671</v>
      </c>
      <c r="B2672" t="str">
        <f>"1.24"</f>
        <v>1.24</v>
      </c>
      <c r="C2672" t="str">
        <f>"37"</f>
        <v>37</v>
      </c>
      <c r="D2672" t="str">
        <f>"The Delivery Man"</f>
        <v>The Delivery Man</v>
      </c>
    </row>
    <row r="2673" spans="1:4" x14ac:dyDescent="0.2">
      <c r="A2673" t="str">
        <f>"2672"</f>
        <v>2672</v>
      </c>
      <c r="B2673" t="str">
        <f>"0.11"</f>
        <v>0.11</v>
      </c>
      <c r="C2673" t="str">
        <f>"90"</f>
        <v>90</v>
      </c>
      <c r="D2673" t="str">
        <f>"Antics"</f>
        <v>Antics</v>
      </c>
    </row>
    <row r="2674" spans="1:4" x14ac:dyDescent="0.2">
      <c r="A2674" t="str">
        <f>"2673"</f>
        <v>2673</v>
      </c>
      <c r="B2674" t="str">
        <f>"0.41"</f>
        <v>0.41</v>
      </c>
      <c r="C2674" t="str">
        <f>"42"</f>
        <v>42</v>
      </c>
      <c r="D2674" t="s">
        <v>81</v>
      </c>
    </row>
    <row r="2675" spans="1:4" x14ac:dyDescent="0.2">
      <c r="A2675" t="str">
        <f>"2674"</f>
        <v>2674</v>
      </c>
      <c r="B2675" t="str">
        <f>"0.29"</f>
        <v>0.29</v>
      </c>
      <c r="C2675" t="str">
        <f>"83"</f>
        <v>83</v>
      </c>
      <c r="D2675" t="str">
        <f>"Saul Williams"</f>
        <v>Saul Williams</v>
      </c>
    </row>
    <row r="2676" spans="1:4" x14ac:dyDescent="0.2">
      <c r="A2676" t="str">
        <f>"2675"</f>
        <v>2675</v>
      </c>
      <c r="B2676" t="str">
        <f>"-0.07"</f>
        <v>-0.07</v>
      </c>
      <c r="C2676" t="str">
        <f>"58"</f>
        <v>58</v>
      </c>
      <c r="D2676" t="str">
        <f>"Things Are Strange"</f>
        <v>Things Are Strange</v>
      </c>
    </row>
    <row r="2677" spans="1:4" x14ac:dyDescent="0.2">
      <c r="A2677" t="str">
        <f>"2676"</f>
        <v>2676</v>
      </c>
      <c r="B2677" t="str">
        <f>"-0.77"</f>
        <v>-0.77</v>
      </c>
      <c r="C2677" t="str">
        <f>"80"</f>
        <v>80</v>
      </c>
      <c r="D2677" t="str">
        <f>"American Idiot"</f>
        <v>American Idiot</v>
      </c>
    </row>
    <row r="2678" spans="1:4" x14ac:dyDescent="0.2">
      <c r="A2678" t="str">
        <f>"2677"</f>
        <v>2677</v>
      </c>
      <c r="B2678" t="str">
        <f>"0.47"</f>
        <v>0.47</v>
      </c>
      <c r="C2678" t="str">
        <f>"30"</f>
        <v>30</v>
      </c>
      <c r="D2678" t="s">
        <v>82</v>
      </c>
    </row>
    <row r="2679" spans="1:4" x14ac:dyDescent="0.2">
      <c r="A2679" t="str">
        <f>"2678"</f>
        <v>2678</v>
      </c>
      <c r="B2679" t="str">
        <f>"-0.17"</f>
        <v>-0.17</v>
      </c>
      <c r="C2679" t="str">
        <f>"73"</f>
        <v>73</v>
      </c>
      <c r="D2679" t="str">
        <f>"The Underground Spiritual Game"</f>
        <v>The Underground Spiritual Game</v>
      </c>
    </row>
    <row r="2680" spans="1:4" x14ac:dyDescent="0.2">
      <c r="A2680" t="str">
        <f>"2679"</f>
        <v>2679</v>
      </c>
      <c r="B2680" t="str">
        <f>"-0.45"</f>
        <v>-0.45</v>
      </c>
      <c r="C2680" t="str">
        <f>"60"</f>
        <v>60</v>
      </c>
      <c r="D2680" t="str">
        <f>"A New White"</f>
        <v>A New White</v>
      </c>
    </row>
    <row r="2681" spans="1:4" x14ac:dyDescent="0.2">
      <c r="A2681" t="str">
        <f>"2680"</f>
        <v>2680</v>
      </c>
      <c r="B2681" t="str">
        <f>"0.51"</f>
        <v>0.51</v>
      </c>
      <c r="C2681" t="str">
        <f>"54"</f>
        <v>54</v>
      </c>
      <c r="D2681" t="str">
        <f>"The Litmus Test"</f>
        <v>The Litmus Test</v>
      </c>
    </row>
    <row r="2682" spans="1:4" x14ac:dyDescent="0.2">
      <c r="A2682" t="str">
        <f>"2681"</f>
        <v>2681</v>
      </c>
      <c r="B2682" t="str">
        <f>"0.67"</f>
        <v>0.67</v>
      </c>
      <c r="C2682" t="str">
        <f>"100"</f>
        <v>100</v>
      </c>
      <c r="D2682" t="str">
        <f>"Grace: Legacy Edition"</f>
        <v>Grace: Legacy Edition</v>
      </c>
    </row>
    <row r="2683" spans="1:4" x14ac:dyDescent="0.2">
      <c r="A2683" t="str">
        <f>"2682"</f>
        <v>2682</v>
      </c>
      <c r="B2683" t="str">
        <f>"0.6"</f>
        <v>0.6</v>
      </c>
      <c r="C2683" t="str">
        <f>"54"</f>
        <v>54</v>
      </c>
      <c r="D2683" t="str">
        <f>"Night Piece"</f>
        <v>Night Piece</v>
      </c>
    </row>
    <row r="2684" spans="1:4" x14ac:dyDescent="0.2">
      <c r="A2684" t="str">
        <f>"2683"</f>
        <v>2683</v>
      </c>
      <c r="B2684" t="str">
        <f>"0.92"</f>
        <v>0.92</v>
      </c>
      <c r="C2684" t="str">
        <f>"67"</f>
        <v>67</v>
      </c>
      <c r="D2684" t="str">
        <f>"Vultures Await"</f>
        <v>Vultures Await</v>
      </c>
    </row>
    <row r="2685" spans="1:4" x14ac:dyDescent="0.2">
      <c r="A2685" t="str">
        <f>"2684"</f>
        <v>2684</v>
      </c>
      <c r="B2685" t="str">
        <f>"-0.76"</f>
        <v>-0.76</v>
      </c>
      <c r="C2685" t="str">
        <f>"54"</f>
        <v>54</v>
      </c>
      <c r="D2685" t="str">
        <f>"Head Off"</f>
        <v>Head Off</v>
      </c>
    </row>
    <row r="2686" spans="1:4" x14ac:dyDescent="0.2">
      <c r="A2686" t="str">
        <f>"2685"</f>
        <v>2685</v>
      </c>
      <c r="B2686" t="str">
        <f>"0.26"</f>
        <v>0.26</v>
      </c>
      <c r="C2686" t="str">
        <f>"62"</f>
        <v>62</v>
      </c>
      <c r="D2686" t="str">
        <f>"EPS"</f>
        <v>EPS</v>
      </c>
    </row>
    <row r="2687" spans="1:4" x14ac:dyDescent="0.2">
      <c r="A2687" t="str">
        <f>"2686"</f>
        <v>2686</v>
      </c>
      <c r="B2687" t="str">
        <f>"-0.58"</f>
        <v>-0.58</v>
      </c>
      <c r="C2687" t="str">
        <f>"107"</f>
        <v>107</v>
      </c>
      <c r="D2687" t="str">
        <f>"London Calling: 25th Anniversary Legacy Edition"</f>
        <v>London Calling: 25th Anniversary Legacy Edition</v>
      </c>
    </row>
    <row r="2688" spans="1:4" x14ac:dyDescent="0.2">
      <c r="A2688" t="str">
        <f>"2687"</f>
        <v>2687</v>
      </c>
      <c r="B2688" t="str">
        <f>"0.73"</f>
        <v>0.73</v>
      </c>
      <c r="C2688" t="str">
        <f>"96"</f>
        <v>96</v>
      </c>
      <c r="D2688" t="str">
        <f>"Niño Rojo"</f>
        <v>Niño Rojo</v>
      </c>
    </row>
    <row r="2689" spans="1:4" x14ac:dyDescent="0.2">
      <c r="A2689" t="str">
        <f>"2688"</f>
        <v>2688</v>
      </c>
      <c r="B2689" t="str">
        <f>"0.17"</f>
        <v>0.17</v>
      </c>
      <c r="C2689" t="str">
        <f>"63"</f>
        <v>63</v>
      </c>
      <c r="D2689" t="str">
        <f>"Offshore Presents: Troubled Waters"</f>
        <v>Offshore Presents: Troubled Waters</v>
      </c>
    </row>
    <row r="2690" spans="1:4" x14ac:dyDescent="0.2">
      <c r="A2690" t="str">
        <f>"2689"</f>
        <v>2689</v>
      </c>
      <c r="B2690" t="str">
        <f>"-0.41"</f>
        <v>-0.41</v>
      </c>
      <c r="C2690" t="str">
        <f>"57"</f>
        <v>57</v>
      </c>
      <c r="D2690" t="str">
        <f>"Oxeneers or The Lion Sleeps When Its Antelope Go Home"</f>
        <v>Oxeneers or The Lion Sleeps When Its Antelope Go Home</v>
      </c>
    </row>
    <row r="2691" spans="1:4" x14ac:dyDescent="0.2">
      <c r="A2691" t="str">
        <f>"2690"</f>
        <v>2690</v>
      </c>
      <c r="B2691" t="str">
        <f>"1.01"</f>
        <v>1.01</v>
      </c>
      <c r="C2691" t="str">
        <f>"60"</f>
        <v>60</v>
      </c>
      <c r="D2691" t="str">
        <f>"When I Said I Wanted to Be Your Dog"</f>
        <v>When I Said I Wanted to Be Your Dog</v>
      </c>
    </row>
    <row r="2692" spans="1:4" x14ac:dyDescent="0.2">
      <c r="A2692" t="str">
        <f>"2691"</f>
        <v>2691</v>
      </c>
      <c r="B2692" t="str">
        <f>"-1.28"</f>
        <v>-1.28</v>
      </c>
      <c r="C2692" t="str">
        <f>"64"</f>
        <v>64</v>
      </c>
      <c r="D2692" t="str">
        <f>"Godfather Buried Alive"</f>
        <v>Godfather Buried Alive</v>
      </c>
    </row>
    <row r="2693" spans="1:4" x14ac:dyDescent="0.2">
      <c r="A2693" t="str">
        <f>"2692"</f>
        <v>2692</v>
      </c>
      <c r="B2693" t="str">
        <f>"0.56"</f>
        <v>0.56</v>
      </c>
      <c r="C2693" t="str">
        <f>"70"</f>
        <v>70</v>
      </c>
      <c r="D2693" t="str">
        <f>"My Parade"</f>
        <v>My Parade</v>
      </c>
    </row>
    <row r="2694" spans="1:4" x14ac:dyDescent="0.2">
      <c r="A2694" t="str">
        <f>"2693"</f>
        <v>2693</v>
      </c>
      <c r="B2694" t="str">
        <f>"0.21"</f>
        <v>0.21</v>
      </c>
      <c r="C2694" t="str">
        <f>"91"</f>
        <v>91</v>
      </c>
      <c r="D2694" t="str">
        <f>"My Mama Never Taught Me How to Cook: The Aura Years 1978-1982"</f>
        <v>My Mama Never Taught Me How to Cook: The Aura Years 1978-1982</v>
      </c>
    </row>
    <row r="2695" spans="1:4" x14ac:dyDescent="0.2">
      <c r="A2695" t="str">
        <f>"2694"</f>
        <v>2694</v>
      </c>
      <c r="B2695" t="str">
        <f>"0.47"</f>
        <v>0.47</v>
      </c>
      <c r="C2695" t="str">
        <f>"51"</f>
        <v>51</v>
      </c>
      <c r="D2695" t="str">
        <f>"The Heat Can Melt Your Brain"</f>
        <v>The Heat Can Melt Your Brain</v>
      </c>
    </row>
    <row r="2696" spans="1:4" x14ac:dyDescent="0.2">
      <c r="A2696" t="str">
        <f>"2695"</f>
        <v>2695</v>
      </c>
      <c r="B2696" t="str">
        <f>"-0.02"</f>
        <v>-0.02</v>
      </c>
      <c r="C2696" t="str">
        <f>"55"</f>
        <v>55</v>
      </c>
      <c r="D2696" t="str">
        <f>"Let's Bottle Bohemia"</f>
        <v>Let's Bottle Bohemia</v>
      </c>
    </row>
    <row r="2697" spans="1:4" x14ac:dyDescent="0.2">
      <c r="A2697" t="str">
        <f>"2696"</f>
        <v>2696</v>
      </c>
      <c r="B2697" t="str">
        <f>"0.43"</f>
        <v>0.43</v>
      </c>
      <c r="C2697" t="str">
        <f>"63"</f>
        <v>63</v>
      </c>
      <c r="D2697" t="str">
        <f>"Phantom Phorce"</f>
        <v>Phantom Phorce</v>
      </c>
    </row>
    <row r="2698" spans="1:4" x14ac:dyDescent="0.2">
      <c r="A2698" t="str">
        <f>"2697"</f>
        <v>2697</v>
      </c>
      <c r="B2698" t="str">
        <f>"-0.23"</f>
        <v>-0.23</v>
      </c>
      <c r="C2698" t="str">
        <f>"73"</f>
        <v>73</v>
      </c>
      <c r="D2698" t="str">
        <f>"Up Against The Legends"</f>
        <v>Up Against The Legends</v>
      </c>
    </row>
    <row r="2699" spans="1:4" x14ac:dyDescent="0.2">
      <c r="A2699" t="str">
        <f>"2698"</f>
        <v>2698</v>
      </c>
      <c r="B2699" t="str">
        <f>"0.81"</f>
        <v>0.81</v>
      </c>
      <c r="C2699" t="str">
        <f>"71"</f>
        <v>71</v>
      </c>
      <c r="D2699" t="str">
        <f>"The Manifestation"</f>
        <v>The Manifestation</v>
      </c>
    </row>
    <row r="2700" spans="1:4" x14ac:dyDescent="0.2">
      <c r="A2700" t="str">
        <f>"2699"</f>
        <v>2699</v>
      </c>
      <c r="B2700" t="str">
        <f>"-0.73"</f>
        <v>-0.73</v>
      </c>
      <c r="C2700" t="str">
        <f>"70"</f>
        <v>70</v>
      </c>
      <c r="D2700" t="str">
        <f>"Mary Had Brown Hair"</f>
        <v>Mary Had Brown Hair</v>
      </c>
    </row>
    <row r="2701" spans="1:4" x14ac:dyDescent="0.2">
      <c r="A2701" t="str">
        <f>"2700"</f>
        <v>2700</v>
      </c>
      <c r="B2701" t="str">
        <f>"-0.11"</f>
        <v>-0.11</v>
      </c>
      <c r="C2701" t="str">
        <f>"52"</f>
        <v>52</v>
      </c>
      <c r="D2701" t="str">
        <f>"As Far as I Can See..."</f>
        <v>As Far as I Can See...</v>
      </c>
    </row>
    <row r="2702" spans="1:4" x14ac:dyDescent="0.2">
      <c r="A2702" t="str">
        <f>"2701"</f>
        <v>2701</v>
      </c>
      <c r="B2702" t="str">
        <f>"-0.08"</f>
        <v>-0.08</v>
      </c>
      <c r="C2702" t="str">
        <f>"50"</f>
        <v>50</v>
      </c>
      <c r="D2702" t="str">
        <f>"Open EP"</f>
        <v>Open EP</v>
      </c>
    </row>
    <row r="2703" spans="1:4" x14ac:dyDescent="0.2">
      <c r="A2703" t="str">
        <f>"2702"</f>
        <v>2702</v>
      </c>
      <c r="B2703" t="str">
        <f>"0.39"</f>
        <v>0.39</v>
      </c>
      <c r="C2703" t="str">
        <f>"45"</f>
        <v>45</v>
      </c>
      <c r="D2703" t="str">
        <f>"Lead Singer"</f>
        <v>Lead Singer</v>
      </c>
    </row>
    <row r="2704" spans="1:4" x14ac:dyDescent="0.2">
      <c r="A2704" t="str">
        <f>"2703"</f>
        <v>2703</v>
      </c>
      <c r="B2704" t="str">
        <f>"0.04"</f>
        <v>0.04</v>
      </c>
      <c r="C2704" t="str">
        <f>"71"</f>
        <v>71</v>
      </c>
      <c r="D2704" t="str">
        <f>"Winds Take No Shape"</f>
        <v>Winds Take No Shape</v>
      </c>
    </row>
    <row r="2705" spans="1:4" x14ac:dyDescent="0.2">
      <c r="A2705" t="str">
        <f>"2704"</f>
        <v>2704</v>
      </c>
      <c r="B2705" t="str">
        <f>"0.69"</f>
        <v>0.69</v>
      </c>
      <c r="C2705" t="str">
        <f>"44"</f>
        <v>44</v>
      </c>
      <c r="D2705" t="str">
        <f>"Summerland"</f>
        <v>Summerland</v>
      </c>
    </row>
    <row r="2706" spans="1:4" x14ac:dyDescent="0.2">
      <c r="A2706" t="str">
        <f>"2705"</f>
        <v>2705</v>
      </c>
      <c r="B2706" t="str">
        <f>"0.93"</f>
        <v>0.93</v>
      </c>
      <c r="C2706" t="str">
        <f>"63"</f>
        <v>63</v>
      </c>
      <c r="D2706" t="str">
        <f>"Ta Det Lugnt"</f>
        <v>Ta Det Lugnt</v>
      </c>
    </row>
    <row r="2707" spans="1:4" x14ac:dyDescent="0.2">
      <c r="A2707" t="str">
        <f>"2706"</f>
        <v>2706</v>
      </c>
      <c r="B2707" t="str">
        <f>"-0.27"</f>
        <v>-0.27</v>
      </c>
      <c r="C2707" t="str">
        <f>"61"</f>
        <v>61</v>
      </c>
      <c r="D2707" t="str">
        <f>"The Handler"</f>
        <v>The Handler</v>
      </c>
    </row>
    <row r="2708" spans="1:4" x14ac:dyDescent="0.2">
      <c r="A2708" t="str">
        <f>"2707"</f>
        <v>2707</v>
      </c>
      <c r="B2708" t="str">
        <f>"-0.47"</f>
        <v>-0.47</v>
      </c>
      <c r="C2708" t="str">
        <f>"54"</f>
        <v>54</v>
      </c>
      <c r="D2708" t="str">
        <f>"Is All Over the Map"</f>
        <v>Is All Over the Map</v>
      </c>
    </row>
    <row r="2709" spans="1:4" x14ac:dyDescent="0.2">
      <c r="A2709" t="str">
        <f>"2708"</f>
        <v>2708</v>
      </c>
      <c r="B2709" t="str">
        <f>"0.97"</f>
        <v>0.97</v>
      </c>
      <c r="C2709" t="str">
        <f>"65"</f>
        <v>65</v>
      </c>
      <c r="D2709" t="str">
        <f>"Mystery Spot"</f>
        <v>Mystery Spot</v>
      </c>
    </row>
    <row r="2710" spans="1:4" x14ac:dyDescent="0.2">
      <c r="A2710" t="str">
        <f>"2709"</f>
        <v>2709</v>
      </c>
      <c r="B2710" t="str">
        <f>"1.38"</f>
        <v>1.38</v>
      </c>
      <c r="C2710" t="str">
        <f>"60"</f>
        <v>60</v>
      </c>
      <c r="D2710" t="str">
        <f>"All Good Things EP"</f>
        <v>All Good Things EP</v>
      </c>
    </row>
    <row r="2711" spans="1:4" x14ac:dyDescent="0.2">
      <c r="A2711" t="str">
        <f>"2710"</f>
        <v>2710</v>
      </c>
      <c r="B2711" t="str">
        <f>"0.08"</f>
        <v>0.08</v>
      </c>
      <c r="C2711" t="str">
        <f>"45"</f>
        <v>45</v>
      </c>
      <c r="D2711" t="str">
        <f>"They Make Beer Commercials Like This EP"</f>
        <v>They Make Beer Commercials Like This EP</v>
      </c>
    </row>
    <row r="2712" spans="1:4" x14ac:dyDescent="0.2">
      <c r="A2712" t="str">
        <f>"2711"</f>
        <v>2711</v>
      </c>
      <c r="B2712" t="str">
        <f>"-0.67"</f>
        <v>-0.67</v>
      </c>
      <c r="C2712" t="str">
        <f>"60"</f>
        <v>60</v>
      </c>
      <c r="D2712" t="str">
        <f>"Wet from Birth"</f>
        <v>Wet from Birth</v>
      </c>
    </row>
    <row r="2713" spans="1:4" x14ac:dyDescent="0.2">
      <c r="A2713" t="str">
        <f>"2712"</f>
        <v>2712</v>
      </c>
      <c r="B2713" t="str">
        <f>"0.25"</f>
        <v>0.25</v>
      </c>
      <c r="C2713" t="str">
        <f>"49"</f>
        <v>49</v>
      </c>
      <c r="D2713" t="str">
        <f>"Connected"</f>
        <v>Connected</v>
      </c>
    </row>
    <row r="2714" spans="1:4" x14ac:dyDescent="0.2">
      <c r="A2714" t="str">
        <f>"2713"</f>
        <v>2713</v>
      </c>
      <c r="B2714" t="str">
        <f>"-0.53"</f>
        <v>-0.53</v>
      </c>
      <c r="C2714" t="str">
        <f>"59"</f>
        <v>59</v>
      </c>
      <c r="D2714" t="str">
        <f>"Nostalgialator"</f>
        <v>Nostalgialator</v>
      </c>
    </row>
    <row r="2715" spans="1:4" x14ac:dyDescent="0.2">
      <c r="A2715" t="str">
        <f>"2714"</f>
        <v>2714</v>
      </c>
      <c r="B2715" t="str">
        <f>"1.9"</f>
        <v>1.9</v>
      </c>
      <c r="C2715" t="str">
        <f>"24"</f>
        <v>24</v>
      </c>
      <c r="D2715" t="str">
        <f>"Intensifications"</f>
        <v>Intensifications</v>
      </c>
    </row>
    <row r="2716" spans="1:4" x14ac:dyDescent="0.2">
      <c r="A2716" t="str">
        <f>"2715"</f>
        <v>2715</v>
      </c>
      <c r="B2716" t="str">
        <f>"0.39"</f>
        <v>0.39</v>
      </c>
      <c r="C2716" t="str">
        <f>"38"</f>
        <v>38</v>
      </c>
      <c r="D2716" t="str">
        <f>"Miad"</f>
        <v>Miad</v>
      </c>
    </row>
    <row r="2717" spans="1:4" x14ac:dyDescent="0.2">
      <c r="A2717" t="str">
        <f>"2716"</f>
        <v>2716</v>
      </c>
      <c r="B2717" t="str">
        <f>"-0.03"</f>
        <v>-0.03</v>
      </c>
      <c r="C2717" t="str">
        <f>"84"</f>
        <v>84</v>
      </c>
      <c r="D2717" t="str">
        <f>"Garden State"</f>
        <v>Garden State</v>
      </c>
    </row>
    <row r="2718" spans="1:4" x14ac:dyDescent="0.2">
      <c r="A2718" t="str">
        <f>"2717"</f>
        <v>2717</v>
      </c>
      <c r="B2718" t="str">
        <f>"0.18"</f>
        <v>0.18</v>
      </c>
      <c r="C2718" t="str">
        <f>"55"</f>
        <v>55</v>
      </c>
      <c r="D2718" t="str">
        <f>"N'ecoutez Pas"</f>
        <v>N'ecoutez Pas</v>
      </c>
    </row>
    <row r="2719" spans="1:4" x14ac:dyDescent="0.2">
      <c r="A2719" t="str">
        <f>"2718"</f>
        <v>2718</v>
      </c>
      <c r="B2719" t="str">
        <f>"0.49"</f>
        <v>0.49</v>
      </c>
      <c r="C2719" t="str">
        <f>"61"</f>
        <v>61</v>
      </c>
      <c r="D2719" t="str">
        <f>"Fingathing and the Big Red Nebula Band"</f>
        <v>Fingathing and the Big Red Nebula Band</v>
      </c>
    </row>
    <row r="2720" spans="1:4" x14ac:dyDescent="0.2">
      <c r="A2720" t="str">
        <f>"2719"</f>
        <v>2719</v>
      </c>
      <c r="B2720" t="str">
        <f>"0.22"</f>
        <v>0.22</v>
      </c>
      <c r="C2720" t="str">
        <f>"58"</f>
        <v>58</v>
      </c>
      <c r="D2720" t="str">
        <f>"Sphere"</f>
        <v>Sphere</v>
      </c>
    </row>
    <row r="2721" spans="1:4" x14ac:dyDescent="0.2">
      <c r="A2721" t="str">
        <f>"2720"</f>
        <v>2720</v>
      </c>
      <c r="B2721" t="str">
        <f>"0.95"</f>
        <v>0.95</v>
      </c>
      <c r="C2721" t="str">
        <f>"62"</f>
        <v>62</v>
      </c>
      <c r="D2721" t="str">
        <f>"Folker"</f>
        <v>Folker</v>
      </c>
    </row>
    <row r="2722" spans="1:4" x14ac:dyDescent="0.2">
      <c r="A2722" t="str">
        <f>"2721"</f>
        <v>2721</v>
      </c>
      <c r="B2722" t="str">
        <f>"-1.01"</f>
        <v>-1.01</v>
      </c>
      <c r="C2722" t="str">
        <f>"72"</f>
        <v>72</v>
      </c>
      <c r="D2722" t="str">
        <f>"Stealing of a Nation"</f>
        <v>Stealing of a Nation</v>
      </c>
    </row>
    <row r="2723" spans="1:4" x14ac:dyDescent="0.2">
      <c r="A2723" t="str">
        <f>"2722"</f>
        <v>2722</v>
      </c>
      <c r="B2723" t="str">
        <f>"-0.82"</f>
        <v>-0.82</v>
      </c>
      <c r="C2723" t="str">
        <f>"47"</f>
        <v>47</v>
      </c>
      <c r="D2723" t="str">
        <f>"Funeral"</f>
        <v>Funeral</v>
      </c>
    </row>
    <row r="2724" spans="1:4" x14ac:dyDescent="0.2">
      <c r="A2724" t="str">
        <f>"2723"</f>
        <v>2723</v>
      </c>
      <c r="B2724" t="str">
        <f>"1.32"</f>
        <v>1.32</v>
      </c>
      <c r="C2724" t="str">
        <f>"87"</f>
        <v>87</v>
      </c>
      <c r="D2724" t="str">
        <f>"Antologia 69-03"</f>
        <v>Antologia 69-03</v>
      </c>
    </row>
    <row r="2725" spans="1:4" x14ac:dyDescent="0.2">
      <c r="A2725" t="str">
        <f>"2724"</f>
        <v>2724</v>
      </c>
      <c r="B2725" t="str">
        <f>"0.77"</f>
        <v>0.77</v>
      </c>
      <c r="C2725" t="str">
        <f>"50"</f>
        <v>50</v>
      </c>
      <c r="D2725" t="str">
        <f>"Are We There Yet?"</f>
        <v>Are We There Yet?</v>
      </c>
    </row>
    <row r="2726" spans="1:4" x14ac:dyDescent="0.2">
      <c r="A2726" t="str">
        <f>"2725"</f>
        <v>2725</v>
      </c>
      <c r="B2726" t="str">
        <f>"-0.63"</f>
        <v>-0.63</v>
      </c>
      <c r="C2726" t="str">
        <f>"45"</f>
        <v>45</v>
      </c>
      <c r="D2726" t="str">
        <f>"Dangerous Dreams"</f>
        <v>Dangerous Dreams</v>
      </c>
    </row>
    <row r="2727" spans="1:4" x14ac:dyDescent="0.2">
      <c r="A2727" t="str">
        <f>"2726"</f>
        <v>2726</v>
      </c>
      <c r="B2727" t="str">
        <f>"0.3"</f>
        <v>0.3</v>
      </c>
      <c r="C2727" t="str">
        <f>"57"</f>
        <v>57</v>
      </c>
      <c r="D2727" t="str">
        <f>"Rubber Factory"</f>
        <v>Rubber Factory</v>
      </c>
    </row>
    <row r="2728" spans="1:4" x14ac:dyDescent="0.2">
      <c r="A2728" t="str">
        <f>"2727"</f>
        <v>2727</v>
      </c>
      <c r="B2728" t="str">
        <f>"-0.59"</f>
        <v>-0.59</v>
      </c>
      <c r="C2728" t="str">
        <f>"70"</f>
        <v>70</v>
      </c>
      <c r="D2728" t="str">
        <f>"Loverock"</f>
        <v>Loverock</v>
      </c>
    </row>
    <row r="2729" spans="1:4" x14ac:dyDescent="0.2">
      <c r="A2729" t="str">
        <f>"2728"</f>
        <v>2728</v>
      </c>
      <c r="B2729" t="str">
        <f>"1.1"</f>
        <v>1.1</v>
      </c>
      <c r="C2729" t="str">
        <f>"43"</f>
        <v>43</v>
      </c>
      <c r="D2729" t="str">
        <f>"Sit Down for Staying EP"</f>
        <v>Sit Down for Staying EP</v>
      </c>
    </row>
    <row r="2730" spans="1:4" x14ac:dyDescent="0.2">
      <c r="A2730" t="str">
        <f>"2729"</f>
        <v>2729</v>
      </c>
      <c r="B2730" t="str">
        <f>"0.01"</f>
        <v>0.01</v>
      </c>
      <c r="C2730" t="str">
        <f>"58"</f>
        <v>58</v>
      </c>
      <c r="D2730" t="str">
        <f>"Fireworks on Ice EP"</f>
        <v>Fireworks on Ice EP</v>
      </c>
    </row>
    <row r="2731" spans="1:4" x14ac:dyDescent="0.2">
      <c r="A2731" t="str">
        <f>"2730"</f>
        <v>2730</v>
      </c>
      <c r="B2731" t="str">
        <f>"-0.36"</f>
        <v>-0.36</v>
      </c>
      <c r="C2731" t="str">
        <f>"62"</f>
        <v>62</v>
      </c>
      <c r="D2731" t="str">
        <f>"Siren Song of the Counter Culture"</f>
        <v>Siren Song of the Counter Culture</v>
      </c>
    </row>
    <row r="2732" spans="1:4" x14ac:dyDescent="0.2">
      <c r="A2732" t="str">
        <f>"2731"</f>
        <v>2731</v>
      </c>
      <c r="B2732" t="str">
        <f>"-0.23"</f>
        <v>-0.23</v>
      </c>
      <c r="C2732" t="str">
        <f>"76"</f>
        <v>76</v>
      </c>
      <c r="D2732" t="str">
        <f>"Future Soundtrack for America"</f>
        <v>Future Soundtrack for America</v>
      </c>
    </row>
    <row r="2733" spans="1:4" x14ac:dyDescent="0.2">
      <c r="A2733" t="str">
        <f>"2732"</f>
        <v>2732</v>
      </c>
      <c r="B2733" t="str">
        <f>"0.26"</f>
        <v>0.26</v>
      </c>
      <c r="C2733" t="str">
        <f>"64"</f>
        <v>64</v>
      </c>
      <c r="D2733" t="str">
        <f>"Secondary Inspection"</f>
        <v>Secondary Inspection</v>
      </c>
    </row>
    <row r="2734" spans="1:4" x14ac:dyDescent="0.2">
      <c r="A2734" t="str">
        <f>"2733"</f>
        <v>2733</v>
      </c>
      <c r="B2734" t="str">
        <f>"0.7"</f>
        <v>0.7</v>
      </c>
      <c r="C2734" t="str">
        <f>"47"</f>
        <v>47</v>
      </c>
      <c r="D2734" t="str">
        <f>"Dogs"</f>
        <v>Dogs</v>
      </c>
    </row>
    <row r="2735" spans="1:4" x14ac:dyDescent="0.2">
      <c r="A2735" t="str">
        <f>"2734"</f>
        <v>2734</v>
      </c>
      <c r="B2735" t="str">
        <f>"-0.5"</f>
        <v>-0.5</v>
      </c>
      <c r="C2735" t="str">
        <f>"62"</f>
        <v>62</v>
      </c>
      <c r="D2735" t="str">
        <f>"Florida"</f>
        <v>Florida</v>
      </c>
    </row>
    <row r="2736" spans="1:4" x14ac:dyDescent="0.2">
      <c r="A2736" t="str">
        <f>"2735"</f>
        <v>2735</v>
      </c>
      <c r="B2736" t="str">
        <f>"-0.1"</f>
        <v>-0.1</v>
      </c>
      <c r="C2736" t="str">
        <f>"55"</f>
        <v>55</v>
      </c>
      <c r="D2736" t="str">
        <f>"Waves Are Universal"</f>
        <v>Waves Are Universal</v>
      </c>
    </row>
    <row r="2737" spans="1:4" x14ac:dyDescent="0.2">
      <c r="A2737" t="str">
        <f>"2736"</f>
        <v>2736</v>
      </c>
      <c r="B2737" t="str">
        <f>"-0.09"</f>
        <v>-0.09</v>
      </c>
      <c r="C2737" t="str">
        <f>"88"</f>
        <v>88</v>
      </c>
      <c r="D2737" t="str">
        <f>"Showtime"</f>
        <v>Showtime</v>
      </c>
    </row>
    <row r="2738" spans="1:4" x14ac:dyDescent="0.2">
      <c r="A2738" t="str">
        <f>"2737"</f>
        <v>2737</v>
      </c>
      <c r="B2738" t="str">
        <f>"-0.25"</f>
        <v>-0.25</v>
      </c>
      <c r="C2738" t="str">
        <f>"53"</f>
        <v>53</v>
      </c>
      <c r="D2738" t="str">
        <f>"Guru Man Hubcap Lady"</f>
        <v>Guru Man Hubcap Lady</v>
      </c>
    </row>
    <row r="2739" spans="1:4" x14ac:dyDescent="0.2">
      <c r="A2739" t="str">
        <f>"2738"</f>
        <v>2738</v>
      </c>
      <c r="B2739" t="str">
        <f>"-1.08"</f>
        <v>-1.08</v>
      </c>
      <c r="C2739" t="str">
        <f>"35"</f>
        <v>35</v>
      </c>
      <c r="D2739" t="s">
        <v>83</v>
      </c>
    </row>
    <row r="2740" spans="1:4" x14ac:dyDescent="0.2">
      <c r="A2740" t="str">
        <f>"2739"</f>
        <v>2739</v>
      </c>
      <c r="B2740" t="str">
        <f>"-0.36"</f>
        <v>-0.36</v>
      </c>
      <c r="C2740" t="str">
        <f>"35"</f>
        <v>35</v>
      </c>
      <c r="D2740" t="str">
        <f>"Through the Sun Door EP"</f>
        <v>Through the Sun Door EP</v>
      </c>
    </row>
    <row r="2741" spans="1:4" x14ac:dyDescent="0.2">
      <c r="A2741" t="str">
        <f>"2740"</f>
        <v>2740</v>
      </c>
      <c r="B2741" t="str">
        <f>"-0.14"</f>
        <v>-0.14</v>
      </c>
      <c r="C2741" t="str">
        <f>"36"</f>
        <v>36</v>
      </c>
      <c r="D2741" t="str">
        <f>"Day Two"</f>
        <v>Day Two</v>
      </c>
    </row>
    <row r="2742" spans="1:4" x14ac:dyDescent="0.2">
      <c r="A2742" t="str">
        <f>"2741"</f>
        <v>2741</v>
      </c>
      <c r="B2742" t="str">
        <f>"-0.29"</f>
        <v>-0.29</v>
      </c>
      <c r="C2742" t="str">
        <f>"55"</f>
        <v>55</v>
      </c>
      <c r="D2742" t="s">
        <v>84</v>
      </c>
    </row>
    <row r="2743" spans="1:4" x14ac:dyDescent="0.2">
      <c r="A2743" t="str">
        <f>"2742"</f>
        <v>2742</v>
      </c>
      <c r="B2743" t="str">
        <f>"0.23"</f>
        <v>0.23</v>
      </c>
      <c r="C2743" t="str">
        <f>"78"</f>
        <v>78</v>
      </c>
      <c r="D2743" t="str">
        <f>"Supergrass Is 10"</f>
        <v>Supergrass Is 10</v>
      </c>
    </row>
    <row r="2744" spans="1:4" x14ac:dyDescent="0.2">
      <c r="A2744" t="str">
        <f>"2743"</f>
        <v>2743</v>
      </c>
      <c r="B2744" t="str">
        <f>"-0.53"</f>
        <v>-0.53</v>
      </c>
      <c r="C2744" t="str">
        <f>"47"</f>
        <v>47</v>
      </c>
      <c r="D2744" t="str">
        <f>"Acoustic and Electric Hard Cell Live"</f>
        <v>Acoustic and Electric Hard Cell Live</v>
      </c>
    </row>
    <row r="2745" spans="1:4" x14ac:dyDescent="0.2">
      <c r="A2745" t="str">
        <f>"2744"</f>
        <v>2744</v>
      </c>
      <c r="B2745" t="str">
        <f>"0.21"</f>
        <v>0.21</v>
      </c>
      <c r="C2745" t="str">
        <f>"51"</f>
        <v>51</v>
      </c>
      <c r="D2745" t="str">
        <f>"In Rock"</f>
        <v>In Rock</v>
      </c>
    </row>
    <row r="2746" spans="1:4" x14ac:dyDescent="0.2">
      <c r="A2746" t="str">
        <f>"2745"</f>
        <v>2745</v>
      </c>
      <c r="B2746" t="str">
        <f>"0.91"</f>
        <v>0.91</v>
      </c>
      <c r="C2746" t="str">
        <f>"53"</f>
        <v>53</v>
      </c>
      <c r="D2746" t="str">
        <f>"Poison Arrows"</f>
        <v>Poison Arrows</v>
      </c>
    </row>
    <row r="2747" spans="1:4" x14ac:dyDescent="0.2">
      <c r="A2747" t="str">
        <f>"2746"</f>
        <v>2746</v>
      </c>
      <c r="B2747" t="str">
        <f>"0.56"</f>
        <v>0.56</v>
      </c>
      <c r="C2747" t="str">
        <f>"64"</f>
        <v>64</v>
      </c>
      <c r="D2747" t="str">
        <f>"Album of the Year"</f>
        <v>Album of the Year</v>
      </c>
    </row>
    <row r="2748" spans="1:4" x14ac:dyDescent="0.2">
      <c r="A2748" t="str">
        <f>"2747"</f>
        <v>2747</v>
      </c>
      <c r="B2748" t="str">
        <f>"-0.01"</f>
        <v>-0.01</v>
      </c>
      <c r="C2748" t="str">
        <f>"65"</f>
        <v>65</v>
      </c>
      <c r="D2748" t="str">
        <f>"She Loves You"</f>
        <v>She Loves You</v>
      </c>
    </row>
    <row r="2749" spans="1:4" x14ac:dyDescent="0.2">
      <c r="A2749" t="str">
        <f>"2748"</f>
        <v>2748</v>
      </c>
      <c r="B2749" t="str">
        <f>"0.8"</f>
        <v>0.8</v>
      </c>
      <c r="C2749" t="str">
        <f>"48"</f>
        <v>48</v>
      </c>
      <c r="D2749" t="str">
        <f>"Juxtaposition"</f>
        <v>Juxtaposition</v>
      </c>
    </row>
    <row r="2750" spans="1:4" x14ac:dyDescent="0.2">
      <c r="A2750" t="str">
        <f>"2749"</f>
        <v>2749</v>
      </c>
      <c r="B2750" t="str">
        <f>"0.28"</f>
        <v>0.28</v>
      </c>
      <c r="C2750" t="str">
        <f>"54"</f>
        <v>54</v>
      </c>
      <c r="D2750" t="str">
        <f>"Business Casual"</f>
        <v>Business Casual</v>
      </c>
    </row>
    <row r="2751" spans="1:4" x14ac:dyDescent="0.2">
      <c r="A2751" t="str">
        <f>"2750"</f>
        <v>2750</v>
      </c>
      <c r="B2751" t="str">
        <f>"0.54"</f>
        <v>0.54</v>
      </c>
      <c r="C2751" t="str">
        <f>"60"</f>
        <v>60</v>
      </c>
      <c r="D2751" t="str">
        <f>"Happy Happy"</f>
        <v>Happy Happy</v>
      </c>
    </row>
    <row r="2752" spans="1:4" x14ac:dyDescent="0.2">
      <c r="A2752" t="str">
        <f>"2751"</f>
        <v>2751</v>
      </c>
      <c r="B2752" t="str">
        <f>"-0.81"</f>
        <v>-0.81</v>
      </c>
      <c r="C2752" t="str">
        <f>"75"</f>
        <v>75</v>
      </c>
      <c r="D2752" t="s">
        <v>85</v>
      </c>
    </row>
    <row r="2753" spans="1:4" x14ac:dyDescent="0.2">
      <c r="A2753" t="str">
        <f>"2752"</f>
        <v>2752</v>
      </c>
      <c r="B2753" t="str">
        <f>"-1.5"</f>
        <v>-1.5</v>
      </c>
      <c r="C2753" t="str">
        <f>"63"</f>
        <v>63</v>
      </c>
      <c r="D2753" t="str">
        <f>"San Francisco's STILL Doomed"</f>
        <v>San Francisco's STILL Doomed</v>
      </c>
    </row>
    <row r="2754" spans="1:4" x14ac:dyDescent="0.2">
      <c r="A2754" t="str">
        <f>"2753"</f>
        <v>2753</v>
      </c>
      <c r="B2754" t="str">
        <f>"0.09"</f>
        <v>0.09</v>
      </c>
      <c r="C2754" t="str">
        <f>"68"</f>
        <v>68</v>
      </c>
      <c r="D2754" t="str">
        <f>"Highways"</f>
        <v>Highways</v>
      </c>
    </row>
    <row r="2755" spans="1:4" x14ac:dyDescent="0.2">
      <c r="A2755" t="str">
        <f>"2754"</f>
        <v>2754</v>
      </c>
      <c r="B2755" t="str">
        <f>"0.76"</f>
        <v>0.76</v>
      </c>
      <c r="C2755" t="str">
        <f>"56"</f>
        <v>56</v>
      </c>
      <c r="D2755" t="str">
        <f>"Viscous Solid"</f>
        <v>Viscous Solid</v>
      </c>
    </row>
    <row r="2756" spans="1:4" x14ac:dyDescent="0.2">
      <c r="A2756" t="str">
        <f>"2755"</f>
        <v>2755</v>
      </c>
      <c r="B2756" t="str">
        <f>"0.66"</f>
        <v>0.66</v>
      </c>
      <c r="C2756" t="str">
        <f>"54"</f>
        <v>54</v>
      </c>
      <c r="D2756" t="str">
        <f>"The Same as a Flower"</f>
        <v>The Same as a Flower</v>
      </c>
    </row>
    <row r="2757" spans="1:4" x14ac:dyDescent="0.2">
      <c r="A2757" t="str">
        <f>"2756"</f>
        <v>2756</v>
      </c>
      <c r="B2757" t="str">
        <f>"-0.16"</f>
        <v>-0.16</v>
      </c>
      <c r="C2757" t="str">
        <f>"41"</f>
        <v>41</v>
      </c>
      <c r="D2757" t="str">
        <f>"Cathedral"</f>
        <v>Cathedral</v>
      </c>
    </row>
    <row r="2758" spans="1:4" x14ac:dyDescent="0.2">
      <c r="A2758" t="str">
        <f>"2757"</f>
        <v>2757</v>
      </c>
      <c r="B2758" t="str">
        <f>"-0.67"</f>
        <v>-0.67</v>
      </c>
      <c r="C2758" t="str">
        <f>"89"</f>
        <v>89</v>
      </c>
      <c r="D2758" t="str">
        <f>"The Dirty South"</f>
        <v>The Dirty South</v>
      </c>
    </row>
    <row r="2759" spans="1:4" x14ac:dyDescent="0.2">
      <c r="A2759" t="str">
        <f>"2758"</f>
        <v>2758</v>
      </c>
      <c r="B2759" t="str">
        <f>"-0.46"</f>
        <v>-0.46</v>
      </c>
      <c r="C2759" t="str">
        <f>"59"</f>
        <v>59</v>
      </c>
      <c r="D2759" t="str">
        <f>"Pigeon Funk"</f>
        <v>Pigeon Funk</v>
      </c>
    </row>
    <row r="2760" spans="1:4" x14ac:dyDescent="0.2">
      <c r="A2760" t="str">
        <f>"2759"</f>
        <v>2759</v>
      </c>
      <c r="B2760" t="str">
        <f>"0.02"</f>
        <v>0.02</v>
      </c>
      <c r="C2760" t="str">
        <f>"66"</f>
        <v>66</v>
      </c>
      <c r="D2760" t="str">
        <f>"Not Going Anywhere"</f>
        <v>Not Going Anywhere</v>
      </c>
    </row>
    <row r="2761" spans="1:4" x14ac:dyDescent="0.2">
      <c r="A2761" t="str">
        <f>"2760"</f>
        <v>2760</v>
      </c>
      <c r="B2761" t="str">
        <f>"-0.9"</f>
        <v>-0.9</v>
      </c>
      <c r="C2761" t="str">
        <f>"47"</f>
        <v>47</v>
      </c>
      <c r="D2761" t="str">
        <f>"Flamingo Honey"</f>
        <v>Flamingo Honey</v>
      </c>
    </row>
    <row r="2762" spans="1:4" x14ac:dyDescent="0.2">
      <c r="A2762" t="str">
        <f>"2761"</f>
        <v>2761</v>
      </c>
      <c r="B2762" t="str">
        <f>"-0.09"</f>
        <v>-0.09</v>
      </c>
      <c r="C2762" t="str">
        <f>"57"</f>
        <v>57</v>
      </c>
      <c r="D2762" t="str">
        <f>"Medulla"</f>
        <v>Medulla</v>
      </c>
    </row>
    <row r="2763" spans="1:4" x14ac:dyDescent="0.2">
      <c r="A2763" t="str">
        <f>"2762"</f>
        <v>2762</v>
      </c>
      <c r="B2763" t="str">
        <f>"-0.37"</f>
        <v>-0.37</v>
      </c>
      <c r="C2763" t="str">
        <f>"95"</f>
        <v>95</v>
      </c>
      <c r="D2763" t="str">
        <f>"The Libertines"</f>
        <v>The Libertines</v>
      </c>
    </row>
    <row r="2764" spans="1:4" x14ac:dyDescent="0.2">
      <c r="A2764" t="str">
        <f>"2763"</f>
        <v>2763</v>
      </c>
      <c r="B2764" t="str">
        <f>"0.14"</f>
        <v>0.14</v>
      </c>
      <c r="C2764" t="str">
        <f>"61"</f>
        <v>61</v>
      </c>
      <c r="D2764" t="str">
        <f>"Chewing Glass &amp; Other Miracle Cures"</f>
        <v>Chewing Glass &amp; Other Miracle Cures</v>
      </c>
    </row>
    <row r="2765" spans="1:4" x14ac:dyDescent="0.2">
      <c r="A2765" t="str">
        <f>"2764"</f>
        <v>2764</v>
      </c>
      <c r="B2765" t="str">
        <f>"0.58"</f>
        <v>0.58</v>
      </c>
      <c r="C2765" t="str">
        <f>"47"</f>
        <v>47</v>
      </c>
      <c r="D2765" t="str">
        <f>"Earthtones"</f>
        <v>Earthtones</v>
      </c>
    </row>
    <row r="2766" spans="1:4" x14ac:dyDescent="0.2">
      <c r="A2766" t="str">
        <f>"2765"</f>
        <v>2765</v>
      </c>
      <c r="B2766" t="str">
        <f>"-0.98"</f>
        <v>-0.98</v>
      </c>
      <c r="C2766" t="str">
        <f>"58"</f>
        <v>58</v>
      </c>
      <c r="D2766" t="str">
        <f>"The Revolution Starts... Now"</f>
        <v>The Revolution Starts... Now</v>
      </c>
    </row>
    <row r="2767" spans="1:4" x14ac:dyDescent="0.2">
      <c r="A2767" t="str">
        <f>"2766"</f>
        <v>2766</v>
      </c>
      <c r="B2767" t="str">
        <f>"0.94"</f>
        <v>0.94</v>
      </c>
      <c r="C2767" t="str">
        <f>"64"</f>
        <v>64</v>
      </c>
      <c r="D2767" t="str">
        <f>"Young Forever"</f>
        <v>Young Forever</v>
      </c>
    </row>
    <row r="2768" spans="1:4" x14ac:dyDescent="0.2">
      <c r="A2768" t="str">
        <f>"2767"</f>
        <v>2767</v>
      </c>
      <c r="B2768" t="str">
        <f>"0.29"</f>
        <v>0.29</v>
      </c>
      <c r="C2768" t="str">
        <f>"49"</f>
        <v>49</v>
      </c>
      <c r="D2768" t="str">
        <f>"La Increíble Aventura"</f>
        <v>La Increíble Aventura</v>
      </c>
    </row>
    <row r="2769" spans="1:4" x14ac:dyDescent="0.2">
      <c r="A2769" t="str">
        <f>"2768"</f>
        <v>2768</v>
      </c>
      <c r="B2769" t="str">
        <f>"-0.48"</f>
        <v>-0.48</v>
      </c>
      <c r="C2769" t="str">
        <f>"22"</f>
        <v>22</v>
      </c>
      <c r="D2769" t="str">
        <f>"Bubblegum"</f>
        <v>Bubblegum</v>
      </c>
    </row>
    <row r="2770" spans="1:4" x14ac:dyDescent="0.2">
      <c r="A2770" t="str">
        <f>"2769"</f>
        <v>2769</v>
      </c>
      <c r="B2770" t="str">
        <f>"-0.64"</f>
        <v>-0.64</v>
      </c>
      <c r="C2770" t="str">
        <f>"51"</f>
        <v>51</v>
      </c>
      <c r="D2770" t="str">
        <f>"Magic Wand"</f>
        <v>Magic Wand</v>
      </c>
    </row>
    <row r="2771" spans="1:4" x14ac:dyDescent="0.2">
      <c r="A2771" t="str">
        <f>"2770"</f>
        <v>2770</v>
      </c>
      <c r="B2771" t="str">
        <f>"-1.1"</f>
        <v>-1.1</v>
      </c>
      <c r="C2771" t="str">
        <f>"55"</f>
        <v>55</v>
      </c>
      <c r="D2771" t="str">
        <f>"The Lost Riots"</f>
        <v>The Lost Riots</v>
      </c>
    </row>
    <row r="2772" spans="1:4" x14ac:dyDescent="0.2">
      <c r="A2772" t="str">
        <f>"2771"</f>
        <v>2771</v>
      </c>
      <c r="B2772" t="str">
        <f>"-0.58"</f>
        <v>-0.58</v>
      </c>
      <c r="C2772" t="str">
        <f>"77"</f>
        <v>77</v>
      </c>
      <c r="D2772" t="s">
        <v>86</v>
      </c>
    </row>
    <row r="2773" spans="1:4" x14ac:dyDescent="0.2">
      <c r="A2773" t="str">
        <f>"2772"</f>
        <v>2772</v>
      </c>
      <c r="B2773" t="str">
        <f>"-0.45"</f>
        <v>-0.45</v>
      </c>
      <c r="C2773" t="str">
        <f>"69"</f>
        <v>69</v>
      </c>
      <c r="D2773" t="str">
        <f>"Oakley Hall"</f>
        <v>Oakley Hall</v>
      </c>
    </row>
    <row r="2774" spans="1:4" x14ac:dyDescent="0.2">
      <c r="A2774" t="str">
        <f>"2773"</f>
        <v>2773</v>
      </c>
      <c r="B2774" t="str">
        <f>"-0.15"</f>
        <v>-0.15</v>
      </c>
      <c r="C2774" t="str">
        <f>"84"</f>
        <v>84</v>
      </c>
      <c r="D2774" t="str">
        <f>"Armed Love"</f>
        <v>Armed Love</v>
      </c>
    </row>
    <row r="2775" spans="1:4" x14ac:dyDescent="0.2">
      <c r="A2775" t="str">
        <f>"2774"</f>
        <v>2774</v>
      </c>
      <c r="B2775" t="str">
        <f>"0.45"</f>
        <v>0.45</v>
      </c>
      <c r="C2775" t="str">
        <f>"48"</f>
        <v>48</v>
      </c>
      <c r="D2775" t="str">
        <f>"Jaku"</f>
        <v>Jaku</v>
      </c>
    </row>
    <row r="2776" spans="1:4" x14ac:dyDescent="0.2">
      <c r="A2776" t="str">
        <f>"2775"</f>
        <v>2775</v>
      </c>
      <c r="B2776" t="str">
        <f>"0.52"</f>
        <v>0.52</v>
      </c>
      <c r="C2776" t="str">
        <f>"68"</f>
        <v>68</v>
      </c>
      <c r="D2776" t="str">
        <f>"Love Everybody"</f>
        <v>Love Everybody</v>
      </c>
    </row>
    <row r="2777" spans="1:4" x14ac:dyDescent="0.2">
      <c r="A2777" t="str">
        <f>"2776"</f>
        <v>2776</v>
      </c>
      <c r="B2777" t="str">
        <f>"-0.39"</f>
        <v>-0.39</v>
      </c>
      <c r="C2777" t="str">
        <f>"69"</f>
        <v>69</v>
      </c>
      <c r="D2777" t="s">
        <v>87</v>
      </c>
    </row>
    <row r="2778" spans="1:4" x14ac:dyDescent="0.2">
      <c r="A2778" t="str">
        <f>"2777"</f>
        <v>2777</v>
      </c>
      <c r="B2778" t="str">
        <f>"0.19"</f>
        <v>0.19</v>
      </c>
      <c r="C2778" t="str">
        <f>"72"</f>
        <v>72</v>
      </c>
      <c r="D2778" t="str">
        <f>"Patterns in a Chromatic Field"</f>
        <v>Patterns in a Chromatic Field</v>
      </c>
    </row>
    <row r="2779" spans="1:4" x14ac:dyDescent="0.2">
      <c r="A2779" t="str">
        <f>"2778"</f>
        <v>2778</v>
      </c>
      <c r="B2779" t="str">
        <f>"0.34"</f>
        <v>0.34</v>
      </c>
      <c r="C2779" t="str">
        <f>"53"</f>
        <v>53</v>
      </c>
      <c r="D2779" t="str">
        <f>"Soft Commands"</f>
        <v>Soft Commands</v>
      </c>
    </row>
    <row r="2780" spans="1:4" x14ac:dyDescent="0.2">
      <c r="A2780" t="str">
        <f>"2779"</f>
        <v>2779</v>
      </c>
      <c r="B2780" t="str">
        <f>"-1.2"</f>
        <v>-1.2</v>
      </c>
      <c r="C2780" t="str">
        <f>"65"</f>
        <v>65</v>
      </c>
      <c r="D2780" t="str">
        <f>"The Secondman's Middle Stand"</f>
        <v>The Secondman's Middle Stand</v>
      </c>
    </row>
    <row r="2781" spans="1:4" x14ac:dyDescent="0.2">
      <c r="A2781" t="str">
        <f>"2780"</f>
        <v>2780</v>
      </c>
      <c r="B2781" t="str">
        <f>"-0.66"</f>
        <v>-0.66</v>
      </c>
      <c r="C2781" t="str">
        <f>"76"</f>
        <v>76</v>
      </c>
      <c r="D2781" t="str">
        <f>"God Bless Your Black Heart"</f>
        <v>God Bless Your Black Heart</v>
      </c>
    </row>
    <row r="2782" spans="1:4" x14ac:dyDescent="0.2">
      <c r="A2782" t="str">
        <f>"2781"</f>
        <v>2781</v>
      </c>
      <c r="B2782" t="str">
        <f>"-0.24"</f>
        <v>-0.24</v>
      </c>
      <c r="C2782" t="str">
        <f>"80"</f>
        <v>80</v>
      </c>
      <c r="D2782" t="str">
        <f>"Radical Connector"</f>
        <v>Radical Connector</v>
      </c>
    </row>
    <row r="2783" spans="1:4" x14ac:dyDescent="0.2">
      <c r="A2783" t="str">
        <f>"2782"</f>
        <v>2782</v>
      </c>
      <c r="B2783" t="str">
        <f>"0.63"</f>
        <v>0.63</v>
      </c>
      <c r="C2783" t="str">
        <f>"95"</f>
        <v>95</v>
      </c>
      <c r="D2783" t="str">
        <f>"The Name of This Band Is Talking Heads"</f>
        <v>The Name of This Band Is Talking Heads</v>
      </c>
    </row>
    <row r="2784" spans="1:4" x14ac:dyDescent="0.2">
      <c r="A2784" t="str">
        <f>"2783"</f>
        <v>2783</v>
      </c>
      <c r="B2784" t="str">
        <f>"0.35"</f>
        <v>0.35</v>
      </c>
      <c r="C2784" t="str">
        <f>"92"</f>
        <v>92</v>
      </c>
      <c r="D2784" t="str">
        <f>"Engine Down"</f>
        <v>Engine Down</v>
      </c>
    </row>
    <row r="2785" spans="1:4" x14ac:dyDescent="0.2">
      <c r="A2785" t="str">
        <f>"2784"</f>
        <v>2784</v>
      </c>
      <c r="B2785" t="str">
        <f>"-0.88"</f>
        <v>-0.88</v>
      </c>
      <c r="C2785" t="str">
        <f>"70"</f>
        <v>70</v>
      </c>
      <c r="D2785" t="str">
        <f>"Battery"</f>
        <v>Battery</v>
      </c>
    </row>
    <row r="2786" spans="1:4" x14ac:dyDescent="0.2">
      <c r="A2786" t="str">
        <f>"2785"</f>
        <v>2785</v>
      </c>
      <c r="B2786" t="str">
        <f>"-0.27"</f>
        <v>-0.27</v>
      </c>
      <c r="C2786" t="str">
        <f>"64"</f>
        <v>64</v>
      </c>
      <c r="D2786" t="str">
        <f>"The Concrete's Always Grayer on the Other Side of the Street EP"</f>
        <v>The Concrete's Always Grayer on the Other Side of the Street EP</v>
      </c>
    </row>
    <row r="2787" spans="1:4" x14ac:dyDescent="0.2">
      <c r="A2787" t="str">
        <f>"2786"</f>
        <v>2786</v>
      </c>
      <c r="B2787" t="str">
        <f>"0.75"</f>
        <v>0.75</v>
      </c>
      <c r="C2787" t="str">
        <f>"38"</f>
        <v>38</v>
      </c>
      <c r="D2787" t="str">
        <f>"Muswell Hillbillies"</f>
        <v>Muswell Hillbillies</v>
      </c>
    </row>
    <row r="2788" spans="1:4" x14ac:dyDescent="0.2">
      <c r="A2788" t="str">
        <f>"2787"</f>
        <v>2787</v>
      </c>
      <c r="B2788" t="str">
        <f>"0.14"</f>
        <v>0.14</v>
      </c>
      <c r="C2788" t="str">
        <f>"82"</f>
        <v>82</v>
      </c>
      <c r="D2788" t="str">
        <f>"Half Smiles of the Decomposed"</f>
        <v>Half Smiles of the Decomposed</v>
      </c>
    </row>
    <row r="2789" spans="1:4" x14ac:dyDescent="0.2">
      <c r="A2789" t="str">
        <f>"2788"</f>
        <v>2788</v>
      </c>
      <c r="B2789" t="str">
        <f>"-0.08"</f>
        <v>-0.08</v>
      </c>
      <c r="C2789" t="str">
        <f>"66"</f>
        <v>66</v>
      </c>
      <c r="D2789" t="str">
        <f>"WYHIWYG"</f>
        <v>WYHIWYG</v>
      </c>
    </row>
    <row r="2790" spans="1:4" x14ac:dyDescent="0.2">
      <c r="A2790" t="str">
        <f>"2789"</f>
        <v>2789</v>
      </c>
      <c r="B2790" t="str">
        <f>"-0.33"</f>
        <v>-0.33</v>
      </c>
      <c r="C2790" t="str">
        <f>"56"</f>
        <v>56</v>
      </c>
      <c r="D2790" t="str">
        <f>"The Shaggs"</f>
        <v>The Shaggs</v>
      </c>
    </row>
    <row r="2791" spans="1:4" x14ac:dyDescent="0.2">
      <c r="A2791" t="str">
        <f>"2790"</f>
        <v>2790</v>
      </c>
      <c r="B2791" t="str">
        <f>"-0.36"</f>
        <v>-0.36</v>
      </c>
      <c r="C2791" t="str">
        <f>"54"</f>
        <v>54</v>
      </c>
      <c r="D2791" t="str">
        <f>"Alive &amp; Amplified"</f>
        <v>Alive &amp; Amplified</v>
      </c>
    </row>
    <row r="2792" spans="1:4" x14ac:dyDescent="0.2">
      <c r="A2792" t="str">
        <f>"2791"</f>
        <v>2791</v>
      </c>
      <c r="B2792" t="str">
        <f>"-0.65"</f>
        <v>-0.65</v>
      </c>
      <c r="C2792" t="str">
        <f>"50"</f>
        <v>50</v>
      </c>
      <c r="D2792" t="str">
        <f>"Outta Sight/Outta Mind"</f>
        <v>Outta Sight/Outta Mind</v>
      </c>
    </row>
    <row r="2793" spans="1:4" x14ac:dyDescent="0.2">
      <c r="A2793" t="str">
        <f>"2792"</f>
        <v>2792</v>
      </c>
      <c r="B2793" t="str">
        <f>"-0.17"</f>
        <v>-0.17</v>
      </c>
      <c r="C2793" t="str">
        <f>"72"</f>
        <v>72</v>
      </c>
      <c r="D2793" t="str">
        <f>"Winchester Cathedral"</f>
        <v>Winchester Cathedral</v>
      </c>
    </row>
    <row r="2794" spans="1:4" x14ac:dyDescent="0.2">
      <c r="A2794" t="str">
        <f>"2793"</f>
        <v>2793</v>
      </c>
      <c r="B2794" t="str">
        <f>"-0.36"</f>
        <v>-0.36</v>
      </c>
      <c r="C2794" t="str">
        <f>"53"</f>
        <v>53</v>
      </c>
      <c r="D2794" t="str">
        <f>"Bring the Neon War Home"</f>
        <v>Bring the Neon War Home</v>
      </c>
    </row>
    <row r="2795" spans="1:4" x14ac:dyDescent="0.2">
      <c r="A2795" t="str">
        <f>"2794"</f>
        <v>2794</v>
      </c>
      <c r="B2795" t="str">
        <f>"1.21"</f>
        <v>1.21</v>
      </c>
      <c r="C2795" t="str">
        <f>"79"</f>
        <v>79</v>
      </c>
      <c r="D2795" t="str">
        <f>"Elements of Style... Exercises in Surprise"</f>
        <v>Elements of Style... Exercises in Surprise</v>
      </c>
    </row>
    <row r="2796" spans="1:4" x14ac:dyDescent="0.2">
      <c r="A2796" t="str">
        <f>"2795"</f>
        <v>2795</v>
      </c>
      <c r="B2796" t="str">
        <f>"0.46"</f>
        <v>0.46</v>
      </c>
      <c r="C2796" t="str">
        <f>"44"</f>
        <v>44</v>
      </c>
      <c r="D2796" t="str">
        <f>"River Through Howling Sky"</f>
        <v>River Through Howling Sky</v>
      </c>
    </row>
    <row r="2797" spans="1:4" x14ac:dyDescent="0.2">
      <c r="A2797" t="str">
        <f>"2796"</f>
        <v>2796</v>
      </c>
      <c r="B2797" t="str">
        <f>"0.5"</f>
        <v>0.5</v>
      </c>
      <c r="C2797" t="str">
        <f>"54"</f>
        <v>54</v>
      </c>
      <c r="D2797" t="str">
        <f>"Free The Bees"</f>
        <v>Free The Bees</v>
      </c>
    </row>
    <row r="2798" spans="1:4" x14ac:dyDescent="0.2">
      <c r="A2798" t="str">
        <f>"2797"</f>
        <v>2797</v>
      </c>
      <c r="B2798" t="str">
        <f>"-1.09"</f>
        <v>-1.09</v>
      </c>
      <c r="C2798" t="str">
        <f>"48"</f>
        <v>48</v>
      </c>
      <c r="D2798" t="str">
        <f>"Up All Night"</f>
        <v>Up All Night</v>
      </c>
    </row>
    <row r="2799" spans="1:4" x14ac:dyDescent="0.2">
      <c r="A2799" t="str">
        <f>"2798"</f>
        <v>2798</v>
      </c>
      <c r="B2799" t="str">
        <f>"-0.89"</f>
        <v>-0.89</v>
      </c>
      <c r="C2799" t="str">
        <f>"63"</f>
        <v>63</v>
      </c>
      <c r="D2799" t="str">
        <f>"Too Much Guitar"</f>
        <v>Too Much Guitar</v>
      </c>
    </row>
    <row r="2800" spans="1:4" x14ac:dyDescent="0.2">
      <c r="A2800" t="str">
        <f>"2799"</f>
        <v>2799</v>
      </c>
      <c r="B2800" t="str">
        <f>"0.63"</f>
        <v>0.63</v>
      </c>
      <c r="C2800" t="str">
        <f>"50"</f>
        <v>50</v>
      </c>
      <c r="D2800" t="str">
        <f>"Arm of the Starfish"</f>
        <v>Arm of the Starfish</v>
      </c>
    </row>
    <row r="2801" spans="1:4" x14ac:dyDescent="0.2">
      <c r="A2801" t="str">
        <f>"2800"</f>
        <v>2800</v>
      </c>
      <c r="B2801" t="str">
        <f>"0.7"</f>
        <v>0.7</v>
      </c>
      <c r="C2801" t="str">
        <f>"48"</f>
        <v>48</v>
      </c>
      <c r="D2801" t="str">
        <f>"Meguro"</f>
        <v>Meguro</v>
      </c>
    </row>
    <row r="2802" spans="1:4" x14ac:dyDescent="0.2">
      <c r="A2802" t="str">
        <f>"2801"</f>
        <v>2801</v>
      </c>
      <c r="B2802" t="str">
        <f>"0.32"</f>
        <v>0.32</v>
      </c>
      <c r="C2802" t="str">
        <f>"61"</f>
        <v>61</v>
      </c>
      <c r="D2802" t="str">
        <f>"Stereo Blues"</f>
        <v>Stereo Blues</v>
      </c>
    </row>
    <row r="2803" spans="1:4" x14ac:dyDescent="0.2">
      <c r="A2803" t="str">
        <f>"2802"</f>
        <v>2802</v>
      </c>
      <c r="B2803" t="str">
        <f>"0.4"</f>
        <v>0.4</v>
      </c>
      <c r="C2803" t="str">
        <f>"53"</f>
        <v>53</v>
      </c>
      <c r="D2803" t="str">
        <f>"Mississauga Goddam"</f>
        <v>Mississauga Goddam</v>
      </c>
    </row>
    <row r="2804" spans="1:4" x14ac:dyDescent="0.2">
      <c r="A2804" t="str">
        <f>"2803"</f>
        <v>2803</v>
      </c>
      <c r="B2804" t="str">
        <f>"-0.03"</f>
        <v>-0.03</v>
      </c>
      <c r="C2804" t="str">
        <f>"73"</f>
        <v>73</v>
      </c>
      <c r="D2804" t="str">
        <f>"No Said Date"</f>
        <v>No Said Date</v>
      </c>
    </row>
    <row r="2805" spans="1:4" x14ac:dyDescent="0.2">
      <c r="A2805" t="str">
        <f>"2804"</f>
        <v>2804</v>
      </c>
      <c r="B2805" t="str">
        <f>"0.21"</f>
        <v>0.21</v>
      </c>
      <c r="C2805" t="str">
        <f>"50"</f>
        <v>50</v>
      </c>
      <c r="D2805" t="str">
        <f>"From Gutter w/Love"</f>
        <v>From Gutter w/Love</v>
      </c>
    </row>
    <row r="2806" spans="1:4" x14ac:dyDescent="0.2">
      <c r="A2806" t="str">
        <f>"2805"</f>
        <v>2805</v>
      </c>
      <c r="B2806" t="str">
        <f>"-0.44"</f>
        <v>-0.44</v>
      </c>
      <c r="C2806" t="str">
        <f>"59"</f>
        <v>59</v>
      </c>
      <c r="D2806" t="str">
        <f>"Spine and Sensory"</f>
        <v>Spine and Sensory</v>
      </c>
    </row>
    <row r="2807" spans="1:4" x14ac:dyDescent="0.2">
      <c r="A2807" t="str">
        <f>"2806"</f>
        <v>2806</v>
      </c>
      <c r="B2807" t="str">
        <f>"0.08"</f>
        <v>0.08</v>
      </c>
      <c r="C2807" t="str">
        <f>"46"</f>
        <v>46</v>
      </c>
      <c r="D2807" t="str">
        <f>"Back to One"</f>
        <v>Back to One</v>
      </c>
    </row>
    <row r="2808" spans="1:4" x14ac:dyDescent="0.2">
      <c r="A2808" t="str">
        <f>"2807"</f>
        <v>2807</v>
      </c>
      <c r="B2808" t="str">
        <f>"-0.49"</f>
        <v>-0.49</v>
      </c>
      <c r="C2808" t="str">
        <f>"63"</f>
        <v>63</v>
      </c>
      <c r="D2808" t="str">
        <f>"The Slickness"</f>
        <v>The Slickness</v>
      </c>
    </row>
    <row r="2809" spans="1:4" x14ac:dyDescent="0.2">
      <c r="A2809" t="str">
        <f>"2808"</f>
        <v>2808</v>
      </c>
      <c r="B2809" t="str">
        <f>"-0.42"</f>
        <v>-0.42</v>
      </c>
      <c r="C2809" t="str">
        <f>"34"</f>
        <v>34</v>
      </c>
      <c r="D2809" t="str">
        <f>"Astral Glamour"</f>
        <v>Astral Glamour</v>
      </c>
    </row>
    <row r="2810" spans="1:4" x14ac:dyDescent="0.2">
      <c r="A2810" t="str">
        <f>"2809"</f>
        <v>2809</v>
      </c>
      <c r="B2810" t="str">
        <f>"0.02"</f>
        <v>0.02</v>
      </c>
      <c r="C2810" t="str">
        <f>"57"</f>
        <v>57</v>
      </c>
      <c r="D2810" t="str">
        <f>"Sunburn"</f>
        <v>Sunburn</v>
      </c>
    </row>
    <row r="2811" spans="1:4" x14ac:dyDescent="0.2">
      <c r="A2811" t="str">
        <f>"2810"</f>
        <v>2810</v>
      </c>
      <c r="B2811" t="str">
        <f>"0.31"</f>
        <v>0.31</v>
      </c>
      <c r="C2811" t="str">
        <f>"53"</f>
        <v>53</v>
      </c>
      <c r="D2811" t="str">
        <f>"The Will to Death"</f>
        <v>The Will to Death</v>
      </c>
    </row>
    <row r="2812" spans="1:4" x14ac:dyDescent="0.2">
      <c r="A2812" t="str">
        <f>"2811"</f>
        <v>2811</v>
      </c>
      <c r="B2812" t="str">
        <f>"-0.07"</f>
        <v>-0.07</v>
      </c>
      <c r="C2812" t="str">
        <f>"66"</f>
        <v>66</v>
      </c>
      <c r="D2812" t="str">
        <f>"Five Suns"</f>
        <v>Five Suns</v>
      </c>
    </row>
    <row r="2813" spans="1:4" x14ac:dyDescent="0.2">
      <c r="A2813" t="str">
        <f>"2812"</f>
        <v>2812</v>
      </c>
      <c r="B2813" t="str">
        <f>"0.82"</f>
        <v>0.82</v>
      </c>
      <c r="C2813" t="str">
        <f>"42"</f>
        <v>42</v>
      </c>
      <c r="D2813" t="str">
        <f>"I Am a Cold Rock.  I Am Dull Grass: A Tribute to the Music of Will Oldham"</f>
        <v>I Am a Cold Rock.  I Am Dull Grass: A Tribute to the Music of Will Oldham</v>
      </c>
    </row>
    <row r="2814" spans="1:4" x14ac:dyDescent="0.2">
      <c r="A2814" t="str">
        <f>"2813"</f>
        <v>2813</v>
      </c>
      <c r="B2814" t="str">
        <f>"0.86"</f>
        <v>0.86</v>
      </c>
      <c r="C2814" t="str">
        <f>"43"</f>
        <v>43</v>
      </c>
      <c r="D2814" t="str">
        <f>"The Function Room"</f>
        <v>The Function Room</v>
      </c>
    </row>
    <row r="2815" spans="1:4" x14ac:dyDescent="0.2">
      <c r="A2815" t="str">
        <f>"2814"</f>
        <v>2814</v>
      </c>
      <c r="B2815" t="str">
        <f>"0.13"</f>
        <v>0.13</v>
      </c>
      <c r="C2815" t="str">
        <f>"47"</f>
        <v>47</v>
      </c>
      <c r="D2815" t="str">
        <f>"Book of Silk"</f>
        <v>Book of Silk</v>
      </c>
    </row>
    <row r="2816" spans="1:4" x14ac:dyDescent="0.2">
      <c r="A2816" t="str">
        <f>"2815"</f>
        <v>2815</v>
      </c>
      <c r="B2816" t="str">
        <f>"0.58"</f>
        <v>0.58</v>
      </c>
      <c r="C2816" t="str">
        <f>"43"</f>
        <v>43</v>
      </c>
      <c r="D2816" t="str">
        <f>"If Only a Sweet Surrender to the Nights to Come Be True"</f>
        <v>If Only a Sweet Surrender to the Nights to Come Be True</v>
      </c>
    </row>
    <row r="2817" spans="1:4" x14ac:dyDescent="0.2">
      <c r="A2817" t="str">
        <f>"2816"</f>
        <v>2816</v>
      </c>
      <c r="B2817" t="str">
        <f>"-0.32"</f>
        <v>-0.32</v>
      </c>
      <c r="C2817" t="str">
        <f>"48"</f>
        <v>48</v>
      </c>
      <c r="D2817" t="str">
        <f>"Kate"</f>
        <v>Kate</v>
      </c>
    </row>
    <row r="2818" spans="1:4" x14ac:dyDescent="0.2">
      <c r="A2818" t="str">
        <f>"2817"</f>
        <v>2817</v>
      </c>
      <c r="B2818" t="str">
        <f>"0.11"</f>
        <v>0.11</v>
      </c>
      <c r="C2818" t="str">
        <f>"58"</f>
        <v>58</v>
      </c>
      <c r="D2818" t="str">
        <f>"Huge Chrome Cylinder Box Unfolding"</f>
        <v>Huge Chrome Cylinder Box Unfolding</v>
      </c>
    </row>
    <row r="2819" spans="1:4" x14ac:dyDescent="0.2">
      <c r="A2819" t="str">
        <f>"2818"</f>
        <v>2818</v>
      </c>
      <c r="B2819" t="str">
        <f>"-0.18"</f>
        <v>-0.18</v>
      </c>
      <c r="C2819" t="str">
        <f>"46"</f>
        <v>46</v>
      </c>
      <c r="D2819" t="str">
        <f>"More Adventurous"</f>
        <v>More Adventurous</v>
      </c>
    </row>
    <row r="2820" spans="1:4" x14ac:dyDescent="0.2">
      <c r="A2820" t="str">
        <f>"2819"</f>
        <v>2819</v>
      </c>
      <c r="B2820" t="str">
        <f>"-0.3"</f>
        <v>-0.3</v>
      </c>
      <c r="C2820" t="str">
        <f>"56"</f>
        <v>56</v>
      </c>
      <c r="D2820" t="str">
        <f>"These Were The Earlies"</f>
        <v>These Were The Earlies</v>
      </c>
    </row>
    <row r="2821" spans="1:4" x14ac:dyDescent="0.2">
      <c r="A2821" t="str">
        <f>"2820"</f>
        <v>2820</v>
      </c>
      <c r="B2821" t="str">
        <f>"-0.16"</f>
        <v>-0.16</v>
      </c>
      <c r="C2821" t="str">
        <f>"48"</f>
        <v>48</v>
      </c>
      <c r="D2821" t="str">
        <f>"White Rabbits"</f>
        <v>White Rabbits</v>
      </c>
    </row>
    <row r="2822" spans="1:4" x14ac:dyDescent="0.2">
      <c r="A2822" t="str">
        <f>"2821"</f>
        <v>2821</v>
      </c>
      <c r="B2822" t="str">
        <f>"-0.28"</f>
        <v>-0.28</v>
      </c>
      <c r="C2822" t="str">
        <f>"44"</f>
        <v>44</v>
      </c>
      <c r="D2822" t="str">
        <f>"Kiss and Swallow"</f>
        <v>Kiss and Swallow</v>
      </c>
    </row>
    <row r="2823" spans="1:4" x14ac:dyDescent="0.2">
      <c r="A2823" t="str">
        <f>"2822"</f>
        <v>2822</v>
      </c>
      <c r="B2823" t="str">
        <f>"-0.07"</f>
        <v>-0.07</v>
      </c>
      <c r="C2823" t="str">
        <f>"54"</f>
        <v>54</v>
      </c>
      <c r="D2823" t="str">
        <f>"The Shining Path"</f>
        <v>The Shining Path</v>
      </c>
    </row>
    <row r="2824" spans="1:4" x14ac:dyDescent="0.2">
      <c r="A2824" t="str">
        <f>"2823"</f>
        <v>2823</v>
      </c>
      <c r="B2824" t="str">
        <f>"0.39"</f>
        <v>0.39</v>
      </c>
      <c r="C2824" t="str">
        <f>"90"</f>
        <v>90</v>
      </c>
      <c r="D2824" t="str">
        <f>"Wild Like Children"</f>
        <v>Wild Like Children</v>
      </c>
    </row>
    <row r="2825" spans="1:4" x14ac:dyDescent="0.2">
      <c r="A2825" t="str">
        <f>"2824"</f>
        <v>2824</v>
      </c>
      <c r="B2825" t="str">
        <f>"-0.96"</f>
        <v>-0.96</v>
      </c>
      <c r="C2825" t="str">
        <f>"34"</f>
        <v>34</v>
      </c>
      <c r="D2825" t="str">
        <f>"Ashé a Go-Go"</f>
        <v>Ashé a Go-Go</v>
      </c>
    </row>
    <row r="2826" spans="1:4" x14ac:dyDescent="0.2">
      <c r="A2826" t="str">
        <f>"2825"</f>
        <v>2825</v>
      </c>
      <c r="B2826" t="str">
        <f>"-0.13"</f>
        <v>-0.13</v>
      </c>
      <c r="C2826" t="str">
        <f>"50"</f>
        <v>50</v>
      </c>
      <c r="D2826" t="str">
        <f>"Fire in the Hole"</f>
        <v>Fire in the Hole</v>
      </c>
    </row>
    <row r="2827" spans="1:4" x14ac:dyDescent="0.2">
      <c r="A2827" t="str">
        <f>"2826"</f>
        <v>2826</v>
      </c>
      <c r="B2827" t="str">
        <f>"-0.36"</f>
        <v>-0.36</v>
      </c>
      <c r="C2827" t="str">
        <f>"52"</f>
        <v>52</v>
      </c>
      <c r="D2827" t="str">
        <f>"Three Fingers"</f>
        <v>Three Fingers</v>
      </c>
    </row>
    <row r="2828" spans="1:4" x14ac:dyDescent="0.2">
      <c r="A2828" t="str">
        <f>"2827"</f>
        <v>2827</v>
      </c>
      <c r="B2828" t="str">
        <f>"-0.99"</f>
        <v>-0.99</v>
      </c>
      <c r="C2828" t="str">
        <f>"59"</f>
        <v>59</v>
      </c>
      <c r="D2828" t="str">
        <f>"VV2: Venomous Villain"</f>
        <v>VV2: Venomous Villain</v>
      </c>
    </row>
    <row r="2829" spans="1:4" x14ac:dyDescent="0.2">
      <c r="A2829" t="str">
        <f>"2828"</f>
        <v>2828</v>
      </c>
      <c r="B2829" t="str">
        <f>"0.08"</f>
        <v>0.08</v>
      </c>
      <c r="C2829" t="str">
        <f>"47"</f>
        <v>47</v>
      </c>
      <c r="D2829" t="str">
        <f>"Gang Gang Dance"</f>
        <v>Gang Gang Dance</v>
      </c>
    </row>
    <row r="2830" spans="1:4" x14ac:dyDescent="0.2">
      <c r="A2830" t="str">
        <f>"2829"</f>
        <v>2829</v>
      </c>
      <c r="B2830" t="str">
        <f>"1.13"</f>
        <v>1.13</v>
      </c>
      <c r="C2830" t="str">
        <f>"59"</f>
        <v>59</v>
      </c>
      <c r="D2830" t="str">
        <f>"The Sound of Konk"</f>
        <v>The Sound of Konk</v>
      </c>
    </row>
    <row r="2831" spans="1:4" x14ac:dyDescent="0.2">
      <c r="A2831" t="str">
        <f>"2830"</f>
        <v>2830</v>
      </c>
      <c r="B2831" t="str">
        <f>"-0.22"</f>
        <v>-0.22</v>
      </c>
      <c r="C2831" t="str">
        <f>"46"</f>
        <v>46</v>
      </c>
      <c r="D2831" t="str">
        <f>"Love the Cup EP"</f>
        <v>Love the Cup EP</v>
      </c>
    </row>
    <row r="2832" spans="1:4" x14ac:dyDescent="0.2">
      <c r="A2832" t="str">
        <f>"2831"</f>
        <v>2831</v>
      </c>
      <c r="B2832" t="str">
        <f>"-0.58"</f>
        <v>-0.58</v>
      </c>
      <c r="C2832" t="str">
        <f>"66"</f>
        <v>66</v>
      </c>
      <c r="D2832" t="str">
        <f>"PV Trecks"</f>
        <v>PV Trecks</v>
      </c>
    </row>
    <row r="2833" spans="1:4" x14ac:dyDescent="0.2">
      <c r="A2833" t="str">
        <f>"2832"</f>
        <v>2832</v>
      </c>
      <c r="B2833" t="str">
        <f>"-0.4"</f>
        <v>-0.4</v>
      </c>
      <c r="C2833" t="str">
        <f>"73"</f>
        <v>73</v>
      </c>
      <c r="D2833" t="str">
        <f>"This Is Riphop"</f>
        <v>This Is Riphop</v>
      </c>
    </row>
    <row r="2834" spans="1:4" x14ac:dyDescent="0.2">
      <c r="A2834" t="str">
        <f>"2833"</f>
        <v>2833</v>
      </c>
      <c r="B2834" t="str">
        <f>"0.51"</f>
        <v>0.51</v>
      </c>
      <c r="C2834" t="str">
        <f>"64"</f>
        <v>64</v>
      </c>
      <c r="D2834" t="str">
        <f>"Cash and Carry Songs"</f>
        <v>Cash and Carry Songs</v>
      </c>
    </row>
    <row r="2835" spans="1:4" x14ac:dyDescent="0.2">
      <c r="A2835" t="str">
        <f>"2834"</f>
        <v>2834</v>
      </c>
      <c r="B2835" t="str">
        <f>"0.64"</f>
        <v>0.64</v>
      </c>
      <c r="C2835" t="str">
        <f>"52"</f>
        <v>52</v>
      </c>
      <c r="D2835" t="str">
        <f>"The Cover Up"</f>
        <v>The Cover Up</v>
      </c>
    </row>
    <row r="2836" spans="1:4" x14ac:dyDescent="0.2">
      <c r="A2836" t="str">
        <f>"2835"</f>
        <v>2835</v>
      </c>
      <c r="B2836" t="str">
        <f>"-0.51"</f>
        <v>-0.51</v>
      </c>
      <c r="C2836" t="str">
        <f>"70"</f>
        <v>70</v>
      </c>
      <c r="D2836" t="str">
        <f>"A Long Hot Summer"</f>
        <v>A Long Hot Summer</v>
      </c>
    </row>
    <row r="2837" spans="1:4" x14ac:dyDescent="0.2">
      <c r="A2837" t="str">
        <f>"2836"</f>
        <v>2836</v>
      </c>
      <c r="B2837" t="str">
        <f>"-0.68"</f>
        <v>-0.68</v>
      </c>
      <c r="C2837" t="str">
        <f>"65"</f>
        <v>65</v>
      </c>
      <c r="D2837" t="str">
        <f>"Hopes and Fears"</f>
        <v>Hopes and Fears</v>
      </c>
    </row>
    <row r="2838" spans="1:4" x14ac:dyDescent="0.2">
      <c r="A2838" t="str">
        <f>"2837"</f>
        <v>2837</v>
      </c>
      <c r="B2838" t="str">
        <f>"0.64"</f>
        <v>0.64</v>
      </c>
      <c r="C2838" t="str">
        <f>"67"</f>
        <v>67</v>
      </c>
      <c r="D2838" t="str">
        <f>"Drill a Hole in That Substrate and Tell Me What You See"</f>
        <v>Drill a Hole in That Substrate and Tell Me What You See</v>
      </c>
    </row>
    <row r="2839" spans="1:4" x14ac:dyDescent="0.2">
      <c r="A2839" t="str">
        <f>"2838"</f>
        <v>2838</v>
      </c>
      <c r="B2839" t="str">
        <f>"0.54"</f>
        <v>0.54</v>
      </c>
      <c r="C2839" t="str">
        <f>"54"</f>
        <v>54</v>
      </c>
      <c r="D2839" t="str">
        <f>"Matki Wandalki"</f>
        <v>Matki Wandalki</v>
      </c>
    </row>
    <row r="2840" spans="1:4" x14ac:dyDescent="0.2">
      <c r="A2840" t="str">
        <f>"2839"</f>
        <v>2839</v>
      </c>
      <c r="B2840" t="str">
        <f>"-0.12"</f>
        <v>-0.12</v>
      </c>
      <c r="C2840" t="str">
        <f>"65"</f>
        <v>65</v>
      </c>
      <c r="D2840" t="str">
        <f>"The Forcefield Kids"</f>
        <v>The Forcefield Kids</v>
      </c>
    </row>
    <row r="2841" spans="1:4" x14ac:dyDescent="0.2">
      <c r="A2841" t="str">
        <f>"2840"</f>
        <v>2840</v>
      </c>
      <c r="B2841" t="str">
        <f>"1.19"</f>
        <v>1.19</v>
      </c>
      <c r="C2841" t="str">
        <f>"61"</f>
        <v>61</v>
      </c>
      <c r="D2841" t="str">
        <f>"Old Enough 2 Know Better"</f>
        <v>Old Enough 2 Know Better</v>
      </c>
    </row>
    <row r="2842" spans="1:4" x14ac:dyDescent="0.2">
      <c r="A2842" t="str">
        <f>"2841"</f>
        <v>2841</v>
      </c>
      <c r="B2842" t="str">
        <f>"0.1"</f>
        <v>0.1</v>
      </c>
      <c r="C2842" t="str">
        <f>"109"</f>
        <v>109</v>
      </c>
      <c r="D2842" t="str">
        <f>"The Equatorial Stars"</f>
        <v>The Equatorial Stars</v>
      </c>
    </row>
    <row r="2843" spans="1:4" x14ac:dyDescent="0.2">
      <c r="A2843" t="str">
        <f>"2842"</f>
        <v>2842</v>
      </c>
      <c r="B2843" t="str">
        <f>"0.39"</f>
        <v>0.39</v>
      </c>
      <c r="C2843" t="str">
        <f>"57"</f>
        <v>57</v>
      </c>
      <c r="D2843" t="str">
        <f>"Winged Life"</f>
        <v>Winged Life</v>
      </c>
    </row>
    <row r="2844" spans="1:4" x14ac:dyDescent="0.2">
      <c r="A2844" t="str">
        <f>"2843"</f>
        <v>2843</v>
      </c>
      <c r="B2844" t="str">
        <f>"0.53"</f>
        <v>0.53</v>
      </c>
      <c r="C2844" t="str">
        <f>"57"</f>
        <v>57</v>
      </c>
      <c r="D2844" t="str">
        <f>"Country Favorites"</f>
        <v>Country Favorites</v>
      </c>
    </row>
    <row r="2845" spans="1:4" x14ac:dyDescent="0.2">
      <c r="A2845" t="str">
        <f>"2844"</f>
        <v>2844</v>
      </c>
      <c r="B2845" t="str">
        <f>"0.02"</f>
        <v>0.02</v>
      </c>
      <c r="C2845" t="str">
        <f>"76"</f>
        <v>76</v>
      </c>
      <c r="D2845" t="str">
        <f>"The Conet Project"</f>
        <v>The Conet Project</v>
      </c>
    </row>
    <row r="2846" spans="1:4" x14ac:dyDescent="0.2">
      <c r="A2846" t="str">
        <f>"2845"</f>
        <v>2845</v>
      </c>
      <c r="B2846" t="str">
        <f>"-0.44"</f>
        <v>-0.44</v>
      </c>
      <c r="C2846" t="str">
        <f>"60"</f>
        <v>60</v>
      </c>
      <c r="D2846" t="str">
        <f>"Porcelain"</f>
        <v>Porcelain</v>
      </c>
    </row>
    <row r="2847" spans="1:4" x14ac:dyDescent="0.2">
      <c r="A2847" t="str">
        <f>"2846"</f>
        <v>2846</v>
      </c>
      <c r="B2847" t="str">
        <f>"-0.95"</f>
        <v>-0.95</v>
      </c>
      <c r="C2847" t="str">
        <f>"75"</f>
        <v>75</v>
      </c>
      <c r="D2847" t="str">
        <f>"DNA on DNA"</f>
        <v>DNA on DNA</v>
      </c>
    </row>
    <row r="2848" spans="1:4" x14ac:dyDescent="0.2">
      <c r="A2848" t="str">
        <f>"2847"</f>
        <v>2847</v>
      </c>
      <c r="B2848" t="str">
        <f>"-0.36"</f>
        <v>-0.36</v>
      </c>
      <c r="C2848" t="str">
        <f>"65"</f>
        <v>65</v>
      </c>
      <c r="D2848" t="str">
        <f>"Take 'Em to the Cleaners"</f>
        <v>Take 'Em to the Cleaners</v>
      </c>
    </row>
    <row r="2849" spans="1:4" x14ac:dyDescent="0.2">
      <c r="A2849" t="str">
        <f>"2848"</f>
        <v>2848</v>
      </c>
      <c r="B2849" t="str">
        <f>"0.8"</f>
        <v>0.8</v>
      </c>
      <c r="C2849" t="str">
        <f>"46"</f>
        <v>46</v>
      </c>
      <c r="D2849" t="str">
        <f>"Slowblow"</f>
        <v>Slowblow</v>
      </c>
    </row>
    <row r="2850" spans="1:4" x14ac:dyDescent="0.2">
      <c r="A2850" t="str">
        <f>"2849"</f>
        <v>2849</v>
      </c>
      <c r="B2850" t="str">
        <f>"-1.37"</f>
        <v>-1.37</v>
      </c>
      <c r="C2850" t="str">
        <f>"57"</f>
        <v>57</v>
      </c>
      <c r="D2850" t="str">
        <f>"Young Days"</f>
        <v>Young Days</v>
      </c>
    </row>
    <row r="2851" spans="1:4" x14ac:dyDescent="0.2">
      <c r="A2851" t="str">
        <f>"2850"</f>
        <v>2850</v>
      </c>
      <c r="B2851" t="str">
        <f>"0.44"</f>
        <v>0.44</v>
      </c>
      <c r="C2851" t="str">
        <f>"72"</f>
        <v>72</v>
      </c>
      <c r="D2851" t="str">
        <f>"Out of the Shadow"</f>
        <v>Out of the Shadow</v>
      </c>
    </row>
    <row r="2852" spans="1:4" x14ac:dyDescent="0.2">
      <c r="A2852" t="str">
        <f>"2851"</f>
        <v>2851</v>
      </c>
      <c r="B2852" t="str">
        <f>"-0.09"</f>
        <v>-0.09</v>
      </c>
      <c r="C2852" t="str">
        <f>"71"</f>
        <v>71</v>
      </c>
      <c r="D2852" t="str">
        <f>"Recorded Live"</f>
        <v>Recorded Live</v>
      </c>
    </row>
    <row r="2853" spans="1:4" x14ac:dyDescent="0.2">
      <c r="A2853" t="str">
        <f>"2852"</f>
        <v>2852</v>
      </c>
      <c r="B2853" t="str">
        <f>"0.04"</f>
        <v>0.04</v>
      </c>
      <c r="C2853" t="str">
        <f>"51"</f>
        <v>51</v>
      </c>
      <c r="D2853" t="str">
        <f>"Snow Gas Bones"</f>
        <v>Snow Gas Bones</v>
      </c>
    </row>
    <row r="2854" spans="1:4" x14ac:dyDescent="0.2">
      <c r="A2854" t="str">
        <f>"2853"</f>
        <v>2853</v>
      </c>
      <c r="B2854" t="str">
        <f>"0.8"</f>
        <v>0.8</v>
      </c>
      <c r="C2854" t="str">
        <f>"51"</f>
        <v>51</v>
      </c>
      <c r="D2854" t="str">
        <f>"Drag It Up"</f>
        <v>Drag It Up</v>
      </c>
    </row>
    <row r="2855" spans="1:4" x14ac:dyDescent="0.2">
      <c r="A2855" t="str">
        <f>"2854"</f>
        <v>2854</v>
      </c>
      <c r="B2855" t="str">
        <f>"0.32"</f>
        <v>0.32</v>
      </c>
      <c r="C2855" t="str">
        <f>"70"</f>
        <v>70</v>
      </c>
      <c r="D2855" t="str">
        <f>"MGM Endings: Cellar Door Remixes"</f>
        <v>MGM Endings: Cellar Door Remixes</v>
      </c>
    </row>
    <row r="2856" spans="1:4" x14ac:dyDescent="0.2">
      <c r="A2856" t="str">
        <f>"2855"</f>
        <v>2855</v>
      </c>
      <c r="B2856" t="str">
        <f>"0.06"</f>
        <v>0.06</v>
      </c>
      <c r="C2856" t="str">
        <f>"85"</f>
        <v>85</v>
      </c>
      <c r="D2856" t="str">
        <f>"Uncollected"</f>
        <v>Uncollected</v>
      </c>
    </row>
    <row r="2857" spans="1:4" x14ac:dyDescent="0.2">
      <c r="A2857" t="str">
        <f>"2856"</f>
        <v>2856</v>
      </c>
      <c r="B2857" t="str">
        <f>"-0.42"</f>
        <v>-0.42</v>
      </c>
      <c r="C2857" t="str">
        <f>"67"</f>
        <v>67</v>
      </c>
      <c r="D2857" t="str">
        <f>"The Empire Strikes First"</f>
        <v>The Empire Strikes First</v>
      </c>
    </row>
    <row r="2858" spans="1:4" x14ac:dyDescent="0.2">
      <c r="A2858" t="str">
        <f>"2857"</f>
        <v>2857</v>
      </c>
      <c r="B2858" t="str">
        <f>"0.27"</f>
        <v>0.27</v>
      </c>
      <c r="C2858" t="str">
        <f>"40"</f>
        <v>40</v>
      </c>
      <c r="D2858" t="str">
        <f>"Mystic Chords of Memory"</f>
        <v>Mystic Chords of Memory</v>
      </c>
    </row>
    <row r="2859" spans="1:4" x14ac:dyDescent="0.2">
      <c r="A2859" t="str">
        <f>"2858"</f>
        <v>2858</v>
      </c>
      <c r="B2859" t="str">
        <f>"-0.27"</f>
        <v>-0.27</v>
      </c>
      <c r="C2859" t="str">
        <f>"21"</f>
        <v>21</v>
      </c>
      <c r="D2859" t="str">
        <f>"Taking Tiger Mountain (By Strategy)"</f>
        <v>Taking Tiger Mountain (By Strategy)</v>
      </c>
    </row>
    <row r="2860" spans="1:4" x14ac:dyDescent="0.2">
      <c r="A2860" t="str">
        <f>"2859"</f>
        <v>2859</v>
      </c>
      <c r="B2860" t="str">
        <f>"0.1"</f>
        <v>0.1</v>
      </c>
      <c r="C2860" t="str">
        <f>"61"</f>
        <v>61</v>
      </c>
      <c r="D2860" t="str">
        <f>"Green Imagination"</f>
        <v>Green Imagination</v>
      </c>
    </row>
    <row r="2861" spans="1:4" x14ac:dyDescent="0.2">
      <c r="A2861" t="str">
        <f>"2860"</f>
        <v>2860</v>
      </c>
      <c r="B2861" t="str">
        <f>"1.1"</f>
        <v>1.1</v>
      </c>
      <c r="C2861" t="str">
        <f>"64"</f>
        <v>64</v>
      </c>
      <c r="D2861" t="str">
        <f>"Odessey and Oracle"</f>
        <v>Odessey and Oracle</v>
      </c>
    </row>
    <row r="2862" spans="1:4" x14ac:dyDescent="0.2">
      <c r="A2862" t="str">
        <f>"2861"</f>
        <v>2861</v>
      </c>
      <c r="B2862" t="str">
        <f>"1.26"</f>
        <v>1.26</v>
      </c>
      <c r="C2862" t="str">
        <f>"49"</f>
        <v>49</v>
      </c>
      <c r="D2862" t="str">
        <f>"Frozen Orange"</f>
        <v>Frozen Orange</v>
      </c>
    </row>
    <row r="2863" spans="1:4" x14ac:dyDescent="0.2">
      <c r="A2863" t="str">
        <f>"2862"</f>
        <v>2862</v>
      </c>
      <c r="B2863" t="str">
        <f>"0.85"</f>
        <v>0.85</v>
      </c>
      <c r="C2863" t="str">
        <f>"54"</f>
        <v>54</v>
      </c>
      <c r="D2863" t="str">
        <f>"Dead Diamond River EP"</f>
        <v>Dead Diamond River EP</v>
      </c>
    </row>
    <row r="2864" spans="1:4" x14ac:dyDescent="0.2">
      <c r="A2864" t="str">
        <f>"2863"</f>
        <v>2863</v>
      </c>
      <c r="B2864" t="str">
        <f>"0.41"</f>
        <v>0.41</v>
      </c>
      <c r="C2864" t="str">
        <f>"39"</f>
        <v>39</v>
      </c>
      <c r="D2864" t="str">
        <f>"Out to Go"</f>
        <v>Out to Go</v>
      </c>
    </row>
    <row r="2865" spans="1:4" x14ac:dyDescent="0.2">
      <c r="A2865" t="str">
        <f>"2864"</f>
        <v>2864</v>
      </c>
      <c r="B2865" t="str">
        <f>"-0.98"</f>
        <v>-0.98</v>
      </c>
      <c r="C2865" t="str">
        <f>"15"</f>
        <v>15</v>
      </c>
      <c r="D2865" t="str">
        <f>"Live at the LU"</f>
        <v>Live at the LU</v>
      </c>
    </row>
    <row r="2866" spans="1:4" x14ac:dyDescent="0.2">
      <c r="A2866" t="str">
        <f>"2865"</f>
        <v>2865</v>
      </c>
      <c r="B2866" t="str">
        <f>"-0.21"</f>
        <v>-0.21</v>
      </c>
      <c r="C2866" t="str">
        <f>"70"</f>
        <v>70</v>
      </c>
      <c r="D2866" t="str">
        <f>"Blue Cathedral"</f>
        <v>Blue Cathedral</v>
      </c>
    </row>
    <row r="2867" spans="1:4" x14ac:dyDescent="0.2">
      <c r="A2867" t="str">
        <f>"2866"</f>
        <v>2866</v>
      </c>
      <c r="B2867" t="str">
        <f>"0.53"</f>
        <v>0.53</v>
      </c>
      <c r="C2867" t="str">
        <f>"32"</f>
        <v>32</v>
      </c>
      <c r="D2867" t="str">
        <f>"The Futureheads"</f>
        <v>The Futureheads</v>
      </c>
    </row>
    <row r="2868" spans="1:4" x14ac:dyDescent="0.2">
      <c r="A2868" t="str">
        <f>"2867"</f>
        <v>2867</v>
      </c>
      <c r="B2868" t="str">
        <f>"0.64"</f>
        <v>0.64</v>
      </c>
      <c r="C2868" t="str">
        <f>"100"</f>
        <v>100</v>
      </c>
      <c r="D2868" t="str">
        <f>"Something Grand"</f>
        <v>Something Grand</v>
      </c>
    </row>
    <row r="2869" spans="1:4" x14ac:dyDescent="0.2">
      <c r="A2869" t="str">
        <f>"2868"</f>
        <v>2868</v>
      </c>
      <c r="B2869" t="str">
        <f>"-0.09"</f>
        <v>-0.09</v>
      </c>
      <c r="C2869" t="str">
        <f>"62"</f>
        <v>62</v>
      </c>
      <c r="D2869" t="s">
        <v>88</v>
      </c>
    </row>
    <row r="2870" spans="1:4" x14ac:dyDescent="0.2">
      <c r="A2870" t="str">
        <f>"2869"</f>
        <v>2869</v>
      </c>
      <c r="B2870" t="str">
        <f>"0.13"</f>
        <v>0.13</v>
      </c>
      <c r="C2870" t="str">
        <f>"28"</f>
        <v>28</v>
      </c>
      <c r="D2870" t="str">
        <f>"Duh Yellow Swans"</f>
        <v>Duh Yellow Swans</v>
      </c>
    </row>
    <row r="2871" spans="1:4" x14ac:dyDescent="0.2">
      <c r="A2871" t="str">
        <f>"2870"</f>
        <v>2870</v>
      </c>
      <c r="B2871" t="str">
        <f>"0.81"</f>
        <v>0.81</v>
      </c>
      <c r="C2871" t="str">
        <f>"34"</f>
        <v>34</v>
      </c>
      <c r="D2871" t="str">
        <f>"A Tribute to Brother Weldon"</f>
        <v>A Tribute to Brother Weldon</v>
      </c>
    </row>
    <row r="2872" spans="1:4" x14ac:dyDescent="0.2">
      <c r="A2872" t="str">
        <f>"2871"</f>
        <v>2871</v>
      </c>
      <c r="B2872" t="str">
        <f>"-0.01"</f>
        <v>-0.01</v>
      </c>
      <c r="C2872" t="str">
        <f>"82"</f>
        <v>82</v>
      </c>
      <c r="D2872" t="str">
        <f>"A Strange Mess of Flowers"</f>
        <v>A Strange Mess of Flowers</v>
      </c>
    </row>
    <row r="2873" spans="1:4" x14ac:dyDescent="0.2">
      <c r="A2873" t="str">
        <f>"2872"</f>
        <v>2872</v>
      </c>
      <c r="B2873" t="str">
        <f>"-0.07"</f>
        <v>-0.07</v>
      </c>
      <c r="C2873" t="str">
        <f>"59"</f>
        <v>59</v>
      </c>
      <c r="D2873" t="str">
        <f>"Lovers Need Lawyers EP"</f>
        <v>Lovers Need Lawyers EP</v>
      </c>
    </row>
    <row r="2874" spans="1:4" x14ac:dyDescent="0.2">
      <c r="A2874" t="str">
        <f>"2873"</f>
        <v>2873</v>
      </c>
      <c r="B2874" t="str">
        <f>"-0.78"</f>
        <v>-0.78</v>
      </c>
      <c r="C2874" t="str">
        <f>"28"</f>
        <v>28</v>
      </c>
      <c r="D2874" t="str">
        <f>"Santagustin"</f>
        <v>Santagustin</v>
      </c>
    </row>
    <row r="2875" spans="1:4" x14ac:dyDescent="0.2">
      <c r="A2875" t="str">
        <f>"2874"</f>
        <v>2874</v>
      </c>
      <c r="B2875" t="str">
        <f>"0.2"</f>
        <v>0.2</v>
      </c>
      <c r="C2875" t="str">
        <f>"61"</f>
        <v>61</v>
      </c>
      <c r="D2875" t="str">
        <f>"Terrorbird"</f>
        <v>Terrorbird</v>
      </c>
    </row>
    <row r="2876" spans="1:4" x14ac:dyDescent="0.2">
      <c r="A2876" t="str">
        <f>"2875"</f>
        <v>2875</v>
      </c>
      <c r="B2876" t="str">
        <f>"0.59"</f>
        <v>0.59</v>
      </c>
      <c r="C2876" t="str">
        <f>"56"</f>
        <v>56</v>
      </c>
      <c r="D2876" t="str">
        <f>"Riot on an Empty Street"</f>
        <v>Riot on an Empty Street</v>
      </c>
    </row>
    <row r="2877" spans="1:4" x14ac:dyDescent="0.2">
      <c r="A2877" t="str">
        <f>"2876"</f>
        <v>2876</v>
      </c>
      <c r="B2877" t="str">
        <f>"0.08"</f>
        <v>0.08</v>
      </c>
      <c r="C2877" t="str">
        <f>"59"</f>
        <v>59</v>
      </c>
      <c r="D2877" t="str">
        <f>"Kiss &amp; Tell"</f>
        <v>Kiss &amp; Tell</v>
      </c>
    </row>
    <row r="2878" spans="1:4" x14ac:dyDescent="0.2">
      <c r="A2878" t="str">
        <f>"2877"</f>
        <v>2877</v>
      </c>
      <c r="B2878" t="str">
        <f>"0.25"</f>
        <v>0.25</v>
      </c>
      <c r="C2878" t="str">
        <f>"61"</f>
        <v>61</v>
      </c>
      <c r="D2878" t="str">
        <f>"Light Is Calling"</f>
        <v>Light Is Calling</v>
      </c>
    </row>
    <row r="2879" spans="1:4" x14ac:dyDescent="0.2">
      <c r="A2879" t="str">
        <f>"2878"</f>
        <v>2878</v>
      </c>
      <c r="B2879" t="str">
        <f>"0.95"</f>
        <v>0.95</v>
      </c>
      <c r="C2879" t="str">
        <f>"59"</f>
        <v>59</v>
      </c>
      <c r="D2879" t="str">
        <f>"Utopia"</f>
        <v>Utopia</v>
      </c>
    </row>
    <row r="2880" spans="1:4" x14ac:dyDescent="0.2">
      <c r="A2880" t="str">
        <f>"2879"</f>
        <v>2879</v>
      </c>
      <c r="B2880" t="str">
        <f>"-0.57"</f>
        <v>-0.57</v>
      </c>
      <c r="C2880" t="str">
        <f>"34"</f>
        <v>34</v>
      </c>
      <c r="D2880" t="str">
        <f>"Let's Make Our Descent"</f>
        <v>Let's Make Our Descent</v>
      </c>
    </row>
    <row r="2881" spans="1:4" x14ac:dyDescent="0.2">
      <c r="A2881" t="str">
        <f>"2880"</f>
        <v>2880</v>
      </c>
      <c r="B2881" t="str">
        <f>"0.06"</f>
        <v>0.06</v>
      </c>
      <c r="C2881" t="str">
        <f>"58"</f>
        <v>58</v>
      </c>
      <c r="D2881" t="str">
        <f>"Remixes"</f>
        <v>Remixes</v>
      </c>
    </row>
    <row r="2882" spans="1:4" x14ac:dyDescent="0.2">
      <c r="A2882" t="str">
        <f>"2881"</f>
        <v>2881</v>
      </c>
      <c r="B2882" t="str">
        <f>"-0.04"</f>
        <v>-0.04</v>
      </c>
      <c r="C2882" t="str">
        <f>"78"</f>
        <v>78</v>
      </c>
      <c r="D2882" t="str">
        <f>"The Village Green Preservation Society"</f>
        <v>The Village Green Preservation Society</v>
      </c>
    </row>
    <row r="2883" spans="1:4" x14ac:dyDescent="0.2">
      <c r="A2883" t="str">
        <f>"2882"</f>
        <v>2882</v>
      </c>
      <c r="B2883" t="str">
        <f>"-0.05"</f>
        <v>-0.05</v>
      </c>
      <c r="C2883" t="str">
        <f>"89"</f>
        <v>89</v>
      </c>
      <c r="D2883" t="str">
        <f>"Melatonin: Meditations on Sound in Sleep"</f>
        <v>Melatonin: Meditations on Sound in Sleep</v>
      </c>
    </row>
    <row r="2884" spans="1:4" x14ac:dyDescent="0.2">
      <c r="A2884" t="str">
        <f>"2883"</f>
        <v>2883</v>
      </c>
      <c r="B2884" t="str">
        <f>"-0.26"</f>
        <v>-0.26</v>
      </c>
      <c r="C2884" t="str">
        <f>"36"</f>
        <v>36</v>
      </c>
      <c r="D2884" t="str">
        <f>"Never Bring You Pleasure"</f>
        <v>Never Bring You Pleasure</v>
      </c>
    </row>
    <row r="2885" spans="1:4" x14ac:dyDescent="0.2">
      <c r="A2885" t="str">
        <f>"2884"</f>
        <v>2884</v>
      </c>
      <c r="B2885" t="str">
        <f>"-0.81"</f>
        <v>-0.81</v>
      </c>
      <c r="C2885" t="str">
        <f>"52"</f>
        <v>52</v>
      </c>
      <c r="D2885" t="str">
        <f>"Not Exotic"</f>
        <v>Not Exotic</v>
      </c>
    </row>
    <row r="2886" spans="1:4" x14ac:dyDescent="0.2">
      <c r="A2886" t="str">
        <f>"2885"</f>
        <v>2885</v>
      </c>
      <c r="B2886" t="str">
        <f>"-0.07"</f>
        <v>-0.07</v>
      </c>
      <c r="C2886" t="str">
        <f>"109"</f>
        <v>109</v>
      </c>
      <c r="D2886" t="str">
        <f>"Seven New Songs of Mount Eerie"</f>
        <v>Seven New Songs of Mount Eerie</v>
      </c>
    </row>
    <row r="2887" spans="1:4" x14ac:dyDescent="0.2">
      <c r="A2887" t="str">
        <f>"2886"</f>
        <v>2886</v>
      </c>
      <c r="B2887" t="str">
        <f>"-0.55"</f>
        <v>-0.55</v>
      </c>
      <c r="C2887" t="str">
        <f>"63"</f>
        <v>63</v>
      </c>
      <c r="D2887" t="str">
        <f>"Arabesque"</f>
        <v>Arabesque</v>
      </c>
    </row>
    <row r="2888" spans="1:4" x14ac:dyDescent="0.2">
      <c r="A2888" t="str">
        <f>"2887"</f>
        <v>2887</v>
      </c>
      <c r="B2888" t="str">
        <f>"-0.07"</f>
        <v>-0.07</v>
      </c>
      <c r="C2888" t="str">
        <f>"55"</f>
        <v>55</v>
      </c>
      <c r="D2888" t="str">
        <f>"Cosmic Cleavage"</f>
        <v>Cosmic Cleavage</v>
      </c>
    </row>
    <row r="2889" spans="1:4" x14ac:dyDescent="0.2">
      <c r="A2889" t="str">
        <f>"2888"</f>
        <v>2888</v>
      </c>
      <c r="B2889" t="str">
        <f>"-0.63"</f>
        <v>-0.63</v>
      </c>
      <c r="C2889" t="str">
        <f>"61"</f>
        <v>61</v>
      </c>
      <c r="D2889" t="str">
        <f>"The Eye of Every Storm"</f>
        <v>The Eye of Every Storm</v>
      </c>
    </row>
    <row r="2890" spans="1:4" x14ac:dyDescent="0.2">
      <c r="A2890" t="str">
        <f>"2889"</f>
        <v>2889</v>
      </c>
      <c r="B2890" t="str">
        <f>"-0.26"</f>
        <v>-0.26</v>
      </c>
      <c r="C2890" t="str">
        <f>"71"</f>
        <v>71</v>
      </c>
      <c r="D2890" t="str">
        <f>"Backstroke"</f>
        <v>Backstroke</v>
      </c>
    </row>
    <row r="2891" spans="1:4" x14ac:dyDescent="0.2">
      <c r="A2891" t="str">
        <f>"2890"</f>
        <v>2890</v>
      </c>
      <c r="B2891" t="str">
        <f>"-0.2"</f>
        <v>-0.2</v>
      </c>
      <c r="C2891" t="str">
        <f>"50"</f>
        <v>50</v>
      </c>
      <c r="D2891" t="str">
        <f>"Grapes from the Estate"</f>
        <v>Grapes from the Estate</v>
      </c>
    </row>
    <row r="2892" spans="1:4" x14ac:dyDescent="0.2">
      <c r="A2892" t="str">
        <f>"2891"</f>
        <v>2891</v>
      </c>
      <c r="B2892" t="str">
        <f>"-1.13"</f>
        <v>-1.13</v>
      </c>
      <c r="C2892" t="str">
        <f>"43"</f>
        <v>43</v>
      </c>
      <c r="D2892" t="str">
        <f>"White2"</f>
        <v>White2</v>
      </c>
    </row>
    <row r="2893" spans="1:4" x14ac:dyDescent="0.2">
      <c r="A2893" t="str">
        <f>"2892"</f>
        <v>2892</v>
      </c>
      <c r="B2893" t="str">
        <f>"0.88"</f>
        <v>0.88</v>
      </c>
      <c r="C2893" t="str">
        <f>"52"</f>
        <v>52</v>
      </c>
      <c r="D2893" t="str">
        <f>"Acoustic Citsuoca EP"</f>
        <v>Acoustic Citsuoca EP</v>
      </c>
    </row>
    <row r="2894" spans="1:4" x14ac:dyDescent="0.2">
      <c r="A2894" t="str">
        <f>"2893"</f>
        <v>2893</v>
      </c>
      <c r="B2894" t="str">
        <f>"0.14"</f>
        <v>0.14</v>
      </c>
      <c r="C2894" t="str">
        <f>"39"</f>
        <v>39</v>
      </c>
      <c r="D2894" t="str">
        <f>"Tres Cosas"</f>
        <v>Tres Cosas</v>
      </c>
    </row>
    <row r="2895" spans="1:4" x14ac:dyDescent="0.2">
      <c r="A2895" t="str">
        <f>"2894"</f>
        <v>2894</v>
      </c>
      <c r="B2895" t="str">
        <f>"-0.14"</f>
        <v>-0.14</v>
      </c>
      <c r="C2895" t="str">
        <f>"70"</f>
        <v>70</v>
      </c>
      <c r="D2895" t="str">
        <f>"Circa: Now! +4"</f>
        <v>Circa: Now! +4</v>
      </c>
    </row>
    <row r="2896" spans="1:4" x14ac:dyDescent="0.2">
      <c r="A2896" t="str">
        <f>"2895"</f>
        <v>2895</v>
      </c>
      <c r="B2896" t="str">
        <f>"-0.34"</f>
        <v>-0.34</v>
      </c>
      <c r="C2896" t="str">
        <f>"76"</f>
        <v>76</v>
      </c>
      <c r="D2896" t="str">
        <f>"One Plus One Is One"</f>
        <v>One Plus One Is One</v>
      </c>
    </row>
    <row r="2897" spans="1:4" x14ac:dyDescent="0.2">
      <c r="A2897" t="str">
        <f>"2896"</f>
        <v>2896</v>
      </c>
      <c r="B2897" t="str">
        <f>"0.05"</f>
        <v>0.05</v>
      </c>
      <c r="C2897" t="str">
        <f>"49"</f>
        <v>49</v>
      </c>
      <c r="D2897" t="str">
        <f>"Shanti Project Collection 3"</f>
        <v>Shanti Project Collection 3</v>
      </c>
    </row>
    <row r="2898" spans="1:4" x14ac:dyDescent="0.2">
      <c r="A2898" t="str">
        <f>"2897"</f>
        <v>2897</v>
      </c>
      <c r="B2898" t="str">
        <f>"0.51"</f>
        <v>0.51</v>
      </c>
      <c r="C2898" t="str">
        <f>"58"</f>
        <v>58</v>
      </c>
      <c r="D2898" t="str">
        <f>"Flashlight Seasons"</f>
        <v>Flashlight Seasons</v>
      </c>
    </row>
    <row r="2899" spans="1:4" x14ac:dyDescent="0.2">
      <c r="A2899" t="str">
        <f>"2898"</f>
        <v>2898</v>
      </c>
      <c r="B2899" t="str">
        <f>"-0.09"</f>
        <v>-0.09</v>
      </c>
      <c r="C2899" t="str">
        <f>"56"</f>
        <v>56</v>
      </c>
      <c r="D2899" t="str">
        <f>"Detroit Deli"</f>
        <v>Detroit Deli</v>
      </c>
    </row>
    <row r="2900" spans="1:4" x14ac:dyDescent="0.2">
      <c r="A2900" t="str">
        <f>"2899"</f>
        <v>2899</v>
      </c>
      <c r="B2900" t="str">
        <f>"-0.34"</f>
        <v>-0.34</v>
      </c>
      <c r="C2900" t="str">
        <f>"114"</f>
        <v>114</v>
      </c>
      <c r="D2900" t="str">
        <f>"Little"</f>
        <v>Little</v>
      </c>
    </row>
    <row r="2901" spans="1:4" x14ac:dyDescent="0.2">
      <c r="A2901" t="str">
        <f>"2900"</f>
        <v>2900</v>
      </c>
      <c r="B2901" t="str">
        <f>"0.15"</f>
        <v>0.15</v>
      </c>
      <c r="C2901" t="str">
        <f>"60"</f>
        <v>60</v>
      </c>
      <c r="D2901" t="s">
        <v>89</v>
      </c>
    </row>
    <row r="2902" spans="1:4" x14ac:dyDescent="0.2">
      <c r="A2902" t="str">
        <f>"2901"</f>
        <v>2901</v>
      </c>
      <c r="B2902" t="str">
        <f>"-0.06"</f>
        <v>-0.06</v>
      </c>
      <c r="C2902" t="str">
        <f>"48"</f>
        <v>48</v>
      </c>
      <c r="D2902" t="str">
        <f>"Wall of Noise"</f>
        <v>Wall of Noise</v>
      </c>
    </row>
    <row r="2903" spans="1:4" x14ac:dyDescent="0.2">
      <c r="A2903" t="str">
        <f>"2902"</f>
        <v>2902</v>
      </c>
      <c r="B2903" t="str">
        <f>"0.01"</f>
        <v>0.01</v>
      </c>
      <c r="C2903" t="str">
        <f>"48"</f>
        <v>48</v>
      </c>
      <c r="D2903" t="str">
        <f>"Honey for Dinner"</f>
        <v>Honey for Dinner</v>
      </c>
    </row>
    <row r="2904" spans="1:4" x14ac:dyDescent="0.2">
      <c r="A2904" t="str">
        <f>"2903"</f>
        <v>2903</v>
      </c>
      <c r="B2904" t="str">
        <f>"-0.48"</f>
        <v>-0.48</v>
      </c>
      <c r="C2904" t="str">
        <f>"63"</f>
        <v>63</v>
      </c>
      <c r="D2904" t="str">
        <f>"...It Falls Apart"</f>
        <v>...It Falls Apart</v>
      </c>
    </row>
    <row r="2905" spans="1:4" x14ac:dyDescent="0.2">
      <c r="A2905" t="str">
        <f>"2904"</f>
        <v>2904</v>
      </c>
      <c r="B2905" t="str">
        <f>"-0.15"</f>
        <v>-0.15</v>
      </c>
      <c r="C2905" t="str">
        <f>"80"</f>
        <v>80</v>
      </c>
      <c r="D2905" t="str">
        <f>"EP C"</f>
        <v>EP C</v>
      </c>
    </row>
    <row r="2906" spans="1:4" x14ac:dyDescent="0.2">
      <c r="A2906" t="str">
        <f>"2905"</f>
        <v>2905</v>
      </c>
      <c r="B2906" t="str">
        <f>"-0.33"</f>
        <v>-0.33</v>
      </c>
      <c r="C2906" t="str">
        <f>"86"</f>
        <v>86</v>
      </c>
      <c r="D2906" t="str">
        <f>"A Sun Came [2nd Edition]"</f>
        <v>A Sun Came [2nd Edition]</v>
      </c>
    </row>
    <row r="2907" spans="1:4" x14ac:dyDescent="0.2">
      <c r="A2907" t="str">
        <f>"2906"</f>
        <v>2906</v>
      </c>
      <c r="B2907" t="str">
        <f>"0.12"</f>
        <v>0.12</v>
      </c>
      <c r="C2907" t="str">
        <f>"56"</f>
        <v>56</v>
      </c>
      <c r="D2907" t="str">
        <f>"Sorry I Make You Lush"</f>
        <v>Sorry I Make You Lush</v>
      </c>
    </row>
    <row r="2908" spans="1:4" x14ac:dyDescent="0.2">
      <c r="A2908" t="str">
        <f>"2907"</f>
        <v>2907</v>
      </c>
      <c r="B2908" t="str">
        <f>"-0.8"</f>
        <v>-0.8</v>
      </c>
      <c r="C2908" t="str">
        <f>"42"</f>
        <v>42</v>
      </c>
      <c r="D2908" t="str">
        <f>"Those Are Not My Bongos"</f>
        <v>Those Are Not My Bongos</v>
      </c>
    </row>
    <row r="2909" spans="1:4" x14ac:dyDescent="0.2">
      <c r="A2909" t="str">
        <f>"2908"</f>
        <v>2908</v>
      </c>
      <c r="B2909" t="str">
        <f>"-0.78"</f>
        <v>-0.78</v>
      </c>
      <c r="C2909" t="str">
        <f>"69"</f>
        <v>69</v>
      </c>
      <c r="D2909" t="str">
        <f>"This Is for Real"</f>
        <v>This Is for Real</v>
      </c>
    </row>
    <row r="2910" spans="1:4" x14ac:dyDescent="0.2">
      <c r="A2910" t="str">
        <f>"2909"</f>
        <v>2909</v>
      </c>
      <c r="B2910" t="str">
        <f>"-0.17"</f>
        <v>-0.17</v>
      </c>
      <c r="C2910" t="str">
        <f>"79"</f>
        <v>79</v>
      </c>
      <c r="D2910" t="str">
        <f>"Frequently Asked Questions"</f>
        <v>Frequently Asked Questions</v>
      </c>
    </row>
    <row r="2911" spans="1:4" x14ac:dyDescent="0.2">
      <c r="A2911" t="str">
        <f>"2910"</f>
        <v>2910</v>
      </c>
      <c r="B2911" t="str">
        <f>"-0.34"</f>
        <v>-0.34</v>
      </c>
      <c r="C2911" t="str">
        <f>"180"</f>
        <v>180</v>
      </c>
      <c r="D2911" t="str">
        <f>"Tyrannosaurus Hives"</f>
        <v>Tyrannosaurus Hives</v>
      </c>
    </row>
    <row r="2912" spans="1:4" x14ac:dyDescent="0.2">
      <c r="A2912" t="str">
        <f>"2911"</f>
        <v>2911</v>
      </c>
      <c r="B2912" t="str">
        <f>"-0.65"</f>
        <v>-0.65</v>
      </c>
      <c r="C2912" t="str">
        <f>"61"</f>
        <v>61</v>
      </c>
      <c r="D2912" t="str">
        <f>"The Concretes"</f>
        <v>The Concretes</v>
      </c>
    </row>
    <row r="2913" spans="1:4" x14ac:dyDescent="0.2">
      <c r="A2913" t="str">
        <f>"2912"</f>
        <v>2912</v>
      </c>
      <c r="B2913" t="str">
        <f>"-0.33"</f>
        <v>-0.33</v>
      </c>
      <c r="C2913" t="str">
        <f>"41"</f>
        <v>41</v>
      </c>
      <c r="D2913" t="str">
        <f>"Set Yourself on Fire"</f>
        <v>Set Yourself on Fire</v>
      </c>
    </row>
    <row r="2914" spans="1:4" x14ac:dyDescent="0.2">
      <c r="A2914" t="str">
        <f>"2913"</f>
        <v>2913</v>
      </c>
      <c r="B2914" t="str">
        <f>"-0.28"</f>
        <v>-0.28</v>
      </c>
      <c r="C2914" t="str">
        <f>"44"</f>
        <v>44</v>
      </c>
      <c r="D2914" t="str">
        <f>"And This Is Our Music"</f>
        <v>And This Is Our Music</v>
      </c>
    </row>
    <row r="2915" spans="1:4" x14ac:dyDescent="0.2">
      <c r="A2915" t="str">
        <f>"2914"</f>
        <v>2914</v>
      </c>
      <c r="B2915" t="str">
        <f>"-0.54"</f>
        <v>-0.54</v>
      </c>
      <c r="C2915" t="str">
        <f>"62"</f>
        <v>62</v>
      </c>
      <c r="D2915" t="str">
        <f>"Fall Back Open"</f>
        <v>Fall Back Open</v>
      </c>
    </row>
    <row r="2916" spans="1:4" x14ac:dyDescent="0.2">
      <c r="A2916" t="str">
        <f>"2915"</f>
        <v>2915</v>
      </c>
      <c r="B2916" t="str">
        <f>"-0.12"</f>
        <v>-0.12</v>
      </c>
      <c r="C2916" t="str">
        <f>"79"</f>
        <v>79</v>
      </c>
      <c r="D2916" t="str">
        <f>"The Spine"</f>
        <v>The Spine</v>
      </c>
    </row>
    <row r="2917" spans="1:4" x14ac:dyDescent="0.2">
      <c r="A2917" t="str">
        <f>"2916"</f>
        <v>2916</v>
      </c>
      <c r="B2917" t="str">
        <f>"-1.04"</f>
        <v>-1.04</v>
      </c>
      <c r="C2917" t="str">
        <f>"56"</f>
        <v>56</v>
      </c>
      <c r="D2917" t="str">
        <f>"Lesson No. 1"</f>
        <v>Lesson No. 1</v>
      </c>
    </row>
    <row r="2918" spans="1:4" x14ac:dyDescent="0.2">
      <c r="A2918" t="str">
        <f>"2917"</f>
        <v>2917</v>
      </c>
      <c r="B2918" t="str">
        <f>"0.29"</f>
        <v>0.29</v>
      </c>
      <c r="C2918" t="str">
        <f>"65"</f>
        <v>65</v>
      </c>
      <c r="D2918" t="str">
        <f>"Conductor"</f>
        <v>Conductor</v>
      </c>
    </row>
    <row r="2919" spans="1:4" x14ac:dyDescent="0.2">
      <c r="A2919" t="str">
        <f>"2918"</f>
        <v>2918</v>
      </c>
      <c r="B2919" t="str">
        <f>"1.14"</f>
        <v>1.14</v>
      </c>
      <c r="C2919" t="str">
        <f>"61"</f>
        <v>61</v>
      </c>
      <c r="D2919" t="str">
        <f>"Corymb"</f>
        <v>Corymb</v>
      </c>
    </row>
    <row r="2920" spans="1:4" x14ac:dyDescent="0.2">
      <c r="A2920" t="str">
        <f>"2919"</f>
        <v>2919</v>
      </c>
      <c r="B2920" t="str">
        <f>"-0.7"</f>
        <v>-0.7</v>
      </c>
      <c r="C2920" t="str">
        <f>"59"</f>
        <v>59</v>
      </c>
      <c r="D2920" t="str">
        <f>"Fight Back!"</f>
        <v>Fight Back!</v>
      </c>
    </row>
    <row r="2921" spans="1:4" x14ac:dyDescent="0.2">
      <c r="A2921" t="str">
        <f>"2920"</f>
        <v>2920</v>
      </c>
      <c r="B2921" t="str">
        <f>"0.49"</f>
        <v>0.49</v>
      </c>
      <c r="C2921" t="str">
        <f>"50"</f>
        <v>50</v>
      </c>
      <c r="D2921" t="str">
        <f>"Whiskey Tango Ghosts"</f>
        <v>Whiskey Tango Ghosts</v>
      </c>
    </row>
    <row r="2922" spans="1:4" x14ac:dyDescent="0.2">
      <c r="A2922" t="str">
        <f>"2921"</f>
        <v>2921</v>
      </c>
      <c r="B2922" t="str">
        <f>"-0.43"</f>
        <v>-0.43</v>
      </c>
      <c r="C2922" t="str">
        <f>"73"</f>
        <v>73</v>
      </c>
      <c r="D2922" t="str">
        <f>"The Tipping Point"</f>
        <v>The Tipping Point</v>
      </c>
    </row>
    <row r="2923" spans="1:4" x14ac:dyDescent="0.2">
      <c r="A2923" t="str">
        <f>"2922"</f>
        <v>2922</v>
      </c>
      <c r="B2923" t="str">
        <f>"-0.88"</f>
        <v>-0.88</v>
      </c>
      <c r="C2923" t="str">
        <f>"161"</f>
        <v>161</v>
      </c>
      <c r="D2923" t="str">
        <f>"Joy Shapes"</f>
        <v>Joy Shapes</v>
      </c>
    </row>
    <row r="2924" spans="1:4" x14ac:dyDescent="0.2">
      <c r="A2924" t="str">
        <f>"2923"</f>
        <v>2923</v>
      </c>
      <c r="B2924" t="str">
        <f>"0.64"</f>
        <v>0.64</v>
      </c>
      <c r="C2924" t="str">
        <f>"45"</f>
        <v>45</v>
      </c>
      <c r="D2924" t="str">
        <f>"Sixteen Songs"</f>
        <v>Sixteen Songs</v>
      </c>
    </row>
    <row r="2925" spans="1:4" x14ac:dyDescent="0.2">
      <c r="A2925" t="str">
        <f>"2924"</f>
        <v>2924</v>
      </c>
      <c r="B2925" t="str">
        <f>"-0.07"</f>
        <v>-0.07</v>
      </c>
      <c r="C2925" t="str">
        <f>"76"</f>
        <v>76</v>
      </c>
      <c r="D2925" t="str">
        <f>"Road Movies"</f>
        <v>Road Movies</v>
      </c>
    </row>
    <row r="2926" spans="1:4" x14ac:dyDescent="0.2">
      <c r="A2926" t="str">
        <f>"2925"</f>
        <v>2925</v>
      </c>
      <c r="B2926" t="str">
        <f>"0.31"</f>
        <v>0.31</v>
      </c>
      <c r="C2926" t="str">
        <f>"64"</f>
        <v>64</v>
      </c>
      <c r="D2926" t="str">
        <f>"Animal Serenade"</f>
        <v>Animal Serenade</v>
      </c>
    </row>
    <row r="2927" spans="1:4" x14ac:dyDescent="0.2">
      <c r="A2927" t="str">
        <f>"2926"</f>
        <v>2926</v>
      </c>
      <c r="B2927" t="str">
        <f>"0.62"</f>
        <v>0.62</v>
      </c>
      <c r="C2927" t="str">
        <f>"83"</f>
        <v>83</v>
      </c>
      <c r="D2927" t="s">
        <v>90</v>
      </c>
    </row>
    <row r="2928" spans="1:4" x14ac:dyDescent="0.2">
      <c r="A2928" t="str">
        <f>"2927"</f>
        <v>2927</v>
      </c>
      <c r="B2928" t="str">
        <f>"0.38"</f>
        <v>0.38</v>
      </c>
      <c r="C2928" t="str">
        <f>"78"</f>
        <v>78</v>
      </c>
      <c r="D2928" t="str">
        <f>"Blueberry Boat"</f>
        <v>Blueberry Boat</v>
      </c>
    </row>
    <row r="2929" spans="1:4" x14ac:dyDescent="0.2">
      <c r="A2929" t="str">
        <f>"2928"</f>
        <v>2928</v>
      </c>
      <c r="B2929" t="str">
        <f>"-0.25"</f>
        <v>-0.25</v>
      </c>
      <c r="C2929" t="str">
        <f>"59"</f>
        <v>59</v>
      </c>
      <c r="D2929" t="str">
        <f>"Let It Die"</f>
        <v>Let It Die</v>
      </c>
    </row>
    <row r="2930" spans="1:4" x14ac:dyDescent="0.2">
      <c r="A2930" t="str">
        <f>"2929"</f>
        <v>2929</v>
      </c>
      <c r="B2930" t="str">
        <f>"-0.79"</f>
        <v>-0.79</v>
      </c>
      <c r="C2930" t="str">
        <f>"50"</f>
        <v>50</v>
      </c>
      <c r="D2930" t="str">
        <f>"Light Flows the Putrid Dawn"</f>
        <v>Light Flows the Putrid Dawn</v>
      </c>
    </row>
    <row r="2931" spans="1:4" x14ac:dyDescent="0.2">
      <c r="A2931" t="str">
        <f>"2930"</f>
        <v>2930</v>
      </c>
      <c r="B2931" t="str">
        <f>"0.76"</f>
        <v>0.76</v>
      </c>
      <c r="C2931" t="str">
        <f>"63"</f>
        <v>63</v>
      </c>
      <c r="D2931" t="str">
        <f>"Skalpel"</f>
        <v>Skalpel</v>
      </c>
    </row>
    <row r="2932" spans="1:4" x14ac:dyDescent="0.2">
      <c r="A2932" t="str">
        <f>"2931"</f>
        <v>2931</v>
      </c>
      <c r="B2932" t="str">
        <f>"0.4"</f>
        <v>0.4</v>
      </c>
      <c r="C2932" t="str">
        <f>"43"</f>
        <v>43</v>
      </c>
      <c r="D2932" t="str">
        <f>"Birth of a Lover"</f>
        <v>Birth of a Lover</v>
      </c>
    </row>
    <row r="2933" spans="1:4" x14ac:dyDescent="0.2">
      <c r="A2933" t="str">
        <f>"2932"</f>
        <v>2932</v>
      </c>
      <c r="B2933" t="str">
        <f>"-0.12"</f>
        <v>-0.12</v>
      </c>
      <c r="C2933" t="str">
        <f>"49"</f>
        <v>49</v>
      </c>
      <c r="D2933" t="str">
        <f>"Your New Favorite Band"</f>
        <v>Your New Favorite Band</v>
      </c>
    </row>
    <row r="2934" spans="1:4" x14ac:dyDescent="0.2">
      <c r="A2934" t="str">
        <f>"2933"</f>
        <v>2933</v>
      </c>
      <c r="B2934" t="str">
        <f>"-0.67"</f>
        <v>-0.67</v>
      </c>
      <c r="C2934" t="str">
        <f>"52"</f>
        <v>52</v>
      </c>
      <c r="D2934" t="str">
        <f>"Satin Black"</f>
        <v>Satin Black</v>
      </c>
    </row>
    <row r="2935" spans="1:4" x14ac:dyDescent="0.2">
      <c r="A2935" t="str">
        <f>"2934"</f>
        <v>2934</v>
      </c>
      <c r="B2935" t="str">
        <f>"-0.18"</f>
        <v>-0.18</v>
      </c>
      <c r="C2935" t="str">
        <f>"48"</f>
        <v>48</v>
      </c>
      <c r="D2935" t="str">
        <f>"Mud"</f>
        <v>Mud</v>
      </c>
    </row>
    <row r="2936" spans="1:4" x14ac:dyDescent="0.2">
      <c r="A2936" t="str">
        <f>"2935"</f>
        <v>2935</v>
      </c>
      <c r="B2936" t="str">
        <f>"0.59"</f>
        <v>0.59</v>
      </c>
      <c r="C2936" t="str">
        <f>"68"</f>
        <v>68</v>
      </c>
      <c r="D2936" t="str">
        <f>"Together We're Heavy"</f>
        <v>Together We're Heavy</v>
      </c>
    </row>
    <row r="2937" spans="1:4" x14ac:dyDescent="0.2">
      <c r="A2937" t="str">
        <f>"2936"</f>
        <v>2936</v>
      </c>
      <c r="B2937" t="str">
        <f>"0.51"</f>
        <v>0.51</v>
      </c>
      <c r="C2937" t="str">
        <f>"59"</f>
        <v>59</v>
      </c>
      <c r="D2937" t="str">
        <f>"Dance the Dance Electric"</f>
        <v>Dance the Dance Electric</v>
      </c>
    </row>
    <row r="2938" spans="1:4" x14ac:dyDescent="0.2">
      <c r="A2938" t="str">
        <f>"2937"</f>
        <v>2937</v>
      </c>
      <c r="B2938" t="str">
        <f>"-0.07"</f>
        <v>-0.07</v>
      </c>
      <c r="C2938" t="str">
        <f>"65"</f>
        <v>65</v>
      </c>
      <c r="D2938" t="str">
        <f>"Absent Friends"</f>
        <v>Absent Friends</v>
      </c>
    </row>
    <row r="2939" spans="1:4" x14ac:dyDescent="0.2">
      <c r="A2939" t="str">
        <f>"2938"</f>
        <v>2938</v>
      </c>
      <c r="B2939" t="str">
        <f>"0.95"</f>
        <v>0.95</v>
      </c>
      <c r="C2939" t="str">
        <f>"52"</f>
        <v>52</v>
      </c>
      <c r="D2939" t="str">
        <f>"The Girls"</f>
        <v>The Girls</v>
      </c>
    </row>
    <row r="2940" spans="1:4" x14ac:dyDescent="0.2">
      <c r="A2940" t="str">
        <f>"2939"</f>
        <v>2939</v>
      </c>
      <c r="B2940" t="str">
        <f>"1.12"</f>
        <v>1.12</v>
      </c>
      <c r="C2940" t="str">
        <f>"45"</f>
        <v>45</v>
      </c>
      <c r="D2940" t="str">
        <f>"Bebel Gilberto"</f>
        <v>Bebel Gilberto</v>
      </c>
    </row>
    <row r="2941" spans="1:4" x14ac:dyDescent="0.2">
      <c r="A2941" t="str">
        <f>"2940"</f>
        <v>2940</v>
      </c>
      <c r="B2941" t="str">
        <f>"1"</f>
        <v>1</v>
      </c>
      <c r="C2941" t="str">
        <f>"56"</f>
        <v>56</v>
      </c>
      <c r="D2941" t="str">
        <f>"Out of Nowhere"</f>
        <v>Out of Nowhere</v>
      </c>
    </row>
    <row r="2942" spans="1:4" x14ac:dyDescent="0.2">
      <c r="A2942" t="str">
        <f>"2941"</f>
        <v>2941</v>
      </c>
      <c r="B2942" t="str">
        <f>"0.54"</f>
        <v>0.54</v>
      </c>
      <c r="C2942" t="str">
        <f>"80"</f>
        <v>80</v>
      </c>
      <c r="D2942" t="s">
        <v>91</v>
      </c>
    </row>
    <row r="2943" spans="1:4" x14ac:dyDescent="0.2">
      <c r="A2943" t="str">
        <f>"2942"</f>
        <v>2942</v>
      </c>
      <c r="B2943" t="str">
        <f>"-1.07"</f>
        <v>-1.07</v>
      </c>
      <c r="C2943" t="str">
        <f>"64"</f>
        <v>64</v>
      </c>
      <c r="D2943" t="str">
        <f>"Kalte Sterne: Early Recordings"</f>
        <v>Kalte Sterne: Early Recordings</v>
      </c>
    </row>
    <row r="2944" spans="1:4" x14ac:dyDescent="0.2">
      <c r="A2944" t="str">
        <f>"2943"</f>
        <v>2943</v>
      </c>
      <c r="B2944" t="str">
        <f>"0.48"</f>
        <v>0.48</v>
      </c>
      <c r="C2944" t="str">
        <f>"23"</f>
        <v>23</v>
      </c>
      <c r="D2944" t="str">
        <f>"Free Kamal"</f>
        <v>Free Kamal</v>
      </c>
    </row>
    <row r="2945" spans="1:4" x14ac:dyDescent="0.2">
      <c r="A2945" t="str">
        <f>"2944"</f>
        <v>2944</v>
      </c>
      <c r="B2945" t="str">
        <f>"-0.26"</f>
        <v>-0.26</v>
      </c>
      <c r="C2945" t="str">
        <f>"72"</f>
        <v>72</v>
      </c>
      <c r="D2945" t="str">
        <f>"Automatic Writing"</f>
        <v>Automatic Writing</v>
      </c>
    </row>
    <row r="2946" spans="1:4" x14ac:dyDescent="0.2">
      <c r="A2946" t="str">
        <f>"2945"</f>
        <v>2945</v>
      </c>
      <c r="B2946" t="str">
        <f>"-0.44"</f>
        <v>-0.44</v>
      </c>
      <c r="C2946" t="str">
        <f>"52"</f>
        <v>52</v>
      </c>
      <c r="D2946" t="str">
        <f>"Please Yourself"</f>
        <v>Please Yourself</v>
      </c>
    </row>
    <row r="2947" spans="1:4" x14ac:dyDescent="0.2">
      <c r="A2947" t="str">
        <f>"2946"</f>
        <v>2946</v>
      </c>
      <c r="B2947" t="str">
        <f>"0.63"</f>
        <v>0.63</v>
      </c>
      <c r="C2947" t="str">
        <f>"36"</f>
        <v>36</v>
      </c>
      <c r="D2947" t="str">
        <f>"Golden Apples of the Sun"</f>
        <v>Golden Apples of the Sun</v>
      </c>
    </row>
    <row r="2948" spans="1:4" x14ac:dyDescent="0.2">
      <c r="A2948" t="str">
        <f>"2947"</f>
        <v>2947</v>
      </c>
      <c r="B2948" t="str">
        <f>"-0.51"</f>
        <v>-0.51</v>
      </c>
      <c r="C2948" t="str">
        <f>"61"</f>
        <v>61</v>
      </c>
      <c r="D2948" t="str">
        <f>"Autour de la Lune"</f>
        <v>Autour de la Lune</v>
      </c>
    </row>
    <row r="2949" spans="1:4" x14ac:dyDescent="0.2">
      <c r="A2949" t="str">
        <f>"2948"</f>
        <v>2948</v>
      </c>
      <c r="B2949" t="str">
        <f>"-0.05"</f>
        <v>-0.05</v>
      </c>
      <c r="C2949" t="str">
        <f>"35"</f>
        <v>35</v>
      </c>
      <c r="D2949" t="s">
        <v>92</v>
      </c>
    </row>
    <row r="2950" spans="1:4" x14ac:dyDescent="0.2">
      <c r="A2950" t="str">
        <f>"2949"</f>
        <v>2949</v>
      </c>
      <c r="B2950" t="str">
        <f>"1.26"</f>
        <v>1.26</v>
      </c>
      <c r="C2950" t="str">
        <f>"64"</f>
        <v>64</v>
      </c>
      <c r="D2950" t="str">
        <f>"Kompakt 100"</f>
        <v>Kompakt 100</v>
      </c>
    </row>
    <row r="2951" spans="1:4" x14ac:dyDescent="0.2">
      <c r="A2951" t="str">
        <f>"2950"</f>
        <v>2950</v>
      </c>
      <c r="B2951" t="str">
        <f>"-1.11"</f>
        <v>-1.11</v>
      </c>
      <c r="C2951" t="str">
        <f>"51"</f>
        <v>51</v>
      </c>
      <c r="D2951" t="str">
        <f>"Monument"</f>
        <v>Monument</v>
      </c>
    </row>
    <row r="2952" spans="1:4" x14ac:dyDescent="0.2">
      <c r="A2952" t="str">
        <f>"2951"</f>
        <v>2951</v>
      </c>
      <c r="B2952" t="str">
        <f>"-0.3"</f>
        <v>-0.3</v>
      </c>
      <c r="C2952" t="str">
        <f>"49"</f>
        <v>49</v>
      </c>
      <c r="D2952" t="str">
        <f>"In a Safe Place"</f>
        <v>In a Safe Place</v>
      </c>
    </row>
    <row r="2953" spans="1:4" x14ac:dyDescent="0.2">
      <c r="A2953" t="str">
        <f>"2952"</f>
        <v>2952</v>
      </c>
      <c r="B2953" t="str">
        <f>"0.19"</f>
        <v>0.19</v>
      </c>
      <c r="C2953" t="str">
        <f>"71"</f>
        <v>71</v>
      </c>
      <c r="D2953" t="str">
        <f>"The Throes"</f>
        <v>The Throes</v>
      </c>
    </row>
    <row r="2954" spans="1:4" x14ac:dyDescent="0.2">
      <c r="A2954" t="str">
        <f>"2953"</f>
        <v>2953</v>
      </c>
      <c r="B2954" t="str">
        <f>"-0.63"</f>
        <v>-0.63</v>
      </c>
      <c r="C2954" t="str">
        <f>"30"</f>
        <v>30</v>
      </c>
      <c r="D2954" t="str">
        <f>"Laputa"</f>
        <v>Laputa</v>
      </c>
    </row>
    <row r="2955" spans="1:4" x14ac:dyDescent="0.2">
      <c r="A2955" t="str">
        <f>"2954"</f>
        <v>2954</v>
      </c>
      <c r="B2955" t="str">
        <f>"-0.69"</f>
        <v>-0.69</v>
      </c>
      <c r="C2955" t="str">
        <f>"47"</f>
        <v>47</v>
      </c>
      <c r="D2955" t="str">
        <f>"A Rare Sensation"</f>
        <v>A Rare Sensation</v>
      </c>
    </row>
    <row r="2956" spans="1:4" x14ac:dyDescent="0.2">
      <c r="A2956" t="str">
        <f>"2955"</f>
        <v>2955</v>
      </c>
      <c r="B2956" t="str">
        <f>"0.33"</f>
        <v>0.33</v>
      </c>
      <c r="C2956" t="str">
        <f>"103"</f>
        <v>103</v>
      </c>
      <c r="D2956" t="str">
        <f>"Selected Recordings"</f>
        <v>Selected Recordings</v>
      </c>
    </row>
    <row r="2957" spans="1:4" x14ac:dyDescent="0.2">
      <c r="A2957" t="str">
        <f>"2956"</f>
        <v>2956</v>
      </c>
      <c r="B2957" t="str">
        <f>"-0.73"</f>
        <v>-0.73</v>
      </c>
      <c r="C2957" t="str">
        <f>"78"</f>
        <v>78</v>
      </c>
      <c r="D2957" t="str">
        <f>"Hot Fuss"</f>
        <v>Hot Fuss</v>
      </c>
    </row>
    <row r="2958" spans="1:4" x14ac:dyDescent="0.2">
      <c r="A2958" t="str">
        <f>"2957"</f>
        <v>2957</v>
      </c>
      <c r="B2958" t="str">
        <f>"-0.11"</f>
        <v>-0.11</v>
      </c>
      <c r="C2958" t="str">
        <f>"54"</f>
        <v>54</v>
      </c>
      <c r="D2958" t="str">
        <f>"Thank You"</f>
        <v>Thank You</v>
      </c>
    </row>
    <row r="2959" spans="1:4" x14ac:dyDescent="0.2">
      <c r="A2959" t="str">
        <f>"2958"</f>
        <v>2958</v>
      </c>
      <c r="B2959" t="str">
        <f>"-0.62"</f>
        <v>-0.62</v>
      </c>
      <c r="C2959" t="str">
        <f>"40"</f>
        <v>40</v>
      </c>
      <c r="D2959" t="str">
        <f>"Lost with the Lights On"</f>
        <v>Lost with the Lights On</v>
      </c>
    </row>
    <row r="2960" spans="1:4" x14ac:dyDescent="0.2">
      <c r="A2960" t="str">
        <f>"2959"</f>
        <v>2959</v>
      </c>
      <c r="B2960" t="str">
        <f>"-0.28"</f>
        <v>-0.28</v>
      </c>
      <c r="C2960" t="str">
        <f>"42"</f>
        <v>42</v>
      </c>
      <c r="D2960" t="s">
        <v>93</v>
      </c>
    </row>
    <row r="2961" spans="1:4" x14ac:dyDescent="0.2">
      <c r="A2961" t="str">
        <f>"2960"</f>
        <v>2960</v>
      </c>
      <c r="B2961" t="str">
        <f>"1.44"</f>
        <v>1.44</v>
      </c>
      <c r="C2961" t="str">
        <f>"20"</f>
        <v>20</v>
      </c>
      <c r="D2961" t="str">
        <f>"The Blue Notebooks"</f>
        <v>The Blue Notebooks</v>
      </c>
    </row>
    <row r="2962" spans="1:4" x14ac:dyDescent="0.2">
      <c r="A2962" t="str">
        <f>"2961"</f>
        <v>2961</v>
      </c>
      <c r="B2962" t="str">
        <f>"-0.18"</f>
        <v>-0.18</v>
      </c>
      <c r="C2962" t="str">
        <f>"47"</f>
        <v>47</v>
      </c>
      <c r="D2962" t="str">
        <f>"The Green CD"</f>
        <v>The Green CD</v>
      </c>
    </row>
    <row r="2963" spans="1:4" x14ac:dyDescent="0.2">
      <c r="A2963" t="str">
        <f>"2962"</f>
        <v>2962</v>
      </c>
      <c r="B2963" t="str">
        <f>"-0.14"</f>
        <v>-0.14</v>
      </c>
      <c r="C2963" t="str">
        <f>"54"</f>
        <v>54</v>
      </c>
      <c r="D2963" t="str">
        <f>"Tectonic Membrane/Thin Strip on an Edgeless Platform"</f>
        <v>Tectonic Membrane/Thin Strip on an Edgeless Platform</v>
      </c>
    </row>
    <row r="2964" spans="1:4" x14ac:dyDescent="0.2">
      <c r="A2964" t="str">
        <f>"2963"</f>
        <v>2963</v>
      </c>
      <c r="B2964" t="str">
        <f>"0.21"</f>
        <v>0.21</v>
      </c>
      <c r="C2964" t="str">
        <f>"76"</f>
        <v>76</v>
      </c>
      <c r="D2964" t="str">
        <f>"A Guess at the Riddle"</f>
        <v>A Guess at the Riddle</v>
      </c>
    </row>
    <row r="2965" spans="1:4" x14ac:dyDescent="0.2">
      <c r="A2965" t="str">
        <f>"2964"</f>
        <v>2964</v>
      </c>
      <c r="B2965" t="str">
        <f>"-0.26"</f>
        <v>-0.26</v>
      </c>
      <c r="C2965" t="str">
        <f>"52"</f>
        <v>52</v>
      </c>
      <c r="D2965" t="str">
        <f>"Retriever"</f>
        <v>Retriever</v>
      </c>
    </row>
    <row r="2966" spans="1:4" x14ac:dyDescent="0.2">
      <c r="A2966" t="str">
        <f>"2965"</f>
        <v>2965</v>
      </c>
      <c r="B2966" t="str">
        <f>"0.13"</f>
        <v>0.13</v>
      </c>
      <c r="C2966" t="str">
        <f>"103"</f>
        <v>103</v>
      </c>
      <c r="D2966" t="str">
        <f>"Love and Distance"</f>
        <v>Love and Distance</v>
      </c>
    </row>
    <row r="2967" spans="1:4" x14ac:dyDescent="0.2">
      <c r="A2967" t="str">
        <f>"2966"</f>
        <v>2966</v>
      </c>
      <c r="B2967" t="str">
        <f>"0.32"</f>
        <v>0.32</v>
      </c>
      <c r="C2967" t="str">
        <f>"65"</f>
        <v>65</v>
      </c>
      <c r="D2967" t="str">
        <f>"Rocky Dennis EP"</f>
        <v>Rocky Dennis EP</v>
      </c>
    </row>
    <row r="2968" spans="1:4" x14ac:dyDescent="0.2">
      <c r="A2968" t="str">
        <f>"2967"</f>
        <v>2967</v>
      </c>
      <c r="B2968" t="str">
        <f>"0.29"</f>
        <v>0.29</v>
      </c>
      <c r="C2968" t="str">
        <f>"69"</f>
        <v>69</v>
      </c>
      <c r="D2968" t="str">
        <f>"The Printz"</f>
        <v>The Printz</v>
      </c>
    </row>
    <row r="2969" spans="1:4" x14ac:dyDescent="0.2">
      <c r="A2969" t="str">
        <f>"2968"</f>
        <v>2968</v>
      </c>
      <c r="B2969" t="str">
        <f>"0.51"</f>
        <v>0.51</v>
      </c>
      <c r="C2969" t="str">
        <f>"32"</f>
        <v>32</v>
      </c>
      <c r="D2969" t="str">
        <f>"Pretty Little Lightning Paw EP"</f>
        <v>Pretty Little Lightning Paw EP</v>
      </c>
    </row>
    <row r="2970" spans="1:4" x14ac:dyDescent="0.2">
      <c r="A2970" t="str">
        <f>"2969"</f>
        <v>2969</v>
      </c>
      <c r="B2970" t="str">
        <f>"1.21"</f>
        <v>1.21</v>
      </c>
      <c r="C2970" t="str">
        <f>"54"</f>
        <v>54</v>
      </c>
      <c r="D2970" t="str">
        <f>"The Blue Album"</f>
        <v>The Blue Album</v>
      </c>
    </row>
    <row r="2971" spans="1:4" x14ac:dyDescent="0.2">
      <c r="A2971" t="str">
        <f>"2970"</f>
        <v>2970</v>
      </c>
      <c r="B2971" t="str">
        <f>"0.09"</f>
        <v>0.09</v>
      </c>
      <c r="C2971" t="str">
        <f>"45"</f>
        <v>45</v>
      </c>
      <c r="D2971" t="str">
        <f>"Fulfilled/Complete"</f>
        <v>Fulfilled/Complete</v>
      </c>
    </row>
    <row r="2972" spans="1:4" x14ac:dyDescent="0.2">
      <c r="A2972" t="str">
        <f>"2971"</f>
        <v>2971</v>
      </c>
      <c r="B2972" t="str">
        <f>"-0.03"</f>
        <v>-0.03</v>
      </c>
      <c r="C2972" t="str">
        <f>"51"</f>
        <v>51</v>
      </c>
      <c r="D2972" t="str">
        <f>"The Telescope Dreampatterns"</f>
        <v>The Telescope Dreampatterns</v>
      </c>
    </row>
    <row r="2973" spans="1:4" x14ac:dyDescent="0.2">
      <c r="A2973" t="str">
        <f>"2972"</f>
        <v>2972</v>
      </c>
      <c r="B2973" t="str">
        <f>"0.04"</f>
        <v>0.04</v>
      </c>
      <c r="C2973" t="str">
        <f>"51"</f>
        <v>51</v>
      </c>
      <c r="D2973" t="str">
        <f>"The Pelt"</f>
        <v>The Pelt</v>
      </c>
    </row>
    <row r="2974" spans="1:4" x14ac:dyDescent="0.2">
      <c r="A2974" t="str">
        <f>"2973"</f>
        <v>2973</v>
      </c>
      <c r="B2974" t="str">
        <f>"0.36"</f>
        <v>0.36</v>
      </c>
      <c r="C2974" t="str">
        <f>"54"</f>
        <v>54</v>
      </c>
      <c r="D2974" t="str">
        <f>"Spacesettings"</f>
        <v>Spacesettings</v>
      </c>
    </row>
    <row r="2975" spans="1:4" x14ac:dyDescent="0.2">
      <c r="A2975" t="str">
        <f>"2974"</f>
        <v>2974</v>
      </c>
      <c r="B2975" t="str">
        <f>"-0.16"</f>
        <v>-0.16</v>
      </c>
      <c r="C2975" t="str">
        <f>"68"</f>
        <v>68</v>
      </c>
      <c r="D2975" t="str">
        <f>"Hymie's Basement"</f>
        <v>Hymie's Basement</v>
      </c>
    </row>
    <row r="2976" spans="1:4" x14ac:dyDescent="0.2">
      <c r="A2976" t="str">
        <f>"2975"</f>
        <v>2975</v>
      </c>
      <c r="B2976" t="str">
        <f>"-0.67"</f>
        <v>-0.67</v>
      </c>
      <c r="C2976" t="str">
        <f>"39"</f>
        <v>39</v>
      </c>
      <c r="D2976" t="str">
        <f>"Howling... It Grows and Grows!!!"</f>
        <v>Howling... It Grows and Grows!!!</v>
      </c>
    </row>
    <row r="2977" spans="1:4" x14ac:dyDescent="0.2">
      <c r="A2977" t="str">
        <f>"2976"</f>
        <v>2976</v>
      </c>
      <c r="B2977" t="str">
        <f>"0.03"</f>
        <v>0.03</v>
      </c>
      <c r="C2977" t="str">
        <f>"74"</f>
        <v>74</v>
      </c>
      <c r="D2977" t="str">
        <f>"The Unnecessary History of Doctor Rockit"</f>
        <v>The Unnecessary History of Doctor Rockit</v>
      </c>
    </row>
    <row r="2978" spans="1:4" x14ac:dyDescent="0.2">
      <c r="A2978" t="str">
        <f>"2977"</f>
        <v>2977</v>
      </c>
      <c r="B2978" t="str">
        <f>"0.15"</f>
        <v>0.15</v>
      </c>
      <c r="C2978" t="str">
        <f>"84"</f>
        <v>84</v>
      </c>
      <c r="D2978" t="str">
        <f>"Mazatlan"</f>
        <v>Mazatlan</v>
      </c>
    </row>
    <row r="2979" spans="1:4" x14ac:dyDescent="0.2">
      <c r="A2979" t="str">
        <f>"2978"</f>
        <v>2978</v>
      </c>
      <c r="B2979" t="str">
        <f>"0.75"</f>
        <v>0.75</v>
      </c>
      <c r="C2979" t="str">
        <f>"83"</f>
        <v>83</v>
      </c>
      <c r="D2979" t="str">
        <f>"Kites Are Fun / You Could Be Born Again / Heaven/Earth / Stars/Time/Bubbles/Love"</f>
        <v>Kites Are Fun / You Could Be Born Again / Heaven/Earth / Stars/Time/Bubbles/Love</v>
      </c>
    </row>
    <row r="2980" spans="1:4" x14ac:dyDescent="0.2">
      <c r="A2980" t="str">
        <f>"2979"</f>
        <v>2979</v>
      </c>
      <c r="B2980" t="str">
        <f>"-0.57"</f>
        <v>-0.57</v>
      </c>
      <c r="C2980" t="str">
        <f>"64"</f>
        <v>64</v>
      </c>
      <c r="D2980" t="str">
        <f>"Family Album"</f>
        <v>Family Album</v>
      </c>
    </row>
    <row r="2981" spans="1:4" x14ac:dyDescent="0.2">
      <c r="A2981" t="str">
        <f>"2980"</f>
        <v>2980</v>
      </c>
      <c r="B2981" t="str">
        <f>"-0.53"</f>
        <v>-0.53</v>
      </c>
      <c r="C2981" t="str">
        <f>"43"</f>
        <v>43</v>
      </c>
      <c r="D2981" t="str">
        <f>"Don't Climb on and Take the Holy Water"</f>
        <v>Don't Climb on and Take the Holy Water</v>
      </c>
    </row>
    <row r="2982" spans="1:4" x14ac:dyDescent="0.2">
      <c r="A2982" t="str">
        <f>"2981"</f>
        <v>2981</v>
      </c>
      <c r="B2982" t="str">
        <f>"-0.21"</f>
        <v>-0.21</v>
      </c>
      <c r="C2982" t="str">
        <f>"66"</f>
        <v>66</v>
      </c>
      <c r="D2982" t="s">
        <v>94</v>
      </c>
    </row>
    <row r="2983" spans="1:4" x14ac:dyDescent="0.2">
      <c r="A2983" t="str">
        <f>"2982"</f>
        <v>2982</v>
      </c>
      <c r="B2983" t="str">
        <f>"-1.07"</f>
        <v>-1.07</v>
      </c>
      <c r="C2983" t="str">
        <f>"53"</f>
        <v>53</v>
      </c>
      <c r="D2983" t="str">
        <f>"Scavengers EP"</f>
        <v>Scavengers EP</v>
      </c>
    </row>
    <row r="2984" spans="1:4" x14ac:dyDescent="0.2">
      <c r="A2984" t="str">
        <f>"2983"</f>
        <v>2983</v>
      </c>
      <c r="B2984" t="str">
        <f>"1.07"</f>
        <v>1.07</v>
      </c>
      <c r="C2984" t="str">
        <f>"51"</f>
        <v>51</v>
      </c>
      <c r="D2984" t="str">
        <f>"Quiet City"</f>
        <v>Quiet City</v>
      </c>
    </row>
    <row r="2985" spans="1:4" x14ac:dyDescent="0.2">
      <c r="A2985" t="str">
        <f>"2984"</f>
        <v>2984</v>
      </c>
      <c r="B2985" t="str">
        <f>"-0.05"</f>
        <v>-0.05</v>
      </c>
      <c r="C2985" t="str">
        <f>"45"</f>
        <v>45</v>
      </c>
      <c r="D2985" t="str">
        <f>"Asobi Seksu"</f>
        <v>Asobi Seksu</v>
      </c>
    </row>
    <row r="2986" spans="1:4" x14ac:dyDescent="0.2">
      <c r="A2986" t="str">
        <f>"2985"</f>
        <v>2985</v>
      </c>
      <c r="B2986" t="str">
        <f>"-0.78"</f>
        <v>-0.78</v>
      </c>
      <c r="C2986" t="str">
        <f>"35"</f>
        <v>35</v>
      </c>
      <c r="D2986" t="str">
        <f>"The Emergency Response EP"</f>
        <v>The Emergency Response EP</v>
      </c>
    </row>
    <row r="2987" spans="1:4" x14ac:dyDescent="0.2">
      <c r="A2987" t="str">
        <f>"2986"</f>
        <v>2986</v>
      </c>
      <c r="B2987" t="str">
        <f>"-0.02"</f>
        <v>-0.02</v>
      </c>
      <c r="C2987" t="str">
        <f>"53"</f>
        <v>53</v>
      </c>
      <c r="D2987" t="str">
        <f>"Original Rudebwoy"</f>
        <v>Original Rudebwoy</v>
      </c>
    </row>
    <row r="2988" spans="1:4" x14ac:dyDescent="0.2">
      <c r="A2988" t="str">
        <f>"2987"</f>
        <v>2987</v>
      </c>
      <c r="B2988" t="str">
        <f>"-0.06"</f>
        <v>-0.06</v>
      </c>
      <c r="C2988" t="str">
        <f>"42"</f>
        <v>42</v>
      </c>
      <c r="D2988" t="str">
        <f>"New Resolution EP"</f>
        <v>New Resolution EP</v>
      </c>
    </row>
    <row r="2989" spans="1:4" x14ac:dyDescent="0.2">
      <c r="A2989" t="str">
        <f>"2988"</f>
        <v>2988</v>
      </c>
      <c r="B2989" t="str">
        <f>"0.07"</f>
        <v>0.07</v>
      </c>
      <c r="C2989" t="str">
        <f>"55"</f>
        <v>55</v>
      </c>
      <c r="D2989" t="str">
        <f>"Happiness in Magazines"</f>
        <v>Happiness in Magazines</v>
      </c>
    </row>
    <row r="2990" spans="1:4" x14ac:dyDescent="0.2">
      <c r="A2990" t="str">
        <f>"2989"</f>
        <v>2989</v>
      </c>
      <c r="B2990" t="str">
        <f>"-0.49"</f>
        <v>-0.49</v>
      </c>
      <c r="C2990" t="str">
        <f>"86"</f>
        <v>86</v>
      </c>
      <c r="D2990" t="str">
        <f>"A Ghost Is Born"</f>
        <v>A Ghost Is Born</v>
      </c>
    </row>
    <row r="2991" spans="1:4" x14ac:dyDescent="0.2">
      <c r="A2991" t="str">
        <f>"2990"</f>
        <v>2990</v>
      </c>
      <c r="B2991" t="str">
        <f>"-0.74"</f>
        <v>-0.74</v>
      </c>
      <c r="C2991" t="str">
        <f>"74"</f>
        <v>74</v>
      </c>
      <c r="D2991" t="str">
        <f>"Tapestry Mastery EP"</f>
        <v>Tapestry Mastery EP</v>
      </c>
    </row>
    <row r="2992" spans="1:4" x14ac:dyDescent="0.2">
      <c r="A2992" t="str">
        <f>"2991"</f>
        <v>2991</v>
      </c>
      <c r="B2992" t="str">
        <f>"-0.55"</f>
        <v>-0.55</v>
      </c>
      <c r="C2992" t="str">
        <f>"54"</f>
        <v>54</v>
      </c>
      <c r="D2992" t="str">
        <f>"Intimate Lightning"</f>
        <v>Intimate Lightning</v>
      </c>
    </row>
    <row r="2993" spans="1:4" x14ac:dyDescent="0.2">
      <c r="A2993" t="str">
        <f>"2992"</f>
        <v>2992</v>
      </c>
      <c r="B2993" t="str">
        <f>"-0.87"</f>
        <v>-0.87</v>
      </c>
      <c r="C2993" t="str">
        <f>"44"</f>
        <v>44</v>
      </c>
      <c r="D2993" t="str">
        <f>"Fuckin A"</f>
        <v>Fuckin A</v>
      </c>
    </row>
    <row r="2994" spans="1:4" x14ac:dyDescent="0.2">
      <c r="A2994" t="str">
        <f>"2993"</f>
        <v>2993</v>
      </c>
      <c r="B2994" t="str">
        <f>"-0.29"</f>
        <v>-0.29</v>
      </c>
      <c r="C2994" t="str">
        <f>"51"</f>
        <v>51</v>
      </c>
      <c r="D2994" t="str">
        <f>"For Octavio Paz"</f>
        <v>For Octavio Paz</v>
      </c>
    </row>
    <row r="2995" spans="1:4" x14ac:dyDescent="0.2">
      <c r="A2995" t="str">
        <f>"2994"</f>
        <v>2994</v>
      </c>
      <c r="B2995" t="str">
        <f>"0.12"</f>
        <v>0.12</v>
      </c>
      <c r="C2995" t="str">
        <f>"97"</f>
        <v>97</v>
      </c>
      <c r="D2995" t="str">
        <f>"Creature Comforts"</f>
        <v>Creature Comforts</v>
      </c>
    </row>
    <row r="2996" spans="1:4" x14ac:dyDescent="0.2">
      <c r="A2996" t="str">
        <f>"2995"</f>
        <v>2995</v>
      </c>
      <c r="B2996" t="str">
        <f>"-0.52"</f>
        <v>-0.52</v>
      </c>
      <c r="C2996" t="str">
        <f>"25"</f>
        <v>25</v>
      </c>
      <c r="D2996" t="str">
        <f>"Obedience Cuts"</f>
        <v>Obedience Cuts</v>
      </c>
    </row>
    <row r="2997" spans="1:4" x14ac:dyDescent="0.2">
      <c r="A2997" t="str">
        <f>"2996"</f>
        <v>2996</v>
      </c>
      <c r="B2997" t="str">
        <f>"-0.06"</f>
        <v>-0.06</v>
      </c>
      <c r="C2997" t="str">
        <f>"47"</f>
        <v>47</v>
      </c>
      <c r="D2997" t="str">
        <f>"History EP"</f>
        <v>History EP</v>
      </c>
    </row>
    <row r="2998" spans="1:4" x14ac:dyDescent="0.2">
      <c r="A2998" t="str">
        <f>"2997"</f>
        <v>2997</v>
      </c>
      <c r="B2998" t="str">
        <f>"-0.32"</f>
        <v>-0.32</v>
      </c>
      <c r="C2998" t="str">
        <f>"58"</f>
        <v>58</v>
      </c>
      <c r="D2998" t="str">
        <f>"Fire: The Arthur Brown Story"</f>
        <v>Fire: The Arthur Brown Story</v>
      </c>
    </row>
    <row r="2999" spans="1:4" x14ac:dyDescent="0.2">
      <c r="A2999" t="str">
        <f>"2998"</f>
        <v>2998</v>
      </c>
      <c r="B2999" t="str">
        <f>"-0.4"</f>
        <v>-0.4</v>
      </c>
      <c r="C2999" t="str">
        <f>"54"</f>
        <v>54</v>
      </c>
      <c r="D2999" t="str">
        <f>"Demo(n) Tracks"</f>
        <v>Demo(n) Tracks</v>
      </c>
    </row>
    <row r="3000" spans="1:4" x14ac:dyDescent="0.2">
      <c r="A3000" t="str">
        <f>"2999"</f>
        <v>2999</v>
      </c>
      <c r="B3000" t="str">
        <f>"0.36"</f>
        <v>0.36</v>
      </c>
      <c r="C3000" t="str">
        <f>"60"</f>
        <v>60</v>
      </c>
      <c r="D3000" t="str">
        <f>"Your Voice Repeating"</f>
        <v>Your Voice Repeating</v>
      </c>
    </row>
    <row r="3001" spans="1:4" x14ac:dyDescent="0.2">
      <c r="A3001" t="str">
        <f>"3000"</f>
        <v>3000</v>
      </c>
      <c r="B3001" t="str">
        <f>"-0.41"</f>
        <v>-0.41</v>
      </c>
      <c r="C3001" t="str">
        <f>"70"</f>
        <v>70</v>
      </c>
      <c r="D3001" t="str">
        <f>"Slaves' Graves and Ballads"</f>
        <v>Slaves' Graves and Ballads</v>
      </c>
    </row>
    <row r="3002" spans="1:4" x14ac:dyDescent="0.2">
      <c r="A3002" t="str">
        <f>"3001"</f>
        <v>3001</v>
      </c>
      <c r="B3002" t="str">
        <f>"-0.14"</f>
        <v>-0.14</v>
      </c>
      <c r="C3002" t="str">
        <f>"40"</f>
        <v>40</v>
      </c>
      <c r="D3002" t="str">
        <f>"Lost Notes from Forgotten Songs"</f>
        <v>Lost Notes from Forgotten Songs</v>
      </c>
    </row>
    <row r="3003" spans="1:4" x14ac:dyDescent="0.2">
      <c r="A3003" t="str">
        <f>"3002"</f>
        <v>3002</v>
      </c>
      <c r="B3003" t="str">
        <f>"0.54"</f>
        <v>0.54</v>
      </c>
      <c r="C3003" t="str">
        <f>"60"</f>
        <v>60</v>
      </c>
      <c r="D3003" t="str">
        <f>"Live!: In Tune and On Time"</f>
        <v>Live!: In Tune and On Time</v>
      </c>
    </row>
    <row r="3004" spans="1:4" x14ac:dyDescent="0.2">
      <c r="A3004" t="str">
        <f>"3003"</f>
        <v>3003</v>
      </c>
      <c r="B3004" t="str">
        <f>"0.08"</f>
        <v>0.08</v>
      </c>
      <c r="C3004" t="str">
        <f>"54"</f>
        <v>54</v>
      </c>
      <c r="D3004" t="str">
        <f>"Fishtown Briefcase EP"</f>
        <v>Fishtown Briefcase EP</v>
      </c>
    </row>
    <row r="3005" spans="1:4" x14ac:dyDescent="0.2">
      <c r="A3005" t="str">
        <f>"3004"</f>
        <v>3004</v>
      </c>
      <c r="B3005" t="str">
        <f>"1.23"</f>
        <v>1.23</v>
      </c>
      <c r="C3005" t="str">
        <f>"57"</f>
        <v>57</v>
      </c>
      <c r="D3005" t="str">
        <f>"Strange Liberation"</f>
        <v>Strange Liberation</v>
      </c>
    </row>
    <row r="3006" spans="1:4" x14ac:dyDescent="0.2">
      <c r="A3006" t="str">
        <f>"3005"</f>
        <v>3005</v>
      </c>
      <c r="B3006" t="str">
        <f>"0.71"</f>
        <v>0.71</v>
      </c>
      <c r="C3006" t="str">
        <f>"60"</f>
        <v>60</v>
      </c>
      <c r="D3006" t="str">
        <f>"Runaway Found"</f>
        <v>Runaway Found</v>
      </c>
    </row>
    <row r="3007" spans="1:4" x14ac:dyDescent="0.2">
      <c r="A3007" t="str">
        <f>"3006"</f>
        <v>3006</v>
      </c>
      <c r="B3007" t="str">
        <f>"0.25"</f>
        <v>0.25</v>
      </c>
      <c r="C3007" t="str">
        <f>"98"</f>
        <v>98</v>
      </c>
      <c r="D3007" t="str">
        <f>"Nenette Et Boni"</f>
        <v>Nenette Et Boni</v>
      </c>
    </row>
    <row r="3008" spans="1:4" x14ac:dyDescent="0.2">
      <c r="A3008" t="str">
        <f>"3007"</f>
        <v>3007</v>
      </c>
      <c r="B3008" t="str">
        <f>"-0.1"</f>
        <v>-0.1</v>
      </c>
      <c r="C3008" t="str">
        <f>"77"</f>
        <v>77</v>
      </c>
      <c r="D3008" t="str">
        <f>"Long Gone Before Daylight"</f>
        <v>Long Gone Before Daylight</v>
      </c>
    </row>
    <row r="3009" spans="1:4" x14ac:dyDescent="0.2">
      <c r="A3009" t="str">
        <f>"3008"</f>
        <v>3008</v>
      </c>
      <c r="B3009" t="str">
        <f>"0.13"</f>
        <v>0.13</v>
      </c>
      <c r="C3009" t="str">
        <f>"51"</f>
        <v>51</v>
      </c>
      <c r="D3009" t="str">
        <f>"Last Exit"</f>
        <v>Last Exit</v>
      </c>
    </row>
    <row r="3010" spans="1:4" x14ac:dyDescent="0.2">
      <c r="A3010" t="str">
        <f>"3009"</f>
        <v>3009</v>
      </c>
      <c r="B3010" t="str">
        <f>"0.31"</f>
        <v>0.31</v>
      </c>
      <c r="C3010" t="str">
        <f>"119"</f>
        <v>119</v>
      </c>
      <c r="D3010" t="str">
        <f>"To the 5 Boroughs"</f>
        <v>To the 5 Boroughs</v>
      </c>
    </row>
    <row r="3011" spans="1:4" x14ac:dyDescent="0.2">
      <c r="A3011" t="str">
        <f>"3010"</f>
        <v>3010</v>
      </c>
      <c r="B3011" t="str">
        <f>"0.79"</f>
        <v>0.79</v>
      </c>
      <c r="C3011" t="str">
        <f>"30"</f>
        <v>30</v>
      </c>
      <c r="D3011" t="str">
        <f>"Immortal Memory"</f>
        <v>Immortal Memory</v>
      </c>
    </row>
    <row r="3012" spans="1:4" x14ac:dyDescent="0.2">
      <c r="A3012" t="str">
        <f>"3011"</f>
        <v>3011</v>
      </c>
      <c r="B3012" t="str">
        <f>"0.28"</f>
        <v>0.28</v>
      </c>
      <c r="C3012" t="str">
        <f>"47"</f>
        <v>47</v>
      </c>
      <c r="D3012" t="str">
        <f>"Elk-Lake Serenade"</f>
        <v>Elk-Lake Serenade</v>
      </c>
    </row>
    <row r="3013" spans="1:4" x14ac:dyDescent="0.2">
      <c r="A3013" t="str">
        <f>"3012"</f>
        <v>3012</v>
      </c>
      <c r="B3013" t="str">
        <f>"-0.08"</f>
        <v>-0.08</v>
      </c>
      <c r="C3013" t="str">
        <f>"73"</f>
        <v>73</v>
      </c>
      <c r="D3013" t="str">
        <f>"Book of Horizons"</f>
        <v>Book of Horizons</v>
      </c>
    </row>
    <row r="3014" spans="1:4" x14ac:dyDescent="0.2">
      <c r="A3014" t="str">
        <f>"3013"</f>
        <v>3013</v>
      </c>
      <c r="B3014" t="str">
        <f>"-0.84"</f>
        <v>-0.84</v>
      </c>
      <c r="C3014" t="str">
        <f>"57"</f>
        <v>57</v>
      </c>
      <c r="D3014" t="str">
        <f>"Automato"</f>
        <v>Automato</v>
      </c>
    </row>
    <row r="3015" spans="1:4" x14ac:dyDescent="0.2">
      <c r="A3015" t="str">
        <f>"3014"</f>
        <v>3014</v>
      </c>
      <c r="B3015" t="str">
        <f>"0.36"</f>
        <v>0.36</v>
      </c>
      <c r="C3015" t="str">
        <f>"47"</f>
        <v>47</v>
      </c>
      <c r="D3015" t="str">
        <f>"Walking with the Beggar Boys"</f>
        <v>Walking with the Beggar Boys</v>
      </c>
    </row>
    <row r="3016" spans="1:4" x14ac:dyDescent="0.2">
      <c r="A3016" t="str">
        <f>"3015"</f>
        <v>3015</v>
      </c>
      <c r="B3016" t="str">
        <f>"-0.22"</f>
        <v>-0.22</v>
      </c>
      <c r="C3016" t="str">
        <f>"34"</f>
        <v>34</v>
      </c>
      <c r="D3016" t="str">
        <f>"Syklubb fra Hælvete"</f>
        <v>Syklubb fra Hælvete</v>
      </c>
    </row>
    <row r="3017" spans="1:4" x14ac:dyDescent="0.2">
      <c r="A3017" t="str">
        <f>"3016"</f>
        <v>3016</v>
      </c>
      <c r="B3017" t="str">
        <f>"0.7"</f>
        <v>0.7</v>
      </c>
      <c r="C3017" t="str">
        <f>"52"</f>
        <v>52</v>
      </c>
      <c r="D3017" t="str">
        <f>"Of This Blood..."</f>
        <v>Of This Blood...</v>
      </c>
    </row>
    <row r="3018" spans="1:4" x14ac:dyDescent="0.2">
      <c r="A3018" t="str">
        <f>"3017"</f>
        <v>3017</v>
      </c>
      <c r="B3018" t="str">
        <f>"1.04"</f>
        <v>1.04</v>
      </c>
      <c r="C3018" t="str">
        <f>"51"</f>
        <v>51</v>
      </c>
      <c r="D3018" t="str">
        <f>"God Bless Our Pad"</f>
        <v>God Bless Our Pad</v>
      </c>
    </row>
    <row r="3019" spans="1:4" x14ac:dyDescent="0.2">
      <c r="A3019" t="str">
        <f>"3018"</f>
        <v>3018</v>
      </c>
      <c r="B3019" t="str">
        <f>"0.27"</f>
        <v>0.27</v>
      </c>
      <c r="C3019" t="str">
        <f>"62"</f>
        <v>62</v>
      </c>
      <c r="D3019" t="str">
        <f>"Vehicles &amp; Animals"</f>
        <v>Vehicles &amp; Animals</v>
      </c>
    </row>
    <row r="3020" spans="1:4" x14ac:dyDescent="0.2">
      <c r="A3020" t="str">
        <f>"3019"</f>
        <v>3019</v>
      </c>
      <c r="B3020" t="str">
        <f>"0.24"</f>
        <v>0.24</v>
      </c>
      <c r="C3020" t="str">
        <f>"44"</f>
        <v>44</v>
      </c>
      <c r="D3020" t="str">
        <f>"Funny Farm"</f>
        <v>Funny Farm</v>
      </c>
    </row>
    <row r="3021" spans="1:4" x14ac:dyDescent="0.2">
      <c r="A3021" t="str">
        <f>"3020"</f>
        <v>3020</v>
      </c>
      <c r="B3021" t="str">
        <f>"0.05"</f>
        <v>0.05</v>
      </c>
      <c r="C3021" t="str">
        <f>"72"</f>
        <v>72</v>
      </c>
      <c r="D3021" t="str">
        <f>"From the Double Gone Chapel"</f>
        <v>From the Double Gone Chapel</v>
      </c>
    </row>
    <row r="3022" spans="1:4" x14ac:dyDescent="0.2">
      <c r="A3022" t="str">
        <f>"3021"</f>
        <v>3021</v>
      </c>
      <c r="B3022" t="str">
        <f>"-0.38"</f>
        <v>-0.38</v>
      </c>
      <c r="C3022" t="str">
        <f>"72"</f>
        <v>72</v>
      </c>
      <c r="D3022" t="str">
        <f>"Five Pillars of Soul"</f>
        <v>Five Pillars of Soul</v>
      </c>
    </row>
    <row r="3023" spans="1:4" x14ac:dyDescent="0.2">
      <c r="A3023" t="str">
        <f>"3022"</f>
        <v>3022</v>
      </c>
      <c r="B3023" t="str">
        <f>"-0.23"</f>
        <v>-0.23</v>
      </c>
      <c r="C3023" t="str">
        <f>"92"</f>
        <v>92</v>
      </c>
      <c r="D3023" t="str">
        <f>"Critical Beatdown"</f>
        <v>Critical Beatdown</v>
      </c>
    </row>
    <row r="3024" spans="1:4" x14ac:dyDescent="0.2">
      <c r="A3024" t="str">
        <f>"3023"</f>
        <v>3023</v>
      </c>
      <c r="B3024" t="str">
        <f>"0.18"</f>
        <v>0.18</v>
      </c>
      <c r="C3024" t="str">
        <f>"31"</f>
        <v>31</v>
      </c>
      <c r="D3024" t="str">
        <f>"The Slow Wonder"</f>
        <v>The Slow Wonder</v>
      </c>
    </row>
    <row r="3025" spans="1:4" x14ac:dyDescent="0.2">
      <c r="A3025" t="str">
        <f>"3024"</f>
        <v>3024</v>
      </c>
      <c r="B3025" t="str">
        <f>"-0.22"</f>
        <v>-0.22</v>
      </c>
      <c r="C3025" t="str">
        <f>"59"</f>
        <v>59</v>
      </c>
      <c r="D3025" t="str">
        <f>"So Serious"</f>
        <v>So Serious</v>
      </c>
    </row>
    <row r="3026" spans="1:4" x14ac:dyDescent="0.2">
      <c r="A3026" t="str">
        <f>"3025"</f>
        <v>3025</v>
      </c>
      <c r="B3026" t="str">
        <f>"-1.4"</f>
        <v>-1.4</v>
      </c>
      <c r="C3026" t="str">
        <f>"27"</f>
        <v>27</v>
      </c>
      <c r="D3026" t="str">
        <f>"Sharkey's Machine"</f>
        <v>Sharkey's Machine</v>
      </c>
    </row>
    <row r="3027" spans="1:4" x14ac:dyDescent="0.2">
      <c r="A3027" t="str">
        <f>"3026"</f>
        <v>3026</v>
      </c>
      <c r="B3027" t="str">
        <f>"-0.26"</f>
        <v>-0.26</v>
      </c>
      <c r="C3027" t="str">
        <f>"65"</f>
        <v>65</v>
      </c>
      <c r="D3027" t="str">
        <f>"Natural Dreamers"</f>
        <v>Natural Dreamers</v>
      </c>
    </row>
    <row r="3028" spans="1:4" x14ac:dyDescent="0.2">
      <c r="A3028" t="str">
        <f>"3027"</f>
        <v>3027</v>
      </c>
      <c r="B3028" t="str">
        <f>"0.04"</f>
        <v>0.04</v>
      </c>
      <c r="C3028" t="str">
        <f>"46"</f>
        <v>46</v>
      </c>
      <c r="D3028" t="str">
        <f>"Debut Live"</f>
        <v>Debut Live</v>
      </c>
    </row>
    <row r="3029" spans="1:4" x14ac:dyDescent="0.2">
      <c r="A3029" t="str">
        <f>"3028"</f>
        <v>3028</v>
      </c>
      <c r="B3029" t="str">
        <f>"-0.44"</f>
        <v>-0.44</v>
      </c>
      <c r="C3029" t="str">
        <f>"21"</f>
        <v>21</v>
      </c>
      <c r="D3029" t="str">
        <f>"Cast from the Platform"</f>
        <v>Cast from the Platform</v>
      </c>
    </row>
    <row r="3030" spans="1:4" x14ac:dyDescent="0.2">
      <c r="A3030" t="str">
        <f>"3029"</f>
        <v>3029</v>
      </c>
      <c r="B3030" t="str">
        <f>"-0.53"</f>
        <v>-0.53</v>
      </c>
      <c r="C3030" t="str">
        <f>"47"</f>
        <v>47</v>
      </c>
      <c r="D3030" t="str">
        <f>"Split the Difference"</f>
        <v>Split the Difference</v>
      </c>
    </row>
    <row r="3031" spans="1:4" x14ac:dyDescent="0.2">
      <c r="A3031" t="str">
        <f>"3030"</f>
        <v>3030</v>
      </c>
      <c r="B3031" t="str">
        <f>"0.13"</f>
        <v>0.13</v>
      </c>
      <c r="C3031" t="str">
        <f>"62"</f>
        <v>62</v>
      </c>
      <c r="D3031" t="str">
        <f>"Salt"</f>
        <v>Salt</v>
      </c>
    </row>
    <row r="3032" spans="1:4" x14ac:dyDescent="0.2">
      <c r="A3032" t="str">
        <f>"3031"</f>
        <v>3031</v>
      </c>
      <c r="B3032" t="str">
        <f>"1.2"</f>
        <v>1.2</v>
      </c>
      <c r="C3032" t="str">
        <f>"57"</f>
        <v>57</v>
      </c>
      <c r="D3032" t="str">
        <f>"Dieu Deuil"</f>
        <v>Dieu Deuil</v>
      </c>
    </row>
    <row r="3033" spans="1:4" x14ac:dyDescent="0.2">
      <c r="A3033" t="str">
        <f>"3032"</f>
        <v>3032</v>
      </c>
      <c r="B3033" t="str">
        <f>"-0.32"</f>
        <v>-0.32</v>
      </c>
      <c r="C3033" t="str">
        <f>"42"</f>
        <v>42</v>
      </c>
      <c r="D3033" t="str">
        <f>"Slon"</f>
        <v>Slon</v>
      </c>
    </row>
    <row r="3034" spans="1:4" x14ac:dyDescent="0.2">
      <c r="A3034" t="str">
        <f>"3033"</f>
        <v>3033</v>
      </c>
      <c r="B3034" t="str">
        <f>"-0.27"</f>
        <v>-0.27</v>
      </c>
      <c r="C3034" t="str">
        <f>"68"</f>
        <v>68</v>
      </c>
      <c r="D3034" t="str">
        <f>"Louden Up Now"</f>
        <v>Louden Up Now</v>
      </c>
    </row>
    <row r="3035" spans="1:4" x14ac:dyDescent="0.2">
      <c r="A3035" t="str">
        <f>"3034"</f>
        <v>3034</v>
      </c>
      <c r="B3035" t="str">
        <f>"-0.17"</f>
        <v>-0.17</v>
      </c>
      <c r="C3035" t="str">
        <f>"79"</f>
        <v>79</v>
      </c>
      <c r="D3035" t="str">
        <f>"Libra"</f>
        <v>Libra</v>
      </c>
    </row>
    <row r="3036" spans="1:4" x14ac:dyDescent="0.2">
      <c r="A3036" t="str">
        <f>"3035"</f>
        <v>3035</v>
      </c>
      <c r="B3036" t="str">
        <f>"-0.43"</f>
        <v>-0.43</v>
      </c>
      <c r="C3036" t="str">
        <f>"65"</f>
        <v>65</v>
      </c>
      <c r="D3036" t="str">
        <f>"Brother Is to Son"</f>
        <v>Brother Is to Son</v>
      </c>
    </row>
    <row r="3037" spans="1:4" x14ac:dyDescent="0.2">
      <c r="A3037" t="str">
        <f>"3036"</f>
        <v>3036</v>
      </c>
      <c r="B3037" t="str">
        <f>"0.03"</f>
        <v>0.03</v>
      </c>
      <c r="C3037" t="str">
        <f>"65"</f>
        <v>65</v>
      </c>
      <c r="D3037" t="str">
        <f>"Baby Monkey"</f>
        <v>Baby Monkey</v>
      </c>
    </row>
    <row r="3038" spans="1:4" x14ac:dyDescent="0.2">
      <c r="A3038" t="str">
        <f>"3037"</f>
        <v>3037</v>
      </c>
      <c r="B3038" t="str">
        <f>"0.54"</f>
        <v>0.54</v>
      </c>
      <c r="C3038" t="str">
        <f>"109"</f>
        <v>109</v>
      </c>
      <c r="D3038" t="str">
        <f>"Sonic Nurse"</f>
        <v>Sonic Nurse</v>
      </c>
    </row>
    <row r="3039" spans="1:4" x14ac:dyDescent="0.2">
      <c r="A3039" t="str">
        <f>"3038"</f>
        <v>3038</v>
      </c>
      <c r="B3039" t="str">
        <f>"-1.29"</f>
        <v>-1.29</v>
      </c>
      <c r="C3039" t="str">
        <f>"68"</f>
        <v>68</v>
      </c>
      <c r="D3039" t="str">
        <f>"Onanie Bomb Meets the Sex Pistols"</f>
        <v>Onanie Bomb Meets the Sex Pistols</v>
      </c>
    </row>
    <row r="3040" spans="1:4" x14ac:dyDescent="0.2">
      <c r="A3040" t="str">
        <f>"3039"</f>
        <v>3039</v>
      </c>
      <c r="B3040" t="str">
        <f>"-0.26"</f>
        <v>-0.26</v>
      </c>
      <c r="C3040" t="str">
        <f>"110"</f>
        <v>110</v>
      </c>
      <c r="D3040" t="str">
        <f>"Met Life Series 2-6"</f>
        <v>Met Life Series 2-6</v>
      </c>
    </row>
    <row r="3041" spans="1:4" x14ac:dyDescent="0.2">
      <c r="A3041" t="str">
        <f>"3040"</f>
        <v>3040</v>
      </c>
      <c r="B3041" t="str">
        <f>"0.21"</f>
        <v>0.21</v>
      </c>
      <c r="C3041" t="str">
        <f>"51"</f>
        <v>51</v>
      </c>
      <c r="D3041" t="str">
        <f>"Faded Seaside Glamour"</f>
        <v>Faded Seaside Glamour</v>
      </c>
    </row>
    <row r="3042" spans="1:4" x14ac:dyDescent="0.2">
      <c r="A3042" t="str">
        <f>"3041"</f>
        <v>3041</v>
      </c>
      <c r="B3042" t="str">
        <f>"-0.48"</f>
        <v>-0.48</v>
      </c>
      <c r="C3042" t="str">
        <f>"57"</f>
        <v>57</v>
      </c>
      <c r="D3042" t="str">
        <f>"All the Fame of Lofty Deeds"</f>
        <v>All the Fame of Lofty Deeds</v>
      </c>
    </row>
    <row r="3043" spans="1:4" x14ac:dyDescent="0.2">
      <c r="A3043" t="str">
        <f>"3042"</f>
        <v>3042</v>
      </c>
      <c r="B3043" t="str">
        <f>"1.31"</f>
        <v>1.31</v>
      </c>
      <c r="C3043" t="str">
        <f>"66"</f>
        <v>66</v>
      </c>
      <c r="D3043" t="str">
        <f>"The Third Unheard: Connecticut Hip Hop 1979-1983"</f>
        <v>The Third Unheard: Connecticut Hip Hop 1979-1983</v>
      </c>
    </row>
    <row r="3044" spans="1:4" x14ac:dyDescent="0.2">
      <c r="A3044" t="str">
        <f>"3043"</f>
        <v>3043</v>
      </c>
      <c r="B3044" t="str">
        <f>"0.31"</f>
        <v>0.31</v>
      </c>
      <c r="C3044" t="str">
        <f>"56"</f>
        <v>56</v>
      </c>
      <c r="D3044" t="str">
        <f>"Past and Present Futurists"</f>
        <v>Past and Present Futurists</v>
      </c>
    </row>
    <row r="3045" spans="1:4" x14ac:dyDescent="0.2">
      <c r="A3045" t="str">
        <f>"3044"</f>
        <v>3044</v>
      </c>
      <c r="B3045" t="str">
        <f>"0.32"</f>
        <v>0.32</v>
      </c>
      <c r="C3045" t="str">
        <f>"47"</f>
        <v>47</v>
      </c>
      <c r="D3045" t="str">
        <f>"New England"</f>
        <v>New England</v>
      </c>
    </row>
    <row r="3046" spans="1:4" x14ac:dyDescent="0.2">
      <c r="A3046" t="str">
        <f>"3045"</f>
        <v>3045</v>
      </c>
      <c r="B3046" t="str">
        <f>"0.31"</f>
        <v>0.31</v>
      </c>
      <c r="C3046" t="str">
        <f>"50"</f>
        <v>50</v>
      </c>
      <c r="D3046" t="str">
        <f>"Laced with Romance"</f>
        <v>Laced with Romance</v>
      </c>
    </row>
    <row r="3047" spans="1:4" x14ac:dyDescent="0.2">
      <c r="A3047" t="str">
        <f>"3046"</f>
        <v>3046</v>
      </c>
      <c r="B3047" t="str">
        <f>"-0.88"</f>
        <v>-0.88</v>
      </c>
      <c r="C3047" t="str">
        <f>"40"</f>
        <v>40</v>
      </c>
      <c r="D3047" t="str">
        <f>"With Christopher Sandes featuring Pickles and Price"</f>
        <v>With Christopher Sandes featuring Pickles and Price</v>
      </c>
    </row>
    <row r="3048" spans="1:4" x14ac:dyDescent="0.2">
      <c r="A3048" t="str">
        <f>"3047"</f>
        <v>3047</v>
      </c>
      <c r="B3048" t="str">
        <f>"-0.56"</f>
        <v>-0.56</v>
      </c>
      <c r="C3048" t="str">
        <f>"68"</f>
        <v>68</v>
      </c>
      <c r="D3048" t="str">
        <f>"Trampin'"</f>
        <v>Trampin'</v>
      </c>
    </row>
    <row r="3049" spans="1:4" x14ac:dyDescent="0.2">
      <c r="A3049" t="str">
        <f>"3048"</f>
        <v>3048</v>
      </c>
      <c r="B3049" t="str">
        <f>"0.24"</f>
        <v>0.24</v>
      </c>
      <c r="C3049" t="str">
        <f>"57"</f>
        <v>57</v>
      </c>
      <c r="D3049" t="str">
        <f>"Mantra of Love"</f>
        <v>Mantra of Love</v>
      </c>
    </row>
    <row r="3050" spans="1:4" x14ac:dyDescent="0.2">
      <c r="A3050" t="str">
        <f>"3049"</f>
        <v>3049</v>
      </c>
      <c r="B3050" t="str">
        <f>"-0.89"</f>
        <v>-0.89</v>
      </c>
      <c r="C3050" t="str">
        <f>"25"</f>
        <v>25</v>
      </c>
      <c r="D3050" t="str">
        <f>"D.I. Go Pop"</f>
        <v>D.I. Go Pop</v>
      </c>
    </row>
    <row r="3051" spans="1:4" x14ac:dyDescent="0.2">
      <c r="A3051" t="str">
        <f>"3050"</f>
        <v>3050</v>
      </c>
      <c r="B3051" t="str">
        <f>"-0.43"</f>
        <v>-0.43</v>
      </c>
      <c r="C3051" t="str">
        <f>"86"</f>
        <v>86</v>
      </c>
      <c r="D3051" t="str">
        <f>"Uh Huh Her"</f>
        <v>Uh Huh Her</v>
      </c>
    </row>
    <row r="3052" spans="1:4" x14ac:dyDescent="0.2">
      <c r="A3052" t="str">
        <f>"3051"</f>
        <v>3051</v>
      </c>
      <c r="B3052" t="str">
        <f>"-0.52"</f>
        <v>-0.52</v>
      </c>
      <c r="C3052" t="str">
        <f>"55"</f>
        <v>55</v>
      </c>
      <c r="D3052" t="str">
        <f>"Tokyo + 1"</f>
        <v>Tokyo + 1</v>
      </c>
    </row>
    <row r="3053" spans="1:4" x14ac:dyDescent="0.2">
      <c r="A3053" t="str">
        <f>"3052"</f>
        <v>3052</v>
      </c>
      <c r="B3053" t="str">
        <f>"-0.19"</f>
        <v>-0.19</v>
      </c>
      <c r="C3053" t="str">
        <f>"49"</f>
        <v>49</v>
      </c>
      <c r="D3053" t="str">
        <f>"The Taste of TG: A Beginner's Guide to the Music of Throbbing Gristle"</f>
        <v>The Taste of TG: A Beginner's Guide to the Music of Throbbing Gristle</v>
      </c>
    </row>
    <row r="3054" spans="1:4" x14ac:dyDescent="0.2">
      <c r="A3054" t="str">
        <f>"3053"</f>
        <v>3053</v>
      </c>
      <c r="B3054" t="str">
        <f>"-0.16"</f>
        <v>-0.16</v>
      </c>
      <c r="C3054" t="str">
        <f>"71"</f>
        <v>71</v>
      </c>
      <c r="D3054" t="str">
        <f>"Glass Floor"</f>
        <v>Glass Floor</v>
      </c>
    </row>
    <row r="3055" spans="1:4" x14ac:dyDescent="0.2">
      <c r="A3055" t="str">
        <f>"3054"</f>
        <v>3054</v>
      </c>
      <c r="B3055" t="str">
        <f>"0.88"</f>
        <v>0.88</v>
      </c>
      <c r="C3055" t="str">
        <f>"49"</f>
        <v>49</v>
      </c>
      <c r="D3055" t="str">
        <f>"A Piece of Sunshine"</f>
        <v>A Piece of Sunshine</v>
      </c>
    </row>
    <row r="3056" spans="1:4" x14ac:dyDescent="0.2">
      <c r="A3056" t="str">
        <f>"3055"</f>
        <v>3055</v>
      </c>
      <c r="B3056" t="str">
        <f>"0.53"</f>
        <v>0.53</v>
      </c>
      <c r="C3056" t="str">
        <f>"43"</f>
        <v>43</v>
      </c>
      <c r="D3056" t="str">
        <f>"William of Orange EP"</f>
        <v>William of Orange EP</v>
      </c>
    </row>
    <row r="3057" spans="1:4" x14ac:dyDescent="0.2">
      <c r="A3057" t="str">
        <f>"3056"</f>
        <v>3056</v>
      </c>
      <c r="B3057" t="str">
        <f>"-0.44"</f>
        <v>-0.44</v>
      </c>
      <c r="C3057" t="str">
        <f>"76"</f>
        <v>76</v>
      </c>
      <c r="D3057" t="str">
        <f>"Made to Love Magic"</f>
        <v>Made to Love Magic</v>
      </c>
    </row>
    <row r="3058" spans="1:4" x14ac:dyDescent="0.2">
      <c r="A3058" t="str">
        <f>"3057"</f>
        <v>3057</v>
      </c>
      <c r="B3058" t="str">
        <f>"-0.17"</f>
        <v>-0.17</v>
      </c>
      <c r="C3058" t="str">
        <f>"50"</f>
        <v>50</v>
      </c>
      <c r="D3058" t="str">
        <f>"Deux Hot Dogs Moutarde Chou"</f>
        <v>Deux Hot Dogs Moutarde Chou</v>
      </c>
    </row>
    <row r="3059" spans="1:4" x14ac:dyDescent="0.2">
      <c r="A3059" t="str">
        <f>"3058"</f>
        <v>3058</v>
      </c>
      <c r="B3059" t="str">
        <f>"-0.58"</f>
        <v>-0.58</v>
      </c>
      <c r="C3059" t="str">
        <f>"51"</f>
        <v>51</v>
      </c>
      <c r="D3059" t="str">
        <f>"Customs"</f>
        <v>Customs</v>
      </c>
    </row>
    <row r="3060" spans="1:4" x14ac:dyDescent="0.2">
      <c r="A3060" t="str">
        <f>"3059"</f>
        <v>3059</v>
      </c>
      <c r="B3060" t="str">
        <f>"0.3"</f>
        <v>0.3</v>
      </c>
      <c r="C3060" t="str">
        <f>"84"</f>
        <v>84</v>
      </c>
      <c r="D3060" t="str">
        <f>"The Difference Between Me and You Is That I'm Not on Fire"</f>
        <v>The Difference Between Me and You Is That I'm Not on Fire</v>
      </c>
    </row>
    <row r="3061" spans="1:4" x14ac:dyDescent="0.2">
      <c r="A3061" t="str">
        <f>"3060"</f>
        <v>3060</v>
      </c>
      <c r="B3061" t="str">
        <f>"-0.41"</f>
        <v>-0.41</v>
      </c>
      <c r="C3061" t="str">
        <f>"52"</f>
        <v>52</v>
      </c>
      <c r="D3061" t="s">
        <v>95</v>
      </c>
    </row>
    <row r="3062" spans="1:4" x14ac:dyDescent="0.2">
      <c r="A3062" t="str">
        <f>"3061"</f>
        <v>3061</v>
      </c>
      <c r="B3062" t="str">
        <f>"0.26"</f>
        <v>0.26</v>
      </c>
      <c r="C3062" t="str">
        <f>"52"</f>
        <v>52</v>
      </c>
      <c r="D3062" t="str">
        <f>"Steady Rocking"</f>
        <v>Steady Rocking</v>
      </c>
    </row>
    <row r="3063" spans="1:4" x14ac:dyDescent="0.2">
      <c r="A3063" t="str">
        <f>"3062"</f>
        <v>3062</v>
      </c>
      <c r="B3063" t="str">
        <f>"-0.36"</f>
        <v>-0.36</v>
      </c>
      <c r="C3063" t="str">
        <f>"72"</f>
        <v>72</v>
      </c>
      <c r="D3063" t="str">
        <f>"Smitten"</f>
        <v>Smitten</v>
      </c>
    </row>
    <row r="3064" spans="1:4" x14ac:dyDescent="0.2">
      <c r="A3064" t="str">
        <f>"3063"</f>
        <v>3063</v>
      </c>
      <c r="B3064" t="str">
        <f>"-0.35"</f>
        <v>-0.35</v>
      </c>
      <c r="C3064" t="str">
        <f>"31"</f>
        <v>31</v>
      </c>
      <c r="D3064" t="str">
        <f>"Sick of Waiting Tables"</f>
        <v>Sick of Waiting Tables</v>
      </c>
    </row>
    <row r="3065" spans="1:4" x14ac:dyDescent="0.2">
      <c r="A3065" t="str">
        <f>"3064"</f>
        <v>3064</v>
      </c>
      <c r="B3065" t="str">
        <f>"0.34"</f>
        <v>0.34</v>
      </c>
      <c r="C3065" t="str">
        <f>"51"</f>
        <v>51</v>
      </c>
      <c r="D3065" t="str">
        <f>"The Advantage"</f>
        <v>The Advantage</v>
      </c>
    </row>
    <row r="3066" spans="1:4" x14ac:dyDescent="0.2">
      <c r="A3066" t="str">
        <f>"3065"</f>
        <v>3065</v>
      </c>
      <c r="B3066" t="str">
        <f>"-0.43"</f>
        <v>-0.43</v>
      </c>
      <c r="C3066" t="str">
        <f>"52"</f>
        <v>52</v>
      </c>
      <c r="D3066" t="str">
        <f>"Snake Bird Blue"</f>
        <v>Snake Bird Blue</v>
      </c>
    </row>
    <row r="3067" spans="1:4" x14ac:dyDescent="0.2">
      <c r="A3067" t="str">
        <f>"3066"</f>
        <v>3066</v>
      </c>
      <c r="B3067" t="str">
        <f>"-0.05"</f>
        <v>-0.05</v>
      </c>
      <c r="C3067" t="str">
        <f>"55"</f>
        <v>55</v>
      </c>
      <c r="D3067" t="str">
        <f>"Get It Twisted"</f>
        <v>Get It Twisted</v>
      </c>
    </row>
    <row r="3068" spans="1:4" x14ac:dyDescent="0.2">
      <c r="A3068" t="str">
        <f>"3067"</f>
        <v>3067</v>
      </c>
      <c r="B3068" t="str">
        <f>"0.16"</f>
        <v>0.16</v>
      </c>
      <c r="C3068" t="str">
        <f>"55"</f>
        <v>55</v>
      </c>
      <c r="D3068" t="str">
        <f>"Earlynorthamerican"</f>
        <v>Earlynorthamerican</v>
      </c>
    </row>
    <row r="3069" spans="1:4" x14ac:dyDescent="0.2">
      <c r="A3069" t="str">
        <f>"3068"</f>
        <v>3068</v>
      </c>
      <c r="B3069" t="str">
        <f>"-0.1"</f>
        <v>-0.1</v>
      </c>
      <c r="C3069" t="str">
        <f>"44"</f>
        <v>44</v>
      </c>
      <c r="D3069" t="str">
        <f>"Studio One Dub"</f>
        <v>Studio One Dub</v>
      </c>
    </row>
    <row r="3070" spans="1:4" x14ac:dyDescent="0.2">
      <c r="A3070" t="str">
        <f>"3069"</f>
        <v>3069</v>
      </c>
      <c r="B3070" t="str">
        <f>"-0.55"</f>
        <v>-0.55</v>
      </c>
      <c r="C3070" t="str">
        <f>"52"</f>
        <v>52</v>
      </c>
      <c r="D3070" t="str">
        <f>"Of Snowdonia"</f>
        <v>Of Snowdonia</v>
      </c>
    </row>
    <row r="3071" spans="1:4" x14ac:dyDescent="0.2">
      <c r="A3071" t="str">
        <f>"3070"</f>
        <v>3070</v>
      </c>
      <c r="B3071" t="str">
        <f>"-0.69"</f>
        <v>-0.69</v>
      </c>
      <c r="C3071" t="str">
        <f>"57"</f>
        <v>57</v>
      </c>
      <c r="D3071" t="str">
        <f>"Music from the Film Hell House"</f>
        <v>Music from the Film Hell House</v>
      </c>
    </row>
    <row r="3072" spans="1:4" x14ac:dyDescent="0.2">
      <c r="A3072" t="str">
        <f>"3071"</f>
        <v>3071</v>
      </c>
      <c r="B3072" t="str">
        <f>"0.47"</f>
        <v>0.47</v>
      </c>
      <c r="C3072" t="str">
        <f>"85"</f>
        <v>85</v>
      </c>
      <c r="D3072" t="str">
        <f>"Devin Dazzle and The Neon Fever"</f>
        <v>Devin Dazzle and The Neon Fever</v>
      </c>
    </row>
    <row r="3073" spans="1:4" x14ac:dyDescent="0.2">
      <c r="A3073" t="str">
        <f>"3072"</f>
        <v>3072</v>
      </c>
      <c r="B3073" t="str">
        <f>"-0.81"</f>
        <v>-0.81</v>
      </c>
      <c r="C3073" t="str">
        <f>"64"</f>
        <v>64</v>
      </c>
      <c r="D3073" t="str">
        <f>"Achilles Heel"</f>
        <v>Achilles Heel</v>
      </c>
    </row>
    <row r="3074" spans="1:4" x14ac:dyDescent="0.2">
      <c r="A3074" t="str">
        <f>"3073"</f>
        <v>3073</v>
      </c>
      <c r="B3074" t="str">
        <f>"0.62"</f>
        <v>0.62</v>
      </c>
      <c r="C3074" t="str">
        <f>"55"</f>
        <v>55</v>
      </c>
      <c r="D3074" t="s">
        <v>96</v>
      </c>
    </row>
    <row r="3075" spans="1:4" x14ac:dyDescent="0.2">
      <c r="A3075" t="str">
        <f>"3074"</f>
        <v>3074</v>
      </c>
      <c r="B3075" t="str">
        <f>"0.59"</f>
        <v>0.59</v>
      </c>
      <c r="C3075" t="str">
        <f>"60"</f>
        <v>60</v>
      </c>
      <c r="D3075" t="str">
        <f>"Zwei Photonen EP"</f>
        <v>Zwei Photonen EP</v>
      </c>
    </row>
    <row r="3076" spans="1:4" x14ac:dyDescent="0.2">
      <c r="A3076" t="str">
        <f>"3075"</f>
        <v>3075</v>
      </c>
      <c r="B3076" t="str">
        <f>"0.1"</f>
        <v>0.1</v>
      </c>
      <c r="C3076" t="str">
        <f>"57"</f>
        <v>57</v>
      </c>
      <c r="D3076" t="s">
        <v>97</v>
      </c>
    </row>
    <row r="3077" spans="1:4" x14ac:dyDescent="0.2">
      <c r="A3077" t="str">
        <f>"3076"</f>
        <v>3076</v>
      </c>
      <c r="B3077" t="str">
        <f>"-0.5"</f>
        <v>-0.5</v>
      </c>
      <c r="C3077" t="str">
        <f>"74"</f>
        <v>74</v>
      </c>
      <c r="D3077" t="str">
        <f>"Now Here Is Nowhere"</f>
        <v>Now Here Is Nowhere</v>
      </c>
    </row>
    <row r="3078" spans="1:4" x14ac:dyDescent="0.2">
      <c r="A3078" t="str">
        <f>"3077"</f>
        <v>3077</v>
      </c>
      <c r="B3078" t="str">
        <f>"0.46"</f>
        <v>0.46</v>
      </c>
      <c r="C3078" t="str">
        <f>"80"</f>
        <v>80</v>
      </c>
      <c r="D3078" t="str">
        <f>"Halo"</f>
        <v>Halo</v>
      </c>
    </row>
    <row r="3079" spans="1:4" x14ac:dyDescent="0.2">
      <c r="A3079" t="str">
        <f>"3078"</f>
        <v>3078</v>
      </c>
      <c r="B3079" t="str">
        <f>"-0.5"</f>
        <v>-0.5</v>
      </c>
      <c r="C3079" t="str">
        <f>"65"</f>
        <v>65</v>
      </c>
      <c r="D3079" t="str">
        <f>"You Are the Quarry"</f>
        <v>You Are the Quarry</v>
      </c>
    </row>
    <row r="3080" spans="1:4" x14ac:dyDescent="0.2">
      <c r="A3080" t="str">
        <f>"3079"</f>
        <v>3079</v>
      </c>
      <c r="B3080" t="str">
        <f>"0.12"</f>
        <v>0.12</v>
      </c>
      <c r="C3080" t="str">
        <f>"45"</f>
        <v>45</v>
      </c>
      <c r="D3080" t="str">
        <f>"This Is Where We Live"</f>
        <v>This Is Where We Live</v>
      </c>
    </row>
    <row r="3081" spans="1:4" x14ac:dyDescent="0.2">
      <c r="A3081" t="str">
        <f>"3080"</f>
        <v>3080</v>
      </c>
      <c r="B3081" t="str">
        <f>"0.34"</f>
        <v>0.34</v>
      </c>
      <c r="C3081" t="str">
        <f>"50"</f>
        <v>50</v>
      </c>
      <c r="D3081" t="str">
        <f>"Escape Velocity"</f>
        <v>Escape Velocity</v>
      </c>
    </row>
    <row r="3082" spans="1:4" x14ac:dyDescent="0.2">
      <c r="A3082" t="str">
        <f>"3081"</f>
        <v>3081</v>
      </c>
      <c r="B3082" t="str">
        <f>"-0.63"</f>
        <v>-0.63</v>
      </c>
      <c r="C3082" t="str">
        <f>"41"</f>
        <v>41</v>
      </c>
      <c r="D3082" t="s">
        <v>98</v>
      </c>
    </row>
    <row r="3083" spans="1:4" x14ac:dyDescent="0.2">
      <c r="A3083" t="str">
        <f>"3082"</f>
        <v>3082</v>
      </c>
      <c r="B3083" t="str">
        <f>"-0.47"</f>
        <v>-0.47</v>
      </c>
      <c r="C3083" t="str">
        <f>"56"</f>
        <v>56</v>
      </c>
      <c r="D3083" t="str">
        <f>"2014 EP"</f>
        <v>2014 EP</v>
      </c>
    </row>
    <row r="3084" spans="1:4" x14ac:dyDescent="0.2">
      <c r="A3084" t="str">
        <f>"3083"</f>
        <v>3083</v>
      </c>
      <c r="B3084" t="str">
        <f>"1.04"</f>
        <v>1.04</v>
      </c>
      <c r="C3084" t="str">
        <f>"69"</f>
        <v>69</v>
      </c>
      <c r="D3084" t="str">
        <f>"Who Is This America?"</f>
        <v>Who Is This America?</v>
      </c>
    </row>
    <row r="3085" spans="1:4" x14ac:dyDescent="0.2">
      <c r="A3085" t="str">
        <f>"3084"</f>
        <v>3084</v>
      </c>
      <c r="B3085" t="str">
        <f>"0.21"</f>
        <v>0.21</v>
      </c>
      <c r="C3085" t="str">
        <f>"61"</f>
        <v>61</v>
      </c>
      <c r="D3085" t="str">
        <f>"Radio One Sessions"</f>
        <v>Radio One Sessions</v>
      </c>
    </row>
    <row r="3086" spans="1:4" x14ac:dyDescent="0.2">
      <c r="A3086" t="str">
        <f>"3085"</f>
        <v>3085</v>
      </c>
      <c r="B3086" t="str">
        <f>"0.18"</f>
        <v>0.18</v>
      </c>
      <c r="C3086" t="str">
        <f>"97"</f>
        <v>97</v>
      </c>
      <c r="D3086" t="str">
        <f>"Kesto (234:48:4)"</f>
        <v>Kesto (234:48:4)</v>
      </c>
    </row>
    <row r="3087" spans="1:4" x14ac:dyDescent="0.2">
      <c r="A3087" t="str">
        <f>"3086"</f>
        <v>3086</v>
      </c>
      <c r="B3087" t="str">
        <f>"-0.89"</f>
        <v>-0.89</v>
      </c>
      <c r="C3087" t="str">
        <f>"42"</f>
        <v>42</v>
      </c>
      <c r="D3087" t="str">
        <f>"26-Inch EP"</f>
        <v>26-Inch EP</v>
      </c>
    </row>
    <row r="3088" spans="1:4" x14ac:dyDescent="0.2">
      <c r="A3088" t="str">
        <f>"3087"</f>
        <v>3087</v>
      </c>
      <c r="B3088" t="str">
        <f>"-0.79"</f>
        <v>-0.79</v>
      </c>
      <c r="C3088" t="str">
        <f>"50"</f>
        <v>50</v>
      </c>
      <c r="D3088" t="str">
        <f>"The Derby Ram"</f>
        <v>The Derby Ram</v>
      </c>
    </row>
    <row r="3089" spans="1:4" x14ac:dyDescent="0.2">
      <c r="A3089" t="str">
        <f>"3088"</f>
        <v>3088</v>
      </c>
      <c r="B3089" t="str">
        <f>"0.43"</f>
        <v>0.43</v>
      </c>
      <c r="C3089" t="str">
        <f>"47"</f>
        <v>47</v>
      </c>
      <c r="D3089" t="str">
        <f>"On Vacation"</f>
        <v>On Vacation</v>
      </c>
    </row>
    <row r="3090" spans="1:4" x14ac:dyDescent="0.2">
      <c r="A3090" t="str">
        <f>"3089"</f>
        <v>3089</v>
      </c>
      <c r="B3090" t="str">
        <f>"-0.86"</f>
        <v>-0.86</v>
      </c>
      <c r="C3090" t="str">
        <f>"48"</f>
        <v>48</v>
      </c>
      <c r="D3090" t="str">
        <f>"Hummer EP"</f>
        <v>Hummer EP</v>
      </c>
    </row>
    <row r="3091" spans="1:4" x14ac:dyDescent="0.2">
      <c r="A3091" t="str">
        <f>"3090"</f>
        <v>3090</v>
      </c>
      <c r="B3091" t="str">
        <f>"0.03"</f>
        <v>0.03</v>
      </c>
      <c r="C3091" t="str">
        <f>"73"</f>
        <v>73</v>
      </c>
      <c r="D3091" t="str">
        <f>"Alphabetical"</f>
        <v>Alphabetical</v>
      </c>
    </row>
    <row r="3092" spans="1:4" x14ac:dyDescent="0.2">
      <c r="A3092" t="str">
        <f>"3091"</f>
        <v>3091</v>
      </c>
      <c r="B3092" t="str">
        <f>"-0.18"</f>
        <v>-0.18</v>
      </c>
      <c r="C3092" t="str">
        <f>"65"</f>
        <v>65</v>
      </c>
      <c r="D3092" t="str">
        <f>"A Grand Don't Come for Free"</f>
        <v>A Grand Don't Come for Free</v>
      </c>
    </row>
    <row r="3093" spans="1:4" x14ac:dyDescent="0.2">
      <c r="A3093" t="str">
        <f>"3092"</f>
        <v>3092</v>
      </c>
      <c r="B3093" t="str">
        <f>"0.39"</f>
        <v>0.39</v>
      </c>
      <c r="C3093" t="str">
        <f>"55"</f>
        <v>55</v>
      </c>
      <c r="D3093" t="str">
        <f>"Since We Last Spoke"</f>
        <v>Since We Last Spoke</v>
      </c>
    </row>
    <row r="3094" spans="1:4" x14ac:dyDescent="0.2">
      <c r="A3094" t="str">
        <f>"3093"</f>
        <v>3093</v>
      </c>
      <c r="B3094" t="str">
        <f>"-0.23"</f>
        <v>-0.23</v>
      </c>
      <c r="C3094" t="str">
        <f>"59"</f>
        <v>59</v>
      </c>
      <c r="D3094" t="str">
        <f>"Shadows Collide with People"</f>
        <v>Shadows Collide with People</v>
      </c>
    </row>
    <row r="3095" spans="1:4" x14ac:dyDescent="0.2">
      <c r="A3095" t="str">
        <f>"3094"</f>
        <v>3094</v>
      </c>
      <c r="B3095" t="str">
        <f>"-0.4"</f>
        <v>-0.4</v>
      </c>
      <c r="C3095" t="str">
        <f>"58"</f>
        <v>58</v>
      </c>
      <c r="D3095" t="str">
        <f>"Ego Scriptor"</f>
        <v>Ego Scriptor</v>
      </c>
    </row>
    <row r="3096" spans="1:4" x14ac:dyDescent="0.2">
      <c r="A3096" t="str">
        <f>"3095"</f>
        <v>3095</v>
      </c>
      <c r="B3096" t="str">
        <f>"-0.23"</f>
        <v>-0.23</v>
      </c>
      <c r="C3096" t="str">
        <f>"55"</f>
        <v>55</v>
      </c>
      <c r="D3096" t="str">
        <f>"Das Not Compute"</f>
        <v>Das Not Compute</v>
      </c>
    </row>
    <row r="3097" spans="1:4" x14ac:dyDescent="0.2">
      <c r="A3097" t="str">
        <f>"3096"</f>
        <v>3096</v>
      </c>
      <c r="B3097" t="str">
        <f>"0.91"</f>
        <v>0.91</v>
      </c>
      <c r="C3097" t="str">
        <f>"39"</f>
        <v>39</v>
      </c>
      <c r="D3097" t="str">
        <f>"Charlemagne"</f>
        <v>Charlemagne</v>
      </c>
    </row>
    <row r="3098" spans="1:4" x14ac:dyDescent="0.2">
      <c r="A3098" t="str">
        <f>"3097"</f>
        <v>3097</v>
      </c>
      <c r="B3098" t="str">
        <f>"-0.05"</f>
        <v>-0.05</v>
      </c>
      <c r="C3098" t="str">
        <f>"45"</f>
        <v>45</v>
      </c>
      <c r="D3098" t="str">
        <f>"Treddin' on Thin Ice"</f>
        <v>Treddin' on Thin Ice</v>
      </c>
    </row>
    <row r="3099" spans="1:4" x14ac:dyDescent="0.2">
      <c r="A3099" t="str">
        <f>"3098"</f>
        <v>3098</v>
      </c>
      <c r="B3099" t="str">
        <f>"-1.06"</f>
        <v>-1.06</v>
      </c>
      <c r="C3099" t="str">
        <f>"88"</f>
        <v>88</v>
      </c>
      <c r="D3099" t="str">
        <f>"It's Not Funny"</f>
        <v>It's Not Funny</v>
      </c>
    </row>
    <row r="3100" spans="1:4" x14ac:dyDescent="0.2">
      <c r="A3100" t="str">
        <f>"3099"</f>
        <v>3099</v>
      </c>
      <c r="B3100" t="str">
        <f>"0.57"</f>
        <v>0.57</v>
      </c>
      <c r="C3100" t="str">
        <f>"27"</f>
        <v>27</v>
      </c>
      <c r="D3100" t="str">
        <f>"Good Morning Good Night"</f>
        <v>Good Morning Good Night</v>
      </c>
    </row>
    <row r="3101" spans="1:4" x14ac:dyDescent="0.2">
      <c r="A3101" t="str">
        <f>"3100"</f>
        <v>3100</v>
      </c>
      <c r="B3101" t="str">
        <f>"0.13"</f>
        <v>0.13</v>
      </c>
      <c r="C3101" t="str">
        <f>"62"</f>
        <v>62</v>
      </c>
      <c r="D3101" t="str">
        <f>"Cool to Be You"</f>
        <v>Cool to Be You</v>
      </c>
    </row>
    <row r="3102" spans="1:4" x14ac:dyDescent="0.2">
      <c r="A3102" t="str">
        <f>"3101"</f>
        <v>3101</v>
      </c>
      <c r="B3102" t="str">
        <f>"0.06"</f>
        <v>0.06</v>
      </c>
      <c r="C3102" t="str">
        <f>"44"</f>
        <v>44</v>
      </c>
      <c r="D3102" t="str">
        <f>"Again"</f>
        <v>Again</v>
      </c>
    </row>
    <row r="3103" spans="1:4" x14ac:dyDescent="0.2">
      <c r="A3103" t="str">
        <f>"3102"</f>
        <v>3102</v>
      </c>
      <c r="B3103" t="str">
        <f>"0.35"</f>
        <v>0.35</v>
      </c>
      <c r="C3103" t="str">
        <f>"73"</f>
        <v>73</v>
      </c>
      <c r="D3103" t="str">
        <f>"Rocket Redux"</f>
        <v>Rocket Redux</v>
      </c>
    </row>
    <row r="3104" spans="1:4" x14ac:dyDescent="0.2">
      <c r="A3104" t="str">
        <f>"3103"</f>
        <v>3103</v>
      </c>
      <c r="B3104" t="str">
        <f>"0.71"</f>
        <v>0.71</v>
      </c>
      <c r="C3104" t="str">
        <f>"42"</f>
        <v>42</v>
      </c>
      <c r="D3104" t="str">
        <f>"Neurofibrio"</f>
        <v>Neurofibrio</v>
      </c>
    </row>
    <row r="3105" spans="1:4" x14ac:dyDescent="0.2">
      <c r="A3105" t="str">
        <f>"3104"</f>
        <v>3104</v>
      </c>
      <c r="B3105" t="str">
        <f>"0.86"</f>
        <v>0.86</v>
      </c>
      <c r="C3105" t="str">
        <f>"61"</f>
        <v>61</v>
      </c>
      <c r="D3105" t="str">
        <f>"Fancey"</f>
        <v>Fancey</v>
      </c>
    </row>
    <row r="3106" spans="1:4" x14ac:dyDescent="0.2">
      <c r="A3106" t="str">
        <f>"3105"</f>
        <v>3105</v>
      </c>
      <c r="B3106" t="str">
        <f>"0.51"</f>
        <v>0.51</v>
      </c>
      <c r="C3106" t="str">
        <f>"30"</f>
        <v>30</v>
      </c>
      <c r="D3106" t="str">
        <f>"C'mon Miracle"</f>
        <v>C'mon Miracle</v>
      </c>
    </row>
    <row r="3107" spans="1:4" x14ac:dyDescent="0.2">
      <c r="A3107" t="str">
        <f>"3106"</f>
        <v>3106</v>
      </c>
      <c r="B3107" t="str">
        <f>"-1.37"</f>
        <v>-1.37</v>
      </c>
      <c r="C3107" t="str">
        <f>"54"</f>
        <v>54</v>
      </c>
      <c r="D3107" t="str">
        <f>"What's Wrong with Bill?"</f>
        <v>What's Wrong with Bill?</v>
      </c>
    </row>
    <row r="3108" spans="1:4" x14ac:dyDescent="0.2">
      <c r="A3108" t="str">
        <f>"3107"</f>
        <v>3107</v>
      </c>
      <c r="B3108" t="str">
        <f>"0.3"</f>
        <v>0.3</v>
      </c>
      <c r="C3108" t="str">
        <f>"32"</f>
        <v>32</v>
      </c>
      <c r="D3108" t="str">
        <f>"United State of Electronica"</f>
        <v>United State of Electronica</v>
      </c>
    </row>
    <row r="3109" spans="1:4" x14ac:dyDescent="0.2">
      <c r="A3109" t="str">
        <f>"3108"</f>
        <v>3108</v>
      </c>
      <c r="B3109" t="str">
        <f>"0.38"</f>
        <v>0.38</v>
      </c>
      <c r="C3109" t="str">
        <f>"40"</f>
        <v>40</v>
      </c>
      <c r="D3109" t="str">
        <f>"Hotel Morgen"</f>
        <v>Hotel Morgen</v>
      </c>
    </row>
    <row r="3110" spans="1:4" x14ac:dyDescent="0.2">
      <c r="A3110" t="str">
        <f>"3109"</f>
        <v>3109</v>
      </c>
      <c r="B3110" t="str">
        <f>"-1.16"</f>
        <v>-1.16</v>
      </c>
      <c r="C3110" t="str">
        <f>"43"</f>
        <v>43</v>
      </c>
      <c r="D3110" t="str">
        <f>"50 Foot Wave"</f>
        <v>50 Foot Wave</v>
      </c>
    </row>
    <row r="3111" spans="1:4" x14ac:dyDescent="0.2">
      <c r="A3111" t="str">
        <f>"3110"</f>
        <v>3110</v>
      </c>
      <c r="B3111" t="str">
        <f>"-0.48"</f>
        <v>-0.48</v>
      </c>
      <c r="C3111" t="str">
        <f>"60"</f>
        <v>60</v>
      </c>
      <c r="D3111" t="str">
        <f>"Mishaps Happening"</f>
        <v>Mishaps Happening</v>
      </c>
    </row>
    <row r="3112" spans="1:4" x14ac:dyDescent="0.2">
      <c r="A3112" t="str">
        <f>"3111"</f>
        <v>3111</v>
      </c>
      <c r="B3112" t="str">
        <f>"0.6"</f>
        <v>0.6</v>
      </c>
      <c r="C3112" t="str">
        <f>"39"</f>
        <v>39</v>
      </c>
      <c r="D3112" t="str">
        <f>"Forget Tomorrow"</f>
        <v>Forget Tomorrow</v>
      </c>
    </row>
    <row r="3113" spans="1:4" x14ac:dyDescent="0.2">
      <c r="A3113" t="str">
        <f>"3112"</f>
        <v>3112</v>
      </c>
      <c r="B3113" t="str">
        <f>"-0.16"</f>
        <v>-0.16</v>
      </c>
      <c r="C3113" t="str">
        <f>"22"</f>
        <v>22</v>
      </c>
      <c r="D3113" t="s">
        <v>99</v>
      </c>
    </row>
    <row r="3114" spans="1:4" x14ac:dyDescent="0.2">
      <c r="A3114" t="str">
        <f>"3113"</f>
        <v>3113</v>
      </c>
      <c r="B3114" t="str">
        <f>"0.71"</f>
        <v>0.71</v>
      </c>
      <c r="C3114" t="str">
        <f>"47"</f>
        <v>47</v>
      </c>
      <c r="D3114" t="str">
        <f>"Blue Cotton Skin"</f>
        <v>Blue Cotton Skin</v>
      </c>
    </row>
    <row r="3115" spans="1:4" x14ac:dyDescent="0.2">
      <c r="A3115" t="str">
        <f>"3114"</f>
        <v>3114</v>
      </c>
      <c r="B3115" t="str">
        <f>"-0.15"</f>
        <v>-0.15</v>
      </c>
      <c r="C3115" t="str">
        <f>"54"</f>
        <v>54</v>
      </c>
      <c r="D3115" t="str">
        <f>"Taste Like Daughter"</f>
        <v>Taste Like Daughter</v>
      </c>
    </row>
    <row r="3116" spans="1:4" x14ac:dyDescent="0.2">
      <c r="A3116" t="str">
        <f>"3115"</f>
        <v>3115</v>
      </c>
      <c r="B3116" t="str">
        <f>"-0.45"</f>
        <v>-0.45</v>
      </c>
      <c r="C3116" t="str">
        <f>"66"</f>
        <v>66</v>
      </c>
      <c r="D3116" t="str">
        <f>"Penance Soiree"</f>
        <v>Penance Soiree</v>
      </c>
    </row>
    <row r="3117" spans="1:4" x14ac:dyDescent="0.2">
      <c r="A3117" t="str">
        <f>"3116"</f>
        <v>3116</v>
      </c>
      <c r="B3117" t="str">
        <f>"0.62"</f>
        <v>0.62</v>
      </c>
      <c r="C3117" t="str">
        <f>"67"</f>
        <v>67</v>
      </c>
      <c r="D3117" t="str">
        <f>"One Thousand Bird Ceremony"</f>
        <v>One Thousand Bird Ceremony</v>
      </c>
    </row>
    <row r="3118" spans="1:4" x14ac:dyDescent="0.2">
      <c r="A3118" t="str">
        <f>"3117"</f>
        <v>3117</v>
      </c>
      <c r="B3118" t="str">
        <f>"-1.1"</f>
        <v>-1.1</v>
      </c>
      <c r="C3118" t="str">
        <f>"56"</f>
        <v>56</v>
      </c>
      <c r="D3118" t="str">
        <f>"Killers and Stars"</f>
        <v>Killers and Stars</v>
      </c>
    </row>
    <row r="3119" spans="1:4" x14ac:dyDescent="0.2">
      <c r="A3119" t="str">
        <f>"3118"</f>
        <v>3118</v>
      </c>
      <c r="B3119" t="str">
        <f>"-0.01"</f>
        <v>-0.01</v>
      </c>
      <c r="C3119" t="str">
        <f>"56"</f>
        <v>56</v>
      </c>
      <c r="D3119" t="str">
        <f>"Call It Sleep"</f>
        <v>Call It Sleep</v>
      </c>
    </row>
    <row r="3120" spans="1:4" x14ac:dyDescent="0.2">
      <c r="A3120" t="str">
        <f>"3119"</f>
        <v>3119</v>
      </c>
      <c r="B3120" t="str">
        <f>"1.28"</f>
        <v>1.28</v>
      </c>
      <c r="C3120" t="str">
        <f>"33"</f>
        <v>33</v>
      </c>
      <c r="D3120" t="str">
        <f>"DJ Kicks"</f>
        <v>DJ Kicks</v>
      </c>
    </row>
    <row r="3121" spans="1:4" x14ac:dyDescent="0.2">
      <c r="A3121" t="str">
        <f>"3120"</f>
        <v>3120</v>
      </c>
      <c r="B3121" t="str">
        <f>"-0.7"</f>
        <v>-0.7</v>
      </c>
      <c r="C3121" t="str">
        <f>"59"</f>
        <v>59</v>
      </c>
      <c r="D3121" t="str">
        <f>"Shanghai My Heart"</f>
        <v>Shanghai My Heart</v>
      </c>
    </row>
    <row r="3122" spans="1:4" x14ac:dyDescent="0.2">
      <c r="A3122" t="str">
        <f>"3121"</f>
        <v>3121</v>
      </c>
      <c r="B3122" t="str">
        <f>"0.72"</f>
        <v>0.72</v>
      </c>
      <c r="C3122" t="str">
        <f>"69"</f>
        <v>69</v>
      </c>
      <c r="D3122" t="str">
        <f>"Heroes to Zeros"</f>
        <v>Heroes to Zeros</v>
      </c>
    </row>
    <row r="3123" spans="1:4" x14ac:dyDescent="0.2">
      <c r="A3123" t="str">
        <f>"3122"</f>
        <v>3122</v>
      </c>
      <c r="B3123" t="str">
        <f>"-0.77"</f>
        <v>-0.77</v>
      </c>
      <c r="C3123" t="str">
        <f>"60"</f>
        <v>60</v>
      </c>
      <c r="D3123" t="str">
        <f>"Disconnection Imminent"</f>
        <v>Disconnection Imminent</v>
      </c>
    </row>
    <row r="3124" spans="1:4" x14ac:dyDescent="0.2">
      <c r="A3124" t="str">
        <f>"3123"</f>
        <v>3123</v>
      </c>
      <c r="B3124" t="str">
        <f>"0.16"</f>
        <v>0.16</v>
      </c>
      <c r="C3124" t="str">
        <f>"74"</f>
        <v>74</v>
      </c>
      <c r="D3124" t="str">
        <f>"Chickasaw County Child: The Artistry of Bobbie Gentry"</f>
        <v>Chickasaw County Child: The Artistry of Bobbie Gentry</v>
      </c>
    </row>
    <row r="3125" spans="1:4" x14ac:dyDescent="0.2">
      <c r="A3125" t="str">
        <f>"3124"</f>
        <v>3124</v>
      </c>
      <c r="B3125" t="str">
        <f>"0.14"</f>
        <v>0.14</v>
      </c>
      <c r="C3125" t="str">
        <f>"22"</f>
        <v>22</v>
      </c>
      <c r="D3125" t="str">
        <f>"The Pretty Toney Album"</f>
        <v>The Pretty Toney Album</v>
      </c>
    </row>
    <row r="3126" spans="1:4" x14ac:dyDescent="0.2">
      <c r="A3126" t="str">
        <f>"3125"</f>
        <v>3125</v>
      </c>
      <c r="B3126" t="str">
        <f>"0.49"</f>
        <v>0.49</v>
      </c>
      <c r="C3126" t="str">
        <f>"40"</f>
        <v>40</v>
      </c>
      <c r="D3126" t="str">
        <f>"Steel Wound"</f>
        <v>Steel Wound</v>
      </c>
    </row>
    <row r="3127" spans="1:4" x14ac:dyDescent="0.2">
      <c r="A3127" t="str">
        <f>"3126"</f>
        <v>3126</v>
      </c>
      <c r="B3127" t="str">
        <f>"-0.14"</f>
        <v>-0.14</v>
      </c>
      <c r="C3127" t="str">
        <f>"46"</f>
        <v>46</v>
      </c>
      <c r="D3127" t="str">
        <f>"Reconfigures"</f>
        <v>Reconfigures</v>
      </c>
    </row>
    <row r="3128" spans="1:4" x14ac:dyDescent="0.2">
      <c r="A3128" t="str">
        <f>"3127"</f>
        <v>3127</v>
      </c>
      <c r="B3128" t="str">
        <f>"-0.52"</f>
        <v>-0.52</v>
      </c>
      <c r="C3128" t="str">
        <f>"53"</f>
        <v>53</v>
      </c>
      <c r="D3128" t="str">
        <f>"Look Mom... No Hands"</f>
        <v>Look Mom... No Hands</v>
      </c>
    </row>
    <row r="3129" spans="1:4" x14ac:dyDescent="0.2">
      <c r="A3129" t="str">
        <f>"3128"</f>
        <v>3128</v>
      </c>
      <c r="B3129" t="str">
        <f>"-0.11"</f>
        <v>-0.11</v>
      </c>
      <c r="C3129" t="str">
        <f>"36"</f>
        <v>36</v>
      </c>
      <c r="D3129" t="str">
        <f>"I Love My Organ"</f>
        <v>I Love My Organ</v>
      </c>
    </row>
    <row r="3130" spans="1:4" x14ac:dyDescent="0.2">
      <c r="A3130" t="str">
        <f>"3129"</f>
        <v>3129</v>
      </c>
      <c r="B3130" t="str">
        <f>"0.97"</f>
        <v>0.97</v>
      </c>
      <c r="C3130" t="str">
        <f>"50"</f>
        <v>50</v>
      </c>
      <c r="D3130" t="str">
        <f>"Sunset Scavenger"</f>
        <v>Sunset Scavenger</v>
      </c>
    </row>
    <row r="3131" spans="1:4" x14ac:dyDescent="0.2">
      <c r="A3131" t="str">
        <f>"3130"</f>
        <v>3130</v>
      </c>
      <c r="B3131" t="str">
        <f>"-0.37"</f>
        <v>-0.37</v>
      </c>
      <c r="C3131" t="str">
        <f>"61"</f>
        <v>61</v>
      </c>
      <c r="D3131" t="str">
        <f>"Scratch or Stitch"</f>
        <v>Scratch or Stitch</v>
      </c>
    </row>
    <row r="3132" spans="1:4" x14ac:dyDescent="0.2">
      <c r="A3132" t="str">
        <f>"3131"</f>
        <v>3131</v>
      </c>
      <c r="B3132" t="str">
        <f>"0.28"</f>
        <v>0.28</v>
      </c>
      <c r="C3132" t="str">
        <f>"46"</f>
        <v>46</v>
      </c>
      <c r="D3132" t="str">
        <f>"Escondida"</f>
        <v>Escondida</v>
      </c>
    </row>
    <row r="3133" spans="1:4" x14ac:dyDescent="0.2">
      <c r="A3133" t="str">
        <f>"3132"</f>
        <v>3132</v>
      </c>
      <c r="B3133" t="str">
        <f>"-0.66"</f>
        <v>-0.66</v>
      </c>
      <c r="C3133" t="str">
        <f>"54"</f>
        <v>54</v>
      </c>
      <c r="D3133" t="str">
        <f>"Destination Girl"</f>
        <v>Destination Girl</v>
      </c>
    </row>
    <row r="3134" spans="1:4" x14ac:dyDescent="0.2">
      <c r="A3134" t="str">
        <f>"3133"</f>
        <v>3133</v>
      </c>
      <c r="B3134" t="str">
        <f>"0.67"</f>
        <v>0.67</v>
      </c>
      <c r="C3134" t="str">
        <f>"28"</f>
        <v>28</v>
      </c>
      <c r="D3134" t="str">
        <f>"Treats for the Nightwalker"</f>
        <v>Treats for the Nightwalker</v>
      </c>
    </row>
    <row r="3135" spans="1:4" x14ac:dyDescent="0.2">
      <c r="A3135" t="str">
        <f>"3134"</f>
        <v>3134</v>
      </c>
      <c r="B3135" t="str">
        <f>"0.64"</f>
        <v>0.64</v>
      </c>
      <c r="C3135" t="str">
        <f>"93"</f>
        <v>93</v>
      </c>
      <c r="D3135" t="str">
        <f>"Sung Tongs"</f>
        <v>Sung Tongs</v>
      </c>
    </row>
    <row r="3136" spans="1:4" x14ac:dyDescent="0.2">
      <c r="A3136" t="str">
        <f>"3135"</f>
        <v>3135</v>
      </c>
      <c r="B3136" t="str">
        <f>"0.65"</f>
        <v>0.65</v>
      </c>
      <c r="C3136" t="str">
        <f>"49"</f>
        <v>49</v>
      </c>
      <c r="D3136" t="str">
        <f>"On the Speakers EP"</f>
        <v>On the Speakers EP</v>
      </c>
    </row>
    <row r="3137" spans="1:4" x14ac:dyDescent="0.2">
      <c r="A3137" t="str">
        <f>"3136"</f>
        <v>3136</v>
      </c>
      <c r="B3137" t="str">
        <f>"0.04"</f>
        <v>0.04</v>
      </c>
      <c r="C3137" t="str">
        <f>"53"</f>
        <v>53</v>
      </c>
      <c r="D3137" t="str">
        <f>"Nationwide"</f>
        <v>Nationwide</v>
      </c>
    </row>
    <row r="3138" spans="1:4" x14ac:dyDescent="0.2">
      <c r="A3138" t="str">
        <f>"3137"</f>
        <v>3137</v>
      </c>
      <c r="B3138" t="str">
        <f>"-0.46"</f>
        <v>-0.46</v>
      </c>
      <c r="C3138" t="str">
        <f>"83"</f>
        <v>83</v>
      </c>
      <c r="D3138" t="s">
        <v>100</v>
      </c>
    </row>
    <row r="3139" spans="1:4" x14ac:dyDescent="0.2">
      <c r="A3139" t="str">
        <f>"3138"</f>
        <v>3138</v>
      </c>
      <c r="B3139" t="str">
        <f>"0.7"</f>
        <v>0.7</v>
      </c>
      <c r="C3139" t="str">
        <f>"33"</f>
        <v>33</v>
      </c>
      <c r="D3139" t="str">
        <f>"Van Lear Rose"</f>
        <v>Van Lear Rose</v>
      </c>
    </row>
    <row r="3140" spans="1:4" x14ac:dyDescent="0.2">
      <c r="A3140" t="str">
        <f>"3139"</f>
        <v>3139</v>
      </c>
      <c r="B3140" t="str">
        <f>"0.19"</f>
        <v>0.19</v>
      </c>
      <c r="C3140" t="str">
        <f>"40"</f>
        <v>40</v>
      </c>
      <c r="D3140" t="str">
        <f>"The Trial of the Century"</f>
        <v>The Trial of the Century</v>
      </c>
    </row>
    <row r="3141" spans="1:4" x14ac:dyDescent="0.2">
      <c r="A3141" t="str">
        <f>"3140"</f>
        <v>3140</v>
      </c>
      <c r="B3141" t="str">
        <f>"-0.83"</f>
        <v>-0.83</v>
      </c>
      <c r="C3141" t="str">
        <f>"59"</f>
        <v>59</v>
      </c>
      <c r="D3141" t="str">
        <f>"Morals and Dogma"</f>
        <v>Morals and Dogma</v>
      </c>
    </row>
    <row r="3142" spans="1:4" x14ac:dyDescent="0.2">
      <c r="A3142" t="str">
        <f>"3141"</f>
        <v>3141</v>
      </c>
      <c r="B3142" t="str">
        <f>"-0.41"</f>
        <v>-0.41</v>
      </c>
      <c r="C3142" t="str">
        <f>"47"</f>
        <v>47</v>
      </c>
      <c r="D3142" t="str">
        <f>"Life on the Fly"</f>
        <v>Life on the Fly</v>
      </c>
    </row>
    <row r="3143" spans="1:4" x14ac:dyDescent="0.2">
      <c r="A3143" t="str">
        <f>"3142"</f>
        <v>3142</v>
      </c>
      <c r="B3143" t="str">
        <f>"-0.13"</f>
        <v>-0.13</v>
      </c>
      <c r="C3143" t="str">
        <f>"61"</f>
        <v>61</v>
      </c>
      <c r="D3143" t="str">
        <f>"Born Heller"</f>
        <v>Born Heller</v>
      </c>
    </row>
    <row r="3144" spans="1:4" x14ac:dyDescent="0.2">
      <c r="A3144" t="str">
        <f>"3143"</f>
        <v>3143</v>
      </c>
      <c r="B3144" t="str">
        <f>"-0.4"</f>
        <v>-0.4</v>
      </c>
      <c r="C3144" t="str">
        <f>"80"</f>
        <v>80</v>
      </c>
      <c r="D3144" t="str">
        <f>"Rare Wood"</f>
        <v>Rare Wood</v>
      </c>
    </row>
    <row r="3145" spans="1:4" x14ac:dyDescent="0.2">
      <c r="A3145" t="str">
        <f>"3144"</f>
        <v>3144</v>
      </c>
      <c r="B3145" t="str">
        <f>"-0.87"</f>
        <v>-0.87</v>
      </c>
      <c r="C3145" t="str">
        <f>"53"</f>
        <v>53</v>
      </c>
      <c r="D3145" t="str">
        <f>"Random Harvest"</f>
        <v>Random Harvest</v>
      </c>
    </row>
    <row r="3146" spans="1:4" x14ac:dyDescent="0.2">
      <c r="A3146" t="str">
        <f>"3145"</f>
        <v>3145</v>
      </c>
      <c r="B3146" t="str">
        <f>"-0.17"</f>
        <v>-0.17</v>
      </c>
      <c r="C3146" t="str">
        <f>"55"</f>
        <v>55</v>
      </c>
      <c r="D3146" t="str">
        <f>"Playtight"</f>
        <v>Playtight</v>
      </c>
    </row>
    <row r="3147" spans="1:4" x14ac:dyDescent="0.2">
      <c r="A3147" t="str">
        <f>"3146"</f>
        <v>3146</v>
      </c>
      <c r="B3147" t="str">
        <f>"-0.41"</f>
        <v>-0.41</v>
      </c>
      <c r="C3147" t="str">
        <f>"101"</f>
        <v>101</v>
      </c>
      <c r="D3147" t="str">
        <f>"Musicology"</f>
        <v>Musicology</v>
      </c>
    </row>
    <row r="3148" spans="1:4" x14ac:dyDescent="0.2">
      <c r="A3148" t="str">
        <f>"3147"</f>
        <v>3147</v>
      </c>
      <c r="B3148" t="str">
        <f>"-0.3"</f>
        <v>-0.3</v>
      </c>
      <c r="C3148" t="str">
        <f>"65"</f>
        <v>65</v>
      </c>
      <c r="D3148" t="str">
        <f>"Lycanthropy"</f>
        <v>Lycanthropy</v>
      </c>
    </row>
    <row r="3149" spans="1:4" x14ac:dyDescent="0.2">
      <c r="A3149" t="str">
        <f>"3148"</f>
        <v>3148</v>
      </c>
      <c r="B3149" t="str">
        <f>"-1.15"</f>
        <v>-1.15</v>
      </c>
      <c r="C3149" t="str">
        <f>"47"</f>
        <v>47</v>
      </c>
      <c r="D3149" t="str">
        <f>"The Well of Memory"</f>
        <v>The Well of Memory</v>
      </c>
    </row>
    <row r="3150" spans="1:4" x14ac:dyDescent="0.2">
      <c r="A3150" t="str">
        <f>"3149"</f>
        <v>3149</v>
      </c>
      <c r="B3150" t="str">
        <f>"0.75"</f>
        <v>0.75</v>
      </c>
      <c r="C3150" t="str">
        <f>"65"</f>
        <v>65</v>
      </c>
      <c r="D3150" t="str">
        <f>"Ratatat"</f>
        <v>Ratatat</v>
      </c>
    </row>
    <row r="3151" spans="1:4" x14ac:dyDescent="0.2">
      <c r="A3151" t="str">
        <f>"3150"</f>
        <v>3150</v>
      </c>
      <c r="B3151" t="str">
        <f>"-1"</f>
        <v>-1</v>
      </c>
      <c r="C3151" t="str">
        <f>"136"</f>
        <v>136</v>
      </c>
      <c r="D3151" t="str">
        <f>"Radio Morocco"</f>
        <v>Radio Morocco</v>
      </c>
    </row>
    <row r="3152" spans="1:4" x14ac:dyDescent="0.2">
      <c r="A3152" t="str">
        <f>"3151"</f>
        <v>3151</v>
      </c>
      <c r="B3152" t="str">
        <f>"0.14"</f>
        <v>0.14</v>
      </c>
      <c r="C3152" t="str">
        <f>"56"</f>
        <v>56</v>
      </c>
      <c r="D3152" t="s">
        <v>101</v>
      </c>
    </row>
    <row r="3153" spans="1:4" x14ac:dyDescent="0.2">
      <c r="A3153" t="str">
        <f>"3152"</f>
        <v>3152</v>
      </c>
      <c r="B3153" t="str">
        <f>"-0.52"</f>
        <v>-0.52</v>
      </c>
      <c r="C3153" t="str">
        <f>"59"</f>
        <v>59</v>
      </c>
      <c r="D3153" t="str">
        <f>"The Locust EP"</f>
        <v>The Locust EP</v>
      </c>
    </row>
    <row r="3154" spans="1:4" x14ac:dyDescent="0.2">
      <c r="A3154" t="str">
        <f>"3153"</f>
        <v>3153</v>
      </c>
      <c r="B3154" t="str">
        <f>"0.37"</f>
        <v>0.37</v>
      </c>
      <c r="C3154" t="str">
        <f>"38"</f>
        <v>38</v>
      </c>
      <c r="D3154" t="str">
        <f>"Music Has the Right to Children"</f>
        <v>Music Has the Right to Children</v>
      </c>
    </row>
    <row r="3155" spans="1:4" x14ac:dyDescent="0.2">
      <c r="A3155" t="str">
        <f>"3154"</f>
        <v>3154</v>
      </c>
      <c r="B3155" t="str">
        <f>"0.07"</f>
        <v>0.07</v>
      </c>
      <c r="C3155" t="str">
        <f>"46"</f>
        <v>46</v>
      </c>
      <c r="D3155" t="str">
        <f>"Monoke"</f>
        <v>Monoke</v>
      </c>
    </row>
    <row r="3156" spans="1:4" x14ac:dyDescent="0.2">
      <c r="A3156" t="str">
        <f>"3155"</f>
        <v>3155</v>
      </c>
      <c r="B3156" t="str">
        <f>"0.67"</f>
        <v>0.67</v>
      </c>
      <c r="C3156" t="str">
        <f>"73"</f>
        <v>73</v>
      </c>
      <c r="D3156" t="str">
        <f>"Here Comes Love"</f>
        <v>Here Comes Love</v>
      </c>
    </row>
    <row r="3157" spans="1:4" x14ac:dyDescent="0.2">
      <c r="A3157" t="str">
        <f>"3156"</f>
        <v>3156</v>
      </c>
      <c r="B3157" t="str">
        <f>"-0.55"</f>
        <v>-0.55</v>
      </c>
      <c r="C3157" t="str">
        <f>"75"</f>
        <v>75</v>
      </c>
      <c r="D3157" t="str">
        <f>"9pm at GFM"</f>
        <v>9pm at GFM</v>
      </c>
    </row>
    <row r="3158" spans="1:4" x14ac:dyDescent="0.2">
      <c r="A3158" t="str">
        <f>"3157"</f>
        <v>3157</v>
      </c>
      <c r="B3158" t="str">
        <f>"0.67"</f>
        <v>0.67</v>
      </c>
      <c r="C3158" t="str">
        <f>"42"</f>
        <v>42</v>
      </c>
      <c r="D3158" t="str">
        <f>"The Isle"</f>
        <v>The Isle</v>
      </c>
    </row>
    <row r="3159" spans="1:4" x14ac:dyDescent="0.2">
      <c r="A3159" t="str">
        <f>"3158"</f>
        <v>3158</v>
      </c>
      <c r="B3159" t="str">
        <f>"0.68"</f>
        <v>0.68</v>
      </c>
      <c r="C3159" t="str">
        <f>"53"</f>
        <v>53</v>
      </c>
      <c r="D3159" t="str">
        <f>"Small Town Murder Scene"</f>
        <v>Small Town Murder Scene</v>
      </c>
    </row>
    <row r="3160" spans="1:4" x14ac:dyDescent="0.2">
      <c r="A3160" t="str">
        <f>"3159"</f>
        <v>3159</v>
      </c>
      <c r="B3160" t="str">
        <f>"-0.39"</f>
        <v>-0.39</v>
      </c>
      <c r="C3160" t="str">
        <f>"66"</f>
        <v>66</v>
      </c>
      <c r="D3160" t="str">
        <f>"Peace Love Death Metal"</f>
        <v>Peace Love Death Metal</v>
      </c>
    </row>
    <row r="3161" spans="1:4" x14ac:dyDescent="0.2">
      <c r="A3161" t="str">
        <f>"3160"</f>
        <v>3160</v>
      </c>
      <c r="B3161" t="str">
        <f>"-0.34"</f>
        <v>-0.34</v>
      </c>
      <c r="C3161" t="str">
        <f>"50"</f>
        <v>50</v>
      </c>
      <c r="D3161" t="str">
        <f>"Lay of the Land"</f>
        <v>Lay of the Land</v>
      </c>
    </row>
    <row r="3162" spans="1:4" x14ac:dyDescent="0.2">
      <c r="A3162" t="str">
        <f>"3161"</f>
        <v>3161</v>
      </c>
      <c r="B3162" t="str">
        <f>"-0.3"</f>
        <v>-0.3</v>
      </c>
      <c r="C3162" t="str">
        <f>"52"</f>
        <v>52</v>
      </c>
      <c r="D3162" t="str">
        <f>"Faking the Books"</f>
        <v>Faking the Books</v>
      </c>
    </row>
    <row r="3163" spans="1:4" x14ac:dyDescent="0.2">
      <c r="A3163" t="str">
        <f>"3162"</f>
        <v>3162</v>
      </c>
      <c r="B3163" t="str">
        <f>"-0.43"</f>
        <v>-0.43</v>
      </c>
      <c r="C3163" t="str">
        <f>"60"</f>
        <v>60</v>
      </c>
      <c r="D3163" t="str">
        <f>"The Iron Point"</f>
        <v>The Iron Point</v>
      </c>
    </row>
    <row r="3164" spans="1:4" x14ac:dyDescent="0.2">
      <c r="A3164" t="str">
        <f>"3163"</f>
        <v>3163</v>
      </c>
      <c r="B3164" t="str">
        <f>"-0.37"</f>
        <v>-0.37</v>
      </c>
      <c r="C3164" t="str">
        <f>"67"</f>
        <v>67</v>
      </c>
      <c r="D3164" t="str">
        <f>"Junk Magic"</f>
        <v>Junk Magic</v>
      </c>
    </row>
    <row r="3165" spans="1:4" x14ac:dyDescent="0.2">
      <c r="A3165" t="str">
        <f>"3164"</f>
        <v>3164</v>
      </c>
      <c r="B3165" t="str">
        <f>"-0.13"</f>
        <v>-0.13</v>
      </c>
      <c r="C3165" t="str">
        <f>"36"</f>
        <v>36</v>
      </c>
      <c r="D3165" t="str">
        <f>"Inches"</f>
        <v>Inches</v>
      </c>
    </row>
    <row r="3166" spans="1:4" x14ac:dyDescent="0.2">
      <c r="A3166" t="str">
        <f>"3165"</f>
        <v>3165</v>
      </c>
      <c r="B3166" t="str">
        <f>"0.39"</f>
        <v>0.39</v>
      </c>
      <c r="C3166" t="str">
        <f>"32"</f>
        <v>32</v>
      </c>
      <c r="D3166" t="str">
        <f>"Here Comes Shuggie Otis"</f>
        <v>Here Comes Shuggie Otis</v>
      </c>
    </row>
    <row r="3167" spans="1:4" x14ac:dyDescent="0.2">
      <c r="A3167" t="str">
        <f>"3166"</f>
        <v>3166</v>
      </c>
      <c r="B3167" t="str">
        <f>"0.26"</f>
        <v>0.26</v>
      </c>
      <c r="C3167" t="str">
        <f>"58"</f>
        <v>58</v>
      </c>
      <c r="D3167" t="str">
        <f>"Ghost Man on First"</f>
        <v>Ghost Man on First</v>
      </c>
    </row>
    <row r="3168" spans="1:4" x14ac:dyDescent="0.2">
      <c r="A3168" t="str">
        <f>"3167"</f>
        <v>3167</v>
      </c>
      <c r="B3168" t="str">
        <f>"-0.05"</f>
        <v>-0.05</v>
      </c>
      <c r="C3168" t="str">
        <f>"47"</f>
        <v>47</v>
      </c>
      <c r="D3168" t="str">
        <f>"This Affair Never Happened... And Here Are Eleven Songs About It"</f>
        <v>This Affair Never Happened... And Here Are Eleven Songs About It</v>
      </c>
    </row>
    <row r="3169" spans="1:4" x14ac:dyDescent="0.2">
      <c r="A3169" t="str">
        <f>"3168"</f>
        <v>3168</v>
      </c>
      <c r="B3169" t="str">
        <f>"-0.04"</f>
        <v>-0.04</v>
      </c>
      <c r="C3169" t="str">
        <f>"41"</f>
        <v>41</v>
      </c>
      <c r="D3169" t="str">
        <f>"The Volunteers"</f>
        <v>The Volunteers</v>
      </c>
    </row>
    <row r="3170" spans="1:4" x14ac:dyDescent="0.2">
      <c r="A3170" t="str">
        <f>"3169"</f>
        <v>3169</v>
      </c>
      <c r="B3170" t="str">
        <f>"0.45"</f>
        <v>0.45</v>
      </c>
      <c r="C3170" t="str">
        <f>"73"</f>
        <v>73</v>
      </c>
      <c r="D3170" t="str">
        <f>"Pasada Professional"</f>
        <v>Pasada Professional</v>
      </c>
    </row>
    <row r="3171" spans="1:4" x14ac:dyDescent="0.2">
      <c r="A3171" t="str">
        <f>"3170"</f>
        <v>3170</v>
      </c>
      <c r="B3171" t="str">
        <f>"-0.17"</f>
        <v>-0.17</v>
      </c>
      <c r="C3171" t="str">
        <f>"35"</f>
        <v>35</v>
      </c>
      <c r="D3171" t="str">
        <f>"Palm Fronds"</f>
        <v>Palm Fronds</v>
      </c>
    </row>
    <row r="3172" spans="1:4" x14ac:dyDescent="0.2">
      <c r="A3172" t="str">
        <f>"3171"</f>
        <v>3171</v>
      </c>
      <c r="B3172" t="str">
        <f>"-0.23"</f>
        <v>-0.23</v>
      </c>
      <c r="C3172" t="str">
        <f>"42"</f>
        <v>42</v>
      </c>
      <c r="D3172" t="str">
        <f>"The Summer of Mars"</f>
        <v>The Summer of Mars</v>
      </c>
    </row>
    <row r="3173" spans="1:4" x14ac:dyDescent="0.2">
      <c r="A3173" t="str">
        <f>"3172"</f>
        <v>3172</v>
      </c>
      <c r="B3173" t="str">
        <f>"-0.25"</f>
        <v>-0.25</v>
      </c>
      <c r="C3173" t="str">
        <f>"56"</f>
        <v>56</v>
      </c>
      <c r="D3173" t="str">
        <f>"Sleep No More"</f>
        <v>Sleep No More</v>
      </c>
    </row>
    <row r="3174" spans="1:4" x14ac:dyDescent="0.2">
      <c r="A3174" t="str">
        <f>"3173"</f>
        <v>3173</v>
      </c>
      <c r="B3174" t="str">
        <f>"-0.14"</f>
        <v>-0.14</v>
      </c>
      <c r="C3174" t="str">
        <f>"56"</f>
        <v>56</v>
      </c>
      <c r="D3174" t="str">
        <f>"Fingers Crossed"</f>
        <v>Fingers Crossed</v>
      </c>
    </row>
    <row r="3175" spans="1:4" x14ac:dyDescent="0.2">
      <c r="A3175" t="str">
        <f>"3174"</f>
        <v>3174</v>
      </c>
      <c r="B3175" t="str">
        <f>"-0.41"</f>
        <v>-0.41</v>
      </c>
      <c r="C3175" t="str">
        <f>"69"</f>
        <v>69</v>
      </c>
      <c r="D3175" t="str">
        <f>"Combat"</f>
        <v>Combat</v>
      </c>
    </row>
    <row r="3176" spans="1:4" x14ac:dyDescent="0.2">
      <c r="A3176" t="str">
        <f>"3175"</f>
        <v>3175</v>
      </c>
      <c r="B3176" t="str">
        <f>"0.54"</f>
        <v>0.54</v>
      </c>
      <c r="C3176" t="str">
        <f>"63"</f>
        <v>63</v>
      </c>
      <c r="D3176" t="str">
        <f>"Antithesis EP"</f>
        <v>Antithesis EP</v>
      </c>
    </row>
    <row r="3177" spans="1:4" x14ac:dyDescent="0.2">
      <c r="A3177" t="str">
        <f>"3176"</f>
        <v>3176</v>
      </c>
      <c r="B3177" t="str">
        <f>"-0.99"</f>
        <v>-0.99</v>
      </c>
      <c r="C3177" t="str">
        <f>"73"</f>
        <v>73</v>
      </c>
      <c r="D3177" t="str">
        <f>"Lost Light"</f>
        <v>Lost Light</v>
      </c>
    </row>
    <row r="3178" spans="1:4" x14ac:dyDescent="0.2">
      <c r="A3178" t="str">
        <f>"3177"</f>
        <v>3177</v>
      </c>
      <c r="B3178" t="str">
        <f>"0.05"</f>
        <v>0.05</v>
      </c>
      <c r="C3178" t="str">
        <f>"48"</f>
        <v>48</v>
      </c>
      <c r="D3178" t="str">
        <f>"Jesus Songs"</f>
        <v>Jesus Songs</v>
      </c>
    </row>
    <row r="3179" spans="1:4" x14ac:dyDescent="0.2">
      <c r="A3179" t="str">
        <f>"3178"</f>
        <v>3178</v>
      </c>
      <c r="B3179" t="str">
        <f>"-0.12"</f>
        <v>-0.12</v>
      </c>
      <c r="C3179" t="str">
        <f>"50"</f>
        <v>50</v>
      </c>
      <c r="D3179" t="str">
        <f>"Indestructible Object EP"</f>
        <v>Indestructible Object EP</v>
      </c>
    </row>
    <row r="3180" spans="1:4" x14ac:dyDescent="0.2">
      <c r="A3180" t="str">
        <f>"3179"</f>
        <v>3179</v>
      </c>
      <c r="B3180" t="str">
        <f>"-1.13"</f>
        <v>-1.13</v>
      </c>
      <c r="C3180" t="str">
        <f>"51"</f>
        <v>51</v>
      </c>
      <c r="D3180" t="str">
        <f>"Bad Thriller"</f>
        <v>Bad Thriller</v>
      </c>
    </row>
    <row r="3181" spans="1:4" x14ac:dyDescent="0.2">
      <c r="A3181" t="str">
        <f>"3180"</f>
        <v>3180</v>
      </c>
      <c r="B3181" t="str">
        <f>"0.83"</f>
        <v>0.83</v>
      </c>
      <c r="C3181" t="str">
        <f>"19"</f>
        <v>19</v>
      </c>
      <c r="D3181" t="str">
        <f>"Vetiver"</f>
        <v>Vetiver</v>
      </c>
    </row>
    <row r="3182" spans="1:4" x14ac:dyDescent="0.2">
      <c r="A3182" t="str">
        <f>"3181"</f>
        <v>3181</v>
      </c>
      <c r="B3182" t="str">
        <f>"0.52"</f>
        <v>0.52</v>
      </c>
      <c r="C3182" t="str">
        <f>"31"</f>
        <v>31</v>
      </c>
      <c r="D3182" t="str">
        <f>"Reel to Real Cacophony"</f>
        <v>Reel to Real Cacophony</v>
      </c>
    </row>
    <row r="3183" spans="1:4" x14ac:dyDescent="0.2">
      <c r="A3183" t="str">
        <f>"3182"</f>
        <v>3182</v>
      </c>
      <c r="B3183" t="str">
        <f>"1.08"</f>
        <v>1.08</v>
      </c>
      <c r="C3183" t="str">
        <f>"45"</f>
        <v>45</v>
      </c>
      <c r="D3183" t="str">
        <f>"Peppered with Spastic Magic"</f>
        <v>Peppered with Spastic Magic</v>
      </c>
    </row>
    <row r="3184" spans="1:4" x14ac:dyDescent="0.2">
      <c r="A3184" t="str">
        <f>"3183"</f>
        <v>3183</v>
      </c>
      <c r="B3184" t="str">
        <f>"-0.65"</f>
        <v>-0.65</v>
      </c>
      <c r="C3184" t="str">
        <f>"106"</f>
        <v>106</v>
      </c>
      <c r="D3184" t="str">
        <f>"Licensed to Ill"</f>
        <v>Licensed to Ill</v>
      </c>
    </row>
    <row r="3185" spans="1:4" x14ac:dyDescent="0.2">
      <c r="A3185" t="str">
        <f>"3184"</f>
        <v>3184</v>
      </c>
      <c r="B3185" t="str">
        <f>"0"</f>
        <v>0</v>
      </c>
      <c r="C3185" t="str">
        <f>"63"</f>
        <v>63</v>
      </c>
      <c r="D3185" t="str">
        <f>"Doodle Loot Doodle a Doo"</f>
        <v>Doodle Loot Doodle a Doo</v>
      </c>
    </row>
    <row r="3186" spans="1:4" x14ac:dyDescent="0.2">
      <c r="A3186" t="str">
        <f>"3185"</f>
        <v>3185</v>
      </c>
      <c r="B3186" t="str">
        <f>"0.7"</f>
        <v>0.7</v>
      </c>
      <c r="C3186" t="str">
        <f>"76"</f>
        <v>76</v>
      </c>
      <c r="D3186" t="str">
        <f>"The Unrelenting Songs of the 1979 Post Disco Crash"</f>
        <v>The Unrelenting Songs of the 1979 Post Disco Crash</v>
      </c>
    </row>
    <row r="3187" spans="1:4" x14ac:dyDescent="0.2">
      <c r="A3187" t="str">
        <f>"3186"</f>
        <v>3186</v>
      </c>
      <c r="B3187" t="str">
        <f>"0.31"</f>
        <v>0.31</v>
      </c>
      <c r="C3187" t="str">
        <f>"32"</f>
        <v>32</v>
      </c>
      <c r="D3187" t="str">
        <f>"Dumb Loud Hollow Twang [Deluxe Edition]"</f>
        <v>Dumb Loud Hollow Twang [Deluxe Edition]</v>
      </c>
    </row>
    <row r="3188" spans="1:4" x14ac:dyDescent="0.2">
      <c r="A3188" t="str">
        <f>"3187"</f>
        <v>3187</v>
      </c>
      <c r="B3188" t="str">
        <f>"-0.69"</f>
        <v>-0.69</v>
      </c>
      <c r="C3188" t="str">
        <f>"117"</f>
        <v>117</v>
      </c>
      <c r="D3188" t="str">
        <f>"Definitive Jux Presents III"</f>
        <v>Definitive Jux Presents III</v>
      </c>
    </row>
    <row r="3189" spans="1:4" x14ac:dyDescent="0.2">
      <c r="A3189" t="str">
        <f>"3188"</f>
        <v>3188</v>
      </c>
      <c r="B3189" t="str">
        <f>"0.11"</f>
        <v>0.11</v>
      </c>
      <c r="C3189" t="str">
        <f>"50"</f>
        <v>50</v>
      </c>
      <c r="D3189" t="str">
        <f>"Baby Blue"</f>
        <v>Baby Blue</v>
      </c>
    </row>
    <row r="3190" spans="1:4" x14ac:dyDescent="0.2">
      <c r="A3190" t="str">
        <f>"3189"</f>
        <v>3189</v>
      </c>
      <c r="B3190" t="str">
        <f>"0.18"</f>
        <v>0.18</v>
      </c>
      <c r="C3190" t="str">
        <f>"44"</f>
        <v>44</v>
      </c>
      <c r="D3190" t="str">
        <f>"Summer Make Good"</f>
        <v>Summer Make Good</v>
      </c>
    </row>
    <row r="3191" spans="1:4" x14ac:dyDescent="0.2">
      <c r="A3191" t="str">
        <f>"3190"</f>
        <v>3190</v>
      </c>
      <c r="B3191" t="str">
        <f>"0.16"</f>
        <v>0.16</v>
      </c>
      <c r="C3191" t="str">
        <f>"43"</f>
        <v>43</v>
      </c>
      <c r="D3191" t="str">
        <f>"Stevie"</f>
        <v>Stevie</v>
      </c>
    </row>
    <row r="3192" spans="1:4" x14ac:dyDescent="0.2">
      <c r="A3192" t="str">
        <f>"3191"</f>
        <v>3191</v>
      </c>
      <c r="B3192" t="str">
        <f>"1.23"</f>
        <v>1.23</v>
      </c>
      <c r="C3192" t="str">
        <f>"45"</f>
        <v>45</v>
      </c>
      <c r="D3192" t="str">
        <f>"Knightboat EP"</f>
        <v>Knightboat EP</v>
      </c>
    </row>
    <row r="3193" spans="1:4" x14ac:dyDescent="0.2">
      <c r="A3193" t="str">
        <f>"3192"</f>
        <v>3192</v>
      </c>
      <c r="B3193" t="str">
        <f>"-0.03"</f>
        <v>-0.03</v>
      </c>
      <c r="C3193" t="str">
        <f>"46"</f>
        <v>46</v>
      </c>
      <c r="D3193" t="str">
        <f>"Homesongs"</f>
        <v>Homesongs</v>
      </c>
    </row>
    <row r="3194" spans="1:4" x14ac:dyDescent="0.2">
      <c r="A3194" t="str">
        <f>"3193"</f>
        <v>3193</v>
      </c>
      <c r="B3194" t="str">
        <f>"0.44"</f>
        <v>0.44</v>
      </c>
      <c r="C3194" t="str">
        <f>"99"</f>
        <v>99</v>
      </c>
      <c r="D3194" t="s">
        <v>102</v>
      </c>
    </row>
    <row r="3195" spans="1:4" x14ac:dyDescent="0.2">
      <c r="A3195" t="str">
        <f>"3194"</f>
        <v>3194</v>
      </c>
      <c r="B3195" t="str">
        <f>"-0.56"</f>
        <v>-0.56</v>
      </c>
      <c r="C3195" t="str">
        <f>"51"</f>
        <v>51</v>
      </c>
      <c r="D3195" t="str">
        <f>"Youth City Fire EP"</f>
        <v>Youth City Fire EP</v>
      </c>
    </row>
    <row r="3196" spans="1:4" x14ac:dyDescent="0.2">
      <c r="A3196" t="str">
        <f>"3195"</f>
        <v>3195</v>
      </c>
      <c r="B3196" t="str">
        <f>"0.06"</f>
        <v>0.06</v>
      </c>
      <c r="C3196" t="str">
        <f>"46"</f>
        <v>46</v>
      </c>
      <c r="D3196" t="str">
        <f>"Virgin Ubiquity: Unreleased Recordings 1976-1981"</f>
        <v>Virgin Ubiquity: Unreleased Recordings 1976-1981</v>
      </c>
    </row>
    <row r="3197" spans="1:4" x14ac:dyDescent="0.2">
      <c r="A3197" t="str">
        <f>"3196"</f>
        <v>3196</v>
      </c>
      <c r="B3197" t="str">
        <f>"0.06"</f>
        <v>0.06</v>
      </c>
      <c r="C3197" t="str">
        <f>"94"</f>
        <v>94</v>
      </c>
      <c r="D3197" t="s">
        <v>103</v>
      </c>
    </row>
    <row r="3198" spans="1:4" x14ac:dyDescent="0.2">
      <c r="A3198" t="str">
        <f>"3197"</f>
        <v>3197</v>
      </c>
      <c r="B3198" t="str">
        <f>"0.13"</f>
        <v>0.13</v>
      </c>
      <c r="C3198" t="str">
        <f>"78"</f>
        <v>78</v>
      </c>
      <c r="D3198" t="str">
        <f>"Misery Is a Butterfly"</f>
        <v>Misery Is a Butterfly</v>
      </c>
    </row>
    <row r="3199" spans="1:4" x14ac:dyDescent="0.2">
      <c r="A3199" t="str">
        <f>"3198"</f>
        <v>3198</v>
      </c>
      <c r="B3199" t="str">
        <f>"1.19"</f>
        <v>1.19</v>
      </c>
      <c r="C3199" t="str">
        <f>"92"</f>
        <v>92</v>
      </c>
      <c r="D3199" t="str">
        <f>"Beautiful: Boonghee Music 2"</f>
        <v>Beautiful: Boonghee Music 2</v>
      </c>
    </row>
    <row r="3200" spans="1:4" x14ac:dyDescent="0.2">
      <c r="A3200" t="str">
        <f>"3199"</f>
        <v>3199</v>
      </c>
      <c r="B3200" t="str">
        <f>"1.4"</f>
        <v>1.4</v>
      </c>
      <c r="C3200" t="str">
        <f>"57"</f>
        <v>57</v>
      </c>
      <c r="D3200" t="str">
        <f>"A Foreign Sound"</f>
        <v>A Foreign Sound</v>
      </c>
    </row>
    <row r="3201" spans="1:4" x14ac:dyDescent="0.2">
      <c r="A3201" t="str">
        <f>"3200"</f>
        <v>3200</v>
      </c>
      <c r="B3201" t="str">
        <f>"-0.28"</f>
        <v>-0.28</v>
      </c>
      <c r="C3201" t="str">
        <f>"29"</f>
        <v>29</v>
      </c>
      <c r="D3201" t="str">
        <f>"To All We Stretch the Open Arm"</f>
        <v>To All We Stretch the Open Arm</v>
      </c>
    </row>
    <row r="3202" spans="1:4" x14ac:dyDescent="0.2">
      <c r="A3202" t="str">
        <f>"3201"</f>
        <v>3201</v>
      </c>
      <c r="B3202" t="str">
        <f>"-0.29"</f>
        <v>-0.29</v>
      </c>
      <c r="C3202" t="str">
        <f>"56"</f>
        <v>56</v>
      </c>
      <c r="D3202" t="str">
        <f>"On the Culture Industry"</f>
        <v>On the Culture Industry</v>
      </c>
    </row>
    <row r="3203" spans="1:4" x14ac:dyDescent="0.2">
      <c r="A3203" t="str">
        <f>"3202"</f>
        <v>3202</v>
      </c>
      <c r="B3203" t="str">
        <f>"-0.61"</f>
        <v>-0.61</v>
      </c>
      <c r="C3203" t="str">
        <f>"44"</f>
        <v>44</v>
      </c>
      <c r="D3203" t="str">
        <f>"Morehappyness"</f>
        <v>Morehappyness</v>
      </c>
    </row>
    <row r="3204" spans="1:4" x14ac:dyDescent="0.2">
      <c r="A3204" t="str">
        <f>"3203"</f>
        <v>3203</v>
      </c>
      <c r="B3204" t="str">
        <f>"-0.48"</f>
        <v>-0.48</v>
      </c>
      <c r="C3204" t="str">
        <f>"53"</f>
        <v>53</v>
      </c>
      <c r="D3204" t="s">
        <v>104</v>
      </c>
    </row>
    <row r="3205" spans="1:4" x14ac:dyDescent="0.2">
      <c r="A3205" t="str">
        <f>"3204"</f>
        <v>3204</v>
      </c>
      <c r="B3205" t="str">
        <f>"-1.39"</f>
        <v>-1.39</v>
      </c>
      <c r="C3205" t="str">
        <f>"54"</f>
        <v>54</v>
      </c>
      <c r="D3205" t="str">
        <f>"The Disintegration Loops I-IV"</f>
        <v>The Disintegration Loops I-IV</v>
      </c>
    </row>
    <row r="3206" spans="1:4" x14ac:dyDescent="0.2">
      <c r="A3206" t="str">
        <f>"3205"</f>
        <v>3205</v>
      </c>
      <c r="B3206" t="str">
        <f>"0.26"</f>
        <v>0.26</v>
      </c>
      <c r="C3206" t="str">
        <f>"83"</f>
        <v>83</v>
      </c>
      <c r="D3206" t="str">
        <f>"Satanic Panic in the Attic"</f>
        <v>Satanic Panic in the Attic</v>
      </c>
    </row>
    <row r="3207" spans="1:4" x14ac:dyDescent="0.2">
      <c r="A3207" t="str">
        <f>"3206"</f>
        <v>3206</v>
      </c>
      <c r="B3207" t="str">
        <f>"0.27"</f>
        <v>0.27</v>
      </c>
      <c r="C3207" t="str">
        <f>"51"</f>
        <v>51</v>
      </c>
      <c r="D3207" t="str">
        <f>"On My Way"</f>
        <v>On My Way</v>
      </c>
    </row>
    <row r="3208" spans="1:4" x14ac:dyDescent="0.2">
      <c r="A3208" t="str">
        <f>"3207"</f>
        <v>3207</v>
      </c>
      <c r="B3208" t="str">
        <f>"-0.18"</f>
        <v>-0.18</v>
      </c>
      <c r="C3208" t="str">
        <f>"45"</f>
        <v>45</v>
      </c>
      <c r="D3208" t="str">
        <f>"An Evening with the Sound Providers"</f>
        <v>An Evening with the Sound Providers</v>
      </c>
    </row>
    <row r="3209" spans="1:4" x14ac:dyDescent="0.2">
      <c r="A3209" t="str">
        <f>"3208"</f>
        <v>3208</v>
      </c>
      <c r="B3209" t="str">
        <f>"-0.57"</f>
        <v>-0.57</v>
      </c>
      <c r="C3209" t="str">
        <f>"21"</f>
        <v>21</v>
      </c>
      <c r="D3209" t="str">
        <f>"Tinnitus Vu"</f>
        <v>Tinnitus Vu</v>
      </c>
    </row>
    <row r="3210" spans="1:4" x14ac:dyDescent="0.2">
      <c r="A3210" t="str">
        <f>"3209"</f>
        <v>3209</v>
      </c>
      <c r="B3210" t="str">
        <f>"-0.04"</f>
        <v>-0.04</v>
      </c>
      <c r="C3210" t="str">
        <f>"59"</f>
        <v>59</v>
      </c>
      <c r="D3210" t="str">
        <f>"The People at Large"</f>
        <v>The People at Large</v>
      </c>
    </row>
    <row r="3211" spans="1:4" x14ac:dyDescent="0.2">
      <c r="A3211" t="str">
        <f>"3210"</f>
        <v>3210</v>
      </c>
      <c r="B3211" t="str">
        <f>"-0.59"</f>
        <v>-0.59</v>
      </c>
      <c r="C3211" t="str">
        <f>"102"</f>
        <v>102</v>
      </c>
      <c r="D3211" t="str">
        <f>"It's All Around You"</f>
        <v>It's All Around You</v>
      </c>
    </row>
    <row r="3212" spans="1:4" x14ac:dyDescent="0.2">
      <c r="A3212" t="str">
        <f>"3211"</f>
        <v>3211</v>
      </c>
      <c r="B3212" t="str">
        <f>"-0.67"</f>
        <v>-0.67</v>
      </c>
      <c r="C3212" t="str">
        <f>"79"</f>
        <v>79</v>
      </c>
      <c r="D3212" t="str">
        <f>"Interface"</f>
        <v>Interface</v>
      </c>
    </row>
    <row r="3213" spans="1:4" x14ac:dyDescent="0.2">
      <c r="A3213" t="str">
        <f>"3212"</f>
        <v>3212</v>
      </c>
      <c r="B3213" t="str">
        <f>"-0.86"</f>
        <v>-0.86</v>
      </c>
      <c r="C3213" t="str">
        <f>"58"</f>
        <v>58</v>
      </c>
      <c r="D3213" t="str">
        <f>"Belinda"</f>
        <v>Belinda</v>
      </c>
    </row>
    <row r="3214" spans="1:4" x14ac:dyDescent="0.2">
      <c r="A3214" t="str">
        <f>"3213"</f>
        <v>3213</v>
      </c>
      <c r="B3214" t="str">
        <f>"-0.51"</f>
        <v>-0.51</v>
      </c>
      <c r="C3214" t="str">
        <f>"65"</f>
        <v>65</v>
      </c>
      <c r="D3214" t="str">
        <f>"The Chocolate Wheelchair Album"</f>
        <v>The Chocolate Wheelchair Album</v>
      </c>
    </row>
    <row r="3215" spans="1:4" x14ac:dyDescent="0.2">
      <c r="A3215" t="str">
        <f>"3214"</f>
        <v>3214</v>
      </c>
      <c r="B3215" t="str">
        <f>"-0.08"</f>
        <v>-0.08</v>
      </c>
      <c r="C3215" t="str">
        <f>"63"</f>
        <v>63</v>
      </c>
      <c r="D3215" t="str">
        <f>"Old Paint"</f>
        <v>Old Paint</v>
      </c>
    </row>
    <row r="3216" spans="1:4" x14ac:dyDescent="0.2">
      <c r="A3216" t="str">
        <f>"3215"</f>
        <v>3215</v>
      </c>
      <c r="B3216" t="str">
        <f>"-0.5"</f>
        <v>-0.5</v>
      </c>
      <c r="C3216" t="str">
        <f>"45"</f>
        <v>45</v>
      </c>
      <c r="D3216" t="str">
        <f>"Music by Cavelight"</f>
        <v>Music by Cavelight</v>
      </c>
    </row>
    <row r="3217" spans="1:4" x14ac:dyDescent="0.2">
      <c r="A3217" t="str">
        <f>"3216"</f>
        <v>3216</v>
      </c>
      <c r="B3217" t="str">
        <f>"0.09"</f>
        <v>0.09</v>
      </c>
      <c r="C3217" t="str">
        <f>"53"</f>
        <v>53</v>
      </c>
      <c r="D3217" t="str">
        <f>"Miles of Smiles EP"</f>
        <v>Miles of Smiles EP</v>
      </c>
    </row>
    <row r="3218" spans="1:4" x14ac:dyDescent="0.2">
      <c r="A3218" t="str">
        <f>"3217"</f>
        <v>3217</v>
      </c>
      <c r="B3218" t="str">
        <f>"0.81"</f>
        <v>0.81</v>
      </c>
      <c r="C3218" t="str">
        <f>"61"</f>
        <v>61</v>
      </c>
      <c r="D3218" t="str">
        <f>"Eternal Sunshine of the Spotless Mind"</f>
        <v>Eternal Sunshine of the Spotless Mind</v>
      </c>
    </row>
    <row r="3219" spans="1:4" x14ac:dyDescent="0.2">
      <c r="A3219" t="str">
        <f>"3218"</f>
        <v>3218</v>
      </c>
      <c r="B3219" t="str">
        <f>"-1.17"</f>
        <v>-1.17</v>
      </c>
      <c r="C3219" t="str">
        <f>"117"</f>
        <v>117</v>
      </c>
      <c r="D3219" t="str">
        <f>"Tough Luv"</f>
        <v>Tough Luv</v>
      </c>
    </row>
    <row r="3220" spans="1:4" x14ac:dyDescent="0.2">
      <c r="A3220" t="str">
        <f>"3219"</f>
        <v>3219</v>
      </c>
      <c r="B3220" t="str">
        <f>"-0.06"</f>
        <v>-0.06</v>
      </c>
      <c r="C3220" t="str">
        <f>"92"</f>
        <v>92</v>
      </c>
      <c r="D3220" t="str">
        <f>"Good News for People Who Love Bad News"</f>
        <v>Good News for People Who Love Bad News</v>
      </c>
    </row>
    <row r="3221" spans="1:4" x14ac:dyDescent="0.2">
      <c r="A3221" t="str">
        <f>"3220"</f>
        <v>3220</v>
      </c>
      <c r="B3221" t="str">
        <f>"-0.28"</f>
        <v>-0.28</v>
      </c>
      <c r="C3221" t="str">
        <f>"67"</f>
        <v>67</v>
      </c>
      <c r="D3221" t="str">
        <f>"Get Away from Me"</f>
        <v>Get Away from Me</v>
      </c>
    </row>
    <row r="3222" spans="1:4" x14ac:dyDescent="0.2">
      <c r="A3222" t="str">
        <f>"3221"</f>
        <v>3221</v>
      </c>
      <c r="B3222" t="str">
        <f>"-0.19"</f>
        <v>-0.19</v>
      </c>
      <c r="C3222" t="str">
        <f>"39"</f>
        <v>39</v>
      </c>
      <c r="D3222" t="str">
        <f>"A Name Writ in Water"</f>
        <v>A Name Writ in Water</v>
      </c>
    </row>
    <row r="3223" spans="1:4" x14ac:dyDescent="0.2">
      <c r="A3223" t="str">
        <f>"3222"</f>
        <v>3222</v>
      </c>
      <c r="B3223" t="str">
        <f>"0.36"</f>
        <v>0.36</v>
      </c>
      <c r="C3223" t="str">
        <f>"52"</f>
        <v>52</v>
      </c>
      <c r="D3223" t="str">
        <f>"Synthstatic"</f>
        <v>Synthstatic</v>
      </c>
    </row>
    <row r="3224" spans="1:4" x14ac:dyDescent="0.2">
      <c r="A3224" t="str">
        <f>"3223"</f>
        <v>3223</v>
      </c>
      <c r="B3224" t="str">
        <f>"-0.36"</f>
        <v>-0.36</v>
      </c>
      <c r="C3224" t="str">
        <f>"47"</f>
        <v>47</v>
      </c>
      <c r="D3224" t="str">
        <f>"Life and the Afterbirth"</f>
        <v>Life and the Afterbirth</v>
      </c>
    </row>
    <row r="3225" spans="1:4" x14ac:dyDescent="0.2">
      <c r="A3225" t="str">
        <f>"3224"</f>
        <v>3224</v>
      </c>
      <c r="B3225" t="str">
        <f>"0.28"</f>
        <v>0.28</v>
      </c>
      <c r="C3225" t="str">
        <f>"45"</f>
        <v>45</v>
      </c>
      <c r="D3225" t="str">
        <f>"HoboSapiens"</f>
        <v>HoboSapiens</v>
      </c>
    </row>
    <row r="3226" spans="1:4" x14ac:dyDescent="0.2">
      <c r="A3226" t="str">
        <f>"3225"</f>
        <v>3225</v>
      </c>
      <c r="B3226" t="str">
        <f>"0.67"</f>
        <v>0.67</v>
      </c>
      <c r="C3226" t="str">
        <f>"50"</f>
        <v>50</v>
      </c>
      <c r="D3226" t="str">
        <f>"Domestiques"</f>
        <v>Domestiques</v>
      </c>
    </row>
    <row r="3227" spans="1:4" x14ac:dyDescent="0.2">
      <c r="A3227" t="str">
        <f>"3226"</f>
        <v>3226</v>
      </c>
      <c r="B3227" t="str">
        <f>"-0.87"</f>
        <v>-0.87</v>
      </c>
      <c r="C3227" t="str">
        <f>"49"</f>
        <v>49</v>
      </c>
      <c r="D3227" t="str">
        <f>"Over the Sun"</f>
        <v>Over the Sun</v>
      </c>
    </row>
    <row r="3228" spans="1:4" x14ac:dyDescent="0.2">
      <c r="A3228" t="str">
        <f>"3227"</f>
        <v>3227</v>
      </c>
      <c r="B3228" t="str">
        <f>"0.23"</f>
        <v>0.23</v>
      </c>
      <c r="C3228" t="str">
        <f>"107"</f>
        <v>107</v>
      </c>
      <c r="D3228" t="str">
        <f>"Grown Backwards"</f>
        <v>Grown Backwards</v>
      </c>
    </row>
    <row r="3229" spans="1:4" x14ac:dyDescent="0.2">
      <c r="A3229" t="str">
        <f>"3228"</f>
        <v>3228</v>
      </c>
      <c r="B3229" t="str">
        <f>"-0.16"</f>
        <v>-0.16</v>
      </c>
      <c r="C3229" t="str">
        <f>"69"</f>
        <v>69</v>
      </c>
      <c r="D3229" t="str">
        <f>"Forcefields and Constellations"</f>
        <v>Forcefields and Constellations</v>
      </c>
    </row>
    <row r="3230" spans="1:4" x14ac:dyDescent="0.2">
      <c r="A3230" t="str">
        <f>"3229"</f>
        <v>3229</v>
      </c>
      <c r="B3230" t="str">
        <f>"-0.15"</f>
        <v>-0.15</v>
      </c>
      <c r="C3230" t="str">
        <f>"51"</f>
        <v>51</v>
      </c>
      <c r="D3230" t="str">
        <f>"Final Straw"</f>
        <v>Final Straw</v>
      </c>
    </row>
    <row r="3231" spans="1:4" x14ac:dyDescent="0.2">
      <c r="A3231" t="str">
        <f>"3230"</f>
        <v>3230</v>
      </c>
      <c r="B3231" t="str">
        <f>"0.56"</f>
        <v>0.56</v>
      </c>
      <c r="C3231" t="str">
        <f>"41"</f>
        <v>41</v>
      </c>
      <c r="D3231" t="str">
        <f>"Venice"</f>
        <v>Venice</v>
      </c>
    </row>
    <row r="3232" spans="1:4" x14ac:dyDescent="0.2">
      <c r="A3232" t="str">
        <f>"3231"</f>
        <v>3231</v>
      </c>
      <c r="B3232" t="str">
        <f>"-0.03"</f>
        <v>-0.03</v>
      </c>
      <c r="C3232" t="str">
        <f>"51"</f>
        <v>51</v>
      </c>
      <c r="D3232" t="str">
        <f>"VCR EP"</f>
        <v>VCR EP</v>
      </c>
    </row>
    <row r="3233" spans="1:4" x14ac:dyDescent="0.2">
      <c r="A3233" t="str">
        <f>"3232"</f>
        <v>3232</v>
      </c>
      <c r="B3233" t="str">
        <f>"-0.71"</f>
        <v>-0.71</v>
      </c>
      <c r="C3233" t="str">
        <f>"59"</f>
        <v>59</v>
      </c>
      <c r="D3233" t="str">
        <f>"Maryland Mansions"</f>
        <v>Maryland Mansions</v>
      </c>
    </row>
    <row r="3234" spans="1:4" x14ac:dyDescent="0.2">
      <c r="A3234" t="str">
        <f>"3233"</f>
        <v>3233</v>
      </c>
      <c r="B3234" t="str">
        <f>"-1.45"</f>
        <v>-1.45</v>
      </c>
      <c r="C3234" t="str">
        <f>"57"</f>
        <v>57</v>
      </c>
      <c r="D3234" t="str">
        <f>"If We Can't Trust the Doctors"</f>
        <v>If We Can't Trust the Doctors</v>
      </c>
    </row>
    <row r="3235" spans="1:4" x14ac:dyDescent="0.2">
      <c r="A3235" t="str">
        <f>"3234"</f>
        <v>3234</v>
      </c>
      <c r="B3235" t="str">
        <f>"0.1"</f>
        <v>0.1</v>
      </c>
      <c r="C3235" t="str">
        <f>"41"</f>
        <v>41</v>
      </c>
      <c r="D3235" t="str">
        <f>"99 Cents"</f>
        <v>99 Cents</v>
      </c>
    </row>
    <row r="3236" spans="1:4" x14ac:dyDescent="0.2">
      <c r="A3236" t="str">
        <f>"3235"</f>
        <v>3235</v>
      </c>
      <c r="B3236" t="str">
        <f>"0.46"</f>
        <v>0.46</v>
      </c>
      <c r="C3236" t="str">
        <f>"26"</f>
        <v>26</v>
      </c>
      <c r="D3236" t="str">
        <f>"Mayhem Mystics"</f>
        <v>Mayhem Mystics</v>
      </c>
    </row>
    <row r="3237" spans="1:4" x14ac:dyDescent="0.2">
      <c r="A3237" t="str">
        <f>"3236"</f>
        <v>3236</v>
      </c>
      <c r="B3237" t="str">
        <f>"0.03"</f>
        <v>0.03</v>
      </c>
      <c r="C3237" t="str">
        <f>"140"</f>
        <v>140</v>
      </c>
      <c r="D3237" t="str">
        <f>"Live at the Apollo [Expanded Edition]"</f>
        <v>Live at the Apollo [Expanded Edition]</v>
      </c>
    </row>
    <row r="3238" spans="1:4" x14ac:dyDescent="0.2">
      <c r="A3238" t="str">
        <f>"3237"</f>
        <v>3237</v>
      </c>
      <c r="B3238" t="str">
        <f>"-0.01"</f>
        <v>-0.01</v>
      </c>
      <c r="C3238" t="str">
        <f>"53"</f>
        <v>53</v>
      </c>
      <c r="D3238" t="str">
        <f>"Dirty South Classics"</f>
        <v>Dirty South Classics</v>
      </c>
    </row>
    <row r="3239" spans="1:4" x14ac:dyDescent="0.2">
      <c r="A3239" t="str">
        <f>"3238"</f>
        <v>3238</v>
      </c>
      <c r="B3239" t="str">
        <f>"-1.07"</f>
        <v>-1.07</v>
      </c>
      <c r="C3239" t="str">
        <f>"57"</f>
        <v>57</v>
      </c>
      <c r="D3239" t="str">
        <f>"Dear You [Expanded Edition]"</f>
        <v>Dear You [Expanded Edition]</v>
      </c>
    </row>
    <row r="3240" spans="1:4" x14ac:dyDescent="0.2">
      <c r="A3240" t="str">
        <f>"3239"</f>
        <v>3239</v>
      </c>
      <c r="B3240" t="str">
        <f>"0.68"</f>
        <v>0.68</v>
      </c>
      <c r="C3240" t="str">
        <f>"80"</f>
        <v>80</v>
      </c>
      <c r="D3240" t="str">
        <f>"Ballroom"</f>
        <v>Ballroom</v>
      </c>
    </row>
    <row r="3241" spans="1:4" x14ac:dyDescent="0.2">
      <c r="A3241" t="str">
        <f>"3240"</f>
        <v>3240</v>
      </c>
      <c r="B3241" t="str">
        <f>"0.14"</f>
        <v>0.14</v>
      </c>
      <c r="C3241" t="str">
        <f>"61"</f>
        <v>61</v>
      </c>
      <c r="D3241" t="str">
        <f>"Whips"</f>
        <v>Whips</v>
      </c>
    </row>
    <row r="3242" spans="1:4" x14ac:dyDescent="0.2">
      <c r="A3242" t="str">
        <f>"3241"</f>
        <v>3241</v>
      </c>
      <c r="B3242" t="str">
        <f>"-0.42"</f>
        <v>-0.42</v>
      </c>
      <c r="C3242" t="str">
        <f>"86"</f>
        <v>86</v>
      </c>
      <c r="D3242" t="str">
        <f>"The Moon &amp; Antarctica [Expanded Edition]"</f>
        <v>The Moon &amp; Antarctica [Expanded Edition]</v>
      </c>
    </row>
    <row r="3243" spans="1:4" x14ac:dyDescent="0.2">
      <c r="A3243" t="str">
        <f>"3242"</f>
        <v>3242</v>
      </c>
      <c r="B3243" t="str">
        <f>"-0.55"</f>
        <v>-0.55</v>
      </c>
      <c r="C3243" t="str">
        <f>"50"</f>
        <v>50</v>
      </c>
      <c r="D3243" t="str">
        <f>"Storm Hymnal: Gems from the Vault of Grant Lee Buffalo"</f>
        <v>Storm Hymnal: Gems from the Vault of Grant Lee Buffalo</v>
      </c>
    </row>
    <row r="3244" spans="1:4" x14ac:dyDescent="0.2">
      <c r="A3244" t="str">
        <f>"3243"</f>
        <v>3243</v>
      </c>
      <c r="B3244" t="str">
        <f>"-0.07"</f>
        <v>-0.07</v>
      </c>
      <c r="C3244" t="str">
        <f>"41"</f>
        <v>41</v>
      </c>
      <c r="D3244" t="str">
        <f>"Bataclan 72"</f>
        <v>Bataclan 72</v>
      </c>
    </row>
    <row r="3245" spans="1:4" x14ac:dyDescent="0.2">
      <c r="A3245" t="str">
        <f>"3244"</f>
        <v>3244</v>
      </c>
      <c r="B3245" t="str">
        <f>"0.8"</f>
        <v>0.8</v>
      </c>
      <c r="C3245" t="str">
        <f>"54"</f>
        <v>54</v>
      </c>
      <c r="D3245" t="str">
        <f>"Atlas"</f>
        <v>Atlas</v>
      </c>
    </row>
    <row r="3246" spans="1:4" x14ac:dyDescent="0.2">
      <c r="A3246" t="str">
        <f>"3245"</f>
        <v>3245</v>
      </c>
      <c r="B3246" t="str">
        <f>"-0.41"</f>
        <v>-0.41</v>
      </c>
      <c r="C3246" t="str">
        <f>"81"</f>
        <v>81</v>
      </c>
      <c r="D3246" t="str">
        <f>"Semi Peterson"</f>
        <v>Semi Peterson</v>
      </c>
    </row>
    <row r="3247" spans="1:4" x14ac:dyDescent="0.2">
      <c r="A3247" t="str">
        <f>"3246"</f>
        <v>3246</v>
      </c>
      <c r="B3247" t="str">
        <f>"0.14"</f>
        <v>0.14</v>
      </c>
      <c r="C3247" t="str">
        <f>"85"</f>
        <v>85</v>
      </c>
      <c r="D3247" t="str">
        <f>"Our Endless Numbered Days"</f>
        <v>Our Endless Numbered Days</v>
      </c>
    </row>
    <row r="3248" spans="1:4" x14ac:dyDescent="0.2">
      <c r="A3248" t="str">
        <f>"3247"</f>
        <v>3247</v>
      </c>
      <c r="B3248" t="str">
        <f>"0.13"</f>
        <v>0.13</v>
      </c>
      <c r="C3248" t="str">
        <f>"39"</f>
        <v>39</v>
      </c>
      <c r="D3248" t="str">
        <f>"I Need You"</f>
        <v>I Need You</v>
      </c>
    </row>
    <row r="3249" spans="1:4" x14ac:dyDescent="0.2">
      <c r="A3249" t="str">
        <f>"3248"</f>
        <v>3248</v>
      </c>
      <c r="B3249" t="str">
        <f>"-0.08"</f>
        <v>-0.08</v>
      </c>
      <c r="C3249" t="str">
        <f>"81"</f>
        <v>81</v>
      </c>
      <c r="D3249" t="str">
        <f>"Desert Sessions 9 &amp; 10"</f>
        <v>Desert Sessions 9 &amp; 10</v>
      </c>
    </row>
    <row r="3250" spans="1:4" x14ac:dyDescent="0.2">
      <c r="A3250" t="str">
        <f>"3249"</f>
        <v>3249</v>
      </c>
      <c r="B3250" t="str">
        <f>"0.45"</f>
        <v>0.45</v>
      </c>
      <c r="C3250" t="str">
        <f>"50"</f>
        <v>50</v>
      </c>
      <c r="D3250" t="str">
        <f>"Convict Pool EP"</f>
        <v>Convict Pool EP</v>
      </c>
    </row>
    <row r="3251" spans="1:4" x14ac:dyDescent="0.2">
      <c r="A3251" t="str">
        <f>"3250"</f>
        <v>3250</v>
      </c>
      <c r="B3251" t="str">
        <f>"-0.73"</f>
        <v>-0.73</v>
      </c>
      <c r="C3251" t="str">
        <f>"50"</f>
        <v>50</v>
      </c>
      <c r="D3251" t="str">
        <f>"Once You Go Blak"</f>
        <v>Once You Go Blak</v>
      </c>
    </row>
    <row r="3252" spans="1:4" x14ac:dyDescent="0.2">
      <c r="A3252" t="str">
        <f>"3251"</f>
        <v>3251</v>
      </c>
      <c r="B3252" t="str">
        <f>"0.18"</f>
        <v>0.18</v>
      </c>
      <c r="C3252" t="str">
        <f>"49"</f>
        <v>49</v>
      </c>
      <c r="D3252" t="str">
        <f>"'Merican EP"</f>
        <v>'Merican EP</v>
      </c>
    </row>
    <row r="3253" spans="1:4" x14ac:dyDescent="0.2">
      <c r="A3253" t="str">
        <f>"3252"</f>
        <v>3252</v>
      </c>
      <c r="B3253" t="str">
        <f>"-0.32"</f>
        <v>-0.32</v>
      </c>
      <c r="C3253" t="str">
        <f>"44"</f>
        <v>44</v>
      </c>
      <c r="D3253" t="str">
        <f>"Madvillainy"</f>
        <v>Madvillainy</v>
      </c>
    </row>
    <row r="3254" spans="1:4" x14ac:dyDescent="0.2">
      <c r="A3254" t="str">
        <f>"3253"</f>
        <v>3253</v>
      </c>
      <c r="B3254" t="str">
        <f>"-1.14"</f>
        <v>-1.14</v>
      </c>
      <c r="C3254" t="str">
        <f>"138"</f>
        <v>138</v>
      </c>
      <c r="D3254" t="str">
        <f>"Fly or Die"</f>
        <v>Fly or Die</v>
      </c>
    </row>
    <row r="3255" spans="1:4" x14ac:dyDescent="0.2">
      <c r="A3255" t="str">
        <f>"3254"</f>
        <v>3254</v>
      </c>
      <c r="B3255" t="str">
        <f>"0.59"</f>
        <v>0.59</v>
      </c>
      <c r="C3255" t="str">
        <f>"55"</f>
        <v>55</v>
      </c>
      <c r="D3255" t="str">
        <f>"Fabula"</f>
        <v>Fabula</v>
      </c>
    </row>
    <row r="3256" spans="1:4" x14ac:dyDescent="0.2">
      <c r="A3256" t="str">
        <f>"3255"</f>
        <v>3255</v>
      </c>
      <c r="B3256" t="str">
        <f>"0.48"</f>
        <v>0.48</v>
      </c>
      <c r="C3256" t="str">
        <f>"22"</f>
        <v>22</v>
      </c>
      <c r="D3256" t="str">
        <f>"The Troubled Sleep of Piano Magic"</f>
        <v>The Troubled Sleep of Piano Magic</v>
      </c>
    </row>
    <row r="3257" spans="1:4" x14ac:dyDescent="0.2">
      <c r="A3257" t="str">
        <f>"3256"</f>
        <v>3256</v>
      </c>
      <c r="B3257" t="str">
        <f>"-0.41"</f>
        <v>-0.41</v>
      </c>
      <c r="C3257" t="str">
        <f>"66"</f>
        <v>66</v>
      </c>
      <c r="D3257" t="s">
        <v>105</v>
      </c>
    </row>
    <row r="3258" spans="1:4" x14ac:dyDescent="0.2">
      <c r="A3258" t="str">
        <f>"3257"</f>
        <v>3257</v>
      </c>
      <c r="B3258" t="str">
        <f>"-0.5"</f>
        <v>-0.5</v>
      </c>
      <c r="C3258" t="str">
        <f>"75"</f>
        <v>75</v>
      </c>
      <c r="D3258" t="str">
        <f>"Give"</f>
        <v>Give</v>
      </c>
    </row>
    <row r="3259" spans="1:4" x14ac:dyDescent="0.2">
      <c r="A3259" t="str">
        <f>"3258"</f>
        <v>3258</v>
      </c>
      <c r="B3259" t="str">
        <f>"0.38"</f>
        <v>0.38</v>
      </c>
      <c r="C3259" t="str">
        <f>"58"</f>
        <v>58</v>
      </c>
      <c r="D3259" t="str">
        <f>"Almost Killed Me"</f>
        <v>Almost Killed Me</v>
      </c>
    </row>
    <row r="3260" spans="1:4" x14ac:dyDescent="0.2">
      <c r="A3260" t="str">
        <f>"3259"</f>
        <v>3259</v>
      </c>
      <c r="B3260" t="str">
        <f>"0.52"</f>
        <v>0.52</v>
      </c>
      <c r="C3260" t="str">
        <f>"41"</f>
        <v>41</v>
      </c>
      <c r="D3260" t="str">
        <f>"Wherever I Am I Am What Is Missing"</f>
        <v>Wherever I Am I Am What Is Missing</v>
      </c>
    </row>
    <row r="3261" spans="1:4" x14ac:dyDescent="0.2">
      <c r="A3261" t="str">
        <f>"3260"</f>
        <v>3260</v>
      </c>
      <c r="B3261" t="str">
        <f>"-0.24"</f>
        <v>-0.24</v>
      </c>
      <c r="C3261" t="str">
        <f>"79"</f>
        <v>79</v>
      </c>
      <c r="D3261" t="str">
        <f>"That Much Further West"</f>
        <v>That Much Further West</v>
      </c>
    </row>
    <row r="3262" spans="1:4" x14ac:dyDescent="0.2">
      <c r="A3262" t="str">
        <f>"3261"</f>
        <v>3261</v>
      </c>
      <c r="B3262" t="str">
        <f>"-0.74"</f>
        <v>-0.74</v>
      </c>
      <c r="C3262" t="str">
        <f>"44"</f>
        <v>44</v>
      </c>
      <c r="D3262" t="str">
        <f>"Terrorist Threats"</f>
        <v>Terrorist Threats</v>
      </c>
    </row>
    <row r="3263" spans="1:4" x14ac:dyDescent="0.2">
      <c r="A3263" t="str">
        <f>"3262"</f>
        <v>3262</v>
      </c>
      <c r="B3263" t="str">
        <f>"0.07"</f>
        <v>0.07</v>
      </c>
      <c r="C3263" t="str">
        <f>"46"</f>
        <v>46</v>
      </c>
      <c r="D3263" t="str">
        <f>"Mushi No-ne"</f>
        <v>Mushi No-ne</v>
      </c>
    </row>
    <row r="3264" spans="1:4" x14ac:dyDescent="0.2">
      <c r="A3264" t="str">
        <f>"3263"</f>
        <v>3263</v>
      </c>
      <c r="B3264" t="str">
        <f>"1.21"</f>
        <v>1.21</v>
      </c>
      <c r="C3264" t="str">
        <f>"21"</f>
        <v>21</v>
      </c>
      <c r="D3264" t="str">
        <f>"In the Fishtank 11"</f>
        <v>In the Fishtank 11</v>
      </c>
    </row>
    <row r="3265" spans="1:4" x14ac:dyDescent="0.2">
      <c r="A3265" t="str">
        <f>"3264"</f>
        <v>3264</v>
      </c>
      <c r="B3265" t="str">
        <f>"-0.11"</f>
        <v>-0.11</v>
      </c>
      <c r="C3265" t="str">
        <f>"58"</f>
        <v>58</v>
      </c>
      <c r="D3265" t="str">
        <f>"Greatest Palace Music"</f>
        <v>Greatest Palace Music</v>
      </c>
    </row>
    <row r="3266" spans="1:4" x14ac:dyDescent="0.2">
      <c r="A3266" t="str">
        <f>"3265"</f>
        <v>3265</v>
      </c>
      <c r="B3266" t="str">
        <f>"-0.06"</f>
        <v>-0.06</v>
      </c>
      <c r="C3266" t="str">
        <f>"54"</f>
        <v>54</v>
      </c>
      <c r="D3266" t="str">
        <f>"Night Mute"</f>
        <v>Night Mute</v>
      </c>
    </row>
    <row r="3267" spans="1:4" x14ac:dyDescent="0.2">
      <c r="A3267" t="str">
        <f>"3266"</f>
        <v>3266</v>
      </c>
      <c r="B3267" t="str">
        <f>"-0.32"</f>
        <v>-0.32</v>
      </c>
      <c r="C3267" t="str">
        <f>"152"</f>
        <v>152</v>
      </c>
      <c r="D3267" t="str">
        <f>"Art Box"</f>
        <v>Art Box</v>
      </c>
    </row>
    <row r="3268" spans="1:4" x14ac:dyDescent="0.2">
      <c r="A3268" t="str">
        <f>"3267"</f>
        <v>3267</v>
      </c>
      <c r="B3268" t="str">
        <f>"0.32"</f>
        <v>0.32</v>
      </c>
      <c r="C3268" t="str">
        <f>"62"</f>
        <v>62</v>
      </c>
      <c r="D3268" t="str">
        <f>"Anything Goes"</f>
        <v>Anything Goes</v>
      </c>
    </row>
    <row r="3269" spans="1:4" x14ac:dyDescent="0.2">
      <c r="A3269" t="str">
        <f>"3268"</f>
        <v>3268</v>
      </c>
      <c r="B3269" t="str">
        <f>"-0.53"</f>
        <v>-0.53</v>
      </c>
      <c r="C3269" t="str">
        <f>"44"</f>
        <v>44</v>
      </c>
      <c r="D3269" t="str">
        <f>"Romantic and Square Is Hip and Aware: A Matinee Tribute to The Smiths"</f>
        <v>Romantic and Square Is Hip and Aware: A Matinee Tribute to The Smiths</v>
      </c>
    </row>
    <row r="3270" spans="1:4" x14ac:dyDescent="0.2">
      <c r="A3270" t="str">
        <f>"3269"</f>
        <v>3269</v>
      </c>
      <c r="B3270" t="str">
        <f>"-0.01"</f>
        <v>-0.01</v>
      </c>
      <c r="C3270" t="str">
        <f>"85"</f>
        <v>85</v>
      </c>
      <c r="D3270" t="str">
        <f>"On!Air!Library!"</f>
        <v>On!Air!Library!</v>
      </c>
    </row>
    <row r="3271" spans="1:4" x14ac:dyDescent="0.2">
      <c r="A3271" t="str">
        <f>"3270"</f>
        <v>3270</v>
      </c>
      <c r="B3271" t="str">
        <f>"-0.39"</f>
        <v>-0.39</v>
      </c>
      <c r="C3271" t="str">
        <f>"58"</f>
        <v>58</v>
      </c>
      <c r="D3271" t="str">
        <f>"E&amp;A"</f>
        <v>E&amp;A</v>
      </c>
    </row>
    <row r="3272" spans="1:4" x14ac:dyDescent="0.2">
      <c r="A3272" t="str">
        <f>"3271"</f>
        <v>3271</v>
      </c>
      <c r="B3272" t="str">
        <f>"-0.12"</f>
        <v>-0.12</v>
      </c>
      <c r="C3272" t="str">
        <f>"51"</f>
        <v>51</v>
      </c>
      <c r="D3272" t="str">
        <f>"Beehives"</f>
        <v>Beehives</v>
      </c>
    </row>
    <row r="3273" spans="1:4" x14ac:dyDescent="0.2">
      <c r="A3273" t="str">
        <f>"3272"</f>
        <v>3272</v>
      </c>
      <c r="B3273" t="str">
        <f>"-0.13"</f>
        <v>-0.13</v>
      </c>
      <c r="C3273" t="str">
        <f>"67"</f>
        <v>67</v>
      </c>
      <c r="D3273" t="str">
        <f>"Bastion of Itchy Preeves"</f>
        <v>Bastion of Itchy Preeves</v>
      </c>
    </row>
    <row r="3274" spans="1:4" x14ac:dyDescent="0.2">
      <c r="A3274" t="str">
        <f>"3273"</f>
        <v>3273</v>
      </c>
      <c r="B3274" t="str">
        <f>"1.09"</f>
        <v>1.09</v>
      </c>
      <c r="C3274" t="str">
        <f>"41"</f>
        <v>41</v>
      </c>
      <c r="D3274" t="str">
        <f>"The Milk-Eyed Mender"</f>
        <v>The Milk-Eyed Mender</v>
      </c>
    </row>
    <row r="3275" spans="1:4" x14ac:dyDescent="0.2">
      <c r="A3275" t="str">
        <f>"3274"</f>
        <v>3274</v>
      </c>
      <c r="B3275" t="str">
        <f>"0.31"</f>
        <v>0.31</v>
      </c>
      <c r="C3275" t="str">
        <f>"41"</f>
        <v>41</v>
      </c>
      <c r="D3275" t="str">
        <f>"Kenny &amp; Beth's Musakal Boat Rides"</f>
        <v>Kenny &amp; Beth's Musakal Boat Rides</v>
      </c>
    </row>
    <row r="3276" spans="1:4" x14ac:dyDescent="0.2">
      <c r="A3276" t="str">
        <f>"3275"</f>
        <v>3275</v>
      </c>
      <c r="B3276" t="str">
        <f>"0.52"</f>
        <v>0.52</v>
      </c>
      <c r="C3276" t="str">
        <f>"27"</f>
        <v>27</v>
      </c>
      <c r="D3276" t="str">
        <f>"Erans"</f>
        <v>Erans</v>
      </c>
    </row>
    <row r="3277" spans="1:4" x14ac:dyDescent="0.2">
      <c r="A3277" t="str">
        <f>"3276"</f>
        <v>3276</v>
      </c>
      <c r="B3277" t="str">
        <f>"0.46"</f>
        <v>0.46</v>
      </c>
      <c r="C3277" t="str">
        <f>"72"</f>
        <v>72</v>
      </c>
      <c r="D3277" t="str">
        <f>"Cluster Ville"</f>
        <v>Cluster Ville</v>
      </c>
    </row>
    <row r="3278" spans="1:4" x14ac:dyDescent="0.2">
      <c r="A3278" t="str">
        <f>"3277"</f>
        <v>3277</v>
      </c>
      <c r="B3278" t="str">
        <f>"0.65"</f>
        <v>0.65</v>
      </c>
      <c r="C3278" t="str">
        <f>"22"</f>
        <v>22</v>
      </c>
      <c r="D3278" t="str">
        <f>"Valley-Hi"</f>
        <v>Valley-Hi</v>
      </c>
    </row>
    <row r="3279" spans="1:4" x14ac:dyDescent="0.2">
      <c r="A3279" t="str">
        <f>"3278"</f>
        <v>3278</v>
      </c>
      <c r="B3279" t="str">
        <f>"0.61"</f>
        <v>0.61</v>
      </c>
      <c r="C3279" t="str">
        <f>"48"</f>
        <v>48</v>
      </c>
      <c r="D3279" t="s">
        <v>106</v>
      </c>
    </row>
    <row r="3280" spans="1:4" x14ac:dyDescent="0.2">
      <c r="A3280" t="str">
        <f>"3279"</f>
        <v>3279</v>
      </c>
      <c r="B3280" t="str">
        <f>"0.83"</f>
        <v>0.83</v>
      </c>
      <c r="C3280" t="str">
        <f>"35"</f>
        <v>35</v>
      </c>
      <c r="D3280" t="str">
        <f>"Seven Swans"</f>
        <v>Seven Swans</v>
      </c>
    </row>
    <row r="3281" spans="1:4" x14ac:dyDescent="0.2">
      <c r="A3281" t="str">
        <f>"3280"</f>
        <v>3280</v>
      </c>
      <c r="B3281" t="str">
        <f>"0.25"</f>
        <v>0.25</v>
      </c>
      <c r="C3281" t="str">
        <f>"93"</f>
        <v>93</v>
      </c>
      <c r="D3281" t="str">
        <f>"Rejoicing in the Hands"</f>
        <v>Rejoicing in the Hands</v>
      </c>
    </row>
    <row r="3282" spans="1:4" x14ac:dyDescent="0.2">
      <c r="A3282" t="str">
        <f>"3281"</f>
        <v>3281</v>
      </c>
      <c r="B3282" t="str">
        <f>"0.44"</f>
        <v>0.44</v>
      </c>
      <c r="C3282" t="str">
        <f>"119"</f>
        <v>119</v>
      </c>
      <c r="D3282" t="s">
        <v>107</v>
      </c>
    </row>
    <row r="3283" spans="1:4" x14ac:dyDescent="0.2">
      <c r="A3283" t="str">
        <f>"3282"</f>
        <v>3282</v>
      </c>
      <c r="B3283" t="str">
        <f>"-0.25"</f>
        <v>-0.25</v>
      </c>
      <c r="C3283" t="str">
        <f>"64"</f>
        <v>64</v>
      </c>
      <c r="D3283" t="str">
        <f>"Murs 3:16 - The 9th Edition"</f>
        <v>Murs 3:16 - The 9th Edition</v>
      </c>
    </row>
    <row r="3284" spans="1:4" x14ac:dyDescent="0.2">
      <c r="A3284" t="str">
        <f>"3283"</f>
        <v>3283</v>
      </c>
      <c r="B3284" t="str">
        <f>"0.88"</f>
        <v>0.88</v>
      </c>
      <c r="C3284" t="str">
        <f>"43"</f>
        <v>43</v>
      </c>
      <c r="D3284" t="str">
        <f>"Leaving VA"</f>
        <v>Leaving VA</v>
      </c>
    </row>
    <row r="3285" spans="1:4" x14ac:dyDescent="0.2">
      <c r="A3285" t="str">
        <f>"3284"</f>
        <v>3284</v>
      </c>
      <c r="B3285" t="str">
        <f>"-0.63"</f>
        <v>-0.63</v>
      </c>
      <c r="C3285" t="str">
        <f>"54"</f>
        <v>54</v>
      </c>
      <c r="D3285" t="str">
        <f>"In What Language?"</f>
        <v>In What Language?</v>
      </c>
    </row>
    <row r="3286" spans="1:4" x14ac:dyDescent="0.2">
      <c r="A3286" t="str">
        <f>"3285"</f>
        <v>3285</v>
      </c>
      <c r="B3286" t="str">
        <f>"0.02"</f>
        <v>0.02</v>
      </c>
      <c r="C3286" t="str">
        <f>"73"</f>
        <v>73</v>
      </c>
      <c r="D3286" t="str">
        <f>"Your Blues"</f>
        <v>Your Blues</v>
      </c>
    </row>
    <row r="3287" spans="1:4" x14ac:dyDescent="0.2">
      <c r="A3287" t="str">
        <f>"3286"</f>
        <v>3286</v>
      </c>
      <c r="B3287" t="str">
        <f>"-0.4"</f>
        <v>-0.4</v>
      </c>
      <c r="C3287" t="str">
        <f>"60"</f>
        <v>60</v>
      </c>
      <c r="D3287" t="str">
        <f>"Stand with the Stillness of This Day"</f>
        <v>Stand with the Stillness of This Day</v>
      </c>
    </row>
    <row r="3288" spans="1:4" x14ac:dyDescent="0.2">
      <c r="A3288" t="str">
        <f>"3287"</f>
        <v>3287</v>
      </c>
      <c r="B3288" t="str">
        <f>"0.3"</f>
        <v>0.3</v>
      </c>
      <c r="C3288" t="str">
        <f>"40"</f>
        <v>40</v>
      </c>
      <c r="D3288" t="str">
        <f>"Rockstopper"</f>
        <v>Rockstopper</v>
      </c>
    </row>
    <row r="3289" spans="1:4" x14ac:dyDescent="0.2">
      <c r="A3289" t="str">
        <f>"3288"</f>
        <v>3288</v>
      </c>
      <c r="B3289" t="str">
        <f>"-0.1"</f>
        <v>-0.1</v>
      </c>
      <c r="C3289" t="str">
        <f>"75"</f>
        <v>75</v>
      </c>
      <c r="D3289" t="str">
        <f>"Grit"</f>
        <v>Grit</v>
      </c>
    </row>
    <row r="3290" spans="1:4" x14ac:dyDescent="0.2">
      <c r="A3290" t="str">
        <f>"3289"</f>
        <v>3289</v>
      </c>
      <c r="B3290" t="str">
        <f>"-0.25"</f>
        <v>-0.25</v>
      </c>
      <c r="C3290" t="str">
        <f>"36"</f>
        <v>36</v>
      </c>
      <c r="D3290" t="str">
        <f>"Ornette!"</f>
        <v>Ornette!</v>
      </c>
    </row>
    <row r="3291" spans="1:4" x14ac:dyDescent="0.2">
      <c r="A3291" t="str">
        <f>"3290"</f>
        <v>3290</v>
      </c>
      <c r="B3291" t="str">
        <f>"0.85"</f>
        <v>0.85</v>
      </c>
      <c r="C3291" t="str">
        <f>"48"</f>
        <v>48</v>
      </c>
      <c r="D3291" t="str">
        <f>"Dios"</f>
        <v>Dios</v>
      </c>
    </row>
    <row r="3292" spans="1:4" x14ac:dyDescent="0.2">
      <c r="A3292" t="str">
        <f>"3291"</f>
        <v>3291</v>
      </c>
      <c r="B3292" t="str">
        <f>"-0.71"</f>
        <v>-0.71</v>
      </c>
      <c r="C3292" t="str">
        <f>"62"</f>
        <v>62</v>
      </c>
      <c r="D3292" t="str">
        <f>"Carbon Glacier"</f>
        <v>Carbon Glacier</v>
      </c>
    </row>
    <row r="3293" spans="1:4" x14ac:dyDescent="0.2">
      <c r="A3293" t="str">
        <f>"3292"</f>
        <v>3292</v>
      </c>
      <c r="B3293" t="str">
        <f>"-0.07"</f>
        <v>-0.07</v>
      </c>
      <c r="C3293" t="str">
        <f>"79"</f>
        <v>79</v>
      </c>
      <c r="D3293" t="str">
        <f>"Camino del Sol"</f>
        <v>Camino del Sol</v>
      </c>
    </row>
    <row r="3294" spans="1:4" x14ac:dyDescent="0.2">
      <c r="A3294" t="str">
        <f>"3293"</f>
        <v>3293</v>
      </c>
      <c r="B3294" t="str">
        <f>"0.6"</f>
        <v>0.6</v>
      </c>
      <c r="C3294" t="str">
        <f>"56"</f>
        <v>56</v>
      </c>
      <c r="D3294" t="str">
        <f>"Ba Ba Ti Ki Di Do EP"</f>
        <v>Ba Ba Ti Ki Di Do EP</v>
      </c>
    </row>
    <row r="3295" spans="1:4" x14ac:dyDescent="0.2">
      <c r="A3295" t="str">
        <f>"3294"</f>
        <v>3294</v>
      </c>
      <c r="B3295" t="str">
        <f>"0.24"</f>
        <v>0.24</v>
      </c>
      <c r="C3295" t="str">
        <f>"55"</f>
        <v>55</v>
      </c>
      <c r="D3295" t="str">
        <f>"Scissor Sisters"</f>
        <v>Scissor Sisters</v>
      </c>
    </row>
    <row r="3296" spans="1:4" x14ac:dyDescent="0.2">
      <c r="A3296" t="str">
        <f>"3295"</f>
        <v>3295</v>
      </c>
      <c r="B3296" t="str">
        <f>"0.17"</f>
        <v>0.17</v>
      </c>
      <c r="C3296" t="str">
        <f>"83"</f>
        <v>83</v>
      </c>
      <c r="D3296" t="str">
        <f>"La Maison de Mon Reve"</f>
        <v>La Maison de Mon Reve</v>
      </c>
    </row>
    <row r="3297" spans="1:4" x14ac:dyDescent="0.2">
      <c r="A3297" t="str">
        <f>"3296"</f>
        <v>3296</v>
      </c>
      <c r="B3297" t="str">
        <f>"-0.3"</f>
        <v>-0.3</v>
      </c>
      <c r="C3297" t="str">
        <f>"46"</f>
        <v>46</v>
      </c>
      <c r="D3297" t="str">
        <f>"Drive By"</f>
        <v>Drive By</v>
      </c>
    </row>
    <row r="3298" spans="1:4" x14ac:dyDescent="0.2">
      <c r="A3298" t="str">
        <f>"3297"</f>
        <v>3297</v>
      </c>
      <c r="B3298" t="str">
        <f>"0.85"</f>
        <v>0.85</v>
      </c>
      <c r="C3298" t="str">
        <f>"61"</f>
        <v>61</v>
      </c>
      <c r="D3298" t="str">
        <f>"Candi Staton"</f>
        <v>Candi Staton</v>
      </c>
    </row>
    <row r="3299" spans="1:4" x14ac:dyDescent="0.2">
      <c r="A3299" t="str">
        <f>"3298"</f>
        <v>3298</v>
      </c>
      <c r="B3299" t="str">
        <f>"0.78"</f>
        <v>0.78</v>
      </c>
      <c r="C3299" t="str">
        <f>"55"</f>
        <v>55</v>
      </c>
      <c r="D3299" t="str">
        <f>"Soviet Kitsch"</f>
        <v>Soviet Kitsch</v>
      </c>
    </row>
    <row r="3300" spans="1:4" x14ac:dyDescent="0.2">
      <c r="A3300" t="str">
        <f>"3299"</f>
        <v>3299</v>
      </c>
      <c r="B3300" t="str">
        <f>"0.49"</f>
        <v>0.49</v>
      </c>
      <c r="C3300" t="str">
        <f>"66"</f>
        <v>66</v>
      </c>
      <c r="D3300" t="str">
        <f>"Not Overtly Orchestral"</f>
        <v>Not Overtly Orchestral</v>
      </c>
    </row>
    <row r="3301" spans="1:4" x14ac:dyDescent="0.2">
      <c r="A3301" t="str">
        <f>"3300"</f>
        <v>3300</v>
      </c>
      <c r="B3301" t="str">
        <f>"0.33"</f>
        <v>0.33</v>
      </c>
      <c r="C3301" t="str">
        <f>"91"</f>
        <v>91</v>
      </c>
      <c r="D3301" t="str">
        <f>"Milk Man"</f>
        <v>Milk Man</v>
      </c>
    </row>
    <row r="3302" spans="1:4" x14ac:dyDescent="0.2">
      <c r="A3302" t="str">
        <f>"3301"</f>
        <v>3301</v>
      </c>
      <c r="B3302" t="str">
        <f>"-0.48"</f>
        <v>-0.48</v>
      </c>
      <c r="C3302" t="str">
        <f>"88"</f>
        <v>88</v>
      </c>
      <c r="D3302" t="str">
        <f>"It's Always 1999"</f>
        <v>It's Always 1999</v>
      </c>
    </row>
    <row r="3303" spans="1:4" x14ac:dyDescent="0.2">
      <c r="A3303" t="str">
        <f>"3302"</f>
        <v>3302</v>
      </c>
      <c r="B3303" t="str">
        <f>"-0.78"</f>
        <v>-0.78</v>
      </c>
      <c r="C3303" t="str">
        <f>"65"</f>
        <v>65</v>
      </c>
      <c r="D3303" t="str">
        <f>"Regard the End"</f>
        <v>Regard the End</v>
      </c>
    </row>
    <row r="3304" spans="1:4" x14ac:dyDescent="0.2">
      <c r="A3304" t="str">
        <f>"3303"</f>
        <v>3303</v>
      </c>
      <c r="B3304" t="str">
        <f>"-0.02"</f>
        <v>-0.02</v>
      </c>
      <c r="C3304" t="str">
        <f>"54"</f>
        <v>54</v>
      </c>
      <c r="D3304" t="str">
        <f>"Nonsense Goes Mudslide"</f>
        <v>Nonsense Goes Mudslide</v>
      </c>
    </row>
    <row r="3305" spans="1:4" x14ac:dyDescent="0.2">
      <c r="A3305" t="str">
        <f>"3304"</f>
        <v>3304</v>
      </c>
      <c r="B3305" t="str">
        <f>"-0.31"</f>
        <v>-0.31</v>
      </c>
      <c r="C3305" t="str">
        <f>"48"</f>
        <v>48</v>
      </c>
      <c r="D3305" t="str">
        <f>"Map of What Is Effortless"</f>
        <v>Map of What Is Effortless</v>
      </c>
    </row>
    <row r="3306" spans="1:4" x14ac:dyDescent="0.2">
      <c r="A3306" t="str">
        <f>"3305"</f>
        <v>3305</v>
      </c>
      <c r="B3306" t="str">
        <f>"-0.27"</f>
        <v>-0.27</v>
      </c>
      <c r="C3306" t="str">
        <f>"124"</f>
        <v>124</v>
      </c>
      <c r="D3306" t="str">
        <f>"Franz Ferdinand"</f>
        <v>Franz Ferdinand</v>
      </c>
    </row>
    <row r="3307" spans="1:4" x14ac:dyDescent="0.2">
      <c r="A3307" t="str">
        <f>"3306"</f>
        <v>3306</v>
      </c>
      <c r="B3307" t="str">
        <f>"-0.04"</f>
        <v>-0.04</v>
      </c>
      <c r="C3307" t="str">
        <f>"53"</f>
        <v>53</v>
      </c>
      <c r="D3307" t="str">
        <f>"The Rosetta Stone"</f>
        <v>The Rosetta Stone</v>
      </c>
    </row>
    <row r="3308" spans="1:4" x14ac:dyDescent="0.2">
      <c r="A3308" t="str">
        <f>"3307"</f>
        <v>3307</v>
      </c>
      <c r="B3308" t="str">
        <f>"-0.41"</f>
        <v>-0.41</v>
      </c>
      <c r="C3308" t="str">
        <f>"79"</f>
        <v>79</v>
      </c>
      <c r="D3308" t="str">
        <f>"Le Grand Pic Mou"</f>
        <v>Le Grand Pic Mou</v>
      </c>
    </row>
    <row r="3309" spans="1:4" x14ac:dyDescent="0.2">
      <c r="A3309" t="str">
        <f>"3308"</f>
        <v>3308</v>
      </c>
      <c r="B3309" t="str">
        <f>"-0.65"</f>
        <v>-0.65</v>
      </c>
      <c r="C3309" t="str">
        <f>"69"</f>
        <v>69</v>
      </c>
      <c r="D3309" t="str">
        <f>"In My Mind All the Time"</f>
        <v>In My Mind All the Time</v>
      </c>
    </row>
    <row r="3310" spans="1:4" x14ac:dyDescent="0.2">
      <c r="A3310" t="str">
        <f>"3309"</f>
        <v>3309</v>
      </c>
      <c r="B3310" t="str">
        <f>"0.05"</f>
        <v>0.05</v>
      </c>
      <c r="C3310" t="str">
        <f>"34"</f>
        <v>34</v>
      </c>
      <c r="D3310" t="str">
        <f>"Groundswell"</f>
        <v>Groundswell</v>
      </c>
    </row>
    <row r="3311" spans="1:4" x14ac:dyDescent="0.2">
      <c r="A3311" t="str">
        <f>"3310"</f>
        <v>3310</v>
      </c>
      <c r="B3311" t="str">
        <f>"0.1"</f>
        <v>0.1</v>
      </c>
      <c r="C3311" t="str">
        <f>"89"</f>
        <v>89</v>
      </c>
      <c r="D3311" t="s">
        <v>108</v>
      </c>
    </row>
    <row r="3312" spans="1:4" x14ac:dyDescent="0.2">
      <c r="A3312" t="str">
        <f>"3311"</f>
        <v>3311</v>
      </c>
      <c r="B3312" t="str">
        <f>"-0.26"</f>
        <v>-0.26</v>
      </c>
      <c r="C3312" t="str">
        <f>"70"</f>
        <v>70</v>
      </c>
      <c r="D3312" t="str">
        <f>"The Tain EP"</f>
        <v>The Tain EP</v>
      </c>
    </row>
    <row r="3313" spans="1:4" x14ac:dyDescent="0.2">
      <c r="A3313" t="str">
        <f>"3312"</f>
        <v>3312</v>
      </c>
      <c r="B3313" t="str">
        <f>"-0.52"</f>
        <v>-0.52</v>
      </c>
      <c r="C3313" t="str">
        <f>"70"</f>
        <v>70</v>
      </c>
      <c r="D3313" t="str">
        <f>"The Garbageman and the Prostitute"</f>
        <v>The Garbageman and the Prostitute</v>
      </c>
    </row>
    <row r="3314" spans="1:4" x14ac:dyDescent="0.2">
      <c r="A3314" t="str">
        <f>"3313"</f>
        <v>3313</v>
      </c>
      <c r="B3314" t="str">
        <f>"-0.74"</f>
        <v>-0.74</v>
      </c>
      <c r="C3314" t="str">
        <f>"67"</f>
        <v>67</v>
      </c>
      <c r="D3314" t="str">
        <f>"Dying to Meet You"</f>
        <v>Dying to Meet You</v>
      </c>
    </row>
    <row r="3315" spans="1:4" x14ac:dyDescent="0.2">
      <c r="A3315" t="str">
        <f>"3314"</f>
        <v>3314</v>
      </c>
      <c r="B3315" t="str">
        <f>"0.3"</f>
        <v>0.3</v>
      </c>
      <c r="C3315" t="str">
        <f>"55"</f>
        <v>55</v>
      </c>
      <c r="D3315" t="str">
        <f>"Cee-Lo Green Is the Soul Machine"</f>
        <v>Cee-Lo Green Is the Soul Machine</v>
      </c>
    </row>
    <row r="3316" spans="1:4" x14ac:dyDescent="0.2">
      <c r="A3316" t="str">
        <f>"3315"</f>
        <v>3315</v>
      </c>
      <c r="B3316" t="str">
        <f>"-0.41"</f>
        <v>-0.41</v>
      </c>
      <c r="C3316" t="str">
        <f>"55"</f>
        <v>55</v>
      </c>
      <c r="D3316" t="str">
        <f>"Pawn Shoppe Heart"</f>
        <v>Pawn Shoppe Heart</v>
      </c>
    </row>
    <row r="3317" spans="1:4" x14ac:dyDescent="0.2">
      <c r="A3317" t="str">
        <f>"3316"</f>
        <v>3316</v>
      </c>
      <c r="B3317" t="str">
        <f>"0.13"</f>
        <v>0.13</v>
      </c>
      <c r="C3317" t="str">
        <f>"35"</f>
        <v>35</v>
      </c>
      <c r="D3317" t="s">
        <v>109</v>
      </c>
    </row>
    <row r="3318" spans="1:4" x14ac:dyDescent="0.2">
      <c r="A3318" t="str">
        <f>"3317"</f>
        <v>3317</v>
      </c>
      <c r="B3318" t="str">
        <f>"-0.4"</f>
        <v>-0.4</v>
      </c>
      <c r="C3318" t="str">
        <f>"68"</f>
        <v>68</v>
      </c>
      <c r="D3318" t="str">
        <f>"Liberation"</f>
        <v>Liberation</v>
      </c>
    </row>
    <row r="3319" spans="1:4" x14ac:dyDescent="0.2">
      <c r="A3319" t="str">
        <f>"3318"</f>
        <v>3318</v>
      </c>
      <c r="B3319" t="str">
        <f>"0.61"</f>
        <v>0.61</v>
      </c>
      <c r="C3319" t="str">
        <f>"53"</f>
        <v>53</v>
      </c>
      <c r="D3319" t="str">
        <f>"Dusk in Cold Parlours"</f>
        <v>Dusk in Cold Parlours</v>
      </c>
    </row>
    <row r="3320" spans="1:4" x14ac:dyDescent="0.2">
      <c r="A3320" t="str">
        <f>"3319"</f>
        <v>3319</v>
      </c>
      <c r="B3320" t="str">
        <f>"-0.59"</f>
        <v>-0.59</v>
      </c>
      <c r="C3320" t="str">
        <f>"43"</f>
        <v>43</v>
      </c>
      <c r="D3320" t="str">
        <f>"Bitches Without Britches"</f>
        <v>Bitches Without Britches</v>
      </c>
    </row>
    <row r="3321" spans="1:4" x14ac:dyDescent="0.2">
      <c r="A3321" t="str">
        <f>"3320"</f>
        <v>3320</v>
      </c>
      <c r="B3321" t="str">
        <f>"0.03"</f>
        <v>0.03</v>
      </c>
      <c r="C3321" t="str">
        <f>"59"</f>
        <v>59</v>
      </c>
      <c r="D3321" t="str">
        <f>"The Unsustainable Lifestyle"</f>
        <v>The Unsustainable Lifestyle</v>
      </c>
    </row>
    <row r="3322" spans="1:4" x14ac:dyDescent="0.2">
      <c r="A3322" t="str">
        <f>"3321"</f>
        <v>3321</v>
      </c>
      <c r="B3322" t="str">
        <f>"-0.11"</f>
        <v>-0.11</v>
      </c>
      <c r="C3322" t="str">
        <f>"43"</f>
        <v>43</v>
      </c>
      <c r="D3322" t="str">
        <f>"Democrazy"</f>
        <v>Democrazy</v>
      </c>
    </row>
    <row r="3323" spans="1:4" x14ac:dyDescent="0.2">
      <c r="A3323" t="str">
        <f>"3322"</f>
        <v>3322</v>
      </c>
      <c r="B3323" t="str">
        <f>"0.05"</f>
        <v>0.05</v>
      </c>
      <c r="C3323" t="str">
        <f>"30"</f>
        <v>30</v>
      </c>
      <c r="D3323" t="str">
        <f>"Crocodiles"</f>
        <v>Crocodiles</v>
      </c>
    </row>
    <row r="3324" spans="1:4" x14ac:dyDescent="0.2">
      <c r="A3324" t="str">
        <f>"3323"</f>
        <v>3323</v>
      </c>
      <c r="B3324" t="str">
        <f>"-0.56"</f>
        <v>-0.56</v>
      </c>
      <c r="C3324" t="str">
        <f>"43"</f>
        <v>43</v>
      </c>
      <c r="D3324" t="str">
        <f>"Seafarers Music EP"</f>
        <v>Seafarers Music EP</v>
      </c>
    </row>
    <row r="3325" spans="1:4" x14ac:dyDescent="0.2">
      <c r="A3325" t="str">
        <f>"3324"</f>
        <v>3324</v>
      </c>
      <c r="B3325" t="str">
        <f>"0.36"</f>
        <v>0.36</v>
      </c>
      <c r="C3325" t="str">
        <f>"49"</f>
        <v>49</v>
      </c>
      <c r="D3325" t="str">
        <f>"Quixotic"</f>
        <v>Quixotic</v>
      </c>
    </row>
    <row r="3326" spans="1:4" x14ac:dyDescent="0.2">
      <c r="A3326" t="str">
        <f>"3325"</f>
        <v>3325</v>
      </c>
      <c r="B3326" t="str">
        <f>"0.06"</f>
        <v>0.06</v>
      </c>
      <c r="C3326" t="str">
        <f>"46"</f>
        <v>46</v>
      </c>
      <c r="D3326" t="str">
        <f>"Monsoon"</f>
        <v>Monsoon</v>
      </c>
    </row>
    <row r="3327" spans="1:4" x14ac:dyDescent="0.2">
      <c r="A3327" t="str">
        <f>"3326"</f>
        <v>3326</v>
      </c>
      <c r="B3327" t="str">
        <f>"-0.07"</f>
        <v>-0.07</v>
      </c>
      <c r="C3327" t="str">
        <f>"54"</f>
        <v>54</v>
      </c>
      <c r="D3327" t="s">
        <v>110</v>
      </c>
    </row>
    <row r="3328" spans="1:4" x14ac:dyDescent="0.2">
      <c r="A3328" t="str">
        <f>"3327"</f>
        <v>3327</v>
      </c>
      <c r="B3328" t="str">
        <f>"0.42"</f>
        <v>0.42</v>
      </c>
      <c r="C3328" t="str">
        <f>"99"</f>
        <v>99</v>
      </c>
      <c r="D3328" t="str">
        <f>"Ultravisitor"</f>
        <v>Ultravisitor</v>
      </c>
    </row>
    <row r="3329" spans="1:4" x14ac:dyDescent="0.2">
      <c r="A3329" t="str">
        <f>"3328"</f>
        <v>3328</v>
      </c>
      <c r="B3329" t="str">
        <f>"-0.24"</f>
        <v>-0.24</v>
      </c>
      <c r="C3329" t="str">
        <f>"95"</f>
        <v>95</v>
      </c>
      <c r="D3329" t="str">
        <f>"Mondo Morricone: The Trilogy"</f>
        <v>Mondo Morricone: The Trilogy</v>
      </c>
    </row>
    <row r="3330" spans="1:4" x14ac:dyDescent="0.2">
      <c r="A3330" t="str">
        <f>"3329"</f>
        <v>3329</v>
      </c>
      <c r="B3330" t="str">
        <f>"-0.43"</f>
        <v>-0.43</v>
      </c>
      <c r="C3330" t="str">
        <f>"30"</f>
        <v>30</v>
      </c>
      <c r="D3330" t="str">
        <f>"Magic &amp; Medicine"</f>
        <v>Magic &amp; Medicine</v>
      </c>
    </row>
    <row r="3331" spans="1:4" x14ac:dyDescent="0.2">
      <c r="A3331" t="str">
        <f>"3330"</f>
        <v>3330</v>
      </c>
      <c r="B3331" t="str">
        <f>"-0.56"</f>
        <v>-0.56</v>
      </c>
      <c r="C3331" t="str">
        <f>"82"</f>
        <v>82</v>
      </c>
      <c r="D3331" t="str">
        <f>"Hole of Burning Alms"</f>
        <v>Hole of Burning Alms</v>
      </c>
    </row>
    <row r="3332" spans="1:4" x14ac:dyDescent="0.2">
      <c r="A3332" t="str">
        <f>"3331"</f>
        <v>3331</v>
      </c>
      <c r="B3332" t="str">
        <f>"0.13"</f>
        <v>0.13</v>
      </c>
      <c r="C3332" t="str">
        <f>"60"</f>
        <v>60</v>
      </c>
      <c r="D3332" t="str">
        <f>"Weekend Warrior"</f>
        <v>Weekend Warrior</v>
      </c>
    </row>
    <row r="3333" spans="1:4" x14ac:dyDescent="0.2">
      <c r="A3333" t="str">
        <f>"3332"</f>
        <v>3332</v>
      </c>
      <c r="B3333" t="str">
        <f>"0.4"</f>
        <v>0.4</v>
      </c>
      <c r="C3333" t="str">
        <f>"102"</f>
        <v>102</v>
      </c>
      <c r="D3333" t="str">
        <f>"Two Way Monologue"</f>
        <v>Two Way Monologue</v>
      </c>
    </row>
    <row r="3334" spans="1:4" x14ac:dyDescent="0.2">
      <c r="A3334" t="str">
        <f>"3333"</f>
        <v>3333</v>
      </c>
      <c r="B3334" t="str">
        <f>"0.37"</f>
        <v>0.37</v>
      </c>
      <c r="C3334" t="str">
        <f>"50"</f>
        <v>50</v>
      </c>
      <c r="D3334" t="str">
        <f>"Portrait of Entwistle EP"</f>
        <v>Portrait of Entwistle EP</v>
      </c>
    </row>
    <row r="3335" spans="1:4" x14ac:dyDescent="0.2">
      <c r="A3335" t="str">
        <f>"3334"</f>
        <v>3334</v>
      </c>
      <c r="B3335" t="str">
        <f>"0.73"</f>
        <v>0.73</v>
      </c>
      <c r="C3335" t="str">
        <f>"32"</f>
        <v>32</v>
      </c>
      <c r="D3335" t="str">
        <f>"Live in Japan"</f>
        <v>Live in Japan</v>
      </c>
    </row>
    <row r="3336" spans="1:4" x14ac:dyDescent="0.2">
      <c r="A3336" t="str">
        <f>"3335"</f>
        <v>3335</v>
      </c>
      <c r="B3336" t="str">
        <f>"-0.07"</f>
        <v>-0.07</v>
      </c>
      <c r="C3336" t="str">
        <f>"46"</f>
        <v>46</v>
      </c>
      <c r="D3336" t="str">
        <f>"Curling Pond Woods"</f>
        <v>Curling Pond Woods</v>
      </c>
    </row>
    <row r="3337" spans="1:4" x14ac:dyDescent="0.2">
      <c r="A3337" t="str">
        <f>"3336"</f>
        <v>3336</v>
      </c>
      <c r="B3337" t="str">
        <f>"0.6"</f>
        <v>0.6</v>
      </c>
      <c r="C3337" t="str">
        <f>"44"</f>
        <v>44</v>
      </c>
      <c r="D3337" t="str">
        <f>"All People Is My Friends"</f>
        <v>All People Is My Friends</v>
      </c>
    </row>
    <row r="3338" spans="1:4" x14ac:dyDescent="0.2">
      <c r="A3338" t="str">
        <f>"3337"</f>
        <v>3337</v>
      </c>
      <c r="B3338" t="str">
        <f>"0.91"</f>
        <v>0.91</v>
      </c>
      <c r="C3338" t="str">
        <f>"41"</f>
        <v>41</v>
      </c>
      <c r="D3338" t="str">
        <f>"The Best of Del tha Funkee Homosapien: The Elektra Years: B-Boy Handbook"</f>
        <v>The Best of Del tha Funkee Homosapien: The Elektra Years: B-Boy Handbook</v>
      </c>
    </row>
    <row r="3339" spans="1:4" x14ac:dyDescent="0.2">
      <c r="A3339" t="str">
        <f>"3338"</f>
        <v>3338</v>
      </c>
      <c r="B3339" t="str">
        <f>"-0.06"</f>
        <v>-0.06</v>
      </c>
      <c r="C3339" t="str">
        <f>"49"</f>
        <v>49</v>
      </c>
      <c r="D3339" t="str">
        <f>"Plaster Hounds"</f>
        <v>Plaster Hounds</v>
      </c>
    </row>
    <row r="3340" spans="1:4" x14ac:dyDescent="0.2">
      <c r="A3340" t="str">
        <f>"3339"</f>
        <v>3339</v>
      </c>
      <c r="B3340" t="str">
        <f>"0.39"</f>
        <v>0.39</v>
      </c>
      <c r="C3340" t="str">
        <f>"42"</f>
        <v>42</v>
      </c>
      <c r="D3340" t="str">
        <f>"I Love You But I've Chosen Darkness EP"</f>
        <v>I Love You But I've Chosen Darkness EP</v>
      </c>
    </row>
    <row r="3341" spans="1:4" x14ac:dyDescent="0.2">
      <c r="A3341" t="str">
        <f>"3340"</f>
        <v>3340</v>
      </c>
      <c r="B3341" t="str">
        <f>"0.52"</f>
        <v>0.52</v>
      </c>
      <c r="C3341" t="str">
        <f>"63"</f>
        <v>63</v>
      </c>
      <c r="D3341" t="str">
        <f>"You Are Here"</f>
        <v>You Are Here</v>
      </c>
    </row>
    <row r="3342" spans="1:4" x14ac:dyDescent="0.2">
      <c r="A3342" t="str">
        <f>"3341"</f>
        <v>3341</v>
      </c>
      <c r="B3342" t="str">
        <f>"-0.61"</f>
        <v>-0.61</v>
      </c>
      <c r="C3342" t="str">
        <f>"48"</f>
        <v>48</v>
      </c>
      <c r="D3342" t="s">
        <v>111</v>
      </c>
    </row>
    <row r="3343" spans="1:4" x14ac:dyDescent="0.2">
      <c r="A3343" t="str">
        <f>"3342"</f>
        <v>3342</v>
      </c>
      <c r="B3343" t="str">
        <f>"-0.54"</f>
        <v>-0.54</v>
      </c>
      <c r="C3343" t="str">
        <f>"95"</f>
        <v>95</v>
      </c>
      <c r="D3343" t="str">
        <f>"They Were Wrong So We Drowned"</f>
        <v>They Were Wrong So We Drowned</v>
      </c>
    </row>
    <row r="3344" spans="1:4" x14ac:dyDescent="0.2">
      <c r="A3344" t="str">
        <f>"3343"</f>
        <v>3343</v>
      </c>
      <c r="B3344" t="str">
        <f>"0.5"</f>
        <v>0.5</v>
      </c>
      <c r="C3344" t="str">
        <f>"44"</f>
        <v>44</v>
      </c>
      <c r="D3344" t="str">
        <f>"List of Lights and Buoys"</f>
        <v>List of Lights and Buoys</v>
      </c>
    </row>
    <row r="3345" spans="1:4" x14ac:dyDescent="0.2">
      <c r="A3345" t="str">
        <f>"3344"</f>
        <v>3344</v>
      </c>
      <c r="B3345" t="str">
        <f>"0.12"</f>
        <v>0.12</v>
      </c>
      <c r="C3345" t="str">
        <f>"85"</f>
        <v>85</v>
      </c>
      <c r="D3345" t="str">
        <f>"Lipstick Traces: A Secret History of Manic Street Preachers"</f>
        <v>Lipstick Traces: A Secret History of Manic Street Preachers</v>
      </c>
    </row>
    <row r="3346" spans="1:4" x14ac:dyDescent="0.2">
      <c r="A3346" t="str">
        <f>"3345"</f>
        <v>3345</v>
      </c>
      <c r="B3346" t="str">
        <f>"-0.05"</f>
        <v>-0.05</v>
      </c>
      <c r="C3346" t="str">
        <f>"59"</f>
        <v>59</v>
      </c>
      <c r="D3346" t="str">
        <f>"Sweet and Vicious Like Frankenstein"</f>
        <v>Sweet and Vicious Like Frankenstein</v>
      </c>
    </row>
    <row r="3347" spans="1:4" x14ac:dyDescent="0.2">
      <c r="A3347" t="str">
        <f>"3346"</f>
        <v>3346</v>
      </c>
      <c r="B3347" t="str">
        <f>"0.2"</f>
        <v>0.2</v>
      </c>
      <c r="C3347" t="str">
        <f>"41"</f>
        <v>41</v>
      </c>
      <c r="D3347" t="str">
        <f>"She's in Control"</f>
        <v>She's in Control</v>
      </c>
    </row>
    <row r="3348" spans="1:4" x14ac:dyDescent="0.2">
      <c r="A3348" t="str">
        <f>"3347"</f>
        <v>3347</v>
      </c>
      <c r="B3348" t="str">
        <f>"-0.39"</f>
        <v>-0.39</v>
      </c>
      <c r="C3348" t="str">
        <f>"46"</f>
        <v>46</v>
      </c>
      <c r="D3348" t="str">
        <f>"Messy Century"</f>
        <v>Messy Century</v>
      </c>
    </row>
    <row r="3349" spans="1:4" x14ac:dyDescent="0.2">
      <c r="A3349" t="str">
        <f>"3348"</f>
        <v>3348</v>
      </c>
      <c r="B3349" t="str">
        <f>"-0.94"</f>
        <v>-0.94</v>
      </c>
      <c r="C3349" t="str">
        <f>"63"</f>
        <v>63</v>
      </c>
      <c r="D3349" t="str">
        <f>"Delìrivm Cordìa"</f>
        <v>Delìrivm Cordìa</v>
      </c>
    </row>
    <row r="3350" spans="1:4" x14ac:dyDescent="0.2">
      <c r="A3350" t="str">
        <f>"3349"</f>
        <v>3349</v>
      </c>
      <c r="B3350" t="str">
        <f>"0.73"</f>
        <v>0.73</v>
      </c>
      <c r="C3350" t="str">
        <f>"51"</f>
        <v>51</v>
      </c>
      <c r="D3350" t="str">
        <f>"Circles"</f>
        <v>Circles</v>
      </c>
    </row>
    <row r="3351" spans="1:4" x14ac:dyDescent="0.2">
      <c r="A3351" t="str">
        <f>"3350"</f>
        <v>3350</v>
      </c>
      <c r="B3351" t="str">
        <f>"-0.4"</f>
        <v>-0.4</v>
      </c>
      <c r="C3351" t="str">
        <f>"47"</f>
        <v>47</v>
      </c>
      <c r="D3351" t="str">
        <f>"The College Dropout"</f>
        <v>The College Dropout</v>
      </c>
    </row>
    <row r="3352" spans="1:4" x14ac:dyDescent="0.2">
      <c r="A3352" t="str">
        <f>"3351"</f>
        <v>3351</v>
      </c>
      <c r="B3352" t="str">
        <f>"-0.29"</f>
        <v>-0.29</v>
      </c>
      <c r="C3352" t="str">
        <f>"67"</f>
        <v>67</v>
      </c>
      <c r="D3352" t="str">
        <f>"Westworld"</f>
        <v>Westworld</v>
      </c>
    </row>
    <row r="3353" spans="1:4" x14ac:dyDescent="0.2">
      <c r="A3353" t="str">
        <f>"3352"</f>
        <v>3352</v>
      </c>
      <c r="B3353" t="str">
        <f>"-0.74"</f>
        <v>-0.74</v>
      </c>
      <c r="C3353" t="str">
        <f>"87"</f>
        <v>87</v>
      </c>
      <c r="D3353" t="str">
        <f>"The Rough Guide to African Rap"</f>
        <v>The Rough Guide to African Rap</v>
      </c>
    </row>
    <row r="3354" spans="1:4" x14ac:dyDescent="0.2">
      <c r="A3354" t="str">
        <f>"3353"</f>
        <v>3353</v>
      </c>
      <c r="B3354" t="str">
        <f>"-0.07"</f>
        <v>-0.07</v>
      </c>
      <c r="C3354" t="str">
        <f>"14"</f>
        <v>14</v>
      </c>
      <c r="D3354" t="str">
        <f>"I Don't Wanna"</f>
        <v>I Don't Wanna</v>
      </c>
    </row>
    <row r="3355" spans="1:4" x14ac:dyDescent="0.2">
      <c r="A3355" t="str">
        <f>"3354"</f>
        <v>3354</v>
      </c>
      <c r="B3355" t="str">
        <f>"-0.68"</f>
        <v>-0.68</v>
      </c>
      <c r="C3355" t="str">
        <f>"57"</f>
        <v>57</v>
      </c>
      <c r="D3355" t="str">
        <f>"Dresden Dolls"</f>
        <v>Dresden Dolls</v>
      </c>
    </row>
    <row r="3356" spans="1:4" x14ac:dyDescent="0.2">
      <c r="A3356" t="str">
        <f>"3355"</f>
        <v>3355</v>
      </c>
      <c r="B3356" t="str">
        <f>"0.59"</f>
        <v>0.59</v>
      </c>
      <c r="C3356" t="str">
        <f>"51"</f>
        <v>51</v>
      </c>
      <c r="D3356" t="str">
        <f>"The Cansecos"</f>
        <v>The Cansecos</v>
      </c>
    </row>
    <row r="3357" spans="1:4" x14ac:dyDescent="0.2">
      <c r="A3357" t="str">
        <f>"3356"</f>
        <v>3356</v>
      </c>
      <c r="B3357" t="str">
        <f>"-0.68"</f>
        <v>-0.68</v>
      </c>
      <c r="C3357" t="str">
        <f>"129"</f>
        <v>129</v>
      </c>
      <c r="D3357" t="str">
        <f>"Motor City Madness: The Ultimate Funkadelic Compilation"</f>
        <v>Motor City Madness: The Ultimate Funkadelic Compilation</v>
      </c>
    </row>
    <row r="3358" spans="1:4" x14ac:dyDescent="0.2">
      <c r="A3358" t="str">
        <f>"3357"</f>
        <v>3357</v>
      </c>
      <c r="B3358" t="str">
        <f>"0.38"</f>
        <v>0.38</v>
      </c>
      <c r="C3358" t="str">
        <f>"70"</f>
        <v>70</v>
      </c>
      <c r="D3358" t="str">
        <f>"Milieu"</f>
        <v>Milieu</v>
      </c>
    </row>
    <row r="3359" spans="1:4" x14ac:dyDescent="0.2">
      <c r="A3359" t="str">
        <f>"3358"</f>
        <v>3358</v>
      </c>
      <c r="B3359" t="str">
        <f>"0.5"</f>
        <v>0.5</v>
      </c>
      <c r="C3359" t="str">
        <f>"39"</f>
        <v>39</v>
      </c>
      <c r="D3359" t="str">
        <f>"Meet Next Life"</f>
        <v>Meet Next Life</v>
      </c>
    </row>
    <row r="3360" spans="1:4" x14ac:dyDescent="0.2">
      <c r="A3360" t="str">
        <f>"3359"</f>
        <v>3359</v>
      </c>
      <c r="B3360" t="str">
        <f>"-0.03"</f>
        <v>-0.03</v>
      </c>
      <c r="C3360" t="str">
        <f>"41"</f>
        <v>41</v>
      </c>
      <c r="D3360" t="str">
        <f>"Life Doesn't Rhyme"</f>
        <v>Life Doesn't Rhyme</v>
      </c>
    </row>
    <row r="3361" spans="1:4" x14ac:dyDescent="0.2">
      <c r="A3361" t="str">
        <f>"3360"</f>
        <v>3360</v>
      </c>
      <c r="B3361" t="str">
        <f>"0.76"</f>
        <v>0.76</v>
      </c>
      <c r="C3361" t="str">
        <f>"48"</f>
        <v>48</v>
      </c>
      <c r="D3361" t="str">
        <f>"Smallville"</f>
        <v>Smallville</v>
      </c>
    </row>
    <row r="3362" spans="1:4" x14ac:dyDescent="0.2">
      <c r="A3362" t="str">
        <f>"3361"</f>
        <v>3361</v>
      </c>
      <c r="B3362" t="str">
        <f>"0.08"</f>
        <v>0.08</v>
      </c>
      <c r="C3362" t="str">
        <f>"46"</f>
        <v>46</v>
      </c>
      <c r="D3362" t="str">
        <f>"Fool for Love"</f>
        <v>Fool for Love</v>
      </c>
    </row>
    <row r="3363" spans="1:4" x14ac:dyDescent="0.2">
      <c r="A3363" t="str">
        <f>"3362"</f>
        <v>3362</v>
      </c>
      <c r="B3363" t="str">
        <f>"0.21"</f>
        <v>0.21</v>
      </c>
      <c r="C3363" t="str">
        <f>"72"</f>
        <v>72</v>
      </c>
      <c r="D3363" t="str">
        <f>"Feel Good Lost"</f>
        <v>Feel Good Lost</v>
      </c>
    </row>
    <row r="3364" spans="1:4" x14ac:dyDescent="0.2">
      <c r="A3364" t="str">
        <f>"3363"</f>
        <v>3363</v>
      </c>
      <c r="B3364" t="str">
        <f>"0.27"</f>
        <v>0.27</v>
      </c>
      <c r="C3364" t="str">
        <f>"36"</f>
        <v>36</v>
      </c>
      <c r="D3364" t="str">
        <f>"Fabulous Muscles"</f>
        <v>Fabulous Muscles</v>
      </c>
    </row>
    <row r="3365" spans="1:4" x14ac:dyDescent="0.2">
      <c r="A3365" t="str">
        <f>"3364"</f>
        <v>3364</v>
      </c>
      <c r="B3365" t="str">
        <f>"0.08"</f>
        <v>0.08</v>
      </c>
      <c r="C3365" t="str">
        <f>"61"</f>
        <v>61</v>
      </c>
      <c r="D3365" t="str">
        <f>"Calling Out of Context"</f>
        <v>Calling Out of Context</v>
      </c>
    </row>
    <row r="3366" spans="1:4" x14ac:dyDescent="0.2">
      <c r="A3366" t="str">
        <f>"3365"</f>
        <v>3365</v>
      </c>
      <c r="B3366" t="str">
        <f>"-0.89"</f>
        <v>-0.89</v>
      </c>
      <c r="C3366" t="str">
        <f>"70"</f>
        <v>70</v>
      </c>
      <c r="D3366" t="str">
        <f>"Bravehearted"</f>
        <v>Bravehearted</v>
      </c>
    </row>
    <row r="3367" spans="1:4" x14ac:dyDescent="0.2">
      <c r="A3367" t="str">
        <f>"3366"</f>
        <v>3366</v>
      </c>
      <c r="B3367" t="str">
        <f>"-0.55"</f>
        <v>-0.55</v>
      </c>
      <c r="C3367" t="str">
        <f>"61"</f>
        <v>61</v>
      </c>
      <c r="D3367" t="str">
        <f>"The Grey Album"</f>
        <v>The Grey Album</v>
      </c>
    </row>
    <row r="3368" spans="1:4" x14ac:dyDescent="0.2">
      <c r="A3368" t="str">
        <f>"3367"</f>
        <v>3367</v>
      </c>
      <c r="B3368" t="str">
        <f>"0.37"</f>
        <v>0.37</v>
      </c>
      <c r="C3368" t="str">
        <f>"30"</f>
        <v>30</v>
      </c>
      <c r="D3368" t="str">
        <f>"Soundchambers"</f>
        <v>Soundchambers</v>
      </c>
    </row>
    <row r="3369" spans="1:4" x14ac:dyDescent="0.2">
      <c r="A3369" t="str">
        <f>"3368"</f>
        <v>3368</v>
      </c>
      <c r="B3369" t="str">
        <f>"0.42"</f>
        <v>0.42</v>
      </c>
      <c r="C3369" t="str">
        <f>"43"</f>
        <v>43</v>
      </c>
      <c r="D3369" t="str">
        <f>"Me First"</f>
        <v>Me First</v>
      </c>
    </row>
    <row r="3370" spans="1:4" x14ac:dyDescent="0.2">
      <c r="A3370" t="str">
        <f>"3369"</f>
        <v>3369</v>
      </c>
      <c r="B3370" t="str">
        <f>"-0.7"</f>
        <v>-0.7</v>
      </c>
      <c r="C3370" t="str">
        <f>"50"</f>
        <v>50</v>
      </c>
      <c r="D3370" t="str">
        <f>"4th Dimensional Rocketships Going Up"</f>
        <v>4th Dimensional Rocketships Going Up</v>
      </c>
    </row>
    <row r="3371" spans="1:4" x14ac:dyDescent="0.2">
      <c r="A3371" t="str">
        <f>"3370"</f>
        <v>3370</v>
      </c>
      <c r="B3371" t="str">
        <f>"-0.65"</f>
        <v>-0.65</v>
      </c>
      <c r="C3371" t="str">
        <f>"63"</f>
        <v>63</v>
      </c>
      <c r="D3371" t="str">
        <f>"The Best of K.M.D."</f>
        <v>The Best of K.M.D.</v>
      </c>
    </row>
    <row r="3372" spans="1:4" x14ac:dyDescent="0.2">
      <c r="A3372" t="str">
        <f>"3371"</f>
        <v>3371</v>
      </c>
      <c r="B3372" t="str">
        <f>"0.05"</f>
        <v>0.05</v>
      </c>
      <c r="C3372" t="str">
        <f>"105"</f>
        <v>105</v>
      </c>
      <c r="D3372" t="str">
        <f>"Probot"</f>
        <v>Probot</v>
      </c>
    </row>
    <row r="3373" spans="1:4" x14ac:dyDescent="0.2">
      <c r="A3373" t="str">
        <f>"3372"</f>
        <v>3372</v>
      </c>
      <c r="B3373" t="str">
        <f>"0.22"</f>
        <v>0.22</v>
      </c>
      <c r="C3373" t="str">
        <f>"30"</f>
        <v>30</v>
      </c>
      <c r="D3373" t="str">
        <f>"Interstella 5555: The 5tory of the 5ecret 5tar 5ystem"</f>
        <v>Interstella 5555: The 5tory of the 5ecret 5tar 5ystem</v>
      </c>
    </row>
    <row r="3374" spans="1:4" x14ac:dyDescent="0.2">
      <c r="A3374" t="str">
        <f>"3373"</f>
        <v>3373</v>
      </c>
      <c r="B3374" t="str">
        <f>"-1.1"</f>
        <v>-1.1</v>
      </c>
      <c r="C3374" t="str">
        <f>"36"</f>
        <v>36</v>
      </c>
      <c r="D3374" t="str">
        <f>"Give People What They Want in Lethal Doses"</f>
        <v>Give People What They Want in Lethal Doses</v>
      </c>
    </row>
    <row r="3375" spans="1:4" x14ac:dyDescent="0.2">
      <c r="A3375" t="str">
        <f>"3374"</f>
        <v>3374</v>
      </c>
      <c r="B3375" t="str">
        <f>"0.03"</f>
        <v>0.03</v>
      </c>
      <c r="C3375" t="str">
        <f>"68"</f>
        <v>68</v>
      </c>
      <c r="D3375" t="str">
        <f>"Aw C'mon / No You C'mon"</f>
        <v>Aw C'mon / No You C'mon</v>
      </c>
    </row>
    <row r="3376" spans="1:4" x14ac:dyDescent="0.2">
      <c r="A3376" t="str">
        <f>"3375"</f>
        <v>3375</v>
      </c>
      <c r="B3376" t="str">
        <f>"-0.29"</f>
        <v>-0.29</v>
      </c>
      <c r="C3376" t="str">
        <f>"91"</f>
        <v>91</v>
      </c>
      <c r="D3376" t="str">
        <f>"Ten"</f>
        <v>Ten</v>
      </c>
    </row>
    <row r="3377" spans="1:4" x14ac:dyDescent="0.2">
      <c r="A3377" t="str">
        <f>"3376"</f>
        <v>3376</v>
      </c>
      <c r="B3377" t="str">
        <f>"0"</f>
        <v>0</v>
      </c>
      <c r="C3377" t="str">
        <f>"35"</f>
        <v>35</v>
      </c>
      <c r="D3377" t="str">
        <f>"Split EP"</f>
        <v>Split EP</v>
      </c>
    </row>
    <row r="3378" spans="1:4" x14ac:dyDescent="0.2">
      <c r="A3378" t="str">
        <f>"3377"</f>
        <v>3377</v>
      </c>
      <c r="B3378" t="str">
        <f>"0.66"</f>
        <v>0.66</v>
      </c>
      <c r="C3378" t="str">
        <f>"61"</f>
        <v>61</v>
      </c>
      <c r="D3378" t="str">
        <f>"Panda Park"</f>
        <v>Panda Park</v>
      </c>
    </row>
    <row r="3379" spans="1:4" x14ac:dyDescent="0.2">
      <c r="A3379" t="str">
        <f>"3378"</f>
        <v>3378</v>
      </c>
      <c r="B3379" t="str">
        <f>"-0.04"</f>
        <v>-0.04</v>
      </c>
      <c r="C3379" t="str">
        <f>"52"</f>
        <v>52</v>
      </c>
      <c r="D3379" t="str">
        <f>"Modern"</f>
        <v>Modern</v>
      </c>
    </row>
    <row r="3380" spans="1:4" x14ac:dyDescent="0.2">
      <c r="A3380" t="str">
        <f>"3379"</f>
        <v>3379</v>
      </c>
      <c r="B3380" t="str">
        <f>"0.63"</f>
        <v>0.63</v>
      </c>
      <c r="C3380" t="str">
        <f>"57"</f>
        <v>57</v>
      </c>
      <c r="D3380" t="str">
        <f>"Espers"</f>
        <v>Espers</v>
      </c>
    </row>
    <row r="3381" spans="1:4" x14ac:dyDescent="0.2">
      <c r="A3381" t="str">
        <f>"3380"</f>
        <v>3380</v>
      </c>
      <c r="B3381" t="str">
        <f>"-0.15"</f>
        <v>-0.15</v>
      </c>
      <c r="C3381" t="str">
        <f>"80"</f>
        <v>80</v>
      </c>
      <c r="D3381" t="s">
        <v>112</v>
      </c>
    </row>
    <row r="3382" spans="1:4" x14ac:dyDescent="0.2">
      <c r="A3382" t="str">
        <f>"3381"</f>
        <v>3381</v>
      </c>
      <c r="B3382" t="str">
        <f>"-0.96"</f>
        <v>-0.96</v>
      </c>
      <c r="C3382" t="str">
        <f>"42"</f>
        <v>42</v>
      </c>
      <c r="D3382" t="str">
        <f>"What the... You Mean I Can't Sing?"</f>
        <v>What the... You Mean I Can't Sing?</v>
      </c>
    </row>
    <row r="3383" spans="1:4" x14ac:dyDescent="0.2">
      <c r="A3383" t="str">
        <f>"3382"</f>
        <v>3382</v>
      </c>
      <c r="B3383" t="str">
        <f>"0.17"</f>
        <v>0.17</v>
      </c>
      <c r="C3383" t="str">
        <f>"74"</f>
        <v>74</v>
      </c>
      <c r="D3383" t="str">
        <f>"Sun Lights Down on the Fence"</f>
        <v>Sun Lights Down on the Fence</v>
      </c>
    </row>
    <row r="3384" spans="1:4" x14ac:dyDescent="0.2">
      <c r="A3384" t="str">
        <f>"3383"</f>
        <v>3383</v>
      </c>
      <c r="B3384" t="str">
        <f>"0.68"</f>
        <v>0.68</v>
      </c>
      <c r="C3384" t="str">
        <f>"28"</f>
        <v>28</v>
      </c>
      <c r="D3384" t="str">
        <f>"Nilsson Schmilsson"</f>
        <v>Nilsson Schmilsson</v>
      </c>
    </row>
    <row r="3385" spans="1:4" x14ac:dyDescent="0.2">
      <c r="A3385" t="str">
        <f>"3384"</f>
        <v>3384</v>
      </c>
      <c r="B3385" t="str">
        <f>"-0.05"</f>
        <v>-0.05</v>
      </c>
      <c r="C3385" t="str">
        <f>"95"</f>
        <v>95</v>
      </c>
      <c r="D3385" t="str">
        <f>"America's Sweetheart"</f>
        <v>America's Sweetheart</v>
      </c>
    </row>
    <row r="3386" spans="1:4" x14ac:dyDescent="0.2">
      <c r="A3386" t="str">
        <f>"3385"</f>
        <v>3385</v>
      </c>
      <c r="B3386" t="str">
        <f>"-0.38"</f>
        <v>-0.38</v>
      </c>
      <c r="C3386" t="str">
        <f>"64"</f>
        <v>64</v>
      </c>
      <c r="D3386" t="str">
        <f>"Rise Up!"</f>
        <v>Rise Up!</v>
      </c>
    </row>
    <row r="3387" spans="1:4" x14ac:dyDescent="0.2">
      <c r="A3387" t="str">
        <f>"3386"</f>
        <v>3386</v>
      </c>
      <c r="B3387" t="str">
        <f>"0.81"</f>
        <v>0.81</v>
      </c>
      <c r="C3387" t="str">
        <f>"22"</f>
        <v>22</v>
      </c>
      <c r="D3387" t="str">
        <f>"Wings Beneath the Sills/Casket City Wolves"</f>
        <v>Wings Beneath the Sills/Casket City Wolves</v>
      </c>
    </row>
    <row r="3388" spans="1:4" x14ac:dyDescent="0.2">
      <c r="A3388" t="str">
        <f>"3387"</f>
        <v>3387</v>
      </c>
      <c r="B3388" t="str">
        <f>"0.05"</f>
        <v>0.05</v>
      </c>
      <c r="C3388" t="str">
        <f>"61"</f>
        <v>61</v>
      </c>
      <c r="D3388" t="str">
        <f>"Blue Sky"</f>
        <v>Blue Sky</v>
      </c>
    </row>
    <row r="3389" spans="1:4" x14ac:dyDescent="0.2">
      <c r="A3389" t="str">
        <f>"3388"</f>
        <v>3388</v>
      </c>
      <c r="B3389" t="str">
        <f>"-0.19"</f>
        <v>-0.19</v>
      </c>
      <c r="C3389" t="str">
        <f>"199"</f>
        <v>199</v>
      </c>
      <c r="D3389" t="str">
        <f>"No Thanks!: The 70s Punk Rebellion"</f>
        <v>No Thanks!: The 70s Punk Rebellion</v>
      </c>
    </row>
    <row r="3390" spans="1:4" x14ac:dyDescent="0.2">
      <c r="A3390" t="str">
        <f>"3389"</f>
        <v>3389</v>
      </c>
      <c r="B3390" t="str">
        <f>"0.5"</f>
        <v>0.5</v>
      </c>
      <c r="C3390" t="str">
        <f>"80"</f>
        <v>80</v>
      </c>
      <c r="D3390" t="str">
        <f>"Evergreen"</f>
        <v>Evergreen</v>
      </c>
    </row>
    <row r="3391" spans="1:4" x14ac:dyDescent="0.2">
      <c r="A3391" t="str">
        <f>"3390"</f>
        <v>3390</v>
      </c>
      <c r="B3391" t="str">
        <f>"0"</f>
        <v>0</v>
      </c>
      <c r="C3391" t="str">
        <f>"57"</f>
        <v>57</v>
      </c>
      <c r="D3391" t="str">
        <f>"Kamikaze"</f>
        <v>Kamikaze</v>
      </c>
    </row>
    <row r="3392" spans="1:4" x14ac:dyDescent="0.2">
      <c r="A3392" t="str">
        <f>"3391"</f>
        <v>3391</v>
      </c>
      <c r="B3392" t="str">
        <f>"-1.31"</f>
        <v>-1.31</v>
      </c>
      <c r="C3392" t="str">
        <f>"55"</f>
        <v>55</v>
      </c>
      <c r="D3392" t="str">
        <f>"The Parable of Arable Land"</f>
        <v>The Parable of Arable Land</v>
      </c>
    </row>
    <row r="3393" spans="1:4" x14ac:dyDescent="0.2">
      <c r="A3393" t="str">
        <f>"3392"</f>
        <v>3392</v>
      </c>
      <c r="B3393" t="str">
        <f>"0.35"</f>
        <v>0.35</v>
      </c>
      <c r="C3393" t="str">
        <f>"39"</f>
        <v>39</v>
      </c>
      <c r="D3393" t="str">
        <f>"Rises and Falls"</f>
        <v>Rises and Falls</v>
      </c>
    </row>
    <row r="3394" spans="1:4" x14ac:dyDescent="0.2">
      <c r="A3394" t="str">
        <f>"3393"</f>
        <v>3393</v>
      </c>
      <c r="B3394" t="str">
        <f>"0.96"</f>
        <v>0.96</v>
      </c>
      <c r="C3394" t="str">
        <f>"42"</f>
        <v>42</v>
      </c>
      <c r="D3394" t="str">
        <f>"Kimi Ga Suki"</f>
        <v>Kimi Ga Suki</v>
      </c>
    </row>
    <row r="3395" spans="1:4" x14ac:dyDescent="0.2">
      <c r="A3395" t="str">
        <f>"3394"</f>
        <v>3394</v>
      </c>
      <c r="B3395" t="str">
        <f>"1.03"</f>
        <v>1.03</v>
      </c>
      <c r="C3395" t="str">
        <f>"50"</f>
        <v>50</v>
      </c>
      <c r="D3395" t="str">
        <f>"Tomorrow Is Again"</f>
        <v>Tomorrow Is Again</v>
      </c>
    </row>
    <row r="3396" spans="1:4" x14ac:dyDescent="0.2">
      <c r="A3396" t="str">
        <f>"3395"</f>
        <v>3395</v>
      </c>
      <c r="B3396" t="str">
        <f>"-0.05"</f>
        <v>-0.05</v>
      </c>
      <c r="C3396" t="str">
        <f>"99"</f>
        <v>99</v>
      </c>
      <c r="D3396" t="str">
        <f>"The Yes Album"</f>
        <v>The Yes Album</v>
      </c>
    </row>
    <row r="3397" spans="1:4" x14ac:dyDescent="0.2">
      <c r="A3397" t="str">
        <f>"3396"</f>
        <v>3396</v>
      </c>
      <c r="B3397" t="str">
        <f>"0.39"</f>
        <v>0.39</v>
      </c>
      <c r="C3397" t="str">
        <f>"53"</f>
        <v>53</v>
      </c>
      <c r="D3397" t="str">
        <f>"The Happiest Days of Our Lives"</f>
        <v>The Happiest Days of Our Lives</v>
      </c>
    </row>
    <row r="3398" spans="1:4" x14ac:dyDescent="0.2">
      <c r="A3398" t="str">
        <f>"3397"</f>
        <v>3397</v>
      </c>
      <c r="B3398" t="str">
        <f>"-0.09"</f>
        <v>-0.09</v>
      </c>
      <c r="C3398" t="str">
        <f>"45"</f>
        <v>45</v>
      </c>
      <c r="D3398" t="str">
        <f>"Spirit Stereo Frequency"</f>
        <v>Spirit Stereo Frequency</v>
      </c>
    </row>
    <row r="3399" spans="1:4" x14ac:dyDescent="0.2">
      <c r="A3399" t="str">
        <f>"3398"</f>
        <v>3398</v>
      </c>
      <c r="B3399" t="str">
        <f>"-0.25"</f>
        <v>-0.25</v>
      </c>
      <c r="C3399" t="str">
        <f>"34"</f>
        <v>34</v>
      </c>
      <c r="D3399" t="str">
        <f>"Das Capital: The Songwriting Genius of Luke Haines &amp; The Auteurs"</f>
        <v>Das Capital: The Songwriting Genius of Luke Haines &amp; The Auteurs</v>
      </c>
    </row>
    <row r="3400" spans="1:4" x14ac:dyDescent="0.2">
      <c r="A3400" t="str">
        <f>"3399"</f>
        <v>3399</v>
      </c>
      <c r="B3400" t="str">
        <f>"-0.2"</f>
        <v>-0.2</v>
      </c>
      <c r="C3400" t="str">
        <f>"81"</f>
        <v>81</v>
      </c>
      <c r="D3400" t="str">
        <f>"Thunder Perfect Mind"</f>
        <v>Thunder Perfect Mind</v>
      </c>
    </row>
    <row r="3401" spans="1:4" x14ac:dyDescent="0.2">
      <c r="A3401" t="str">
        <f>"3400"</f>
        <v>3400</v>
      </c>
      <c r="B3401" t="str">
        <f>"-0.18"</f>
        <v>-0.18</v>
      </c>
      <c r="C3401" t="str">
        <f>"53"</f>
        <v>53</v>
      </c>
      <c r="D3401" t="s">
        <v>113</v>
      </c>
    </row>
    <row r="3402" spans="1:4" x14ac:dyDescent="0.2">
      <c r="A3402" t="str">
        <f>"3401"</f>
        <v>3401</v>
      </c>
      <c r="B3402" t="str">
        <f>"-0.58"</f>
        <v>-0.58</v>
      </c>
      <c r="C3402" t="str">
        <f>"31"</f>
        <v>31</v>
      </c>
      <c r="D3402" t="str">
        <f>"Come Feel Me Tremble"</f>
        <v>Come Feel Me Tremble</v>
      </c>
    </row>
    <row r="3403" spans="1:4" x14ac:dyDescent="0.2">
      <c r="A3403" t="str">
        <f>"3402"</f>
        <v>3402</v>
      </c>
      <c r="B3403" t="str">
        <f>"0.25"</f>
        <v>0.25</v>
      </c>
      <c r="C3403" t="str">
        <f>"37"</f>
        <v>37</v>
      </c>
      <c r="D3403" t="str">
        <f>"Bows and Arrows"</f>
        <v>Bows and Arrows</v>
      </c>
    </row>
    <row r="3404" spans="1:4" x14ac:dyDescent="0.2">
      <c r="A3404" t="str">
        <f>"3403"</f>
        <v>3403</v>
      </c>
      <c r="B3404" t="str">
        <f>"-0.3"</f>
        <v>-0.3</v>
      </c>
      <c r="C3404" t="str">
        <f>"33"</f>
        <v>33</v>
      </c>
      <c r="D3404" t="str">
        <f>"1+3+1"</f>
        <v>1+3+1</v>
      </c>
    </row>
    <row r="3405" spans="1:4" x14ac:dyDescent="0.2">
      <c r="A3405" t="str">
        <f>"3404"</f>
        <v>3404</v>
      </c>
      <c r="B3405" t="str">
        <f>"0.4"</f>
        <v>0.4</v>
      </c>
      <c r="C3405" t="str">
        <f>"59"</f>
        <v>59</v>
      </c>
      <c r="D3405" t="str">
        <f>"Salmiakki"</f>
        <v>Salmiakki</v>
      </c>
    </row>
    <row r="3406" spans="1:4" x14ac:dyDescent="0.2">
      <c r="A3406" t="str">
        <f>"3405"</f>
        <v>3405</v>
      </c>
      <c r="B3406" t="str">
        <f>"-0.85"</f>
        <v>-0.85</v>
      </c>
      <c r="C3406" t="str">
        <f>"48"</f>
        <v>48</v>
      </c>
      <c r="D3406" t="str">
        <f>"Lost Sides"</f>
        <v>Lost Sides</v>
      </c>
    </row>
    <row r="3407" spans="1:4" x14ac:dyDescent="0.2">
      <c r="A3407" t="str">
        <f>"3406"</f>
        <v>3406</v>
      </c>
      <c r="B3407" t="str">
        <f>"0.8"</f>
        <v>0.8</v>
      </c>
      <c r="C3407" t="str">
        <f>"67"</f>
        <v>67</v>
      </c>
      <c r="D3407" t="str">
        <f>"Dusk at Cubist Castle"</f>
        <v>Dusk at Cubist Castle</v>
      </c>
    </row>
    <row r="3408" spans="1:4" x14ac:dyDescent="0.2">
      <c r="A3408" t="str">
        <f>"3407"</f>
        <v>3407</v>
      </c>
      <c r="B3408" t="str">
        <f>"0.11"</f>
        <v>0.11</v>
      </c>
      <c r="C3408" t="str">
        <f>"43"</f>
        <v>43</v>
      </c>
      <c r="D3408" t="str">
        <f>"Don't Stop EP"</f>
        <v>Don't Stop EP</v>
      </c>
    </row>
    <row r="3409" spans="1:4" x14ac:dyDescent="0.2">
      <c r="A3409" t="str">
        <f>"3408"</f>
        <v>3408</v>
      </c>
      <c r="B3409" t="str">
        <f>"0.26"</f>
        <v>0.26</v>
      </c>
      <c r="C3409" t="str">
        <f>"79"</f>
        <v>79</v>
      </c>
      <c r="D3409" t="str">
        <f>"All Request Live"</f>
        <v>All Request Live</v>
      </c>
    </row>
    <row r="3410" spans="1:4" x14ac:dyDescent="0.2">
      <c r="A3410" t="str">
        <f>"3409"</f>
        <v>3409</v>
      </c>
      <c r="B3410" t="str">
        <f>"0.3"</f>
        <v>0.3</v>
      </c>
      <c r="C3410" t="str">
        <f>"47"</f>
        <v>47</v>
      </c>
      <c r="D3410" t="str">
        <f>"Zoot Woman"</f>
        <v>Zoot Woman</v>
      </c>
    </row>
    <row r="3411" spans="1:4" x14ac:dyDescent="0.2">
      <c r="A3411" t="str">
        <f>"3410"</f>
        <v>3410</v>
      </c>
      <c r="B3411" t="str">
        <f>"-0.34"</f>
        <v>-0.34</v>
      </c>
      <c r="C3411" t="str">
        <f>"87"</f>
        <v>87</v>
      </c>
      <c r="D3411" t="str">
        <f>"We Shall All Be Healed"</f>
        <v>We Shall All Be Healed</v>
      </c>
    </row>
    <row r="3412" spans="1:4" x14ac:dyDescent="0.2">
      <c r="A3412" t="str">
        <f>"3411"</f>
        <v>3411</v>
      </c>
      <c r="B3412" t="str">
        <f>"0.57"</f>
        <v>0.57</v>
      </c>
      <c r="C3412" t="str">
        <f>"41"</f>
        <v>41</v>
      </c>
      <c r="D3412" t="str">
        <f>"Set List"</f>
        <v>Set List</v>
      </c>
    </row>
    <row r="3413" spans="1:4" x14ac:dyDescent="0.2">
      <c r="A3413" t="str">
        <f>"3412"</f>
        <v>3412</v>
      </c>
      <c r="B3413" t="str">
        <f>"0.82"</f>
        <v>0.82</v>
      </c>
      <c r="C3413" t="str">
        <f>"59"</f>
        <v>59</v>
      </c>
      <c r="D3413" t="str">
        <f>"Obrigado Saudade"</f>
        <v>Obrigado Saudade</v>
      </c>
    </row>
    <row r="3414" spans="1:4" x14ac:dyDescent="0.2">
      <c r="A3414" t="str">
        <f>"3413"</f>
        <v>3413</v>
      </c>
      <c r="B3414" t="str">
        <f>"0.79"</f>
        <v>0.79</v>
      </c>
      <c r="C3414" t="str">
        <f>"53"</f>
        <v>53</v>
      </c>
      <c r="D3414" t="str">
        <f>"Beet Maize &amp; Corn"</f>
        <v>Beet Maize &amp; Corn</v>
      </c>
    </row>
    <row r="3415" spans="1:4" x14ac:dyDescent="0.2">
      <c r="A3415" t="str">
        <f>"3414"</f>
        <v>3414</v>
      </c>
      <c r="B3415" t="str">
        <f>"0.27"</f>
        <v>0.27</v>
      </c>
      <c r="C3415" t="str">
        <f>"41"</f>
        <v>41</v>
      </c>
      <c r="D3415" t="str">
        <f>"We Are the Lazer Viking"</f>
        <v>We Are the Lazer Viking</v>
      </c>
    </row>
    <row r="3416" spans="1:4" x14ac:dyDescent="0.2">
      <c r="A3416" t="str">
        <f>"3415"</f>
        <v>3415</v>
      </c>
      <c r="B3416" t="str">
        <f>"-0.05"</f>
        <v>-0.05</v>
      </c>
      <c r="C3416" t="str">
        <f>"87"</f>
        <v>87</v>
      </c>
      <c r="D3416" t="str">
        <f>"The World of Arthur Russell"</f>
        <v>The World of Arthur Russell</v>
      </c>
    </row>
    <row r="3417" spans="1:4" x14ac:dyDescent="0.2">
      <c r="A3417" t="str">
        <f>"3416"</f>
        <v>3416</v>
      </c>
      <c r="B3417" t="str">
        <f>"0.14"</f>
        <v>0.14</v>
      </c>
      <c r="C3417" t="str">
        <f>"49"</f>
        <v>49</v>
      </c>
      <c r="D3417" t="str">
        <f>"Pink Abyss"</f>
        <v>Pink Abyss</v>
      </c>
    </row>
    <row r="3418" spans="1:4" x14ac:dyDescent="0.2">
      <c r="A3418" t="str">
        <f>"3417"</f>
        <v>3417</v>
      </c>
      <c r="B3418" t="str">
        <f>"-0.56"</f>
        <v>-0.56</v>
      </c>
      <c r="C3418" t="str">
        <f>"94"</f>
        <v>94</v>
      </c>
      <c r="D3418" t="str">
        <f>"Apropa't"</f>
        <v>Apropa't</v>
      </c>
    </row>
    <row r="3419" spans="1:4" x14ac:dyDescent="0.2">
      <c r="A3419" t="str">
        <f>"3418"</f>
        <v>3418</v>
      </c>
      <c r="B3419" t="str">
        <f>"-0.03"</f>
        <v>-0.03</v>
      </c>
      <c r="C3419" t="str">
        <f>"123"</f>
        <v>123</v>
      </c>
      <c r="D3419" t="str">
        <f>"Amplify 2002"</f>
        <v>Amplify 2002</v>
      </c>
    </row>
    <row r="3420" spans="1:4" x14ac:dyDescent="0.2">
      <c r="A3420" t="str">
        <f>"3419"</f>
        <v>3419</v>
      </c>
      <c r="B3420" t="str">
        <f>"-0.96"</f>
        <v>-0.96</v>
      </c>
      <c r="C3420" t="str">
        <f>"50"</f>
        <v>50</v>
      </c>
      <c r="D3420" t="str">
        <f>"The Lex Diamond Story"</f>
        <v>The Lex Diamond Story</v>
      </c>
    </row>
    <row r="3421" spans="1:4" x14ac:dyDescent="0.2">
      <c r="A3421" t="str">
        <f>"3420"</f>
        <v>3420</v>
      </c>
      <c r="B3421" t="str">
        <f>"-0.55"</f>
        <v>-0.55</v>
      </c>
      <c r="C3421" t="str">
        <f>"74"</f>
        <v>74</v>
      </c>
      <c r="D3421" t="str">
        <f>"Single Three EP"</f>
        <v>Single Three EP</v>
      </c>
    </row>
    <row r="3422" spans="1:4" x14ac:dyDescent="0.2">
      <c r="A3422" t="str">
        <f>"3421"</f>
        <v>3421</v>
      </c>
      <c r="B3422" t="str">
        <f>"0.85"</f>
        <v>0.85</v>
      </c>
      <c r="C3422" t="str">
        <f>"20"</f>
        <v>20</v>
      </c>
      <c r="D3422" t="str">
        <f>"Para Dieswärts Düül"</f>
        <v>Para Dieswärts Düül</v>
      </c>
    </row>
    <row r="3423" spans="1:4" x14ac:dyDescent="0.2">
      <c r="A3423" t="str">
        <f>"3422"</f>
        <v>3422</v>
      </c>
      <c r="B3423" t="str">
        <f>"0.8"</f>
        <v>0.8</v>
      </c>
      <c r="C3423" t="str">
        <f>"56"</f>
        <v>56</v>
      </c>
      <c r="D3423" t="str">
        <f>"Dear Bicycle"</f>
        <v>Dear Bicycle</v>
      </c>
    </row>
    <row r="3424" spans="1:4" x14ac:dyDescent="0.2">
      <c r="A3424" t="str">
        <f>"3423"</f>
        <v>3423</v>
      </c>
      <c r="B3424" t="str">
        <f>"0.03"</f>
        <v>0.03</v>
      </c>
      <c r="C3424" t="str">
        <f>"64"</f>
        <v>64</v>
      </c>
      <c r="D3424" t="str">
        <f>"Action Pact"</f>
        <v>Action Pact</v>
      </c>
    </row>
    <row r="3425" spans="1:4" x14ac:dyDescent="0.2">
      <c r="A3425" t="str">
        <f>"3424"</f>
        <v>3424</v>
      </c>
      <c r="B3425" t="str">
        <f>"-0.08"</f>
        <v>-0.08</v>
      </c>
      <c r="C3425" t="str">
        <f>"47"</f>
        <v>47</v>
      </c>
      <c r="D3425" t="str">
        <f>"48 Months"</f>
        <v>48 Months</v>
      </c>
    </row>
    <row r="3426" spans="1:4" x14ac:dyDescent="0.2">
      <c r="A3426" t="str">
        <f>"3425"</f>
        <v>3425</v>
      </c>
      <c r="B3426" t="str">
        <f>"-0.32"</f>
        <v>-0.32</v>
      </c>
      <c r="C3426" t="str">
        <f>"38"</f>
        <v>38</v>
      </c>
      <c r="D3426" t="str">
        <f>"Punk Rock"</f>
        <v>Punk Rock</v>
      </c>
    </row>
    <row r="3427" spans="1:4" x14ac:dyDescent="0.2">
      <c r="A3427" t="str">
        <f>"3426"</f>
        <v>3426</v>
      </c>
      <c r="B3427" t="str">
        <f>"-0.63"</f>
        <v>-0.63</v>
      </c>
      <c r="C3427" t="str">
        <f>"48"</f>
        <v>48</v>
      </c>
      <c r="D3427" t="str">
        <f>"Prairie School Freakout"</f>
        <v>Prairie School Freakout</v>
      </c>
    </row>
    <row r="3428" spans="1:4" x14ac:dyDescent="0.2">
      <c r="A3428" t="str">
        <f>"3427"</f>
        <v>3427</v>
      </c>
      <c r="B3428" t="str">
        <f>"-0.37"</f>
        <v>-0.37</v>
      </c>
      <c r="C3428" t="str">
        <f>"68"</f>
        <v>68</v>
      </c>
      <c r="D3428" t="str">
        <f>"Never Never Land"</f>
        <v>Never Never Land</v>
      </c>
    </row>
    <row r="3429" spans="1:4" x14ac:dyDescent="0.2">
      <c r="A3429" t="str">
        <f>"3428"</f>
        <v>3428</v>
      </c>
      <c r="B3429" t="str">
        <f>"0.91"</f>
        <v>0.91</v>
      </c>
      <c r="C3429" t="str">
        <f>"73"</f>
        <v>73</v>
      </c>
      <c r="D3429" t="str">
        <f>"Hypnotic Underworld"</f>
        <v>Hypnotic Underworld</v>
      </c>
    </row>
    <row r="3430" spans="1:4" x14ac:dyDescent="0.2">
      <c r="A3430" t="str">
        <f>"3429"</f>
        <v>3429</v>
      </c>
      <c r="B3430" t="str">
        <f>"0.1"</f>
        <v>0.1</v>
      </c>
      <c r="C3430" t="str">
        <f>"39"</f>
        <v>39</v>
      </c>
      <c r="D3430" t="str">
        <f>"Daft Club"</f>
        <v>Daft Club</v>
      </c>
    </row>
    <row r="3431" spans="1:4" x14ac:dyDescent="0.2">
      <c r="A3431" t="str">
        <f>"3430"</f>
        <v>3430</v>
      </c>
      <c r="B3431" t="str">
        <f>"-0.21"</f>
        <v>-0.21</v>
      </c>
      <c r="C3431" t="str">
        <f>"51"</f>
        <v>51</v>
      </c>
      <c r="D3431" t="str">
        <f>"The Complete Recordings"</f>
        <v>The Complete Recordings</v>
      </c>
    </row>
    <row r="3432" spans="1:4" x14ac:dyDescent="0.2">
      <c r="A3432" t="str">
        <f>"3431"</f>
        <v>3431</v>
      </c>
      <c r="B3432" t="str">
        <f>"0.16"</f>
        <v>0.16</v>
      </c>
      <c r="C3432" t="str">
        <f>"62"</f>
        <v>62</v>
      </c>
      <c r="D3432" t="str">
        <f>"Phantom Planet"</f>
        <v>Phantom Planet</v>
      </c>
    </row>
    <row r="3433" spans="1:4" x14ac:dyDescent="0.2">
      <c r="A3433" t="str">
        <f>"3432"</f>
        <v>3432</v>
      </c>
      <c r="B3433" t="str">
        <f>"0.15"</f>
        <v>0.15</v>
      </c>
      <c r="C3433" t="str">
        <f>"61"</f>
        <v>61</v>
      </c>
      <c r="D3433" t="str">
        <f>"No More Songs About Sleep and Fire"</f>
        <v>No More Songs About Sleep and Fire</v>
      </c>
    </row>
    <row r="3434" spans="1:4" x14ac:dyDescent="0.2">
      <c r="A3434" t="str">
        <f>"3433"</f>
        <v>3433</v>
      </c>
      <c r="B3434" t="str">
        <f>"-0.15"</f>
        <v>-0.15</v>
      </c>
      <c r="C3434" t="str">
        <f>"56"</f>
        <v>56</v>
      </c>
      <c r="D3434" t="str">
        <f>"Dreams of Water Themes"</f>
        <v>Dreams of Water Themes</v>
      </c>
    </row>
    <row r="3435" spans="1:4" x14ac:dyDescent="0.2">
      <c r="A3435" t="str">
        <f>"3434"</f>
        <v>3434</v>
      </c>
      <c r="B3435" t="str">
        <f>"-0.36"</f>
        <v>-0.36</v>
      </c>
      <c r="C3435" t="str">
        <f>"79"</f>
        <v>79</v>
      </c>
      <c r="D3435" t="str">
        <f>"Three Piece Suite"</f>
        <v>Three Piece Suite</v>
      </c>
    </row>
    <row r="3436" spans="1:4" x14ac:dyDescent="0.2">
      <c r="A3436" t="str">
        <f>"3435"</f>
        <v>3435</v>
      </c>
      <c r="B3436" t="str">
        <f>"-0.64"</f>
        <v>-0.64</v>
      </c>
      <c r="C3436" t="str">
        <f>"44"</f>
        <v>44</v>
      </c>
      <c r="D3436" t="str">
        <f>"The Devil Isn't Red"</f>
        <v>The Devil Isn't Red</v>
      </c>
    </row>
    <row r="3437" spans="1:4" x14ac:dyDescent="0.2">
      <c r="A3437" t="str">
        <f>"3436"</f>
        <v>3436</v>
      </c>
      <c r="B3437" t="str">
        <f>"-1.03"</f>
        <v>-1.03</v>
      </c>
      <c r="C3437" t="str">
        <f>"82"</f>
        <v>82</v>
      </c>
      <c r="D3437" t="str">
        <f>"Maldoror"</f>
        <v>Maldoror</v>
      </c>
    </row>
    <row r="3438" spans="1:4" x14ac:dyDescent="0.2">
      <c r="A3438" t="str">
        <f>"3437"</f>
        <v>3437</v>
      </c>
      <c r="B3438" t="str">
        <f>"-0.1"</f>
        <v>-0.1</v>
      </c>
      <c r="C3438" t="str">
        <f>"54"</f>
        <v>54</v>
      </c>
      <c r="D3438" t="str">
        <f>"Kila Kila Kila"</f>
        <v>Kila Kila Kila</v>
      </c>
    </row>
    <row r="3439" spans="1:4" x14ac:dyDescent="0.2">
      <c r="A3439" t="str">
        <f>"3438"</f>
        <v>3438</v>
      </c>
      <c r="B3439" t="str">
        <f>"-0.13"</f>
        <v>-0.13</v>
      </c>
      <c r="C3439" t="str">
        <f>"66"</f>
        <v>66</v>
      </c>
      <c r="D3439" t="str">
        <f>"Different Cars and Trains EP"</f>
        <v>Different Cars and Trains EP</v>
      </c>
    </row>
    <row r="3440" spans="1:4" x14ac:dyDescent="0.2">
      <c r="A3440" t="str">
        <f>"3439"</f>
        <v>3439</v>
      </c>
      <c r="B3440" t="str">
        <f>"-0.23"</f>
        <v>-0.23</v>
      </c>
      <c r="C3440" t="str">
        <f>"62"</f>
        <v>62</v>
      </c>
      <c r="D3440" t="str">
        <f>"Talkie Walkie"</f>
        <v>Talkie Walkie</v>
      </c>
    </row>
    <row r="3441" spans="1:4" x14ac:dyDescent="0.2">
      <c r="A3441" t="str">
        <f>"3440"</f>
        <v>3440</v>
      </c>
      <c r="B3441" t="str">
        <f>"0.12"</f>
        <v>0.12</v>
      </c>
      <c r="C3441" t="str">
        <f>"52"</f>
        <v>52</v>
      </c>
      <c r="D3441" t="str">
        <f>"Sneakers EP"</f>
        <v>Sneakers EP</v>
      </c>
    </row>
    <row r="3442" spans="1:4" x14ac:dyDescent="0.2">
      <c r="A3442" t="str">
        <f>"3441"</f>
        <v>3441</v>
      </c>
      <c r="B3442" t="str">
        <f>"-0.32"</f>
        <v>-0.32</v>
      </c>
      <c r="C3442" t="str">
        <f>"45"</f>
        <v>45</v>
      </c>
      <c r="D3442" t="str">
        <f>"Perpetuum Mobile"</f>
        <v>Perpetuum Mobile</v>
      </c>
    </row>
    <row r="3443" spans="1:4" x14ac:dyDescent="0.2">
      <c r="A3443" t="str">
        <f>"3442"</f>
        <v>3442</v>
      </c>
      <c r="B3443" t="str">
        <f>"0.43"</f>
        <v>0.43</v>
      </c>
      <c r="C3443" t="str">
        <f>"41"</f>
        <v>41</v>
      </c>
      <c r="D3443" t="str">
        <f>"Likes..."</f>
        <v>Likes...</v>
      </c>
    </row>
    <row r="3444" spans="1:4" x14ac:dyDescent="0.2">
      <c r="A3444" t="str">
        <f>"3443"</f>
        <v>3443</v>
      </c>
      <c r="B3444" t="str">
        <f>"0.12"</f>
        <v>0.12</v>
      </c>
      <c r="C3444" t="str">
        <f>"22"</f>
        <v>22</v>
      </c>
      <c r="D3444" t="str">
        <f>"Cold Mountain"</f>
        <v>Cold Mountain</v>
      </c>
    </row>
    <row r="3445" spans="1:4" x14ac:dyDescent="0.2">
      <c r="A3445" t="str">
        <f>"3444"</f>
        <v>3444</v>
      </c>
      <c r="B3445" t="str">
        <f>"0.25"</f>
        <v>0.25</v>
      </c>
      <c r="C3445" t="str">
        <f>"80"</f>
        <v>80</v>
      </c>
      <c r="D3445" t="str">
        <f>"Wow! / The Magick Fire Music"</f>
        <v>Wow! / The Magick Fire Music</v>
      </c>
    </row>
    <row r="3446" spans="1:4" x14ac:dyDescent="0.2">
      <c r="A3446" t="str">
        <f>"3445"</f>
        <v>3445</v>
      </c>
      <c r="B3446" t="str">
        <f>"0.42"</f>
        <v>0.42</v>
      </c>
      <c r="C3446" t="str">
        <f>"50"</f>
        <v>50</v>
      </c>
      <c r="D3446" t="str">
        <f>"Sound Murderer"</f>
        <v>Sound Murderer</v>
      </c>
    </row>
    <row r="3447" spans="1:4" x14ac:dyDescent="0.2">
      <c r="A3447" t="str">
        <f>"3446"</f>
        <v>3446</v>
      </c>
      <c r="B3447" t="str">
        <f>"-0.31"</f>
        <v>-0.31</v>
      </c>
      <c r="C3447" t="str">
        <f>"134"</f>
        <v>134</v>
      </c>
      <c r="D3447" t="str">
        <f>"Refractured"</f>
        <v>Refractured</v>
      </c>
    </row>
    <row r="3448" spans="1:4" x14ac:dyDescent="0.2">
      <c r="A3448" t="str">
        <f>"3447"</f>
        <v>3447</v>
      </c>
      <c r="B3448" t="str">
        <f>"-0.96"</f>
        <v>-0.96</v>
      </c>
      <c r="C3448" t="str">
        <f>"42"</f>
        <v>42</v>
      </c>
      <c r="D3448" t="str">
        <f>"Leave Your Name"</f>
        <v>Leave Your Name</v>
      </c>
    </row>
    <row r="3449" spans="1:4" x14ac:dyDescent="0.2">
      <c r="A3449" t="str">
        <f>"3448"</f>
        <v>3448</v>
      </c>
      <c r="B3449" t="str">
        <f>"-0.43"</f>
        <v>-0.43</v>
      </c>
      <c r="C3449" t="str">
        <f>"46"</f>
        <v>46</v>
      </c>
      <c r="D3449" t="str">
        <f>"Hope You Fail Better"</f>
        <v>Hope You Fail Better</v>
      </c>
    </row>
    <row r="3450" spans="1:4" x14ac:dyDescent="0.2">
      <c r="A3450" t="str">
        <f>"3449"</f>
        <v>3449</v>
      </c>
      <c r="B3450" t="str">
        <f>"-0.39"</f>
        <v>-0.39</v>
      </c>
      <c r="C3450" t="str">
        <f>"75"</f>
        <v>75</v>
      </c>
      <c r="D3450" t="str">
        <f>"The Real New Fall L.P. (Formerly 'Country on the Click')"</f>
        <v>The Real New Fall L.P. (Formerly 'Country on the Click')</v>
      </c>
    </row>
    <row r="3451" spans="1:4" x14ac:dyDescent="0.2">
      <c r="A3451" t="str">
        <f>"3450"</f>
        <v>3450</v>
      </c>
      <c r="B3451" t="str">
        <f>"-0.02"</f>
        <v>-0.02</v>
      </c>
      <c r="C3451" t="str">
        <f>"106"</f>
        <v>106</v>
      </c>
      <c r="D3451" t="str">
        <f>"The Homosexuals' CD"</f>
        <v>The Homosexuals' CD</v>
      </c>
    </row>
    <row r="3452" spans="1:4" x14ac:dyDescent="0.2">
      <c r="A3452" t="str">
        <f>"3451"</f>
        <v>3451</v>
      </c>
      <c r="B3452" t="str">
        <f>"0.23"</f>
        <v>0.23</v>
      </c>
      <c r="C3452" t="str">
        <f>"15"</f>
        <v>15</v>
      </c>
      <c r="D3452" t="str">
        <f>"The Homeland"</f>
        <v>The Homeland</v>
      </c>
    </row>
    <row r="3453" spans="1:4" x14ac:dyDescent="0.2">
      <c r="A3453" t="str">
        <f>"3452"</f>
        <v>3452</v>
      </c>
      <c r="B3453" t="str">
        <f>"0.29"</f>
        <v>0.29</v>
      </c>
      <c r="C3453" t="str">
        <f>"46"</f>
        <v>46</v>
      </c>
      <c r="D3453" t="str">
        <f>"Ringodom or Proctor"</f>
        <v>Ringodom or Proctor</v>
      </c>
    </row>
    <row r="3454" spans="1:4" x14ac:dyDescent="0.2">
      <c r="A3454" t="str">
        <f>"3453"</f>
        <v>3453</v>
      </c>
      <c r="B3454" t="str">
        <f>"-0.33"</f>
        <v>-0.33</v>
      </c>
      <c r="C3454" t="str">
        <f>"71"</f>
        <v>71</v>
      </c>
      <c r="D3454" t="str">
        <f>"Degenerate Introduction"</f>
        <v>Degenerate Introduction</v>
      </c>
    </row>
    <row r="3455" spans="1:4" x14ac:dyDescent="0.2">
      <c r="A3455" t="str">
        <f>"3454"</f>
        <v>3454</v>
      </c>
      <c r="B3455" t="str">
        <f>"1.48"</f>
        <v>1.48</v>
      </c>
      <c r="C3455" t="str">
        <f>"14"</f>
        <v>14</v>
      </c>
      <c r="D3455" t="str">
        <f>"Underachievers Please Try Harder"</f>
        <v>Underachievers Please Try Harder</v>
      </c>
    </row>
    <row r="3456" spans="1:4" x14ac:dyDescent="0.2">
      <c r="A3456" t="str">
        <f>"3455"</f>
        <v>3455</v>
      </c>
      <c r="B3456" t="str">
        <f>"1.04"</f>
        <v>1.04</v>
      </c>
      <c r="C3456" t="str">
        <f>"44"</f>
        <v>44</v>
      </c>
      <c r="D3456" t="str">
        <f>"The Sand and the Stars"</f>
        <v>The Sand and the Stars</v>
      </c>
    </row>
    <row r="3457" spans="1:4" x14ac:dyDescent="0.2">
      <c r="A3457" t="str">
        <f>"3456"</f>
        <v>3456</v>
      </c>
      <c r="B3457" t="str">
        <f>"1.15"</f>
        <v>1.15</v>
      </c>
      <c r="C3457" t="str">
        <f>"66"</f>
        <v>66</v>
      </c>
      <c r="D3457" t="str">
        <f>"Cellar Door"</f>
        <v>Cellar Door</v>
      </c>
    </row>
    <row r="3458" spans="1:4" x14ac:dyDescent="0.2">
      <c r="A3458" t="str">
        <f>"3457"</f>
        <v>3457</v>
      </c>
      <c r="B3458" t="str">
        <f>"-0.49"</f>
        <v>-0.49</v>
      </c>
      <c r="C3458" t="str">
        <f>"49"</f>
        <v>49</v>
      </c>
      <c r="D3458" t="str">
        <f>"Before &amp; After"</f>
        <v>Before &amp; After</v>
      </c>
    </row>
    <row r="3459" spans="1:4" x14ac:dyDescent="0.2">
      <c r="A3459" t="str">
        <f>"3458"</f>
        <v>3458</v>
      </c>
      <c r="B3459" t="str">
        <f>"0.69"</f>
        <v>0.69</v>
      </c>
      <c r="C3459" t="str">
        <f>"63"</f>
        <v>63</v>
      </c>
      <c r="D3459" t="str">
        <f>"A Heart &amp; Two Stars"</f>
        <v>A Heart &amp; Two Stars</v>
      </c>
    </row>
    <row r="3460" spans="1:4" x14ac:dyDescent="0.2">
      <c r="A3460" t="str">
        <f>"3459"</f>
        <v>3459</v>
      </c>
      <c r="B3460" t="str">
        <f>"-0.32"</f>
        <v>-0.32</v>
      </c>
      <c r="C3460" t="str">
        <f>"64"</f>
        <v>64</v>
      </c>
      <c r="D3460" t="str">
        <f>"Sunny 16 EP"</f>
        <v>Sunny 16 EP</v>
      </c>
    </row>
    <row r="3461" spans="1:4" x14ac:dyDescent="0.2">
      <c r="A3461" t="str">
        <f>"3460"</f>
        <v>3460</v>
      </c>
      <c r="B3461" t="str">
        <f>"-0.58"</f>
        <v>-0.58</v>
      </c>
      <c r="C3461" t="str">
        <f>"140"</f>
        <v>140</v>
      </c>
      <c r="D3461" t="str">
        <f>"Pyramid Electric Co."</f>
        <v>Pyramid Electric Co.</v>
      </c>
    </row>
    <row r="3462" spans="1:4" x14ac:dyDescent="0.2">
      <c r="A3462" t="str">
        <f>"3461"</f>
        <v>3461</v>
      </c>
      <c r="B3462" t="str">
        <f>"0.33"</f>
        <v>0.33</v>
      </c>
      <c r="C3462" t="str">
        <f>"46"</f>
        <v>46</v>
      </c>
      <c r="D3462" t="str">
        <f>"Greenhouse: 20th Anniversary Edition"</f>
        <v>Greenhouse: 20th Anniversary Edition</v>
      </c>
    </row>
    <row r="3463" spans="1:4" x14ac:dyDescent="0.2">
      <c r="A3463" t="str">
        <f>"3462"</f>
        <v>3462</v>
      </c>
      <c r="B3463" t="str">
        <f>"0.24"</f>
        <v>0.24</v>
      </c>
      <c r="C3463" t="str">
        <f>"41"</f>
        <v>41</v>
      </c>
      <c r="D3463" t="str">
        <f>"Cloudz"</f>
        <v>Cloudz</v>
      </c>
    </row>
    <row r="3464" spans="1:4" x14ac:dyDescent="0.2">
      <c r="A3464" t="str">
        <f>"3463"</f>
        <v>3463</v>
      </c>
      <c r="B3464" t="str">
        <f>"-0.77"</f>
        <v>-0.77</v>
      </c>
      <c r="C3464" t="str">
        <f>"71"</f>
        <v>71</v>
      </c>
      <c r="D3464" t="str">
        <f>"The Young Machines"</f>
        <v>The Young Machines</v>
      </c>
    </row>
    <row r="3465" spans="1:4" x14ac:dyDescent="0.2">
      <c r="A3465" t="str">
        <f>"3464"</f>
        <v>3464</v>
      </c>
      <c r="B3465" t="str">
        <f>"0.53"</f>
        <v>0.53</v>
      </c>
      <c r="C3465" t="str">
        <f>"66"</f>
        <v>66</v>
      </c>
      <c r="D3465" t="str">
        <f>"Secret Wars"</f>
        <v>Secret Wars</v>
      </c>
    </row>
    <row r="3466" spans="1:4" x14ac:dyDescent="0.2">
      <c r="A3466" t="str">
        <f>"3465"</f>
        <v>3465</v>
      </c>
      <c r="B3466" t="str">
        <f>"0.51"</f>
        <v>0.51</v>
      </c>
      <c r="C3466" t="str">
        <f>"86"</f>
        <v>86</v>
      </c>
      <c r="D3466" t="str">
        <f>"Pieces of April"</f>
        <v>Pieces of April</v>
      </c>
    </row>
    <row r="3467" spans="1:4" x14ac:dyDescent="0.2">
      <c r="A3467" t="str">
        <f>"3466"</f>
        <v>3466</v>
      </c>
      <c r="B3467" t="str">
        <f>"1.23"</f>
        <v>1.23</v>
      </c>
      <c r="C3467" t="str">
        <f>"79"</f>
        <v>79</v>
      </c>
      <c r="D3467" t="str">
        <f>"Pieces"</f>
        <v>Pieces</v>
      </c>
    </row>
    <row r="3468" spans="1:4" x14ac:dyDescent="0.2">
      <c r="A3468" t="str">
        <f>"3467"</f>
        <v>3467</v>
      </c>
      <c r="B3468" t="str">
        <f>"0.6"</f>
        <v>0.6</v>
      </c>
      <c r="C3468" t="str">
        <f>"97"</f>
        <v>97</v>
      </c>
      <c r="D3468" t="str">
        <f>"Margerine Eclipse"</f>
        <v>Margerine Eclipse</v>
      </c>
    </row>
    <row r="3469" spans="1:4" x14ac:dyDescent="0.2">
      <c r="A3469" t="str">
        <f>"3468"</f>
        <v>3468</v>
      </c>
      <c r="B3469" t="str">
        <f>"0.01"</f>
        <v>0.01</v>
      </c>
      <c r="C3469" t="str">
        <f>"37"</f>
        <v>37</v>
      </c>
      <c r="D3469" t="str">
        <f>"To Live"</f>
        <v>To Live</v>
      </c>
    </row>
    <row r="3470" spans="1:4" x14ac:dyDescent="0.2">
      <c r="A3470" t="str">
        <f>"3469"</f>
        <v>3469</v>
      </c>
      <c r="B3470" t="str">
        <f>"0.01"</f>
        <v>0.01</v>
      </c>
      <c r="C3470" t="str">
        <f>"50"</f>
        <v>50</v>
      </c>
      <c r="D3470" t="str">
        <f>"The Bluegrazer Album"</f>
        <v>The Bluegrazer Album</v>
      </c>
    </row>
    <row r="3471" spans="1:4" x14ac:dyDescent="0.2">
      <c r="A3471" t="str">
        <f>"3470"</f>
        <v>3470</v>
      </c>
      <c r="B3471" t="str">
        <f>"0.17"</f>
        <v>0.17</v>
      </c>
      <c r="C3471" t="str">
        <f>"73"</f>
        <v>73</v>
      </c>
      <c r="D3471" t="str">
        <f>"Blurred July EP"</f>
        <v>Blurred July EP</v>
      </c>
    </row>
    <row r="3472" spans="1:4" x14ac:dyDescent="0.2">
      <c r="A3472" t="str">
        <f>"3471"</f>
        <v>3471</v>
      </c>
      <c r="B3472" t="str">
        <f>"0.28"</f>
        <v>0.28</v>
      </c>
      <c r="C3472" t="str">
        <f>"79"</f>
        <v>79</v>
      </c>
      <c r="D3472" t="str">
        <f>"Blackberry Belle"</f>
        <v>Blackberry Belle</v>
      </c>
    </row>
    <row r="3473" spans="1:4" x14ac:dyDescent="0.2">
      <c r="A3473" t="str">
        <f>"3472"</f>
        <v>3472</v>
      </c>
      <c r="B3473" t="str">
        <f>"0.45"</f>
        <v>0.45</v>
      </c>
      <c r="C3473" t="str">
        <f>"44"</f>
        <v>44</v>
      </c>
      <c r="D3473" t="str">
        <f>"Amorino"</f>
        <v>Amorino</v>
      </c>
    </row>
    <row r="3474" spans="1:4" x14ac:dyDescent="0.2">
      <c r="A3474" t="str">
        <f>"3473"</f>
        <v>3473</v>
      </c>
      <c r="B3474" t="str">
        <f>"0.93"</f>
        <v>0.93</v>
      </c>
      <c r="C3474" t="str">
        <f>"33"</f>
        <v>33</v>
      </c>
      <c r="D3474" t="str">
        <f>"7"</f>
        <v>7</v>
      </c>
    </row>
    <row r="3475" spans="1:4" x14ac:dyDescent="0.2">
      <c r="A3475" t="str">
        <f>"3474"</f>
        <v>3474</v>
      </c>
      <c r="B3475" t="str">
        <f>"0.69"</f>
        <v>0.69</v>
      </c>
      <c r="C3475" t="str">
        <f>"26"</f>
        <v>26</v>
      </c>
      <c r="D3475" t="str">
        <f>"Run into Flowers EP"</f>
        <v>Run into Flowers EP</v>
      </c>
    </row>
    <row r="3476" spans="1:4" x14ac:dyDescent="0.2">
      <c r="A3476" t="str">
        <f>"3475"</f>
        <v>3475</v>
      </c>
      <c r="B3476" t="str">
        <f>"-0.45"</f>
        <v>-0.45</v>
      </c>
      <c r="C3476" t="str">
        <f>"68"</f>
        <v>68</v>
      </c>
      <c r="D3476" t="str">
        <f>"Heron King Blues"</f>
        <v>Heron King Blues</v>
      </c>
    </row>
    <row r="3477" spans="1:4" x14ac:dyDescent="0.2">
      <c r="A3477" t="str">
        <f>"3476"</f>
        <v>3476</v>
      </c>
      <c r="B3477" t="str">
        <f>"0.31"</f>
        <v>0.31</v>
      </c>
      <c r="C3477" t="str">
        <f>"66"</f>
        <v>66</v>
      </c>
      <c r="D3477" t="str">
        <f>"Pose a Question"</f>
        <v>Pose a Question</v>
      </c>
    </row>
    <row r="3478" spans="1:4" x14ac:dyDescent="0.2">
      <c r="A3478" t="str">
        <f>"3477"</f>
        <v>3477</v>
      </c>
      <c r="B3478" t="str">
        <f>"0.62"</f>
        <v>0.62</v>
      </c>
      <c r="C3478" t="str">
        <f>"52"</f>
        <v>52</v>
      </c>
      <c r="D3478" t="str">
        <f>"Sky Meadows"</f>
        <v>Sky Meadows</v>
      </c>
    </row>
    <row r="3479" spans="1:4" x14ac:dyDescent="0.2">
      <c r="A3479" t="str">
        <f>"3478"</f>
        <v>3478</v>
      </c>
      <c r="B3479" t="str">
        <f>"-0.11"</f>
        <v>-0.11</v>
      </c>
      <c r="C3479" t="str">
        <f>"40"</f>
        <v>40</v>
      </c>
      <c r="D3479" t="str">
        <f>"Track: Array"</f>
        <v>Track: Array</v>
      </c>
    </row>
    <row r="3480" spans="1:4" x14ac:dyDescent="0.2">
      <c r="A3480" t="str">
        <f>"3479"</f>
        <v>3479</v>
      </c>
      <c r="B3480" t="str">
        <f>"0.41"</f>
        <v>0.41</v>
      </c>
      <c r="C3480" t="str">
        <f>"51"</f>
        <v>51</v>
      </c>
      <c r="D3480" t="str">
        <f>"Shutdown the Sun"</f>
        <v>Shutdown the Sun</v>
      </c>
    </row>
    <row r="3481" spans="1:4" x14ac:dyDescent="0.2">
      <c r="A3481" t="str">
        <f>"3480"</f>
        <v>3480</v>
      </c>
      <c r="B3481" t="str">
        <f>"-0.38"</f>
        <v>-0.38</v>
      </c>
      <c r="C3481" t="str">
        <f>"78"</f>
        <v>78</v>
      </c>
      <c r="D3481" t="str">
        <f>"Introducing the Sounds of The Husbands"</f>
        <v>Introducing the Sounds of The Husbands</v>
      </c>
    </row>
    <row r="3482" spans="1:4" x14ac:dyDescent="0.2">
      <c r="A3482" t="str">
        <f>"3481"</f>
        <v>3481</v>
      </c>
      <c r="B3482" t="str">
        <f>"0.48"</f>
        <v>0.48</v>
      </c>
      <c r="C3482" t="str">
        <f>"66"</f>
        <v>66</v>
      </c>
      <c r="D3482" t="str">
        <f>"Everything Without All Inclusive"</f>
        <v>Everything Without All Inclusive</v>
      </c>
    </row>
    <row r="3483" spans="1:4" x14ac:dyDescent="0.2">
      <c r="A3483" t="str">
        <f>"3482"</f>
        <v>3482</v>
      </c>
      <c r="B3483" t="str">
        <f>"0.74"</f>
        <v>0.74</v>
      </c>
      <c r="C3483" t="str">
        <f>"153"</f>
        <v>153</v>
      </c>
      <c r="D3483" t="str">
        <f>"5 Easy Pieces"</f>
        <v>5 Easy Pieces</v>
      </c>
    </row>
    <row r="3484" spans="1:4" x14ac:dyDescent="0.2">
      <c r="A3484" t="str">
        <f>"3483"</f>
        <v>3483</v>
      </c>
      <c r="B3484" t="str">
        <f>"-0.16"</f>
        <v>-0.16</v>
      </c>
      <c r="C3484" t="str">
        <f>"84"</f>
        <v>84</v>
      </c>
      <c r="D3484" t="s">
        <v>114</v>
      </c>
    </row>
    <row r="3485" spans="1:4" x14ac:dyDescent="0.2">
      <c r="A3485" t="str">
        <f>"3484"</f>
        <v>3484</v>
      </c>
      <c r="B3485" t="str">
        <f>"0.3"</f>
        <v>0.3</v>
      </c>
      <c r="C3485" t="str">
        <f>"45"</f>
        <v>45</v>
      </c>
      <c r="D3485" t="str">
        <f>"Pussyfootin'"</f>
        <v>Pussyfootin'</v>
      </c>
    </row>
    <row r="3486" spans="1:4" x14ac:dyDescent="0.2">
      <c r="A3486" t="str">
        <f>"3485"</f>
        <v>3485</v>
      </c>
      <c r="B3486" t="str">
        <f>"-0.99"</f>
        <v>-0.99</v>
      </c>
      <c r="C3486" t="str">
        <f>"55"</f>
        <v>55</v>
      </c>
      <c r="D3486" t="str">
        <f>"Goodbye Little Doll"</f>
        <v>Goodbye Little Doll</v>
      </c>
    </row>
    <row r="3487" spans="1:4" x14ac:dyDescent="0.2">
      <c r="A3487" t="str">
        <f>"3486"</f>
        <v>3486</v>
      </c>
      <c r="B3487" t="str">
        <f>"0.61"</f>
        <v>0.61</v>
      </c>
      <c r="C3487" t="str">
        <f>"64"</f>
        <v>64</v>
      </c>
      <c r="D3487" t="str">
        <f>"DJ Kicks"</f>
        <v>DJ Kicks</v>
      </c>
    </row>
    <row r="3488" spans="1:4" x14ac:dyDescent="0.2">
      <c r="A3488" t="str">
        <f>"3487"</f>
        <v>3487</v>
      </c>
      <c r="B3488" t="str">
        <f>"-0.52"</f>
        <v>-0.52</v>
      </c>
      <c r="C3488" t="str">
        <f>"78"</f>
        <v>78</v>
      </c>
      <c r="D3488" t="str">
        <f>"Cast of Thousands"</f>
        <v>Cast of Thousands</v>
      </c>
    </row>
    <row r="3489" spans="1:4" x14ac:dyDescent="0.2">
      <c r="A3489" t="str">
        <f>"3488"</f>
        <v>3488</v>
      </c>
      <c r="B3489" t="str">
        <f>"0.59"</f>
        <v>0.59</v>
      </c>
      <c r="C3489" t="str">
        <f>"54"</f>
        <v>54</v>
      </c>
      <c r="D3489" t="str">
        <f>"The Angel of the Squared Circle"</f>
        <v>The Angel of the Squared Circle</v>
      </c>
    </row>
    <row r="3490" spans="1:4" x14ac:dyDescent="0.2">
      <c r="A3490" t="str">
        <f>"3489"</f>
        <v>3489</v>
      </c>
      <c r="B3490" t="str">
        <f>"0.18"</f>
        <v>0.18</v>
      </c>
      <c r="C3490" t="str">
        <f>"74"</f>
        <v>74</v>
      </c>
      <c r="D3490" t="str">
        <f>"Formations"</f>
        <v>Formations</v>
      </c>
    </row>
    <row r="3491" spans="1:4" x14ac:dyDescent="0.2">
      <c r="A3491" t="str">
        <f>"3490"</f>
        <v>3490</v>
      </c>
      <c r="B3491" t="str">
        <f>"-0.68"</f>
        <v>-0.68</v>
      </c>
      <c r="C3491" t="str">
        <f>"42"</f>
        <v>42</v>
      </c>
      <c r="D3491" t="str">
        <f>"Duplex"</f>
        <v>Duplex</v>
      </c>
    </row>
    <row r="3492" spans="1:4" x14ac:dyDescent="0.2">
      <c r="A3492" t="str">
        <f>"3491"</f>
        <v>3491</v>
      </c>
      <c r="B3492" t="str">
        <f>"-0.23"</f>
        <v>-0.23</v>
      </c>
      <c r="C3492" t="str">
        <f>"80"</f>
        <v>80</v>
      </c>
      <c r="D3492" t="str">
        <f>"Dreamspeed/Blind Light (1992-1994)"</f>
        <v>Dreamspeed/Blind Light (1992-1994)</v>
      </c>
    </row>
    <row r="3493" spans="1:4" x14ac:dyDescent="0.2">
      <c r="A3493" t="str">
        <f>"3492"</f>
        <v>3492</v>
      </c>
      <c r="B3493" t="str">
        <f>"-0.39"</f>
        <v>-0.39</v>
      </c>
      <c r="C3493" t="str">
        <f>"94"</f>
        <v>94</v>
      </c>
      <c r="D3493" t="str">
        <f>"All Strange Beasts of the Past"</f>
        <v>All Strange Beasts of the Past</v>
      </c>
    </row>
    <row r="3494" spans="1:4" x14ac:dyDescent="0.2">
      <c r="A3494" t="str">
        <f>"3493"</f>
        <v>3493</v>
      </c>
      <c r="B3494" t="str">
        <f>"-0.33"</f>
        <v>-0.33</v>
      </c>
      <c r="C3494" t="str">
        <f>"32"</f>
        <v>32</v>
      </c>
      <c r="D3494" t="str">
        <f>"ae³o &amp; h³ae"</f>
        <v>ae³o &amp; h³ae</v>
      </c>
    </row>
    <row r="3495" spans="1:4" x14ac:dyDescent="0.2">
      <c r="A3495" t="str">
        <f>"3494"</f>
        <v>3494</v>
      </c>
      <c r="B3495" t="str">
        <f>"-1.53"</f>
        <v>-1.53</v>
      </c>
      <c r="C3495" t="str">
        <f>"56"</f>
        <v>56</v>
      </c>
      <c r="D3495" t="str">
        <f>"Things Viral"</f>
        <v>Things Viral</v>
      </c>
    </row>
    <row r="3496" spans="1:4" x14ac:dyDescent="0.2">
      <c r="A3496" t="str">
        <f>"3495"</f>
        <v>3495</v>
      </c>
      <c r="B3496" t="str">
        <f>"0.27"</f>
        <v>0.27</v>
      </c>
      <c r="C3496" t="str">
        <f>"51"</f>
        <v>51</v>
      </c>
      <c r="D3496" t="s">
        <v>115</v>
      </c>
    </row>
    <row r="3497" spans="1:4" x14ac:dyDescent="0.2">
      <c r="A3497" t="str">
        <f>"3496"</f>
        <v>3496</v>
      </c>
      <c r="B3497" t="str">
        <f>"-0.37"</f>
        <v>-0.37</v>
      </c>
      <c r="C3497" t="str">
        <f>"134"</f>
        <v>134</v>
      </c>
      <c r="D3497" t="s">
        <v>116</v>
      </c>
    </row>
    <row r="3498" spans="1:4" x14ac:dyDescent="0.2">
      <c r="A3498" t="str">
        <f>"3497"</f>
        <v>3497</v>
      </c>
      <c r="B3498" t="str">
        <f>"0.17"</f>
        <v>0.17</v>
      </c>
      <c r="C3498" t="str">
        <f>"25"</f>
        <v>25</v>
      </c>
      <c r="D3498" t="str">
        <f>"Here Comes That Weird Chill"</f>
        <v>Here Comes That Weird Chill</v>
      </c>
    </row>
    <row r="3499" spans="1:4" x14ac:dyDescent="0.2">
      <c r="A3499" t="str">
        <f>"3498"</f>
        <v>3498</v>
      </c>
      <c r="B3499" t="str">
        <f>"-0.69"</f>
        <v>-0.69</v>
      </c>
      <c r="C3499" t="str">
        <f>"29"</f>
        <v>29</v>
      </c>
      <c r="D3499" t="str">
        <f>"Gettin' Wise"</f>
        <v>Gettin' Wise</v>
      </c>
    </row>
    <row r="3500" spans="1:4" x14ac:dyDescent="0.2">
      <c r="A3500" t="str">
        <f>"3499"</f>
        <v>3499</v>
      </c>
      <c r="B3500" t="str">
        <f>"0.64"</f>
        <v>0.64</v>
      </c>
      <c r="C3500" t="str">
        <f>"130"</f>
        <v>130</v>
      </c>
      <c r="D3500" t="str">
        <f>"The Essential Bruce Springsteen"</f>
        <v>The Essential Bruce Springsteen</v>
      </c>
    </row>
    <row r="3501" spans="1:4" x14ac:dyDescent="0.2">
      <c r="A3501" t="str">
        <f>"3500"</f>
        <v>3500</v>
      </c>
      <c r="B3501" t="str">
        <f>"-0.16"</f>
        <v>-0.16</v>
      </c>
      <c r="C3501" t="str">
        <f>"45"</f>
        <v>45</v>
      </c>
      <c r="D3501" t="str">
        <f>"Major Fables"</f>
        <v>Major Fables</v>
      </c>
    </row>
    <row r="3502" spans="1:4" x14ac:dyDescent="0.2">
      <c r="A3502" t="str">
        <f>"3501"</f>
        <v>3501</v>
      </c>
      <c r="B3502" t="str">
        <f>"-0.06"</f>
        <v>-0.06</v>
      </c>
      <c r="C3502" t="str">
        <f>"48"</f>
        <v>48</v>
      </c>
      <c r="D3502" t="str">
        <f>"Everyone Alive Wants Answers"</f>
        <v>Everyone Alive Wants Answers</v>
      </c>
    </row>
    <row r="3503" spans="1:4" x14ac:dyDescent="0.2">
      <c r="A3503" t="str">
        <f>"3502"</f>
        <v>3502</v>
      </c>
      <c r="B3503" t="str">
        <f>"-0.15"</f>
        <v>-0.15</v>
      </c>
      <c r="C3503" t="str">
        <f>"132"</f>
        <v>132</v>
      </c>
      <c r="D3503" t="str">
        <f>"Coral Fang"</f>
        <v>Coral Fang</v>
      </c>
    </row>
    <row r="3504" spans="1:4" x14ac:dyDescent="0.2">
      <c r="A3504" t="str">
        <f>"3503"</f>
        <v>3503</v>
      </c>
      <c r="B3504" t="str">
        <f>"0.2"</f>
        <v>0.2</v>
      </c>
      <c r="C3504" t="str">
        <f>"54"</f>
        <v>54</v>
      </c>
      <c r="D3504" t="str">
        <f>"The Glad Fact"</f>
        <v>The Glad Fact</v>
      </c>
    </row>
    <row r="3505" spans="1:4" x14ac:dyDescent="0.2">
      <c r="A3505" t="str">
        <f>"3504"</f>
        <v>3504</v>
      </c>
      <c r="B3505" t="str">
        <f>"0.43"</f>
        <v>0.43</v>
      </c>
      <c r="C3505" t="str">
        <f>"53"</f>
        <v>53</v>
      </c>
      <c r="D3505" t="str">
        <f>"Tasty"</f>
        <v>Tasty</v>
      </c>
    </row>
    <row r="3506" spans="1:4" x14ac:dyDescent="0.2">
      <c r="A3506" t="str">
        <f>"3505"</f>
        <v>3505</v>
      </c>
      <c r="B3506" t="str">
        <f>"-0.87"</f>
        <v>-0.87</v>
      </c>
      <c r="C3506" t="str">
        <f>"38"</f>
        <v>38</v>
      </c>
      <c r="D3506" t="str">
        <f>"Measurement"</f>
        <v>Measurement</v>
      </c>
    </row>
    <row r="3507" spans="1:4" x14ac:dyDescent="0.2">
      <c r="A3507" t="str">
        <f>"3506"</f>
        <v>3506</v>
      </c>
      <c r="B3507" t="str">
        <f>"-0.36"</f>
        <v>-0.36</v>
      </c>
      <c r="C3507" t="str">
        <f>"81"</f>
        <v>81</v>
      </c>
      <c r="D3507" t="str">
        <f>"I'm Going to Do What I Wanna Do: Live at My Father's Place 1978"</f>
        <v>I'm Going to Do What I Wanna Do: Live at My Father's Place 1978</v>
      </c>
    </row>
    <row r="3508" spans="1:4" x14ac:dyDescent="0.2">
      <c r="A3508" t="str">
        <f>"3507"</f>
        <v>3507</v>
      </c>
      <c r="B3508" t="str">
        <f>"-0.28"</f>
        <v>-0.28</v>
      </c>
      <c r="C3508" t="str">
        <f>"63"</f>
        <v>63</v>
      </c>
      <c r="D3508" t="str">
        <f>"Welcome Tourist"</f>
        <v>Welcome Tourist</v>
      </c>
    </row>
    <row r="3509" spans="1:4" x14ac:dyDescent="0.2">
      <c r="A3509" t="str">
        <f>"3508"</f>
        <v>3508</v>
      </c>
      <c r="B3509" t="str">
        <f>"-1.04"</f>
        <v>-1.04</v>
      </c>
      <c r="C3509" t="str">
        <f>"54"</f>
        <v>54</v>
      </c>
      <c r="D3509" t="str">
        <f>"The Complete Studio Recordings: NYC 1977-1978"</f>
        <v>The Complete Studio Recordings: NYC 1977-1978</v>
      </c>
    </row>
    <row r="3510" spans="1:4" x14ac:dyDescent="0.2">
      <c r="A3510" t="str">
        <f>"3509"</f>
        <v>3509</v>
      </c>
      <c r="B3510" t="str">
        <f>"-0.31"</f>
        <v>-0.31</v>
      </c>
      <c r="C3510" t="str">
        <f>"53"</f>
        <v>53</v>
      </c>
      <c r="D3510" t="s">
        <v>117</v>
      </c>
    </row>
    <row r="3511" spans="1:4" x14ac:dyDescent="0.2">
      <c r="A3511" t="str">
        <f>"3510"</f>
        <v>3510</v>
      </c>
      <c r="B3511" t="str">
        <f>"-0.05"</f>
        <v>-0.05</v>
      </c>
      <c r="C3511" t="str">
        <f>"66"</f>
        <v>66</v>
      </c>
      <c r="D3511" t="str">
        <f>"Don't Postpone Joy"</f>
        <v>Don't Postpone Joy</v>
      </c>
    </row>
    <row r="3512" spans="1:4" x14ac:dyDescent="0.2">
      <c r="A3512" t="str">
        <f>"3511"</f>
        <v>3511</v>
      </c>
      <c r="B3512" t="str">
        <f>"0.77"</f>
        <v>0.77</v>
      </c>
      <c r="C3512" t="str">
        <f>"128"</f>
        <v>128</v>
      </c>
      <c r="D3512" t="str">
        <f>"Can DVD"</f>
        <v>Can DVD</v>
      </c>
    </row>
    <row r="3513" spans="1:4" x14ac:dyDescent="0.2">
      <c r="A3513" t="str">
        <f>"3512"</f>
        <v>3512</v>
      </c>
      <c r="B3513" t="str">
        <f>"0.23"</f>
        <v>0.23</v>
      </c>
      <c r="C3513" t="str">
        <f>"43"</f>
        <v>43</v>
      </c>
      <c r="D3513" t="str">
        <f>"Marquee Moon"</f>
        <v>Marquee Moon</v>
      </c>
    </row>
    <row r="3514" spans="1:4" x14ac:dyDescent="0.2">
      <c r="A3514" t="str">
        <f>"3513"</f>
        <v>3513</v>
      </c>
      <c r="B3514" t="str">
        <f>"0.34"</f>
        <v>0.34</v>
      </c>
      <c r="C3514" t="str">
        <f>"71"</f>
        <v>71</v>
      </c>
      <c r="D3514" t="str">
        <f>"Live 2003"</f>
        <v>Live 2003</v>
      </c>
    </row>
    <row r="3515" spans="1:4" x14ac:dyDescent="0.2">
      <c r="A3515" t="str">
        <f>"3514"</f>
        <v>3514</v>
      </c>
      <c r="B3515" t="str">
        <f>"-0.29"</f>
        <v>-0.29</v>
      </c>
      <c r="C3515" t="str">
        <f>"61"</f>
        <v>61</v>
      </c>
      <c r="D3515" t="str">
        <f>"Down the River of Golden Dreams"</f>
        <v>Down the River of Golden Dreams</v>
      </c>
    </row>
    <row r="3516" spans="1:4" x14ac:dyDescent="0.2">
      <c r="A3516" t="str">
        <f>"3515"</f>
        <v>3515</v>
      </c>
      <c r="B3516" t="str">
        <f>"0.38"</f>
        <v>0.38</v>
      </c>
      <c r="C3516" t="str">
        <f>"51"</f>
        <v>51</v>
      </c>
      <c r="D3516" t="str">
        <f>"DFA Records Presents: Compilation #1"</f>
        <v>DFA Records Presents: Compilation #1</v>
      </c>
    </row>
    <row r="3517" spans="1:4" x14ac:dyDescent="0.2">
      <c r="A3517" t="str">
        <f>"3516"</f>
        <v>3516</v>
      </c>
      <c r="B3517" t="str">
        <f>"0.19"</f>
        <v>0.19</v>
      </c>
      <c r="C3517" t="str">
        <f>"52"</f>
        <v>52</v>
      </c>
      <c r="D3517" t="str">
        <f>"Convexed"</f>
        <v>Convexed</v>
      </c>
    </row>
    <row r="3518" spans="1:4" x14ac:dyDescent="0.2">
      <c r="A3518" t="str">
        <f>"3517"</f>
        <v>3517</v>
      </c>
      <c r="B3518" t="str">
        <f>"-0.47"</f>
        <v>-0.47</v>
      </c>
      <c r="C3518" t="str">
        <f>"67"</f>
        <v>67</v>
      </c>
      <c r="D3518" t="str">
        <f>"Wandering as Water"</f>
        <v>Wandering as Water</v>
      </c>
    </row>
    <row r="3519" spans="1:4" x14ac:dyDescent="0.2">
      <c r="A3519" t="str">
        <f>"3518"</f>
        <v>3518</v>
      </c>
      <c r="B3519" t="str">
        <f>"-0.25"</f>
        <v>-0.25</v>
      </c>
      <c r="C3519" t="str">
        <f>"28"</f>
        <v>28</v>
      </c>
      <c r="D3519" t="str">
        <f>"Streetcore"</f>
        <v>Streetcore</v>
      </c>
    </row>
    <row r="3520" spans="1:4" x14ac:dyDescent="0.2">
      <c r="A3520" t="str">
        <f>"3519"</f>
        <v>3519</v>
      </c>
      <c r="B3520" t="str">
        <f>"-0.19"</f>
        <v>-0.19</v>
      </c>
      <c r="C3520" t="str">
        <f>"57"</f>
        <v>57</v>
      </c>
      <c r="D3520" t="str">
        <f>"Good 2 Go"</f>
        <v>Good 2 Go</v>
      </c>
    </row>
    <row r="3521" spans="1:4" x14ac:dyDescent="0.2">
      <c r="A3521" t="str">
        <f>"3520"</f>
        <v>3520</v>
      </c>
      <c r="B3521" t="str">
        <f>"0.44"</f>
        <v>0.44</v>
      </c>
      <c r="C3521" t="str">
        <f>"49"</f>
        <v>49</v>
      </c>
      <c r="D3521" t="str">
        <f>"Cedric Im Brooks &amp; The Light of Saba"</f>
        <v>Cedric Im Brooks &amp; The Light of Saba</v>
      </c>
    </row>
    <row r="3522" spans="1:4" x14ac:dyDescent="0.2">
      <c r="A3522" t="str">
        <f>"3521"</f>
        <v>3521</v>
      </c>
      <c r="B3522" t="str">
        <f>"0.61"</f>
        <v>0.61</v>
      </c>
      <c r="C3522" t="str">
        <f>"74"</f>
        <v>74</v>
      </c>
      <c r="D3522" t="str">
        <f>"Archival 1991"</f>
        <v>Archival 1991</v>
      </c>
    </row>
    <row r="3523" spans="1:4" x14ac:dyDescent="0.2">
      <c r="A3523" t="str">
        <f>"3522"</f>
        <v>3522</v>
      </c>
      <c r="B3523" t="str">
        <f>"0.05"</f>
        <v>0.05</v>
      </c>
      <c r="C3523" t="str">
        <f>"51"</f>
        <v>51</v>
      </c>
      <c r="D3523" t="str">
        <f>"The Meter Glows"</f>
        <v>The Meter Glows</v>
      </c>
    </row>
    <row r="3524" spans="1:4" x14ac:dyDescent="0.2">
      <c r="A3524" t="str">
        <f>"3523"</f>
        <v>3523</v>
      </c>
      <c r="B3524" t="str">
        <f>"-0.05"</f>
        <v>-0.05</v>
      </c>
      <c r="C3524" t="str">
        <f>"78"</f>
        <v>78</v>
      </c>
      <c r="D3524" t="str">
        <f>"Mutant Disco"</f>
        <v>Mutant Disco</v>
      </c>
    </row>
    <row r="3525" spans="1:4" x14ac:dyDescent="0.2">
      <c r="A3525" t="str">
        <f>"3524"</f>
        <v>3524</v>
      </c>
      <c r="B3525" t="str">
        <f>"0.28"</f>
        <v>0.28</v>
      </c>
      <c r="C3525" t="str">
        <f>"75"</f>
        <v>75</v>
      </c>
      <c r="D3525" t="str">
        <f>"Lost and Found: Hip-Hop Underground Soul Classics"</f>
        <v>Lost and Found: Hip-Hop Underground Soul Classics</v>
      </c>
    </row>
    <row r="3526" spans="1:4" x14ac:dyDescent="0.2">
      <c r="A3526" t="str">
        <f>"3525"</f>
        <v>3525</v>
      </c>
      <c r="B3526" t="str">
        <f>"-0.71"</f>
        <v>-0.71</v>
      </c>
      <c r="C3526" t="str">
        <f>"47"</f>
        <v>47</v>
      </c>
      <c r="D3526" t="str">
        <f>"Friendship"</f>
        <v>Friendship</v>
      </c>
    </row>
    <row r="3527" spans="1:4" x14ac:dyDescent="0.2">
      <c r="A3527" t="str">
        <f>"3526"</f>
        <v>3526</v>
      </c>
      <c r="B3527" t="str">
        <f>"0.47"</f>
        <v>0.47</v>
      </c>
      <c r="C3527" t="str">
        <f>"54"</f>
        <v>54</v>
      </c>
      <c r="D3527" t="str">
        <f>"The Amos House Collection III"</f>
        <v>The Amos House Collection III</v>
      </c>
    </row>
    <row r="3528" spans="1:4" x14ac:dyDescent="0.2">
      <c r="A3528" t="str">
        <f>"3527"</f>
        <v>3527</v>
      </c>
      <c r="B3528" t="str">
        <f>"-0.64"</f>
        <v>-0.64</v>
      </c>
      <c r="C3528" t="str">
        <f>"66"</f>
        <v>66</v>
      </c>
      <c r="D3528" t="str">
        <f>"One A.M."</f>
        <v>One A.M.</v>
      </c>
    </row>
    <row r="3529" spans="1:4" x14ac:dyDescent="0.2">
      <c r="A3529" t="str">
        <f>"3528"</f>
        <v>3528</v>
      </c>
      <c r="B3529" t="str">
        <f>"0.25"</f>
        <v>0.25</v>
      </c>
      <c r="C3529" t="str">
        <f>"62"</f>
        <v>62</v>
      </c>
      <c r="D3529" t="str">
        <f>"Don't Forget to Boogie"</f>
        <v>Don't Forget to Boogie</v>
      </c>
    </row>
    <row r="3530" spans="1:4" x14ac:dyDescent="0.2">
      <c r="A3530" t="str">
        <f>"3529"</f>
        <v>3529</v>
      </c>
      <c r="B3530" t="str">
        <f>"0.18"</f>
        <v>0.18</v>
      </c>
      <c r="C3530" t="str">
        <f>"19"</f>
        <v>19</v>
      </c>
      <c r="D3530" t="str">
        <f>"Darts of Pleasure EP"</f>
        <v>Darts of Pleasure EP</v>
      </c>
    </row>
    <row r="3531" spans="1:4" x14ac:dyDescent="0.2">
      <c r="A3531" t="str">
        <f>"3530"</f>
        <v>3530</v>
      </c>
      <c r="B3531" t="str">
        <f>"-0.75"</f>
        <v>-0.75</v>
      </c>
      <c r="C3531" t="str">
        <f>"52"</f>
        <v>52</v>
      </c>
      <c r="D3531" t="str">
        <f>"Car Paint Scheme"</f>
        <v>Car Paint Scheme</v>
      </c>
    </row>
    <row r="3532" spans="1:4" x14ac:dyDescent="0.2">
      <c r="A3532" t="str">
        <f>"3531"</f>
        <v>3531</v>
      </c>
      <c r="B3532" t="str">
        <f>"-1.05"</f>
        <v>-1.05</v>
      </c>
      <c r="C3532" t="str">
        <f>"84"</f>
        <v>84</v>
      </c>
      <c r="D3532" t="str">
        <f>"Afro Finger and Gel"</f>
        <v>Afro Finger and Gel</v>
      </c>
    </row>
    <row r="3533" spans="1:4" x14ac:dyDescent="0.2">
      <c r="A3533" t="str">
        <f>"3532"</f>
        <v>3532</v>
      </c>
      <c r="B3533" t="str">
        <f>"-0.68"</f>
        <v>-0.68</v>
      </c>
      <c r="C3533" t="str">
        <f>"57"</f>
        <v>57</v>
      </c>
      <c r="D3533" t="str">
        <f>"This Is Not a Test"</f>
        <v>This Is Not a Test</v>
      </c>
    </row>
    <row r="3534" spans="1:4" x14ac:dyDescent="0.2">
      <c r="A3534" t="str">
        <f>"3533"</f>
        <v>3533</v>
      </c>
      <c r="B3534" t="str">
        <f>"-0.19"</f>
        <v>-0.19</v>
      </c>
      <c r="C3534" t="str">
        <f>"24"</f>
        <v>24</v>
      </c>
      <c r="D3534" t="s">
        <v>118</v>
      </c>
    </row>
    <row r="3535" spans="1:4" x14ac:dyDescent="0.2">
      <c r="A3535" t="str">
        <f>"3534"</f>
        <v>3534</v>
      </c>
      <c r="B3535" t="str">
        <f>"-1.15"</f>
        <v>-1.15</v>
      </c>
      <c r="C3535" t="str">
        <f>"52"</f>
        <v>52</v>
      </c>
      <c r="D3535" t="str">
        <f>"Dangerous Magical Noise"</f>
        <v>Dangerous Magical Noise</v>
      </c>
    </row>
    <row r="3536" spans="1:4" x14ac:dyDescent="0.2">
      <c r="A3536" t="str">
        <f>"3535"</f>
        <v>3535</v>
      </c>
      <c r="B3536" t="str">
        <f>"-1.34"</f>
        <v>-1.34</v>
      </c>
      <c r="C3536" t="str">
        <f>"121"</f>
        <v>121</v>
      </c>
      <c r="D3536" t="str">
        <f>"The Cunt Chronicles"</f>
        <v>The Cunt Chronicles</v>
      </c>
    </row>
    <row r="3537" spans="1:4" x14ac:dyDescent="0.2">
      <c r="A3537" t="str">
        <f>"3536"</f>
        <v>3536</v>
      </c>
      <c r="B3537" t="str">
        <f>"-0.28"</f>
        <v>-0.28</v>
      </c>
      <c r="C3537" t="str">
        <f>"50"</f>
        <v>50</v>
      </c>
      <c r="D3537" t="str">
        <f>"Sparrow"</f>
        <v>Sparrow</v>
      </c>
    </row>
    <row r="3538" spans="1:4" x14ac:dyDescent="0.2">
      <c r="A3538" t="str">
        <f>"3537"</f>
        <v>3537</v>
      </c>
      <c r="B3538" t="str">
        <f>"0.96"</f>
        <v>0.96</v>
      </c>
      <c r="C3538" t="str">
        <f>"53"</f>
        <v>53</v>
      </c>
      <c r="D3538" t="str">
        <f>"Pass in Time: The Definitive Collection"</f>
        <v>Pass in Time: The Definitive Collection</v>
      </c>
    </row>
    <row r="3539" spans="1:4" x14ac:dyDescent="0.2">
      <c r="A3539" t="str">
        <f>"3538"</f>
        <v>3538</v>
      </c>
      <c r="B3539" t="str">
        <f>"0.82"</f>
        <v>0.82</v>
      </c>
      <c r="C3539" t="str">
        <f>"73"</f>
        <v>73</v>
      </c>
      <c r="D3539" t="s">
        <v>119</v>
      </c>
    </row>
    <row r="3540" spans="1:4" x14ac:dyDescent="0.2">
      <c r="A3540" t="str">
        <f>"3539"</f>
        <v>3539</v>
      </c>
      <c r="B3540" t="str">
        <f>"0.56"</f>
        <v>0.56</v>
      </c>
      <c r="C3540" t="str">
        <f>"74"</f>
        <v>74</v>
      </c>
      <c r="D3540" t="str">
        <f>"600% Dynamite"</f>
        <v>600% Dynamite</v>
      </c>
    </row>
    <row r="3541" spans="1:4" x14ac:dyDescent="0.2">
      <c r="A3541" t="str">
        <f>"3540"</f>
        <v>3540</v>
      </c>
      <c r="B3541" t="str">
        <f>"-0.53"</f>
        <v>-0.53</v>
      </c>
      <c r="C3541" t="str">
        <f>"52"</f>
        <v>52</v>
      </c>
      <c r="D3541" t="str">
        <f>"Turn Off the Radio Mixtape Vol. 2: Get Free or Die Tryin'"</f>
        <v>Turn Off the Radio Mixtape Vol. 2: Get Free or Die Tryin'</v>
      </c>
    </row>
    <row r="3542" spans="1:4" x14ac:dyDescent="0.2">
      <c r="A3542" t="str">
        <f>"3541"</f>
        <v>3541</v>
      </c>
      <c r="B3542" t="str">
        <f>"0.78"</f>
        <v>0.78</v>
      </c>
      <c r="C3542" t="str">
        <f>"58"</f>
        <v>58</v>
      </c>
      <c r="D3542" t="s">
        <v>120</v>
      </c>
    </row>
    <row r="3543" spans="1:4" x14ac:dyDescent="0.2">
      <c r="A3543" t="str">
        <f>"3542"</f>
        <v>3542</v>
      </c>
      <c r="B3543" t="str">
        <f>"0.24"</f>
        <v>0.24</v>
      </c>
      <c r="C3543" t="str">
        <f>"47"</f>
        <v>47</v>
      </c>
      <c r="D3543" t="str">
        <f>"Holiday Diary"</f>
        <v>Holiday Diary</v>
      </c>
    </row>
    <row r="3544" spans="1:4" x14ac:dyDescent="0.2">
      <c r="A3544" t="str">
        <f>"3543"</f>
        <v>3543</v>
      </c>
      <c r="B3544" t="str">
        <f>"0.64"</f>
        <v>0.64</v>
      </c>
      <c r="C3544" t="str">
        <f>"32"</f>
        <v>32</v>
      </c>
      <c r="D3544" t="str">
        <f>"Bless the Headless"</f>
        <v>Bless the Headless</v>
      </c>
    </row>
    <row r="3545" spans="1:4" x14ac:dyDescent="0.2">
      <c r="A3545" t="str">
        <f>"3544"</f>
        <v>3544</v>
      </c>
      <c r="B3545" t="str">
        <f>"-0.47"</f>
        <v>-0.47</v>
      </c>
      <c r="C3545" t="str">
        <f>"40"</f>
        <v>40</v>
      </c>
      <c r="D3545" t="str">
        <f>"The Transient"</f>
        <v>The Transient</v>
      </c>
    </row>
    <row r="3546" spans="1:4" x14ac:dyDescent="0.2">
      <c r="A3546" t="str">
        <f>"3545"</f>
        <v>3545</v>
      </c>
      <c r="B3546" t="str">
        <f>"-0.41"</f>
        <v>-0.41</v>
      </c>
      <c r="C3546" t="str">
        <f>"64"</f>
        <v>64</v>
      </c>
      <c r="D3546" t="str">
        <f>"The Earth Is Not a Cold Dead Place"</f>
        <v>The Earth Is Not a Cold Dead Place</v>
      </c>
    </row>
    <row r="3547" spans="1:4" x14ac:dyDescent="0.2">
      <c r="A3547" t="str">
        <f>"3546"</f>
        <v>3546</v>
      </c>
      <c r="B3547" t="str">
        <f>"-0.08"</f>
        <v>-0.08</v>
      </c>
      <c r="C3547" t="str">
        <f>"58"</f>
        <v>58</v>
      </c>
      <c r="D3547" t="str">
        <f>"Splinter"</f>
        <v>Splinter</v>
      </c>
    </row>
    <row r="3548" spans="1:4" x14ac:dyDescent="0.2">
      <c r="A3548" t="str">
        <f>"3547"</f>
        <v>3547</v>
      </c>
      <c r="B3548" t="str">
        <f>"-0.35"</f>
        <v>-0.35</v>
      </c>
      <c r="C3548" t="str">
        <f>"44"</f>
        <v>44</v>
      </c>
      <c r="D3548" t="str">
        <f>"Songs We Should Have Written"</f>
        <v>Songs We Should Have Written</v>
      </c>
    </row>
    <row r="3549" spans="1:4" x14ac:dyDescent="0.2">
      <c r="A3549" t="str">
        <f>"3548"</f>
        <v>3548</v>
      </c>
      <c r="B3549" t="str">
        <f>"-0.39"</f>
        <v>-0.39</v>
      </c>
      <c r="C3549" t="str">
        <f>"57"</f>
        <v>57</v>
      </c>
      <c r="D3549" t="str">
        <f>"I Am"</f>
        <v>I Am</v>
      </c>
    </row>
    <row r="3550" spans="1:4" x14ac:dyDescent="0.2">
      <c r="A3550" t="str">
        <f>"3549"</f>
        <v>3549</v>
      </c>
      <c r="B3550" t="str">
        <f>"-0.4"</f>
        <v>-0.4</v>
      </c>
      <c r="C3550" t="str">
        <f>"39"</f>
        <v>39</v>
      </c>
      <c r="D3550" t="str">
        <f>"Whispermoon"</f>
        <v>Whispermoon</v>
      </c>
    </row>
    <row r="3551" spans="1:4" x14ac:dyDescent="0.2">
      <c r="A3551" t="str">
        <f>"3550"</f>
        <v>3550</v>
      </c>
      <c r="B3551" t="str">
        <f>"-0.66"</f>
        <v>-0.66</v>
      </c>
      <c r="C3551" t="str">
        <f>"54"</f>
        <v>54</v>
      </c>
      <c r="D3551" t="str">
        <f>"Want One"</f>
        <v>Want One</v>
      </c>
    </row>
    <row r="3552" spans="1:4" x14ac:dyDescent="0.2">
      <c r="A3552" t="str">
        <f>"3551"</f>
        <v>3551</v>
      </c>
      <c r="B3552" t="str">
        <f>"-0.52"</f>
        <v>-0.52</v>
      </c>
      <c r="C3552" t="str">
        <f>"76"</f>
        <v>76</v>
      </c>
      <c r="D3552" t="str">
        <f>"The Document II"</f>
        <v>The Document II</v>
      </c>
    </row>
    <row r="3553" spans="1:4" x14ac:dyDescent="0.2">
      <c r="A3553" t="str">
        <f>"3552"</f>
        <v>3552</v>
      </c>
      <c r="B3553" t="str">
        <f>"0.34"</f>
        <v>0.34</v>
      </c>
      <c r="C3553" t="str">
        <f>"66"</f>
        <v>66</v>
      </c>
      <c r="D3553" t="str">
        <f>"New River Head"</f>
        <v>New River Head</v>
      </c>
    </row>
    <row r="3554" spans="1:4" x14ac:dyDescent="0.2">
      <c r="A3554" t="str">
        <f>"3553"</f>
        <v>3553</v>
      </c>
      <c r="B3554" t="str">
        <f>"-0.47"</f>
        <v>-0.47</v>
      </c>
      <c r="C3554" t="str">
        <f>"63"</f>
        <v>63</v>
      </c>
      <c r="D3554" t="str">
        <f>"Ego Tripping at the Gates of Hell EP"</f>
        <v>Ego Tripping at the Gates of Hell EP</v>
      </c>
    </row>
    <row r="3555" spans="1:4" x14ac:dyDescent="0.2">
      <c r="A3555" t="str">
        <f>"3554"</f>
        <v>3554</v>
      </c>
      <c r="B3555" t="str">
        <f>"-0.62"</f>
        <v>-0.62</v>
      </c>
      <c r="C3555" t="str">
        <f>"38"</f>
        <v>38</v>
      </c>
      <c r="D3555" t="str">
        <f>"The Roads Outgrown"</f>
        <v>The Roads Outgrown</v>
      </c>
    </row>
    <row r="3556" spans="1:4" x14ac:dyDescent="0.2">
      <c r="A3556" t="str">
        <f>"3555"</f>
        <v>3555</v>
      </c>
      <c r="B3556" t="str">
        <f>"0.46"</f>
        <v>0.46</v>
      </c>
      <c r="C3556" t="str">
        <f>"73"</f>
        <v>73</v>
      </c>
      <c r="D3556" t="str">
        <f>"Silence Is Easy"</f>
        <v>Silence Is Easy</v>
      </c>
    </row>
    <row r="3557" spans="1:4" x14ac:dyDescent="0.2">
      <c r="A3557" t="str">
        <f>"3556"</f>
        <v>3556</v>
      </c>
      <c r="B3557" t="str">
        <f>"0.33"</f>
        <v>0.33</v>
      </c>
      <c r="C3557" t="str">
        <f>"228"</f>
        <v>228</v>
      </c>
      <c r="D3557" t="str">
        <f>"Let It Be... Naked"</f>
        <v>Let It Be... Naked</v>
      </c>
    </row>
    <row r="3558" spans="1:4" x14ac:dyDescent="0.2">
      <c r="A3558" t="str">
        <f>"3557"</f>
        <v>3557</v>
      </c>
      <c r="B3558" t="str">
        <f>"-0.11"</f>
        <v>-0.11</v>
      </c>
      <c r="C3558" t="str">
        <f>"69"</f>
        <v>69</v>
      </c>
      <c r="D3558" t="str">
        <f>"Ghosts of the Great Highway"</f>
        <v>Ghosts of the Great Highway</v>
      </c>
    </row>
    <row r="3559" spans="1:4" x14ac:dyDescent="0.2">
      <c r="A3559" t="str">
        <f>"3558"</f>
        <v>3558</v>
      </c>
      <c r="B3559" t="str">
        <f>"0.11"</f>
        <v>0.11</v>
      </c>
      <c r="C3559" t="str">
        <f>"75"</f>
        <v>75</v>
      </c>
      <c r="D3559" t="str">
        <f>"Today Is the Day! EP"</f>
        <v>Today Is the Day! EP</v>
      </c>
    </row>
    <row r="3560" spans="1:4" x14ac:dyDescent="0.2">
      <c r="A3560" t="str">
        <f>"3559"</f>
        <v>3559</v>
      </c>
      <c r="B3560" t="str">
        <f>"0.51"</f>
        <v>0.51</v>
      </c>
      <c r="C3560" t="str">
        <f>"61"</f>
        <v>61</v>
      </c>
      <c r="D3560" t="str">
        <f>"Motor Motel Love Songs"</f>
        <v>Motor Motel Love Songs</v>
      </c>
    </row>
    <row r="3561" spans="1:4" x14ac:dyDescent="0.2">
      <c r="A3561" t="str">
        <f>"3560"</f>
        <v>3560</v>
      </c>
      <c r="B3561" t="str">
        <f>"-0.29"</f>
        <v>-0.29</v>
      </c>
      <c r="C3561" t="str">
        <f>"51"</f>
        <v>51</v>
      </c>
      <c r="D3561" t="str">
        <f>"Monolith"</f>
        <v>Monolith</v>
      </c>
    </row>
    <row r="3562" spans="1:4" x14ac:dyDescent="0.2">
      <c r="A3562" t="str">
        <f>"3561"</f>
        <v>3561</v>
      </c>
      <c r="B3562" t="str">
        <f>"0.61"</f>
        <v>0.61</v>
      </c>
      <c r="C3562" t="str">
        <f>"32"</f>
        <v>32</v>
      </c>
      <c r="D3562" t="str">
        <f>"It's a Crackhaus Thing"</f>
        <v>It's a Crackhaus Thing</v>
      </c>
    </row>
    <row r="3563" spans="1:4" x14ac:dyDescent="0.2">
      <c r="A3563" t="str">
        <f>"3562"</f>
        <v>3562</v>
      </c>
      <c r="B3563" t="str">
        <f>"0.24"</f>
        <v>0.24</v>
      </c>
      <c r="C3563" t="str">
        <f>"62"</f>
        <v>62</v>
      </c>
      <c r="D3563" t="str">
        <f>"Champion Sound"</f>
        <v>Champion Sound</v>
      </c>
    </row>
    <row r="3564" spans="1:4" x14ac:dyDescent="0.2">
      <c r="A3564" t="str">
        <f>"3563"</f>
        <v>3563</v>
      </c>
      <c r="B3564" t="str">
        <f>"-0.54"</f>
        <v>-0.54</v>
      </c>
      <c r="C3564" t="str">
        <f>"49"</f>
        <v>49</v>
      </c>
      <c r="D3564" t="str">
        <f>"Black Rooster EP"</f>
        <v>Black Rooster EP</v>
      </c>
    </row>
    <row r="3565" spans="1:4" x14ac:dyDescent="0.2">
      <c r="A3565" t="str">
        <f>"3564"</f>
        <v>3564</v>
      </c>
      <c r="B3565" t="str">
        <f>"-0.06"</f>
        <v>-0.06</v>
      </c>
      <c r="C3565" t="str">
        <f>"69"</f>
        <v>69</v>
      </c>
      <c r="D3565" t="str">
        <f>"Compathia"</f>
        <v>Compathia</v>
      </c>
    </row>
    <row r="3566" spans="1:4" x14ac:dyDescent="0.2">
      <c r="A3566" t="str">
        <f>"3565"</f>
        <v>3565</v>
      </c>
      <c r="B3566" t="str">
        <f>"-0.8"</f>
        <v>-0.8</v>
      </c>
      <c r="C3566" t="str">
        <f>"59"</f>
        <v>59</v>
      </c>
      <c r="D3566" t="str">
        <f>"Always Will Be EP"</f>
        <v>Always Will Be EP</v>
      </c>
    </row>
    <row r="3567" spans="1:4" x14ac:dyDescent="0.2">
      <c r="A3567" t="str">
        <f>"3566"</f>
        <v>3566</v>
      </c>
      <c r="B3567" t="str">
        <f>"0.5"</f>
        <v>0.5</v>
      </c>
      <c r="C3567" t="str">
        <f>"61"</f>
        <v>61</v>
      </c>
      <c r="D3567" t="str">
        <f>"A Beautiful EP"</f>
        <v>A Beautiful EP</v>
      </c>
    </row>
    <row r="3568" spans="1:4" x14ac:dyDescent="0.2">
      <c r="A3568" t="str">
        <f>"3567"</f>
        <v>3567</v>
      </c>
      <c r="B3568" t="str">
        <f>"-0.19"</f>
        <v>-0.19</v>
      </c>
      <c r="C3568" t="str">
        <f>"69"</f>
        <v>69</v>
      </c>
      <c r="D3568" t="str">
        <f>"1958"</f>
        <v>1958</v>
      </c>
    </row>
    <row r="3569" spans="1:4" x14ac:dyDescent="0.2">
      <c r="A3569" t="str">
        <f>"3568"</f>
        <v>3568</v>
      </c>
      <c r="B3569" t="str">
        <f>"0.72"</f>
        <v>0.72</v>
      </c>
      <c r="C3569" t="str">
        <f>"74"</f>
        <v>74</v>
      </c>
      <c r="D3569" t="str">
        <f>"YosepH"</f>
        <v>YosepH</v>
      </c>
    </row>
    <row r="3570" spans="1:4" x14ac:dyDescent="0.2">
      <c r="A3570" t="str">
        <f>"3569"</f>
        <v>3569</v>
      </c>
      <c r="B3570" t="str">
        <f>"-0.47"</f>
        <v>-0.47</v>
      </c>
      <c r="C3570" t="str">
        <f>"293"</f>
        <v>293</v>
      </c>
      <c r="D3570" t="str">
        <f>"The Black Album"</f>
        <v>The Black Album</v>
      </c>
    </row>
    <row r="3571" spans="1:4" x14ac:dyDescent="0.2">
      <c r="A3571" t="str">
        <f>"3570"</f>
        <v>3570</v>
      </c>
      <c r="B3571" t="str">
        <f>"-0.3"</f>
        <v>-0.3</v>
      </c>
      <c r="C3571" t="str">
        <f>"58"</f>
        <v>58</v>
      </c>
      <c r="D3571" t="str">
        <f>"Taking Northern Liberties"</f>
        <v>Taking Northern Liberties</v>
      </c>
    </row>
    <row r="3572" spans="1:4" x14ac:dyDescent="0.2">
      <c r="A3572" t="str">
        <f>"3571"</f>
        <v>3571</v>
      </c>
      <c r="B3572" t="str">
        <f>"0.81"</f>
        <v>0.81</v>
      </c>
      <c r="C3572" t="str">
        <f>"49"</f>
        <v>49</v>
      </c>
      <c r="D3572" t="str">
        <f>"Parsley Sounds"</f>
        <v>Parsley Sounds</v>
      </c>
    </row>
    <row r="3573" spans="1:4" x14ac:dyDescent="0.2">
      <c r="A3573" t="str">
        <f>"3572"</f>
        <v>3572</v>
      </c>
      <c r="B3573" t="str">
        <f>"-0.38"</f>
        <v>-0.38</v>
      </c>
      <c r="C3573" t="str">
        <f>"46"</f>
        <v>46</v>
      </c>
      <c r="D3573" t="str">
        <f>"Mechanical Royalty"</f>
        <v>Mechanical Royalty</v>
      </c>
    </row>
    <row r="3574" spans="1:4" x14ac:dyDescent="0.2">
      <c r="A3574" t="str">
        <f>"3573"</f>
        <v>3573</v>
      </c>
      <c r="B3574" t="str">
        <f>"-0.21"</f>
        <v>-0.21</v>
      </c>
      <c r="C3574" t="str">
        <f>"84"</f>
        <v>84</v>
      </c>
      <c r="D3574" t="str">
        <f>"Spokes"</f>
        <v>Spokes</v>
      </c>
    </row>
    <row r="3575" spans="1:4" x14ac:dyDescent="0.2">
      <c r="A3575" t="str">
        <f>"3574"</f>
        <v>3574</v>
      </c>
      <c r="B3575" t="str">
        <f>"-0.59"</f>
        <v>-0.59</v>
      </c>
      <c r="C3575" t="str">
        <f>"64"</f>
        <v>64</v>
      </c>
      <c r="D3575" t="str">
        <f>"The Culling Is Coming"</f>
        <v>The Culling Is Coming</v>
      </c>
    </row>
    <row r="3576" spans="1:4" x14ac:dyDescent="0.2">
      <c r="A3576" t="str">
        <f>"3575"</f>
        <v>3575</v>
      </c>
      <c r="B3576" t="str">
        <f>"-0.77"</f>
        <v>-0.77</v>
      </c>
      <c r="C3576" t="str">
        <f>"42"</f>
        <v>42</v>
      </c>
      <c r="D3576" t="str">
        <f>"Muted"</f>
        <v>Muted</v>
      </c>
    </row>
    <row r="3577" spans="1:4" x14ac:dyDescent="0.2">
      <c r="A3577" t="str">
        <f>"3576"</f>
        <v>3576</v>
      </c>
      <c r="B3577" t="str">
        <f>"-0.34"</f>
        <v>-0.34</v>
      </c>
      <c r="C3577" t="str">
        <f>"17"</f>
        <v>17</v>
      </c>
      <c r="D3577" t="str">
        <f>"In the Fishtank"</f>
        <v>In the Fishtank</v>
      </c>
    </row>
    <row r="3578" spans="1:4" x14ac:dyDescent="0.2">
      <c r="A3578" t="str">
        <f>"3577"</f>
        <v>3577</v>
      </c>
      <c r="B3578" t="str">
        <f>"0.25"</f>
        <v>0.25</v>
      </c>
      <c r="C3578" t="str">
        <f>"63"</f>
        <v>63</v>
      </c>
      <c r="D3578" t="str">
        <f>"Fabric 13"</f>
        <v>Fabric 13</v>
      </c>
    </row>
    <row r="3579" spans="1:4" x14ac:dyDescent="0.2">
      <c r="A3579" t="str">
        <f>"3578"</f>
        <v>3578</v>
      </c>
      <c r="B3579" t="str">
        <f>"0.2"</f>
        <v>0.2</v>
      </c>
      <c r="C3579" t="str">
        <f>"54"</f>
        <v>54</v>
      </c>
      <c r="D3579" t="str">
        <f>"Chain Gang of Love"</f>
        <v>Chain Gang of Love</v>
      </c>
    </row>
    <row r="3580" spans="1:4" x14ac:dyDescent="0.2">
      <c r="A3580" t="str">
        <f>"3579"</f>
        <v>3579</v>
      </c>
      <c r="B3580" t="str">
        <f>"0.01"</f>
        <v>0.01</v>
      </c>
      <c r="C3580" t="str">
        <f>"65"</f>
        <v>65</v>
      </c>
      <c r="D3580" t="str">
        <f>"Wig in a Box: Songs from and Inspired by Hedwig and the Angry Inch"</f>
        <v>Wig in a Box: Songs from and Inspired by Hedwig and the Angry Inch</v>
      </c>
    </row>
    <row r="3581" spans="1:4" x14ac:dyDescent="0.2">
      <c r="A3581" t="str">
        <f>"3580"</f>
        <v>3580</v>
      </c>
      <c r="B3581" t="str">
        <f>"-0.02"</f>
        <v>-0.02</v>
      </c>
      <c r="C3581" t="str">
        <f>"85"</f>
        <v>85</v>
      </c>
      <c r="D3581" t="str">
        <f>"Sheath"</f>
        <v>Sheath</v>
      </c>
    </row>
    <row r="3582" spans="1:4" x14ac:dyDescent="0.2">
      <c r="A3582" t="str">
        <f>"3581"</f>
        <v>3581</v>
      </c>
      <c r="B3582" t="str">
        <f>"-0.45"</f>
        <v>-0.45</v>
      </c>
      <c r="C3582" t="str">
        <f>"69"</f>
        <v>69</v>
      </c>
      <c r="D3582" t="str">
        <f>"Nervous Cop"</f>
        <v>Nervous Cop</v>
      </c>
    </row>
    <row r="3583" spans="1:4" x14ac:dyDescent="0.2">
      <c r="A3583" t="str">
        <f>"3582"</f>
        <v>3582</v>
      </c>
      <c r="B3583" t="str">
        <f>"0.34"</f>
        <v>0.34</v>
      </c>
      <c r="C3583" t="str">
        <f>"63"</f>
        <v>63</v>
      </c>
      <c r="D3583" t="str">
        <f>"Four Thousand Seven Hundred and Sixty-Six Seconds: A Shortcut to Teenage Fanclub"</f>
        <v>Four Thousand Seven Hundred and Sixty-Six Seconds: A Shortcut to Teenage Fanclub</v>
      </c>
    </row>
    <row r="3584" spans="1:4" x14ac:dyDescent="0.2">
      <c r="A3584" t="str">
        <f>"3583"</f>
        <v>3583</v>
      </c>
      <c r="B3584" t="str">
        <f>"0.4"</f>
        <v>0.4</v>
      </c>
      <c r="C3584" t="str">
        <f>"60"</f>
        <v>60</v>
      </c>
      <c r="D3584" t="str">
        <f>"Who Will Cut Our Hair When We're Gone?"</f>
        <v>Who Will Cut Our Hair When We're Gone?</v>
      </c>
    </row>
    <row r="3585" spans="1:4" x14ac:dyDescent="0.2">
      <c r="A3585" t="str">
        <f>"3584"</f>
        <v>3584</v>
      </c>
      <c r="B3585" t="str">
        <f>"0.6"</f>
        <v>0.6</v>
      </c>
      <c r="C3585" t="str">
        <f>"44"</f>
        <v>44</v>
      </c>
      <c r="D3585" t="str">
        <f>"Singing Bones"</f>
        <v>Singing Bones</v>
      </c>
    </row>
    <row r="3586" spans="1:4" x14ac:dyDescent="0.2">
      <c r="A3586" t="str">
        <f>"3585"</f>
        <v>3585</v>
      </c>
      <c r="B3586" t="str">
        <f>"-0.21"</f>
        <v>-0.21</v>
      </c>
      <c r="C3586" t="str">
        <f>"66"</f>
        <v>66</v>
      </c>
      <c r="D3586" t="str">
        <f>"North Head"</f>
        <v>North Head</v>
      </c>
    </row>
    <row r="3587" spans="1:4" x14ac:dyDescent="0.2">
      <c r="A3587" t="str">
        <f>"3586"</f>
        <v>3586</v>
      </c>
      <c r="B3587" t="str">
        <f>"-0.46"</f>
        <v>-0.46</v>
      </c>
      <c r="C3587" t="str">
        <f>"37"</f>
        <v>37</v>
      </c>
      <c r="D3587" t="str">
        <f>"Keep on Truckin'"</f>
        <v>Keep on Truckin'</v>
      </c>
    </row>
    <row r="3588" spans="1:4" x14ac:dyDescent="0.2">
      <c r="A3588" t="str">
        <f>"3587"</f>
        <v>3587</v>
      </c>
      <c r="B3588" t="str">
        <f>"-0.6"</f>
        <v>-0.6</v>
      </c>
      <c r="C3588" t="str">
        <f>"41"</f>
        <v>41</v>
      </c>
      <c r="D3588" t="str">
        <f>"Burn Radio Airtest EP"</f>
        <v>Burn Radio Airtest EP</v>
      </c>
    </row>
    <row r="3589" spans="1:4" x14ac:dyDescent="0.2">
      <c r="A3589" t="str">
        <f>"3588"</f>
        <v>3588</v>
      </c>
      <c r="B3589" t="str">
        <f>"-0.56"</f>
        <v>-0.56</v>
      </c>
      <c r="C3589" t="str">
        <f>"67"</f>
        <v>67</v>
      </c>
      <c r="D3589" t="str">
        <f>"Rethinking the Weather"</f>
        <v>Rethinking the Weather</v>
      </c>
    </row>
    <row r="3590" spans="1:4" x14ac:dyDescent="0.2">
      <c r="A3590" t="str">
        <f>"3589"</f>
        <v>3589</v>
      </c>
      <c r="B3590" t="str">
        <f>"0.54"</f>
        <v>0.54</v>
      </c>
      <c r="C3590" t="str">
        <f>"68"</f>
        <v>68</v>
      </c>
      <c r="D3590" t="str">
        <f>"North"</f>
        <v>North</v>
      </c>
    </row>
    <row r="3591" spans="1:4" x14ac:dyDescent="0.2">
      <c r="A3591" t="str">
        <f>"3590"</f>
        <v>3590</v>
      </c>
      <c r="B3591" t="str">
        <f>"0"</f>
        <v>0</v>
      </c>
      <c r="C3591" t="str">
        <f>"72"</f>
        <v>72</v>
      </c>
      <c r="D3591" t="str">
        <f>"Lou B's Wasted Pieces: 87-93"</f>
        <v>Lou B's Wasted Pieces: 87-93</v>
      </c>
    </row>
    <row r="3592" spans="1:4" x14ac:dyDescent="0.2">
      <c r="A3592" t="str">
        <f>"3591"</f>
        <v>3591</v>
      </c>
      <c r="B3592" t="str">
        <f>"0.01"</f>
        <v>0.01</v>
      </c>
      <c r="C3592" t="str">
        <f>"91"</f>
        <v>91</v>
      </c>
      <c r="D3592" t="str">
        <f>"Berlinette"</f>
        <v>Berlinette</v>
      </c>
    </row>
    <row r="3593" spans="1:4" x14ac:dyDescent="0.2">
      <c r="A3593" t="str">
        <f>"3592"</f>
        <v>3592</v>
      </c>
      <c r="B3593" t="str">
        <f>"0.06"</f>
        <v>0.06</v>
      </c>
      <c r="C3593" t="str">
        <f>"48"</f>
        <v>48</v>
      </c>
      <c r="D3593" t="s">
        <v>121</v>
      </c>
    </row>
    <row r="3594" spans="1:4" x14ac:dyDescent="0.2">
      <c r="A3594" t="str">
        <f>"3593"</f>
        <v>3593</v>
      </c>
      <c r="B3594" t="str">
        <f>"0.11"</f>
        <v>0.11</v>
      </c>
      <c r="C3594" t="str">
        <f>"80"</f>
        <v>80</v>
      </c>
      <c r="D3594" t="str">
        <f>"Unknown Spin"</f>
        <v>Unknown Spin</v>
      </c>
    </row>
    <row r="3595" spans="1:4" x14ac:dyDescent="0.2">
      <c r="A3595" t="str">
        <f>"3594"</f>
        <v>3594</v>
      </c>
      <c r="B3595" t="str">
        <f>"-0.7"</f>
        <v>-0.7</v>
      </c>
      <c r="C3595" t="str">
        <f>"38"</f>
        <v>38</v>
      </c>
      <c r="D3595" t="str">
        <f>"The Dirt Tier"</f>
        <v>The Dirt Tier</v>
      </c>
    </row>
    <row r="3596" spans="1:4" x14ac:dyDescent="0.2">
      <c r="A3596" t="str">
        <f>"3595"</f>
        <v>3595</v>
      </c>
      <c r="B3596" t="str">
        <f>"-1.32"</f>
        <v>-1.32</v>
      </c>
      <c r="C3596" t="str">
        <f>"77"</f>
        <v>77</v>
      </c>
      <c r="D3596" t="str">
        <f>"The Bootleg of the Bootleg EP"</f>
        <v>The Bootleg of the Bootleg EP</v>
      </c>
    </row>
    <row r="3597" spans="1:4" x14ac:dyDescent="0.2">
      <c r="A3597" t="str">
        <f>"3596"</f>
        <v>3596</v>
      </c>
      <c r="B3597" t="str">
        <f>"-0.67"</f>
        <v>-0.67</v>
      </c>
      <c r="C3597" t="str">
        <f>"75"</f>
        <v>75</v>
      </c>
      <c r="D3597" t="str">
        <f>"Rock N Roll"</f>
        <v>Rock N Roll</v>
      </c>
    </row>
    <row r="3598" spans="1:4" x14ac:dyDescent="0.2">
      <c r="A3598" t="str">
        <f>"3597"</f>
        <v>3597</v>
      </c>
      <c r="B3598" t="str">
        <f>"-1.12"</f>
        <v>-1.12</v>
      </c>
      <c r="C3598" t="str">
        <f>"47"</f>
        <v>47</v>
      </c>
      <c r="D3598" t="s">
        <v>122</v>
      </c>
    </row>
    <row r="3599" spans="1:4" x14ac:dyDescent="0.2">
      <c r="A3599" t="str">
        <f>"3598"</f>
        <v>3598</v>
      </c>
      <c r="B3599" t="str">
        <f>"0.06"</f>
        <v>0.06</v>
      </c>
      <c r="C3599" t="str">
        <f>"39"</f>
        <v>39</v>
      </c>
      <c r="D3599" t="str">
        <f>"Songs from the Black Mountain Music Project"</f>
        <v>Songs from the Black Mountain Music Project</v>
      </c>
    </row>
    <row r="3600" spans="1:4" x14ac:dyDescent="0.2">
      <c r="A3600" t="str">
        <f>"3599"</f>
        <v>3599</v>
      </c>
      <c r="B3600" t="str">
        <f>"0.35"</f>
        <v>0.35</v>
      </c>
      <c r="C3600" t="str">
        <f>"96"</f>
        <v>96</v>
      </c>
      <c r="D3600" t="str">
        <f>"The Music of Milton Babbitt"</f>
        <v>The Music of Milton Babbitt</v>
      </c>
    </row>
    <row r="3601" spans="1:4" x14ac:dyDescent="0.2">
      <c r="A3601" t="str">
        <f>"3600"</f>
        <v>3600</v>
      </c>
      <c r="B3601" t="str">
        <f>"0.83"</f>
        <v>0.83</v>
      </c>
      <c r="C3601" t="str">
        <f>"49"</f>
        <v>49</v>
      </c>
      <c r="D3601" t="str">
        <f>"Client"</f>
        <v>Client</v>
      </c>
    </row>
    <row r="3602" spans="1:4" x14ac:dyDescent="0.2">
      <c r="A3602" t="str">
        <f>"3601"</f>
        <v>3601</v>
      </c>
      <c r="B3602" t="str">
        <f>"-0.03"</f>
        <v>-0.03</v>
      </c>
      <c r="C3602" t="str">
        <f>"66"</f>
        <v>66</v>
      </c>
      <c r="D3602" t="s">
        <v>123</v>
      </c>
    </row>
    <row r="3603" spans="1:4" x14ac:dyDescent="0.2">
      <c r="A3603" t="str">
        <f>"3602"</f>
        <v>3602</v>
      </c>
      <c r="B3603" t="str">
        <f>"-0.26"</f>
        <v>-0.26</v>
      </c>
      <c r="C3603" t="str">
        <f>"53"</f>
        <v>53</v>
      </c>
      <c r="D3603" t="str">
        <f>"Bodysong"</f>
        <v>Bodysong</v>
      </c>
    </row>
    <row r="3604" spans="1:4" x14ac:dyDescent="0.2">
      <c r="A3604" t="str">
        <f>"3603"</f>
        <v>3603</v>
      </c>
      <c r="B3604" t="str">
        <f>"-0.38"</f>
        <v>-0.38</v>
      </c>
      <c r="C3604" t="str">
        <f>"73"</f>
        <v>73</v>
      </c>
      <c r="D3604" t="str">
        <f>"Tasheyana Compost"</f>
        <v>Tasheyana Compost</v>
      </c>
    </row>
    <row r="3605" spans="1:4" x14ac:dyDescent="0.2">
      <c r="A3605" t="str">
        <f>"3604"</f>
        <v>3604</v>
      </c>
      <c r="B3605" t="str">
        <f>"-0.99"</f>
        <v>-0.99</v>
      </c>
      <c r="C3605" t="str">
        <f>"55"</f>
        <v>55</v>
      </c>
      <c r="D3605" t="str">
        <f>"Something's Gotta Give"</f>
        <v>Something's Gotta Give</v>
      </c>
    </row>
    <row r="3606" spans="1:4" x14ac:dyDescent="0.2">
      <c r="A3606" t="str">
        <f>"3605"</f>
        <v>3605</v>
      </c>
      <c r="B3606" t="str">
        <f>"0.08"</f>
        <v>0.08</v>
      </c>
      <c r="C3606" t="str">
        <f>"64"</f>
        <v>64</v>
      </c>
      <c r="D3606" t="str">
        <f>"Softcore Jukebox"</f>
        <v>Softcore Jukebox</v>
      </c>
    </row>
    <row r="3607" spans="1:4" x14ac:dyDescent="0.2">
      <c r="A3607" t="str">
        <f>"3606"</f>
        <v>3606</v>
      </c>
      <c r="B3607" t="str">
        <f>"-0.44"</f>
        <v>-0.44</v>
      </c>
      <c r="C3607" t="str">
        <f>"53"</f>
        <v>53</v>
      </c>
      <c r="D3607" t="str">
        <f>"Per Second Per Second Per Second... Every Second"</f>
        <v>Per Second Per Second Per Second... Every Second</v>
      </c>
    </row>
    <row r="3608" spans="1:4" x14ac:dyDescent="0.2">
      <c r="A3608" t="str">
        <f>"3607"</f>
        <v>3607</v>
      </c>
      <c r="B3608" t="str">
        <f>"-0.82"</f>
        <v>-0.82</v>
      </c>
      <c r="C3608" t="str">
        <f>"37"</f>
        <v>37</v>
      </c>
      <c r="D3608" t="str">
        <f>"By the Roads and the Fields"</f>
        <v>By the Roads and the Fields</v>
      </c>
    </row>
    <row r="3609" spans="1:4" x14ac:dyDescent="0.2">
      <c r="A3609" t="str">
        <f>"3608"</f>
        <v>3608</v>
      </c>
      <c r="B3609" t="str">
        <f>"-1.75"</f>
        <v>-1.75</v>
      </c>
      <c r="C3609" t="str">
        <f>"17"</f>
        <v>17</v>
      </c>
      <c r="D3609" t="str">
        <f>"Wolf Eyes &amp; Black Dice"</f>
        <v>Wolf Eyes &amp; Black Dice</v>
      </c>
    </row>
    <row r="3610" spans="1:4" x14ac:dyDescent="0.2">
      <c r="A3610" t="str">
        <f>"3609"</f>
        <v>3609</v>
      </c>
      <c r="B3610" t="str">
        <f>"0.2"</f>
        <v>0.2</v>
      </c>
      <c r="C3610" t="str">
        <f>"54"</f>
        <v>54</v>
      </c>
      <c r="D3610" t="str">
        <f>"Leave Luck to Heaven"</f>
        <v>Leave Luck to Heaven</v>
      </c>
    </row>
    <row r="3611" spans="1:4" x14ac:dyDescent="0.2">
      <c r="A3611" t="str">
        <f>"3610"</f>
        <v>3610</v>
      </c>
      <c r="B3611" t="str">
        <f>"0.34"</f>
        <v>0.34</v>
      </c>
      <c r="C3611" t="str">
        <f>"87"</f>
        <v>87</v>
      </c>
      <c r="D3611" t="str">
        <f>"Human Amusement at Hourly Rates: The Best of Guided by Voices"</f>
        <v>Human Amusement at Hourly Rates: The Best of Guided by Voices</v>
      </c>
    </row>
    <row r="3612" spans="1:4" x14ac:dyDescent="0.2">
      <c r="A3612" t="str">
        <f>"3611"</f>
        <v>3611</v>
      </c>
      <c r="B3612" t="str">
        <f>"-0.04"</f>
        <v>-0.04</v>
      </c>
      <c r="C3612" t="str">
        <f>"46"</f>
        <v>46</v>
      </c>
      <c r="D3612" t="str">
        <f>"Electric Babyland/Lullabies"</f>
        <v>Electric Babyland/Lullabies</v>
      </c>
    </row>
    <row r="3613" spans="1:4" x14ac:dyDescent="0.2">
      <c r="A3613" t="str">
        <f>"3612"</f>
        <v>3612</v>
      </c>
      <c r="B3613" t="str">
        <f>"-0.3"</f>
        <v>-0.3</v>
      </c>
      <c r="C3613" t="str">
        <f>"50"</f>
        <v>50</v>
      </c>
      <c r="D3613" t="str">
        <f>"Caught the Blast"</f>
        <v>Caught the Blast</v>
      </c>
    </row>
    <row r="3614" spans="1:4" x14ac:dyDescent="0.2">
      <c r="A3614" t="str">
        <f>"3613"</f>
        <v>3613</v>
      </c>
      <c r="B3614" t="str">
        <f>"-0.7"</f>
        <v>-0.7</v>
      </c>
      <c r="C3614" t="str">
        <f>"92"</f>
        <v>92</v>
      </c>
      <c r="D3614" t="str">
        <f>"Birth of a Prince"</f>
        <v>Birth of a Prince</v>
      </c>
    </row>
    <row r="3615" spans="1:4" x14ac:dyDescent="0.2">
      <c r="A3615" t="str">
        <f>"3614"</f>
        <v>3614</v>
      </c>
      <c r="B3615" t="str">
        <f>"-0.37"</f>
        <v>-0.37</v>
      </c>
      <c r="C3615" t="str">
        <f>"46"</f>
        <v>46</v>
      </c>
      <c r="D3615" t="str">
        <f>"Under the Tray"</f>
        <v>Under the Tray</v>
      </c>
    </row>
    <row r="3616" spans="1:4" x14ac:dyDescent="0.2">
      <c r="A3616" t="str">
        <f>"3615"</f>
        <v>3615</v>
      </c>
      <c r="B3616" t="str">
        <f>"0.5"</f>
        <v>0.5</v>
      </c>
      <c r="C3616" t="str">
        <f>"41"</f>
        <v>41</v>
      </c>
      <c r="D3616" t="str">
        <f>"Spoon &amp; Rafter"</f>
        <v>Spoon &amp; Rafter</v>
      </c>
    </row>
    <row r="3617" spans="1:4" x14ac:dyDescent="0.2">
      <c r="A3617" t="str">
        <f>"3616"</f>
        <v>3616</v>
      </c>
      <c r="B3617" t="str">
        <f>"-1.46"</f>
        <v>-1.46</v>
      </c>
      <c r="C3617" t="str">
        <f>"116"</f>
        <v>116</v>
      </c>
      <c r="D3617" t="str">
        <f>"Skull Ring"</f>
        <v>Skull Ring</v>
      </c>
    </row>
    <row r="3618" spans="1:4" x14ac:dyDescent="0.2">
      <c r="A3618" t="str">
        <f>"3617"</f>
        <v>3617</v>
      </c>
      <c r="B3618" t="str">
        <f>"-0.29"</f>
        <v>-0.29</v>
      </c>
      <c r="C3618" t="str">
        <f>"69"</f>
        <v>69</v>
      </c>
      <c r="D3618" t="str">
        <f>"Funfair"</f>
        <v>Funfair</v>
      </c>
    </row>
    <row r="3619" spans="1:4" x14ac:dyDescent="0.2">
      <c r="A3619" t="str">
        <f>"3618"</f>
        <v>3618</v>
      </c>
      <c r="B3619" t="str">
        <f>"-1.46"</f>
        <v>-1.46</v>
      </c>
      <c r="C3619" t="str">
        <f>"101"</f>
        <v>101</v>
      </c>
      <c r="D3619" t="str">
        <f>"Cheers"</f>
        <v>Cheers</v>
      </c>
    </row>
    <row r="3620" spans="1:4" x14ac:dyDescent="0.2">
      <c r="A3620" t="str">
        <f>"3619"</f>
        <v>3619</v>
      </c>
      <c r="B3620" t="str">
        <f>"0"</f>
        <v>0</v>
      </c>
      <c r="C3620" t="str">
        <f>"43"</f>
        <v>43</v>
      </c>
      <c r="D3620" t="str">
        <f>"The Secretariat Motor Hotel"</f>
        <v>The Secretariat Motor Hotel</v>
      </c>
    </row>
    <row r="3621" spans="1:4" x14ac:dyDescent="0.2">
      <c r="A3621" t="str">
        <f>"3620"</f>
        <v>3620</v>
      </c>
      <c r="B3621" t="str">
        <f>"1.2"</f>
        <v>1.2</v>
      </c>
      <c r="C3621" t="str">
        <f>"46"</f>
        <v>46</v>
      </c>
      <c r="D3621" t="str">
        <f>"Married Alive"</f>
        <v>Married Alive</v>
      </c>
    </row>
    <row r="3622" spans="1:4" x14ac:dyDescent="0.2">
      <c r="A3622" t="str">
        <f>"3621"</f>
        <v>3621</v>
      </c>
      <c r="B3622" t="str">
        <f>"0.28"</f>
        <v>0.28</v>
      </c>
      <c r="C3622" t="str">
        <f>"89"</f>
        <v>89</v>
      </c>
      <c r="D3622" t="str">
        <f>"Logic Will Break Your Heart"</f>
        <v>Logic Will Break Your Heart</v>
      </c>
    </row>
    <row r="3623" spans="1:4" x14ac:dyDescent="0.2">
      <c r="A3623" t="str">
        <f>"3622"</f>
        <v>3622</v>
      </c>
      <c r="B3623" t="str">
        <f>"1.18"</f>
        <v>1.18</v>
      </c>
      <c r="C3623" t="str">
        <f>"43"</f>
        <v>43</v>
      </c>
      <c r="D3623" t="str">
        <f>"Hold on Love"</f>
        <v>Hold on Love</v>
      </c>
    </row>
    <row r="3624" spans="1:4" x14ac:dyDescent="0.2">
      <c r="A3624" t="str">
        <f>"3623"</f>
        <v>3623</v>
      </c>
      <c r="B3624" t="str">
        <f>"0.22"</f>
        <v>0.22</v>
      </c>
      <c r="C3624" t="str">
        <f>"67"</f>
        <v>67</v>
      </c>
      <c r="D3624" t="str">
        <f>"Weather Systems"</f>
        <v>Weather Systems</v>
      </c>
    </row>
    <row r="3625" spans="1:4" x14ac:dyDescent="0.2">
      <c r="A3625" t="str">
        <f>"3624"</f>
        <v>3624</v>
      </c>
      <c r="B3625" t="str">
        <f>"0.12"</f>
        <v>0.12</v>
      </c>
      <c r="C3625" t="str">
        <f>"36"</f>
        <v>36</v>
      </c>
      <c r="D3625" t="str">
        <f>"Summer Fling"</f>
        <v>Summer Fling</v>
      </c>
    </row>
    <row r="3626" spans="1:4" x14ac:dyDescent="0.2">
      <c r="A3626" t="str">
        <f>"3625"</f>
        <v>3625</v>
      </c>
      <c r="B3626" t="str">
        <f>"-0.53"</f>
        <v>-0.53</v>
      </c>
      <c r="C3626" t="str">
        <f>"121"</f>
        <v>121</v>
      </c>
      <c r="D3626" t="str">
        <f>"Get Born"</f>
        <v>Get Born</v>
      </c>
    </row>
    <row r="3627" spans="1:4" x14ac:dyDescent="0.2">
      <c r="A3627" t="str">
        <f>"3626"</f>
        <v>3626</v>
      </c>
      <c r="B3627" t="str">
        <f>"-0.55"</f>
        <v>-0.55</v>
      </c>
      <c r="C3627" t="str">
        <f>"48"</f>
        <v>48</v>
      </c>
      <c r="D3627" t="str">
        <f>"Full Circle"</f>
        <v>Full Circle</v>
      </c>
    </row>
    <row r="3628" spans="1:4" x14ac:dyDescent="0.2">
      <c r="A3628" t="str">
        <f>"3627"</f>
        <v>3627</v>
      </c>
      <c r="B3628" t="str">
        <f>"0.01"</f>
        <v>0.01</v>
      </c>
      <c r="C3628" t="str">
        <f>"53"</f>
        <v>53</v>
      </c>
      <c r="D3628" t="str">
        <f>"Birthday EP"</f>
        <v>Birthday EP</v>
      </c>
    </row>
    <row r="3629" spans="1:4" x14ac:dyDescent="0.2">
      <c r="A3629" t="str">
        <f>"3628"</f>
        <v>3628</v>
      </c>
      <c r="B3629" t="str">
        <f>"0.11"</f>
        <v>0.11</v>
      </c>
      <c r="C3629" t="str">
        <f>"55"</f>
        <v>55</v>
      </c>
      <c r="D3629" t="str">
        <f>"The Instinct"</f>
        <v>The Instinct</v>
      </c>
    </row>
    <row r="3630" spans="1:4" x14ac:dyDescent="0.2">
      <c r="A3630" t="str">
        <f>"3629"</f>
        <v>3629</v>
      </c>
      <c r="B3630" t="str">
        <f>"-0.47"</f>
        <v>-0.47</v>
      </c>
      <c r="C3630" t="str">
        <f>"59"</f>
        <v>59</v>
      </c>
      <c r="D3630" t="str">
        <f>"Rise Up!"</f>
        <v>Rise Up!</v>
      </c>
    </row>
    <row r="3631" spans="1:4" x14ac:dyDescent="0.2">
      <c r="A3631" t="str">
        <f>"3630"</f>
        <v>3630</v>
      </c>
      <c r="B3631" t="str">
        <f>"0.07"</f>
        <v>0.07</v>
      </c>
      <c r="C3631" t="str">
        <f>"69"</f>
        <v>69</v>
      </c>
      <c r="D3631" t="str">
        <f>"Parts in the Post"</f>
        <v>Parts in the Post</v>
      </c>
    </row>
    <row r="3632" spans="1:4" x14ac:dyDescent="0.2">
      <c r="A3632" t="str">
        <f>"3631"</f>
        <v>3631</v>
      </c>
      <c r="B3632" t="str">
        <f>"-1.3"</f>
        <v>-1.3</v>
      </c>
      <c r="C3632" t="str">
        <f>"71"</f>
        <v>71</v>
      </c>
      <c r="D3632" t="str">
        <f>"Fatherfucker"</f>
        <v>Fatherfucker</v>
      </c>
    </row>
    <row r="3633" spans="1:4" x14ac:dyDescent="0.2">
      <c r="A3633" t="str">
        <f>"3632"</f>
        <v>3632</v>
      </c>
      <c r="B3633" t="str">
        <f>"0.51"</f>
        <v>0.51</v>
      </c>
      <c r="C3633" t="str">
        <f>"75"</f>
        <v>75</v>
      </c>
      <c r="D3633" t="str">
        <f>"Dreams Top Rock"</f>
        <v>Dreams Top Rock</v>
      </c>
    </row>
    <row r="3634" spans="1:4" x14ac:dyDescent="0.2">
      <c r="A3634" t="str">
        <f>"3633"</f>
        <v>3633</v>
      </c>
      <c r="B3634" t="str">
        <f>"1.46"</f>
        <v>1.46</v>
      </c>
      <c r="C3634" t="str">
        <f>"46"</f>
        <v>46</v>
      </c>
      <c r="D3634" t="str">
        <f>"World Series of Love"</f>
        <v>World Series of Love</v>
      </c>
    </row>
    <row r="3635" spans="1:4" x14ac:dyDescent="0.2">
      <c r="A3635" t="str">
        <f>"3634"</f>
        <v>3634</v>
      </c>
      <c r="B3635" t="str">
        <f>"0.18"</f>
        <v>0.18</v>
      </c>
      <c r="C3635" t="str">
        <f>"52"</f>
        <v>52</v>
      </c>
      <c r="D3635" t="str">
        <f>"Sing Me a Song"</f>
        <v>Sing Me a Song</v>
      </c>
    </row>
    <row r="3636" spans="1:4" x14ac:dyDescent="0.2">
      <c r="A3636" t="str">
        <f>"3635"</f>
        <v>3635</v>
      </c>
      <c r="B3636" t="str">
        <f>"0.34"</f>
        <v>0.34</v>
      </c>
      <c r="C3636" t="str">
        <f>"71"</f>
        <v>71</v>
      </c>
      <c r="D3636" t="str">
        <f>"In Time: The Best of R.E.M. 1988-2003"</f>
        <v>In Time: The Best of R.E.M. 1988-2003</v>
      </c>
    </row>
    <row r="3637" spans="1:4" x14ac:dyDescent="0.2">
      <c r="A3637" t="str">
        <f>"3636"</f>
        <v>3636</v>
      </c>
      <c r="B3637" t="str">
        <f>"-0.2"</f>
        <v>-0.2</v>
      </c>
      <c r="C3637" t="str">
        <f>"76"</f>
        <v>76</v>
      </c>
      <c r="D3637" t="str">
        <f>"Forged Prescriptions"</f>
        <v>Forged Prescriptions</v>
      </c>
    </row>
    <row r="3638" spans="1:4" x14ac:dyDescent="0.2">
      <c r="A3638" t="str">
        <f>"3637"</f>
        <v>3637</v>
      </c>
      <c r="B3638" t="str">
        <f>"-0.33"</f>
        <v>-0.33</v>
      </c>
      <c r="C3638" t="str">
        <f>"73"</f>
        <v>73</v>
      </c>
      <c r="D3638" t="str">
        <f>"Deja Entendu"</f>
        <v>Deja Entendu</v>
      </c>
    </row>
    <row r="3639" spans="1:4" x14ac:dyDescent="0.2">
      <c r="A3639" t="str">
        <f>"3638"</f>
        <v>3638</v>
      </c>
      <c r="B3639" t="str">
        <f>"-0.26"</f>
        <v>-0.26</v>
      </c>
      <c r="C3639" t="str">
        <f>"42"</f>
        <v>42</v>
      </c>
      <c r="D3639" t="str">
        <f>"Later That Day"</f>
        <v>Later That Day</v>
      </c>
    </row>
    <row r="3640" spans="1:4" x14ac:dyDescent="0.2">
      <c r="A3640" t="str">
        <f>"3639"</f>
        <v>3639</v>
      </c>
      <c r="B3640" t="str">
        <f>"-0.57"</f>
        <v>-0.57</v>
      </c>
      <c r="C3640" t="str">
        <f>"68"</f>
        <v>68</v>
      </c>
      <c r="D3640" t="str">
        <f>"Easy Listening"</f>
        <v>Easy Listening</v>
      </c>
    </row>
    <row r="3641" spans="1:4" x14ac:dyDescent="0.2">
      <c r="A3641" t="str">
        <f>"3640"</f>
        <v>3640</v>
      </c>
      <c r="B3641" t="str">
        <f>"-0.66"</f>
        <v>-0.66</v>
      </c>
      <c r="C3641" t="str">
        <f>"49"</f>
        <v>49</v>
      </c>
      <c r="D3641" t="str">
        <f>"Chaiming the Knobblessone"</f>
        <v>Chaiming the Knobblessone</v>
      </c>
    </row>
    <row r="3642" spans="1:4" x14ac:dyDescent="0.2">
      <c r="A3642" t="str">
        <f>"3641"</f>
        <v>3641</v>
      </c>
      <c r="B3642" t="str">
        <f>"-0.43"</f>
        <v>-0.43</v>
      </c>
      <c r="C3642" t="str">
        <f>"69"</f>
        <v>69</v>
      </c>
      <c r="D3642" t="str">
        <f>"Bring 'Em In"</f>
        <v>Bring 'Em In</v>
      </c>
    </row>
    <row r="3643" spans="1:4" x14ac:dyDescent="0.2">
      <c r="A3643" t="str">
        <f>"3642"</f>
        <v>3642</v>
      </c>
      <c r="B3643" t="str">
        <f>"1.33"</f>
        <v>1.33</v>
      </c>
      <c r="C3643" t="str">
        <f>"50"</f>
        <v>50</v>
      </c>
      <c r="D3643" t="str">
        <f>"Vells EP"</f>
        <v>Vells EP</v>
      </c>
    </row>
    <row r="3644" spans="1:4" x14ac:dyDescent="0.2">
      <c r="A3644" t="str">
        <f>"3643"</f>
        <v>3643</v>
      </c>
      <c r="B3644" t="str">
        <f>"-0.16"</f>
        <v>-0.16</v>
      </c>
      <c r="C3644" t="str">
        <f>"66"</f>
        <v>66</v>
      </c>
      <c r="D3644" t="str">
        <f>"The Strangler's Wife"</f>
        <v>The Strangler's Wife</v>
      </c>
    </row>
    <row r="3645" spans="1:4" x14ac:dyDescent="0.2">
      <c r="A3645" t="str">
        <f>"3644"</f>
        <v>3644</v>
      </c>
      <c r="B3645" t="str">
        <f>"0.37"</f>
        <v>0.37</v>
      </c>
      <c r="C3645" t="str">
        <f>"71"</f>
        <v>71</v>
      </c>
      <c r="D3645" t="str">
        <f>"Room on Fire"</f>
        <v>Room on Fire</v>
      </c>
    </row>
    <row r="3646" spans="1:4" x14ac:dyDescent="0.2">
      <c r="A3646" t="str">
        <f>"3645"</f>
        <v>3645</v>
      </c>
      <c r="B3646" t="str">
        <f>"-0.24"</f>
        <v>-0.24</v>
      </c>
      <c r="C3646" t="str">
        <f>"59"</f>
        <v>59</v>
      </c>
      <c r="D3646" t="str">
        <f>"Make Me Pretty"</f>
        <v>Make Me Pretty</v>
      </c>
    </row>
    <row r="3647" spans="1:4" x14ac:dyDescent="0.2">
      <c r="A3647" t="str">
        <f>"3646"</f>
        <v>3646</v>
      </c>
      <c r="B3647" t="str">
        <f>"-0.16"</f>
        <v>-0.16</v>
      </c>
      <c r="C3647" t="str">
        <f>"50"</f>
        <v>50</v>
      </c>
      <c r="D3647" t="str">
        <f>"Autumn Was a Lark"</f>
        <v>Autumn Was a Lark</v>
      </c>
    </row>
    <row r="3648" spans="1:4" x14ac:dyDescent="0.2">
      <c r="A3648" t="str">
        <f>"3647"</f>
        <v>3647</v>
      </c>
      <c r="B3648" t="str">
        <f>"0.12"</f>
        <v>0.12</v>
      </c>
      <c r="C3648" t="str">
        <f>"87"</f>
        <v>87</v>
      </c>
      <c r="D3648" t="str">
        <f>"Twine"</f>
        <v>Twine</v>
      </c>
    </row>
    <row r="3649" spans="1:4" x14ac:dyDescent="0.2">
      <c r="A3649" t="str">
        <f>"3648"</f>
        <v>3648</v>
      </c>
      <c r="B3649" t="str">
        <f>"0.74"</f>
        <v>0.74</v>
      </c>
      <c r="C3649" t="str">
        <f>"52"</f>
        <v>52</v>
      </c>
      <c r="D3649" t="str">
        <f>"Turbo Mattress EP"</f>
        <v>Turbo Mattress EP</v>
      </c>
    </row>
    <row r="3650" spans="1:4" x14ac:dyDescent="0.2">
      <c r="A3650" t="str">
        <f>"3649"</f>
        <v>3649</v>
      </c>
      <c r="B3650" t="str">
        <f>"1.04"</f>
        <v>1.04</v>
      </c>
      <c r="C3650" t="str">
        <f>"45"</f>
        <v>45</v>
      </c>
      <c r="D3650" t="str">
        <f>"Systems/Layers"</f>
        <v>Systems/Layers</v>
      </c>
    </row>
    <row r="3651" spans="1:4" x14ac:dyDescent="0.2">
      <c r="A3651" t="str">
        <f>"3650"</f>
        <v>3650</v>
      </c>
      <c r="B3651" t="str">
        <f>"-0.91"</f>
        <v>-0.91</v>
      </c>
      <c r="C3651" t="str">
        <f>"65"</f>
        <v>65</v>
      </c>
      <c r="D3651" t="str">
        <f>"Seven's Travels"</f>
        <v>Seven's Travels</v>
      </c>
    </row>
    <row r="3652" spans="1:4" x14ac:dyDescent="0.2">
      <c r="A3652" t="str">
        <f>"3651"</f>
        <v>3651</v>
      </c>
      <c r="B3652" t="str">
        <f>"0.68"</f>
        <v>0.68</v>
      </c>
      <c r="C3652" t="str">
        <f>"67"</f>
        <v>67</v>
      </c>
      <c r="D3652" t="str">
        <f>"Where Is Tamashii?"</f>
        <v>Where Is Tamashii?</v>
      </c>
    </row>
    <row r="3653" spans="1:4" x14ac:dyDescent="0.2">
      <c r="A3653" t="str">
        <f>"3652"</f>
        <v>3652</v>
      </c>
      <c r="B3653" t="str">
        <f>"-0.35"</f>
        <v>-0.35</v>
      </c>
      <c r="C3653" t="str">
        <f>"80"</f>
        <v>80</v>
      </c>
      <c r="D3653" t="str">
        <f>"Some of My Best Friends Are DJs"</f>
        <v>Some of My Best Friends Are DJs</v>
      </c>
    </row>
    <row r="3654" spans="1:4" x14ac:dyDescent="0.2">
      <c r="A3654" t="str">
        <f>"3653"</f>
        <v>3653</v>
      </c>
      <c r="B3654" t="str">
        <f>"-0.15"</f>
        <v>-0.15</v>
      </c>
      <c r="C3654" t="str">
        <f>"39"</f>
        <v>39</v>
      </c>
      <c r="D3654" t="str">
        <f>"Haralambos"</f>
        <v>Haralambos</v>
      </c>
    </row>
    <row r="3655" spans="1:4" x14ac:dyDescent="0.2">
      <c r="A3655" t="str">
        <f>"3654"</f>
        <v>3654</v>
      </c>
      <c r="B3655" t="str">
        <f>"0.23"</f>
        <v>0.23</v>
      </c>
      <c r="C3655" t="str">
        <f>"52"</f>
        <v>52</v>
      </c>
      <c r="D3655" t="str">
        <f>"Down for Whatever"</f>
        <v>Down for Whatever</v>
      </c>
    </row>
    <row r="3656" spans="1:4" x14ac:dyDescent="0.2">
      <c r="A3656" t="str">
        <f>"3655"</f>
        <v>3655</v>
      </c>
      <c r="B3656" t="str">
        <f>"0.73"</f>
        <v>0.73</v>
      </c>
      <c r="C3656" t="str">
        <f>"39"</f>
        <v>39</v>
      </c>
      <c r="D3656" t="str">
        <f>"Don't Make Things"</f>
        <v>Don't Make Things</v>
      </c>
    </row>
    <row r="3657" spans="1:4" x14ac:dyDescent="0.2">
      <c r="A3657" t="str">
        <f>"3656"</f>
        <v>3656</v>
      </c>
      <c r="B3657" t="str">
        <f>"-0.57"</f>
        <v>-0.57</v>
      </c>
      <c r="C3657" t="str">
        <f>"62"</f>
        <v>62</v>
      </c>
      <c r="D3657" t="str">
        <f>"Bazooka Tooth"</f>
        <v>Bazooka Tooth</v>
      </c>
    </row>
    <row r="3658" spans="1:4" x14ac:dyDescent="0.2">
      <c r="A3658" t="str">
        <f>"3657"</f>
        <v>3657</v>
      </c>
      <c r="B3658" t="str">
        <f>"-1.02"</f>
        <v>-1.02</v>
      </c>
      <c r="C3658" t="str">
        <f>"62"</f>
        <v>62</v>
      </c>
      <c r="D3658" t="str">
        <f>"Plays One Sound and Others"</f>
        <v>Plays One Sound and Others</v>
      </c>
    </row>
    <row r="3659" spans="1:4" x14ac:dyDescent="0.2">
      <c r="A3659" t="str">
        <f>"3658"</f>
        <v>3658</v>
      </c>
      <c r="B3659" t="str">
        <f>"-0.06"</f>
        <v>-0.06</v>
      </c>
      <c r="C3659" t="str">
        <f>"48"</f>
        <v>48</v>
      </c>
      <c r="D3659" t="str">
        <f>"New Sacred Cow"</f>
        <v>New Sacred Cow</v>
      </c>
    </row>
    <row r="3660" spans="1:4" x14ac:dyDescent="0.2">
      <c r="A3660" t="str">
        <f>"3659"</f>
        <v>3659</v>
      </c>
      <c r="B3660" t="str">
        <f>"-0.08"</f>
        <v>-0.08</v>
      </c>
      <c r="C3660" t="str">
        <f>"90"</f>
        <v>90</v>
      </c>
      <c r="D3660" t="str">
        <f>"Kish Kash"</f>
        <v>Kish Kash</v>
      </c>
    </row>
    <row r="3661" spans="1:4" x14ac:dyDescent="0.2">
      <c r="A3661" t="str">
        <f>"3660"</f>
        <v>3660</v>
      </c>
      <c r="B3661" t="str">
        <f>"-0.28"</f>
        <v>-0.28</v>
      </c>
      <c r="C3661" t="str">
        <f>"56"</f>
        <v>56</v>
      </c>
      <c r="D3661" t="str">
        <f>"I Am the Fun Blame Monster"</f>
        <v>I Am the Fun Blame Monster</v>
      </c>
    </row>
    <row r="3662" spans="1:4" x14ac:dyDescent="0.2">
      <c r="A3662" t="str">
        <f>"3661"</f>
        <v>3661</v>
      </c>
      <c r="B3662" t="str">
        <f>"-0.41"</f>
        <v>-0.41</v>
      </c>
      <c r="C3662" t="str">
        <f>"57"</f>
        <v>57</v>
      </c>
      <c r="D3662" t="str">
        <f>"12 Memories"</f>
        <v>12 Memories</v>
      </c>
    </row>
    <row r="3663" spans="1:4" x14ac:dyDescent="0.2">
      <c r="A3663" t="str">
        <f>"3662"</f>
        <v>3662</v>
      </c>
      <c r="B3663" t="str">
        <f>"-0.1"</f>
        <v>-0.1</v>
      </c>
      <c r="C3663" t="str">
        <f>"56"</f>
        <v>56</v>
      </c>
      <c r="D3663" t="str">
        <f>"Orchards &amp; Caravans"</f>
        <v>Orchards &amp; Caravans</v>
      </c>
    </row>
    <row r="3664" spans="1:4" x14ac:dyDescent="0.2">
      <c r="A3664" t="str">
        <f>"3663"</f>
        <v>3663</v>
      </c>
      <c r="B3664" t="str">
        <f>"0.08"</f>
        <v>0.08</v>
      </c>
      <c r="C3664" t="str">
        <f>"51"</f>
        <v>51</v>
      </c>
      <c r="D3664" t="str">
        <f>"One Mississippi"</f>
        <v>One Mississippi</v>
      </c>
    </row>
    <row r="3665" spans="1:4" x14ac:dyDescent="0.2">
      <c r="A3665" t="str">
        <f>"3664"</f>
        <v>3664</v>
      </c>
      <c r="B3665" t="str">
        <f>"0.28"</f>
        <v>0.28</v>
      </c>
      <c r="C3665" t="str">
        <f>"75"</f>
        <v>75</v>
      </c>
      <c r="D3665" t="str">
        <f>"E*A*D*G*B*E"</f>
        <v>E*A*D*G*B*E</v>
      </c>
    </row>
    <row r="3666" spans="1:4" x14ac:dyDescent="0.2">
      <c r="A3666" t="str">
        <f>"3665"</f>
        <v>3665</v>
      </c>
      <c r="B3666" t="str">
        <f>"0.77"</f>
        <v>0.77</v>
      </c>
      <c r="C3666" t="str">
        <f>"76"</f>
        <v>76</v>
      </c>
      <c r="D3666" t="str">
        <f>"Chutes Too Narrow"</f>
        <v>Chutes Too Narrow</v>
      </c>
    </row>
    <row r="3667" spans="1:4" x14ac:dyDescent="0.2">
      <c r="A3667" t="str">
        <f>"3666"</f>
        <v>3666</v>
      </c>
      <c r="B3667" t="str">
        <f>"-0.78"</f>
        <v>-0.78</v>
      </c>
      <c r="C3667" t="str">
        <f>"20"</f>
        <v>20</v>
      </c>
      <c r="D3667" t="str">
        <f>"Arborvitae"</f>
        <v>Arborvitae</v>
      </c>
    </row>
    <row r="3668" spans="1:4" x14ac:dyDescent="0.2">
      <c r="A3668" t="str">
        <f>"3667"</f>
        <v>3667</v>
      </c>
      <c r="B3668" t="str">
        <f>"-0.81"</f>
        <v>-0.81</v>
      </c>
      <c r="C3668" t="str">
        <f>"65"</f>
        <v>65</v>
      </c>
      <c r="D3668" t="str">
        <f>"The Sublime And."</f>
        <v>The Sublime And.</v>
      </c>
    </row>
    <row r="3669" spans="1:4" x14ac:dyDescent="0.2">
      <c r="A3669" t="str">
        <f>"3668"</f>
        <v>3668</v>
      </c>
      <c r="B3669" t="str">
        <f>"-0.46"</f>
        <v>-0.46</v>
      </c>
      <c r="C3669" t="str">
        <f>"54"</f>
        <v>54</v>
      </c>
      <c r="D3669" t="str">
        <f>"Sleep/Holiday"</f>
        <v>Sleep/Holiday</v>
      </c>
    </row>
    <row r="3670" spans="1:4" x14ac:dyDescent="0.2">
      <c r="A3670" t="str">
        <f>"3669"</f>
        <v>3669</v>
      </c>
      <c r="B3670" t="str">
        <f>"-0.05"</f>
        <v>-0.05</v>
      </c>
      <c r="C3670" t="str">
        <f>"61"</f>
        <v>61</v>
      </c>
      <c r="D3670" t="str">
        <f>"Modern Hits EP"</f>
        <v>Modern Hits EP</v>
      </c>
    </row>
    <row r="3671" spans="1:4" x14ac:dyDescent="0.2">
      <c r="A3671" t="str">
        <f>"3670"</f>
        <v>3670</v>
      </c>
      <c r="B3671" t="str">
        <f>"-0.54"</f>
        <v>-0.54</v>
      </c>
      <c r="C3671" t="str">
        <f>"101"</f>
        <v>101</v>
      </c>
      <c r="D3671" t="s">
        <v>124</v>
      </c>
    </row>
    <row r="3672" spans="1:4" x14ac:dyDescent="0.2">
      <c r="A3672" t="str">
        <f>"3671"</f>
        <v>3671</v>
      </c>
      <c r="B3672" t="str">
        <f>"-0.75"</f>
        <v>-0.75</v>
      </c>
      <c r="C3672" t="str">
        <f>"45"</f>
        <v>45</v>
      </c>
      <c r="D3672" t="str">
        <f>"Honeyspot"</f>
        <v>Honeyspot</v>
      </c>
    </row>
    <row r="3673" spans="1:4" x14ac:dyDescent="0.2">
      <c r="A3673" t="str">
        <f>"3672"</f>
        <v>3672</v>
      </c>
      <c r="B3673" t="str">
        <f>"0.13"</f>
        <v>0.13</v>
      </c>
      <c r="C3673" t="str">
        <f>"74"</f>
        <v>74</v>
      </c>
      <c r="D3673" t="str">
        <f>"While Talking EP"</f>
        <v>While Talking EP</v>
      </c>
    </row>
    <row r="3674" spans="1:4" x14ac:dyDescent="0.2">
      <c r="A3674" t="str">
        <f>"3673"</f>
        <v>3673</v>
      </c>
      <c r="B3674" t="str">
        <f>"-0.89"</f>
        <v>-0.89</v>
      </c>
      <c r="C3674" t="str">
        <f>"57"</f>
        <v>57</v>
      </c>
      <c r="D3674" t="str">
        <f>"Terra Nova EP"</f>
        <v>Terra Nova EP</v>
      </c>
    </row>
    <row r="3675" spans="1:4" x14ac:dyDescent="0.2">
      <c r="A3675" t="str">
        <f>"3674"</f>
        <v>3674</v>
      </c>
      <c r="B3675" t="str">
        <f>"-0.16"</f>
        <v>-0.16</v>
      </c>
      <c r="C3675" t="str">
        <f>"85"</f>
        <v>85</v>
      </c>
      <c r="D3675" t="str">
        <f>"Rememberese EP"</f>
        <v>Rememberese EP</v>
      </c>
    </row>
    <row r="3676" spans="1:4" x14ac:dyDescent="0.2">
      <c r="A3676" t="str">
        <f>"3675"</f>
        <v>3675</v>
      </c>
      <c r="B3676" t="str">
        <f>"0.58"</f>
        <v>0.58</v>
      </c>
      <c r="C3676" t="str">
        <f>"94"</f>
        <v>94</v>
      </c>
      <c r="D3676" t="str">
        <f>"Old"</f>
        <v>Old</v>
      </c>
    </row>
    <row r="3677" spans="1:4" x14ac:dyDescent="0.2">
      <c r="A3677" t="str">
        <f>"3676"</f>
        <v>3676</v>
      </c>
      <c r="B3677" t="str">
        <f>"0.17"</f>
        <v>0.17</v>
      </c>
      <c r="C3677" t="str">
        <f>"62"</f>
        <v>62</v>
      </c>
      <c r="D3677" t="str">
        <f>"Cuatro Caminos"</f>
        <v>Cuatro Caminos</v>
      </c>
    </row>
    <row r="3678" spans="1:4" x14ac:dyDescent="0.2">
      <c r="A3678" t="str">
        <f>"3677"</f>
        <v>3677</v>
      </c>
      <c r="B3678" t="str">
        <f>"0.25"</f>
        <v>0.25</v>
      </c>
      <c r="C3678" t="str">
        <f>"77"</f>
        <v>77</v>
      </c>
      <c r="D3678" t="str">
        <f>"Winter Hymn Country Hymn Secret Hymn"</f>
        <v>Winter Hymn Country Hymn Secret Hymn</v>
      </c>
    </row>
    <row r="3679" spans="1:4" x14ac:dyDescent="0.2">
      <c r="A3679" t="str">
        <f>"3678"</f>
        <v>3678</v>
      </c>
      <c r="B3679" t="str">
        <f>"0.46"</f>
        <v>0.46</v>
      </c>
      <c r="C3679" t="str">
        <f>"42"</f>
        <v>42</v>
      </c>
      <c r="D3679" t="str">
        <f>"Sweetheart of the Rodeo [Legacy Edition]"</f>
        <v>Sweetheart of the Rodeo [Legacy Edition]</v>
      </c>
    </row>
    <row r="3680" spans="1:4" x14ac:dyDescent="0.2">
      <c r="A3680" t="str">
        <f>"3679"</f>
        <v>3679</v>
      </c>
      <c r="B3680" t="str">
        <f>"0"</f>
        <v>0</v>
      </c>
      <c r="C3680" t="str">
        <f>"68"</f>
        <v>68</v>
      </c>
      <c r="D3680" t="str">
        <f>"Merge"</f>
        <v>Merge</v>
      </c>
    </row>
    <row r="3681" spans="1:4" x14ac:dyDescent="0.2">
      <c r="A3681" t="str">
        <f>"3680"</f>
        <v>3680</v>
      </c>
      <c r="B3681" t="str">
        <f>"-0.33"</f>
        <v>-0.33</v>
      </c>
      <c r="C3681" t="str">
        <f>"41"</f>
        <v>41</v>
      </c>
      <c r="D3681" t="str">
        <f>"Hymns for the Hopeless"</f>
        <v>Hymns for the Hopeless</v>
      </c>
    </row>
    <row r="3682" spans="1:4" x14ac:dyDescent="0.2">
      <c r="A3682" t="str">
        <f>"3681"</f>
        <v>3681</v>
      </c>
      <c r="B3682" t="str">
        <f>"1.67"</f>
        <v>1.67</v>
      </c>
      <c r="C3682" t="str">
        <f>"47"</f>
        <v>47</v>
      </c>
      <c r="D3682" t="str">
        <f>"Aztec Discipline"</f>
        <v>Aztec Discipline</v>
      </c>
    </row>
    <row r="3683" spans="1:4" x14ac:dyDescent="0.2">
      <c r="A3683" t="str">
        <f>"3682"</f>
        <v>3682</v>
      </c>
      <c r="B3683" t="str">
        <f>"0.65"</f>
        <v>0.65</v>
      </c>
      <c r="C3683" t="str">
        <f>"151"</f>
        <v>151</v>
      </c>
      <c r="D3683" t="str">
        <f>"The Complete Jack Johnson Sessions"</f>
        <v>The Complete Jack Johnson Sessions</v>
      </c>
    </row>
    <row r="3684" spans="1:4" x14ac:dyDescent="0.2">
      <c r="A3684" t="str">
        <f>"3683"</f>
        <v>3683</v>
      </c>
      <c r="B3684" t="str">
        <f>"-0.1"</f>
        <v>-0.1</v>
      </c>
      <c r="C3684" t="str">
        <f>"62"</f>
        <v>62</v>
      </c>
      <c r="D3684" t="str">
        <f>"Sad Songs for Dirty Lovers"</f>
        <v>Sad Songs for Dirty Lovers</v>
      </c>
    </row>
    <row r="3685" spans="1:4" x14ac:dyDescent="0.2">
      <c r="A3685" t="str">
        <f>"3684"</f>
        <v>3684</v>
      </c>
      <c r="B3685" t="str">
        <f>"-0.28"</f>
        <v>-0.28</v>
      </c>
      <c r="C3685" t="str">
        <f>"132"</f>
        <v>132</v>
      </c>
      <c r="D3685" t="str">
        <f>"Saddle Creek 50"</f>
        <v>Saddle Creek 50</v>
      </c>
    </row>
    <row r="3686" spans="1:4" x14ac:dyDescent="0.2">
      <c r="A3686" t="str">
        <f>"3685"</f>
        <v>3685</v>
      </c>
      <c r="B3686" t="str">
        <f>"-0.87"</f>
        <v>-0.87</v>
      </c>
      <c r="C3686" t="str">
        <f>"77"</f>
        <v>77</v>
      </c>
      <c r="D3686" t="str">
        <f>"Purple on Time."</f>
        <v>Purple on Time.</v>
      </c>
    </row>
    <row r="3687" spans="1:4" x14ac:dyDescent="0.2">
      <c r="A3687" t="str">
        <f>"3686"</f>
        <v>3686</v>
      </c>
      <c r="B3687" t="str">
        <f>"0.08"</f>
        <v>0.08</v>
      </c>
      <c r="C3687" t="str">
        <f>"42"</f>
        <v>42</v>
      </c>
      <c r="D3687" t="str">
        <f>"Pressure"</f>
        <v>Pressure</v>
      </c>
    </row>
    <row r="3688" spans="1:4" x14ac:dyDescent="0.2">
      <c r="A3688" t="str">
        <f>"3687"</f>
        <v>3687</v>
      </c>
      <c r="B3688" t="str">
        <f>"0.31"</f>
        <v>0.31</v>
      </c>
      <c r="C3688" t="str">
        <f>"71"</f>
        <v>71</v>
      </c>
      <c r="D3688" t="str">
        <f>"The Civil War"</f>
        <v>The Civil War</v>
      </c>
    </row>
    <row r="3689" spans="1:4" x14ac:dyDescent="0.2">
      <c r="A3689" t="str">
        <f>"3688"</f>
        <v>3688</v>
      </c>
      <c r="B3689" t="str">
        <f>"0.36"</f>
        <v>0.36</v>
      </c>
      <c r="C3689" t="str">
        <f>"62"</f>
        <v>62</v>
      </c>
      <c r="D3689" t="str">
        <f>"Hope"</f>
        <v>Hope</v>
      </c>
    </row>
    <row r="3690" spans="1:4" x14ac:dyDescent="0.2">
      <c r="A3690" t="str">
        <f>"3689"</f>
        <v>3689</v>
      </c>
      <c r="B3690" t="str">
        <f>"-0.13"</f>
        <v>-0.13</v>
      </c>
      <c r="C3690" t="str">
        <f>"86"</f>
        <v>86</v>
      </c>
      <c r="D3690" t="str">
        <f>"Greatest Hits"</f>
        <v>Greatest Hits</v>
      </c>
    </row>
    <row r="3691" spans="1:4" x14ac:dyDescent="0.2">
      <c r="A3691" t="str">
        <f>"3690"</f>
        <v>3690</v>
      </c>
      <c r="B3691" t="str">
        <f>"-0.2"</f>
        <v>-0.2</v>
      </c>
      <c r="C3691" t="str">
        <f>"36"</f>
        <v>36</v>
      </c>
      <c r="D3691" t="str">
        <f>"Goa!"</f>
        <v>Goa!</v>
      </c>
    </row>
    <row r="3692" spans="1:4" x14ac:dyDescent="0.2">
      <c r="A3692" t="str">
        <f>"3691"</f>
        <v>3691</v>
      </c>
      <c r="B3692" t="str">
        <f>"-0.61"</f>
        <v>-0.61</v>
      </c>
      <c r="C3692" t="str">
        <f>"46"</f>
        <v>46</v>
      </c>
      <c r="D3692" t="s">
        <v>125</v>
      </c>
    </row>
    <row r="3693" spans="1:4" x14ac:dyDescent="0.2">
      <c r="A3693" t="str">
        <f>"3692"</f>
        <v>3692</v>
      </c>
      <c r="B3693" t="str">
        <f>"-0.03"</f>
        <v>-0.03</v>
      </c>
      <c r="C3693" t="str">
        <f>"50"</f>
        <v>50</v>
      </c>
      <c r="D3693" t="str">
        <f>"Stellastarr"</f>
        <v>Stellastarr</v>
      </c>
    </row>
    <row r="3694" spans="1:4" x14ac:dyDescent="0.2">
      <c r="A3694" t="str">
        <f>"3693"</f>
        <v>3693</v>
      </c>
      <c r="B3694" t="str">
        <f>"0.81"</f>
        <v>0.81</v>
      </c>
      <c r="C3694" t="str">
        <f>"49"</f>
        <v>49</v>
      </c>
      <c r="D3694" t="str">
        <f>"Lineage Situation"</f>
        <v>Lineage Situation</v>
      </c>
    </row>
    <row r="3695" spans="1:4" x14ac:dyDescent="0.2">
      <c r="A3695" t="str">
        <f>"3694"</f>
        <v>3694</v>
      </c>
      <c r="B3695" t="str">
        <f>"0.9"</f>
        <v>0.9</v>
      </c>
      <c r="C3695" t="str">
        <f>"75"</f>
        <v>75</v>
      </c>
      <c r="D3695" t="str">
        <f>"Lead Us Not into Temptation"</f>
        <v>Lead Us Not into Temptation</v>
      </c>
    </row>
    <row r="3696" spans="1:4" x14ac:dyDescent="0.2">
      <c r="A3696" t="str">
        <f>"3695"</f>
        <v>3695</v>
      </c>
      <c r="B3696" t="str">
        <f>"-0.62"</f>
        <v>-0.62</v>
      </c>
      <c r="C3696" t="str">
        <f>"58"</f>
        <v>58</v>
      </c>
      <c r="D3696" t="str">
        <f>"Jessica EP"</f>
        <v>Jessica EP</v>
      </c>
    </row>
    <row r="3697" spans="1:4" x14ac:dyDescent="0.2">
      <c r="A3697" t="str">
        <f>"3696"</f>
        <v>3696</v>
      </c>
      <c r="B3697" t="str">
        <f>"-0.44"</f>
        <v>-0.44</v>
      </c>
      <c r="C3697" t="str">
        <f>"75"</f>
        <v>75</v>
      </c>
      <c r="D3697" t="str">
        <f>"Fire Theft"</f>
        <v>Fire Theft</v>
      </c>
    </row>
    <row r="3698" spans="1:4" x14ac:dyDescent="0.2">
      <c r="A3698" t="str">
        <f>"3697"</f>
        <v>3697</v>
      </c>
      <c r="B3698" t="str">
        <f>"-0.04"</f>
        <v>-0.04</v>
      </c>
      <c r="C3698" t="str">
        <f>"36"</f>
        <v>36</v>
      </c>
      <c r="D3698" t="s">
        <v>126</v>
      </c>
    </row>
    <row r="3699" spans="1:4" x14ac:dyDescent="0.2">
      <c r="A3699" t="str">
        <f>"3698"</f>
        <v>3698</v>
      </c>
      <c r="B3699" t="str">
        <f>"-0.3"</f>
        <v>-0.3</v>
      </c>
      <c r="C3699" t="str">
        <f>"97"</f>
        <v>97</v>
      </c>
      <c r="D3699" t="str">
        <f>"Permission to Land"</f>
        <v>Permission to Land</v>
      </c>
    </row>
    <row r="3700" spans="1:4" x14ac:dyDescent="0.2">
      <c r="A3700" t="str">
        <f>"3699"</f>
        <v>3699</v>
      </c>
      <c r="B3700" t="str">
        <f>"-1.04"</f>
        <v>-1.04</v>
      </c>
      <c r="C3700" t="str">
        <f>"40"</f>
        <v>40</v>
      </c>
      <c r="D3700" t="str">
        <f>"Everdom"</f>
        <v>Everdom</v>
      </c>
    </row>
    <row r="3701" spans="1:4" x14ac:dyDescent="0.2">
      <c r="A3701" t="str">
        <f>"3700"</f>
        <v>3700</v>
      </c>
      <c r="B3701" t="str">
        <f>"-0.49"</f>
        <v>-0.49</v>
      </c>
      <c r="C3701" t="str">
        <f>"72"</f>
        <v>72</v>
      </c>
      <c r="D3701" t="str">
        <f>"Cup of Sand"</f>
        <v>Cup of Sand</v>
      </c>
    </row>
    <row r="3702" spans="1:4" x14ac:dyDescent="0.2">
      <c r="A3702" t="str">
        <f>"3701"</f>
        <v>3701</v>
      </c>
      <c r="B3702" t="str">
        <f>"0.68"</f>
        <v>0.68</v>
      </c>
      <c r="C3702" t="str">
        <f>"51"</f>
        <v>51</v>
      </c>
      <c r="D3702" t="str">
        <f>"1972"</f>
        <v>1972</v>
      </c>
    </row>
    <row r="3703" spans="1:4" x14ac:dyDescent="0.2">
      <c r="A3703" t="str">
        <f>"3702"</f>
        <v>3702</v>
      </c>
      <c r="B3703" t="str">
        <f>"0.84"</f>
        <v>0.84</v>
      </c>
      <c r="C3703" t="str">
        <f>"83"</f>
        <v>83</v>
      </c>
      <c r="D3703" t="str">
        <f>"The Lemon of Pink"</f>
        <v>The Lemon of Pink</v>
      </c>
    </row>
    <row r="3704" spans="1:4" x14ac:dyDescent="0.2">
      <c r="A3704" t="str">
        <f>"3703"</f>
        <v>3703</v>
      </c>
      <c r="B3704" t="str">
        <f>"-0.94"</f>
        <v>-0.94</v>
      </c>
      <c r="C3704" t="str">
        <f>"47"</f>
        <v>47</v>
      </c>
      <c r="D3704" t="str">
        <f>"Ravipops (The Substance)"</f>
        <v>Ravipops (The Substance)</v>
      </c>
    </row>
    <row r="3705" spans="1:4" x14ac:dyDescent="0.2">
      <c r="A3705" t="str">
        <f>"3704"</f>
        <v>3704</v>
      </c>
      <c r="B3705" t="str">
        <f>"0.55"</f>
        <v>0.55</v>
      </c>
      <c r="C3705" t="str">
        <f>"42"</f>
        <v>42</v>
      </c>
      <c r="D3705" t="str">
        <f>"Ladybug Transistor"</f>
        <v>Ladybug Transistor</v>
      </c>
    </row>
    <row r="3706" spans="1:4" x14ac:dyDescent="0.2">
      <c r="A3706" t="str">
        <f>"3705"</f>
        <v>3705</v>
      </c>
      <c r="B3706" t="str">
        <f>"-0.37"</f>
        <v>-0.37</v>
      </c>
      <c r="C3706" t="str">
        <f>"87"</f>
        <v>87</v>
      </c>
      <c r="D3706" t="str">
        <f>"Instant 0 in the Universe EP"</f>
        <v>Instant 0 in the Universe EP</v>
      </c>
    </row>
    <row r="3707" spans="1:4" x14ac:dyDescent="0.2">
      <c r="A3707" t="str">
        <f>"3706"</f>
        <v>3706</v>
      </c>
      <c r="B3707" t="str">
        <f>"-0.66"</f>
        <v>-0.66</v>
      </c>
      <c r="C3707" t="str">
        <f>"39"</f>
        <v>39</v>
      </c>
      <c r="D3707" t="str">
        <f>"Vincebus Eruptum"</f>
        <v>Vincebus Eruptum</v>
      </c>
    </row>
    <row r="3708" spans="1:4" x14ac:dyDescent="0.2">
      <c r="A3708" t="str">
        <f>"3707"</f>
        <v>3707</v>
      </c>
      <c r="B3708" t="str">
        <f>"-0.12"</f>
        <v>-0.12</v>
      </c>
      <c r="C3708" t="str">
        <f>"104"</f>
        <v>104</v>
      </c>
      <c r="D3708" t="str">
        <f>"Transatlanticism"</f>
        <v>Transatlanticism</v>
      </c>
    </row>
    <row r="3709" spans="1:4" x14ac:dyDescent="0.2">
      <c r="A3709" t="str">
        <f>"3708"</f>
        <v>3708</v>
      </c>
      <c r="B3709" t="str">
        <f>"0.13"</f>
        <v>0.13</v>
      </c>
      <c r="C3709" t="str">
        <f>"27"</f>
        <v>27</v>
      </c>
      <c r="D3709" t="str">
        <f>"The Blueprint 2: The Gift and the Curse"</f>
        <v>The Blueprint 2: The Gift and the Curse</v>
      </c>
    </row>
    <row r="3710" spans="1:4" x14ac:dyDescent="0.2">
      <c r="A3710" t="str">
        <f>"3709"</f>
        <v>3709</v>
      </c>
      <c r="B3710" t="str">
        <f>"0.07"</f>
        <v>0.07</v>
      </c>
      <c r="C3710" t="str">
        <f>"101"</f>
        <v>101</v>
      </c>
      <c r="D3710" t="str">
        <f>"Soul Journey"</f>
        <v>Soul Journey</v>
      </c>
    </row>
    <row r="3711" spans="1:4" x14ac:dyDescent="0.2">
      <c r="A3711" t="str">
        <f>"3710"</f>
        <v>3710</v>
      </c>
      <c r="B3711" t="str">
        <f>"0.18"</f>
        <v>0.18</v>
      </c>
      <c r="C3711" t="str">
        <f>"56"</f>
        <v>56</v>
      </c>
      <c r="D3711" t="str">
        <f>"Like Hearts Swelling"</f>
        <v>Like Hearts Swelling</v>
      </c>
    </row>
    <row r="3712" spans="1:4" x14ac:dyDescent="0.2">
      <c r="A3712" t="str">
        <f>"3711"</f>
        <v>3711</v>
      </c>
      <c r="B3712" t="str">
        <f>"-0.38"</f>
        <v>-0.38</v>
      </c>
      <c r="C3712" t="str">
        <f>"45"</f>
        <v>45</v>
      </c>
      <c r="D3712" t="str">
        <f>"Worldwide Underground"</f>
        <v>Worldwide Underground</v>
      </c>
    </row>
    <row r="3713" spans="1:4" x14ac:dyDescent="0.2">
      <c r="A3713" t="str">
        <f>"3712"</f>
        <v>3712</v>
      </c>
      <c r="B3713" t="str">
        <f>"0.04"</f>
        <v>0.04</v>
      </c>
      <c r="C3713" t="str">
        <f>"58"</f>
        <v>58</v>
      </c>
      <c r="D3713" t="str">
        <f>"Käärmelautakunta"</f>
        <v>Käärmelautakunta</v>
      </c>
    </row>
    <row r="3714" spans="1:4" x14ac:dyDescent="0.2">
      <c r="A3714" t="str">
        <f>"3713"</f>
        <v>3713</v>
      </c>
      <c r="B3714" t="str">
        <f>"0.14"</f>
        <v>0.14</v>
      </c>
      <c r="C3714" t="str">
        <f>"68"</f>
        <v>68</v>
      </c>
      <c r="D3714" t="str">
        <f>"First Demo Tape"</f>
        <v>First Demo Tape</v>
      </c>
    </row>
    <row r="3715" spans="1:4" x14ac:dyDescent="0.2">
      <c r="A3715" t="str">
        <f>"3714"</f>
        <v>3714</v>
      </c>
      <c r="B3715" t="str">
        <f>"0.16"</f>
        <v>0.16</v>
      </c>
      <c r="C3715" t="str">
        <f>"60"</f>
        <v>60</v>
      </c>
      <c r="D3715" t="str">
        <f>"Blush Music"</f>
        <v>Blush Music</v>
      </c>
    </row>
    <row r="3716" spans="1:4" x14ac:dyDescent="0.2">
      <c r="A3716" t="str">
        <f>"3715"</f>
        <v>3715</v>
      </c>
      <c r="B3716" t="str">
        <f>"0.69"</f>
        <v>0.69</v>
      </c>
      <c r="C3716" t="str">
        <f>"68"</f>
        <v>68</v>
      </c>
      <c r="D3716" t="str">
        <f>"A People's History of The Dismemberment Plan"</f>
        <v>A People's History of The Dismemberment Plan</v>
      </c>
    </row>
    <row r="3717" spans="1:4" x14ac:dyDescent="0.2">
      <c r="A3717" t="str">
        <f>"3716"</f>
        <v>3716</v>
      </c>
      <c r="B3717" t="str">
        <f>"-0.41"</f>
        <v>-0.41</v>
      </c>
      <c r="C3717" t="str">
        <f>"61"</f>
        <v>61</v>
      </c>
      <c r="D3717" t="str">
        <f>"Year of the Rabbit"</f>
        <v>Year of the Rabbit</v>
      </c>
    </row>
    <row r="3718" spans="1:4" x14ac:dyDescent="0.2">
      <c r="A3718" t="str">
        <f>"3717"</f>
        <v>3717</v>
      </c>
      <c r="B3718" t="str">
        <f>"0.6"</f>
        <v>0.6</v>
      </c>
      <c r="C3718" t="str">
        <f>"104"</f>
        <v>104</v>
      </c>
      <c r="D3718" t="str">
        <f>"Let's Make This Precious: The Best of Dexys Midnight Runners"</f>
        <v>Let's Make This Precious: The Best of Dexys Midnight Runners</v>
      </c>
    </row>
    <row r="3719" spans="1:4" x14ac:dyDescent="0.2">
      <c r="A3719" t="str">
        <f>"3718"</f>
        <v>3718</v>
      </c>
      <c r="B3719" t="str">
        <f>"0.76"</f>
        <v>0.76</v>
      </c>
      <c r="C3719" t="str">
        <f>"49"</f>
        <v>49</v>
      </c>
      <c r="D3719" t="str">
        <f>"God's Got It: The Legendary Booker and Jackson Singles"</f>
        <v>God's Got It: The Legendary Booker and Jackson Singles</v>
      </c>
    </row>
    <row r="3720" spans="1:4" x14ac:dyDescent="0.2">
      <c r="A3720" t="str">
        <f>"3719"</f>
        <v>3719</v>
      </c>
      <c r="B3720" t="str">
        <f>"0.64"</f>
        <v>0.64</v>
      </c>
      <c r="C3720" t="str">
        <f>"70"</f>
        <v>70</v>
      </c>
      <c r="D3720" t="str">
        <f>"Dear Catastrophe Waitress"</f>
        <v>Dear Catastrophe Waitress</v>
      </c>
    </row>
    <row r="3721" spans="1:4" x14ac:dyDescent="0.2">
      <c r="A3721" t="str">
        <f>"3720"</f>
        <v>3720</v>
      </c>
      <c r="B3721" t="str">
        <f>"0.49"</f>
        <v>0.49</v>
      </c>
      <c r="C3721" t="str">
        <f>"62"</f>
        <v>62</v>
      </c>
      <c r="D3721" t="str">
        <f>"Black Forest/Black Sea"</f>
        <v>Black Forest/Black Sea</v>
      </c>
    </row>
    <row r="3722" spans="1:4" x14ac:dyDescent="0.2">
      <c r="A3722" t="str">
        <f>"3721"</f>
        <v>3721</v>
      </c>
      <c r="B3722" t="str">
        <f>"0.48"</f>
        <v>0.48</v>
      </c>
      <c r="C3722" t="str">
        <f>"43"</f>
        <v>43</v>
      </c>
      <c r="D3722" t="str">
        <f>"War Prayers"</f>
        <v>War Prayers</v>
      </c>
    </row>
    <row r="3723" spans="1:4" x14ac:dyDescent="0.2">
      <c r="A3723" t="str">
        <f>"3722"</f>
        <v>3722</v>
      </c>
      <c r="B3723" t="str">
        <f>"-0.6"</f>
        <v>-0.6</v>
      </c>
      <c r="C3723" t="str">
        <f>"59"</f>
        <v>59</v>
      </c>
      <c r="D3723" t="str">
        <f>"The Decline of British Sea Power"</f>
        <v>The Decline of British Sea Power</v>
      </c>
    </row>
    <row r="3724" spans="1:4" x14ac:dyDescent="0.2">
      <c r="A3724" t="str">
        <f>"3723"</f>
        <v>3723</v>
      </c>
      <c r="B3724" t="str">
        <f>"-1.1"</f>
        <v>-1.1</v>
      </c>
      <c r="C3724" t="str">
        <f>"63"</f>
        <v>63</v>
      </c>
      <c r="D3724" t="str">
        <f>"Straight Outta Compton"</f>
        <v>Straight Outta Compton</v>
      </c>
    </row>
    <row r="3725" spans="1:4" x14ac:dyDescent="0.2">
      <c r="A3725" t="str">
        <f>"3724"</f>
        <v>3724</v>
      </c>
      <c r="B3725" t="str">
        <f>"0.59"</f>
        <v>0.59</v>
      </c>
      <c r="C3725" t="str">
        <f>"47"</f>
        <v>47</v>
      </c>
      <c r="D3725" t="str">
        <f>"Spring"</f>
        <v>Spring</v>
      </c>
    </row>
    <row r="3726" spans="1:4" x14ac:dyDescent="0.2">
      <c r="A3726" t="str">
        <f>"3725"</f>
        <v>3725</v>
      </c>
      <c r="B3726" t="str">
        <f>"-0.69"</f>
        <v>-0.69</v>
      </c>
      <c r="C3726" t="str">
        <f>"47"</f>
        <v>47</v>
      </c>
      <c r="D3726" t="str">
        <f>"Gallowsbird's Bark"</f>
        <v>Gallowsbird's Bark</v>
      </c>
    </row>
    <row r="3727" spans="1:4" x14ac:dyDescent="0.2">
      <c r="A3727" t="str">
        <f>"3726"</f>
        <v>3726</v>
      </c>
      <c r="B3727" t="str">
        <f>"0.2"</f>
        <v>0.2</v>
      </c>
      <c r="C3727" t="str">
        <f>"106"</f>
        <v>106</v>
      </c>
      <c r="D3727" t="str">
        <f>"Big Star Story"</f>
        <v>Big Star Story</v>
      </c>
    </row>
    <row r="3728" spans="1:4" x14ac:dyDescent="0.2">
      <c r="A3728" t="str">
        <f>"3727"</f>
        <v>3727</v>
      </c>
      <c r="B3728" t="str">
        <f>"0.36"</f>
        <v>0.36</v>
      </c>
      <c r="C3728" t="str">
        <f>"45"</f>
        <v>45</v>
      </c>
      <c r="D3728" t="str">
        <f>"Lost in Translation"</f>
        <v>Lost in Translation</v>
      </c>
    </row>
    <row r="3729" spans="1:4" x14ac:dyDescent="0.2">
      <c r="A3729" t="str">
        <f>"3728"</f>
        <v>3728</v>
      </c>
      <c r="B3729" t="str">
        <f>"0.04"</f>
        <v>0.04</v>
      </c>
      <c r="C3729" t="str">
        <f>"52"</f>
        <v>52</v>
      </c>
      <c r="D3729" t="str">
        <f>"Immediate False Relief"</f>
        <v>Immediate False Relief</v>
      </c>
    </row>
    <row r="3730" spans="1:4" x14ac:dyDescent="0.2">
      <c r="A3730" t="str">
        <f>"3729"</f>
        <v>3729</v>
      </c>
      <c r="B3730" t="str">
        <f>"-0.11"</f>
        <v>-0.11</v>
      </c>
      <c r="C3730" t="str">
        <f>"41"</f>
        <v>41</v>
      </c>
      <c r="D3730" t="str">
        <f>"Eyes Closed EP"</f>
        <v>Eyes Closed EP</v>
      </c>
    </row>
    <row r="3731" spans="1:4" x14ac:dyDescent="0.2">
      <c r="A3731" t="str">
        <f>"3730"</f>
        <v>3730</v>
      </c>
      <c r="B3731" t="str">
        <f>"-0.54"</f>
        <v>-0.54</v>
      </c>
      <c r="C3731" t="str">
        <f>"55"</f>
        <v>55</v>
      </c>
      <c r="D3731" t="s">
        <v>127</v>
      </c>
    </row>
    <row r="3732" spans="1:4" x14ac:dyDescent="0.2">
      <c r="A3732" t="str">
        <f>"3731"</f>
        <v>3731</v>
      </c>
      <c r="B3732" t="str">
        <f>"-0.25"</f>
        <v>-0.25</v>
      </c>
      <c r="C3732" t="str">
        <f>"66"</f>
        <v>66</v>
      </c>
      <c r="D3732" t="str">
        <f>"The Omaha Record"</f>
        <v>The Omaha Record</v>
      </c>
    </row>
    <row r="3733" spans="1:4" x14ac:dyDescent="0.2">
      <c r="A3733" t="str">
        <f>"3732"</f>
        <v>3732</v>
      </c>
      <c r="B3733" t="str">
        <f>"0.08"</f>
        <v>0.08</v>
      </c>
      <c r="C3733" t="str">
        <f>"30"</f>
        <v>30</v>
      </c>
      <c r="D3733" t="str">
        <f>"On the Beach"</f>
        <v>On the Beach</v>
      </c>
    </row>
    <row r="3734" spans="1:4" x14ac:dyDescent="0.2">
      <c r="A3734" t="str">
        <f>"3733"</f>
        <v>3733</v>
      </c>
      <c r="B3734" t="str">
        <f>"0.25"</f>
        <v>0.25</v>
      </c>
      <c r="C3734" t="str">
        <f>"54"</f>
        <v>54</v>
      </c>
      <c r="D3734" t="str">
        <f>"Love and Affliction"</f>
        <v>Love and Affliction</v>
      </c>
    </row>
    <row r="3735" spans="1:4" x14ac:dyDescent="0.2">
      <c r="A3735" t="str">
        <f>"3734"</f>
        <v>3734</v>
      </c>
      <c r="B3735" t="str">
        <f>"-0.35"</f>
        <v>-0.35</v>
      </c>
      <c r="C3735" t="str">
        <f>"63"</f>
        <v>63</v>
      </c>
      <c r="D3735" t="str">
        <f>"Dream Dentistry"</f>
        <v>Dream Dentistry</v>
      </c>
    </row>
    <row r="3736" spans="1:4" x14ac:dyDescent="0.2">
      <c r="A3736" t="str">
        <f>"3735"</f>
        <v>3735</v>
      </c>
      <c r="B3736" t="str">
        <f>"-0.55"</f>
        <v>-0.55</v>
      </c>
      <c r="C3736" t="str">
        <f>"114"</f>
        <v>114</v>
      </c>
      <c r="D3736" t="str">
        <f>"The Meadowlands"</f>
        <v>The Meadowlands</v>
      </c>
    </row>
    <row r="3737" spans="1:4" x14ac:dyDescent="0.2">
      <c r="A3737" t="str">
        <f>"3736"</f>
        <v>3736</v>
      </c>
      <c r="B3737" t="str">
        <f>"-0.47"</f>
        <v>-0.47</v>
      </c>
      <c r="C3737" t="str">
        <f>"47"</f>
        <v>47</v>
      </c>
      <c r="D3737" t="str">
        <f>"Pasted Lakes"</f>
        <v>Pasted Lakes</v>
      </c>
    </row>
    <row r="3738" spans="1:4" x14ac:dyDescent="0.2">
      <c r="A3738" t="str">
        <f>"3737"</f>
        <v>3737</v>
      </c>
      <c r="B3738" t="str">
        <f>"-0.11"</f>
        <v>-0.11</v>
      </c>
      <c r="C3738" t="str">
        <f>"40"</f>
        <v>40</v>
      </c>
      <c r="D3738" t="str">
        <f>"Katonah"</f>
        <v>Katonah</v>
      </c>
    </row>
    <row r="3739" spans="1:4" x14ac:dyDescent="0.2">
      <c r="A3739" t="str">
        <f>"3738"</f>
        <v>3738</v>
      </c>
      <c r="B3739" t="str">
        <f>"1.04"</f>
        <v>1.04</v>
      </c>
      <c r="C3739" t="str">
        <f>"85"</f>
        <v>85</v>
      </c>
      <c r="D3739" t="str">
        <f>"Biotop"</f>
        <v>Biotop</v>
      </c>
    </row>
    <row r="3740" spans="1:4" x14ac:dyDescent="0.2">
      <c r="A3740" t="str">
        <f>"3739"</f>
        <v>3739</v>
      </c>
      <c r="B3740" t="str">
        <f>"-0.16"</f>
        <v>-0.16</v>
      </c>
      <c r="C3740" t="str">
        <f>"51"</f>
        <v>51</v>
      </c>
      <c r="D3740" t="str">
        <f>"At Crystal Palace"</f>
        <v>At Crystal Palace</v>
      </c>
    </row>
    <row r="3741" spans="1:4" x14ac:dyDescent="0.2">
      <c r="A3741" t="str">
        <f>"3740"</f>
        <v>3740</v>
      </c>
      <c r="B3741" t="str">
        <f>"-0.14"</f>
        <v>-0.14</v>
      </c>
      <c r="C3741" t="str">
        <f>"58"</f>
        <v>58</v>
      </c>
      <c r="D3741" t="str">
        <f>"Twinkle Echo"</f>
        <v>Twinkle Echo</v>
      </c>
    </row>
    <row r="3742" spans="1:4" x14ac:dyDescent="0.2">
      <c r="A3742" t="str">
        <f>"3741"</f>
        <v>3741</v>
      </c>
      <c r="B3742" t="str">
        <f>"0.51"</f>
        <v>0.51</v>
      </c>
      <c r="C3742" t="str">
        <f>"23"</f>
        <v>23</v>
      </c>
      <c r="D3742" t="str">
        <f>"Soup"</f>
        <v>Soup</v>
      </c>
    </row>
    <row r="3743" spans="1:4" x14ac:dyDescent="0.2">
      <c r="A3743" t="str">
        <f>"3742"</f>
        <v>3742</v>
      </c>
      <c r="B3743" t="str">
        <f>"0.44"</f>
        <v>0.44</v>
      </c>
      <c r="C3743" t="str">
        <f>"97"</f>
        <v>97</v>
      </c>
      <c r="D3743" t="str">
        <f>"Singles 93-03"</f>
        <v>Singles 93-03</v>
      </c>
    </row>
    <row r="3744" spans="1:4" x14ac:dyDescent="0.2">
      <c r="A3744" t="str">
        <f>"3743"</f>
        <v>3743</v>
      </c>
      <c r="B3744" t="str">
        <f>"-0.41"</f>
        <v>-0.41</v>
      </c>
      <c r="C3744" t="str">
        <f>"93"</f>
        <v>93</v>
      </c>
      <c r="D3744" t="str">
        <f>"Scattered Ashes: A Decade of Emperial Wrath"</f>
        <v>Scattered Ashes: A Decade of Emperial Wrath</v>
      </c>
    </row>
    <row r="3745" spans="1:4" x14ac:dyDescent="0.2">
      <c r="A3745" t="str">
        <f>"3744"</f>
        <v>3744</v>
      </c>
      <c r="B3745" t="str">
        <f>"0.25"</f>
        <v>0.25</v>
      </c>
      <c r="C3745" t="str">
        <f>"36"</f>
        <v>36</v>
      </c>
      <c r="D3745" t="s">
        <v>128</v>
      </c>
    </row>
    <row r="3746" spans="1:4" x14ac:dyDescent="0.2">
      <c r="A3746" t="str">
        <f>"3745"</f>
        <v>3745</v>
      </c>
      <c r="B3746" t="str">
        <f>"0.34"</f>
        <v>0.34</v>
      </c>
      <c r="C3746" t="str">
        <f>"38"</f>
        <v>38</v>
      </c>
      <c r="D3746" t="str">
        <f>"Make Out"</f>
        <v>Make Out</v>
      </c>
    </row>
    <row r="3747" spans="1:4" x14ac:dyDescent="0.2">
      <c r="A3747" t="str">
        <f>"3746"</f>
        <v>3746</v>
      </c>
      <c r="B3747" t="str">
        <f>"-0.89"</f>
        <v>-0.89</v>
      </c>
      <c r="C3747" t="str">
        <f>"71"</f>
        <v>71</v>
      </c>
      <c r="D3747" t="str">
        <f>"Living in America"</f>
        <v>Living in America</v>
      </c>
    </row>
    <row r="3748" spans="1:4" x14ac:dyDescent="0.2">
      <c r="A3748" t="str">
        <f>"3747"</f>
        <v>3747</v>
      </c>
      <c r="B3748" t="str">
        <f>"0.58"</f>
        <v>0.58</v>
      </c>
      <c r="C3748" t="str">
        <f>"44"</f>
        <v>44</v>
      </c>
      <c r="D3748" t="str">
        <f>"Kitsch Concrete"</f>
        <v>Kitsch Concrete</v>
      </c>
    </row>
    <row r="3749" spans="1:4" x14ac:dyDescent="0.2">
      <c r="A3749" t="str">
        <f>"3748"</f>
        <v>3748</v>
      </c>
      <c r="B3749" t="str">
        <f>"-0.07"</f>
        <v>-0.07</v>
      </c>
      <c r="C3749" t="str">
        <f>"73"</f>
        <v>73</v>
      </c>
      <c r="D3749" t="str">
        <f>"Amazing Grace"</f>
        <v>Amazing Grace</v>
      </c>
    </row>
    <row r="3750" spans="1:4" x14ac:dyDescent="0.2">
      <c r="A3750" t="str">
        <f>"3749"</f>
        <v>3749</v>
      </c>
      <c r="B3750" t="str">
        <f>"0.36"</f>
        <v>0.36</v>
      </c>
      <c r="C3750" t="str">
        <f>"48"</f>
        <v>48</v>
      </c>
      <c r="D3750" t="str">
        <f>"UFO"</f>
        <v>UFO</v>
      </c>
    </row>
    <row r="3751" spans="1:4" x14ac:dyDescent="0.2">
      <c r="A3751" t="str">
        <f>"3750"</f>
        <v>3750</v>
      </c>
      <c r="B3751" t="str">
        <f>"-0.36"</f>
        <v>-0.36</v>
      </c>
      <c r="C3751" t="str">
        <f>"65"</f>
        <v>65</v>
      </c>
      <c r="D3751" t="str">
        <f>"Talkin' Honky Blues"</f>
        <v>Talkin' Honky Blues</v>
      </c>
    </row>
    <row r="3752" spans="1:4" x14ac:dyDescent="0.2">
      <c r="A3752" t="str">
        <f>"3751"</f>
        <v>3751</v>
      </c>
      <c r="B3752" t="str">
        <f>"-0.24"</f>
        <v>-0.24</v>
      </c>
      <c r="C3752" t="str">
        <f>"35"</f>
        <v>35</v>
      </c>
      <c r="D3752" t="str">
        <f>"Show Me Your Tears"</f>
        <v>Show Me Your Tears</v>
      </c>
    </row>
    <row r="3753" spans="1:4" x14ac:dyDescent="0.2">
      <c r="A3753" t="str">
        <f>"3752"</f>
        <v>3752</v>
      </c>
      <c r="B3753" t="str">
        <f>"0.08"</f>
        <v>0.08</v>
      </c>
      <c r="C3753" t="str">
        <f>"50"</f>
        <v>50</v>
      </c>
      <c r="D3753" t="str">
        <f>"5"</f>
        <v>5</v>
      </c>
    </row>
    <row r="3754" spans="1:4" x14ac:dyDescent="0.2">
      <c r="A3754" t="str">
        <f>"3753"</f>
        <v>3753</v>
      </c>
      <c r="B3754" t="str">
        <f>"0.67"</f>
        <v>0.67</v>
      </c>
      <c r="C3754" t="str">
        <f>"83"</f>
        <v>83</v>
      </c>
      <c r="D3754" t="str">
        <f>"The Magic Lantern"</f>
        <v>The Magic Lantern</v>
      </c>
    </row>
    <row r="3755" spans="1:4" x14ac:dyDescent="0.2">
      <c r="A3755" t="str">
        <f>"3754"</f>
        <v>3754</v>
      </c>
      <c r="B3755" t="str">
        <f>"0.71"</f>
        <v>0.71</v>
      </c>
      <c r="C3755" t="str">
        <f>"93"</f>
        <v>93</v>
      </c>
      <c r="D3755" t="str">
        <f>"Speakerboxxx/The Love Below"</f>
        <v>Speakerboxxx/The Love Below</v>
      </c>
    </row>
    <row r="3756" spans="1:4" x14ac:dyDescent="0.2">
      <c r="A3756" t="str">
        <f>"3755"</f>
        <v>3755</v>
      </c>
      <c r="B3756" t="str">
        <f>"0.1"</f>
        <v>0.1</v>
      </c>
      <c r="C3756" t="str">
        <f>"56"</f>
        <v>56</v>
      </c>
      <c r="D3756" t="str">
        <f>"NYC 1978"</f>
        <v>NYC 1978</v>
      </c>
    </row>
    <row r="3757" spans="1:4" x14ac:dyDescent="0.2">
      <c r="A3757" t="str">
        <f>"3756"</f>
        <v>3756</v>
      </c>
      <c r="B3757" t="str">
        <f>"1.56"</f>
        <v>1.56</v>
      </c>
      <c r="C3757" t="str">
        <f>"37"</f>
        <v>37</v>
      </c>
      <c r="D3757" t="str">
        <f>"Bravo"</f>
        <v>Bravo</v>
      </c>
    </row>
    <row r="3758" spans="1:4" x14ac:dyDescent="0.2">
      <c r="A3758" t="str">
        <f>"3757"</f>
        <v>3757</v>
      </c>
      <c r="B3758" t="str">
        <f>"0.46"</f>
        <v>0.46</v>
      </c>
      <c r="C3758" t="str">
        <f>"59"</f>
        <v>59</v>
      </c>
      <c r="D3758" t="str">
        <f>"Bicycles &amp; Tricycles"</f>
        <v>Bicycles &amp; Tricycles</v>
      </c>
    </row>
    <row r="3759" spans="1:4" x14ac:dyDescent="0.2">
      <c r="A3759" t="str">
        <f>"3758"</f>
        <v>3758</v>
      </c>
      <c r="B3759" t="str">
        <f>"0.07"</f>
        <v>0.07</v>
      </c>
      <c r="C3759" t="str">
        <f>"115"</f>
        <v>115</v>
      </c>
      <c r="D3759" t="str">
        <f>"Yoko"</f>
        <v>Yoko</v>
      </c>
    </row>
    <row r="3760" spans="1:4" x14ac:dyDescent="0.2">
      <c r="A3760" t="str">
        <f>"3759"</f>
        <v>3759</v>
      </c>
      <c r="B3760" t="str">
        <f>"0.29"</f>
        <v>0.29</v>
      </c>
      <c r="C3760" t="str">
        <f>"59"</f>
        <v>59</v>
      </c>
      <c r="D3760" t="str">
        <f>"With the Tides"</f>
        <v>With the Tides</v>
      </c>
    </row>
    <row r="3761" spans="1:4" x14ac:dyDescent="0.2">
      <c r="A3761" t="str">
        <f>"3760"</f>
        <v>3760</v>
      </c>
      <c r="B3761" t="str">
        <f>"0.82"</f>
        <v>0.82</v>
      </c>
      <c r="C3761" t="str">
        <f>"54"</f>
        <v>54</v>
      </c>
      <c r="D3761" t="str">
        <f>"The Drinks We Drank Last Night EP"</f>
        <v>The Drinks We Drank Last Night EP</v>
      </c>
    </row>
    <row r="3762" spans="1:4" x14ac:dyDescent="0.2">
      <c r="A3762" t="str">
        <f>"3761"</f>
        <v>3761</v>
      </c>
      <c r="B3762" t="str">
        <f>"0.7"</f>
        <v>0.7</v>
      </c>
      <c r="C3762" t="str">
        <f>"61"</f>
        <v>61</v>
      </c>
      <c r="D3762" t="str">
        <f>"Ode to Joy"</f>
        <v>Ode to Joy</v>
      </c>
    </row>
    <row r="3763" spans="1:4" x14ac:dyDescent="0.2">
      <c r="A3763" t="str">
        <f>"3762"</f>
        <v>3762</v>
      </c>
      <c r="B3763" t="str">
        <f>"-0.84"</f>
        <v>-0.84</v>
      </c>
      <c r="C3763" t="str">
        <f>"39"</f>
        <v>39</v>
      </c>
      <c r="D3763" t="s">
        <v>129</v>
      </c>
    </row>
    <row r="3764" spans="1:4" x14ac:dyDescent="0.2">
      <c r="A3764" t="str">
        <f>"3763"</f>
        <v>3763</v>
      </c>
      <c r="B3764" t="str">
        <f>"0.1"</f>
        <v>0.1</v>
      </c>
      <c r="C3764" t="str">
        <f>"59"</f>
        <v>59</v>
      </c>
      <c r="D3764" t="str">
        <f>"Team Boo"</f>
        <v>Team Boo</v>
      </c>
    </row>
    <row r="3765" spans="1:4" x14ac:dyDescent="0.2">
      <c r="A3765" t="str">
        <f>"3764"</f>
        <v>3764</v>
      </c>
      <c r="B3765" t="str">
        <f>"0.07"</f>
        <v>0.07</v>
      </c>
      <c r="C3765" t="str">
        <f>"41"</f>
        <v>41</v>
      </c>
      <c r="D3765" t="str">
        <f>"Beard of Lightning"</f>
        <v>Beard of Lightning</v>
      </c>
    </row>
    <row r="3766" spans="1:4" x14ac:dyDescent="0.2">
      <c r="A3766" t="str">
        <f>"3765"</f>
        <v>3765</v>
      </c>
      <c r="B3766" t="str">
        <f>"-0.13"</f>
        <v>-0.13</v>
      </c>
      <c r="C3766" t="str">
        <f>"64"</f>
        <v>64</v>
      </c>
      <c r="D3766" t="str">
        <f>"A Lil' Light"</f>
        <v>A Lil' Light</v>
      </c>
    </row>
    <row r="3767" spans="1:4" x14ac:dyDescent="0.2">
      <c r="A3767" t="str">
        <f>"3766"</f>
        <v>3766</v>
      </c>
      <c r="B3767" t="str">
        <f>"1.32"</f>
        <v>1.32</v>
      </c>
      <c r="C3767" t="str">
        <f>"52"</f>
        <v>52</v>
      </c>
      <c r="D3767" t="str">
        <f>"Alcachofa"</f>
        <v>Alcachofa</v>
      </c>
    </row>
    <row r="3768" spans="1:4" x14ac:dyDescent="0.2">
      <c r="A3768" t="str">
        <f>"3767"</f>
        <v>3767</v>
      </c>
      <c r="B3768" t="str">
        <f>"-0.32"</f>
        <v>-0.32</v>
      </c>
      <c r="C3768" t="str">
        <f>"39"</f>
        <v>39</v>
      </c>
      <c r="D3768" t="str">
        <f>"We Were Born in a Flame"</f>
        <v>We Were Born in a Flame</v>
      </c>
    </row>
    <row r="3769" spans="1:4" x14ac:dyDescent="0.2">
      <c r="A3769" t="str">
        <f>"3768"</f>
        <v>3768</v>
      </c>
      <c r="B3769" t="str">
        <f>"0.2"</f>
        <v>0.2</v>
      </c>
      <c r="C3769" t="str">
        <f>"53"</f>
        <v>53</v>
      </c>
      <c r="D3769" t="str">
        <f>"Puckett's Versus the Country Boy EP"</f>
        <v>Puckett's Versus the Country Boy EP</v>
      </c>
    </row>
    <row r="3770" spans="1:4" x14ac:dyDescent="0.2">
      <c r="A3770" t="str">
        <f>"3769"</f>
        <v>3769</v>
      </c>
      <c r="B3770" t="str">
        <f>"-0.3"</f>
        <v>-0.3</v>
      </c>
      <c r="C3770" t="str">
        <f>"97"</f>
        <v>97</v>
      </c>
      <c r="D3770" t="str">
        <f>"Nymphomatriarch"</f>
        <v>Nymphomatriarch</v>
      </c>
    </row>
    <row r="3771" spans="1:4" x14ac:dyDescent="0.2">
      <c r="A3771" t="str">
        <f>"3770"</f>
        <v>3770</v>
      </c>
      <c r="B3771" t="str">
        <f>"-0.16"</f>
        <v>-0.16</v>
      </c>
      <c r="C3771" t="str">
        <f>"56"</f>
        <v>56</v>
      </c>
      <c r="D3771" t="str">
        <f>"Music to Climb the Apple Tree By"</f>
        <v>Music to Climb the Apple Tree By</v>
      </c>
    </row>
    <row r="3772" spans="1:4" x14ac:dyDescent="0.2">
      <c r="A3772" t="str">
        <f>"3771"</f>
        <v>3771</v>
      </c>
      <c r="B3772" t="str">
        <f>"0.18"</f>
        <v>0.18</v>
      </c>
      <c r="C3772" t="str">
        <f>"58"</f>
        <v>58</v>
      </c>
      <c r="D3772" t="str">
        <f>"It Still Moves"</f>
        <v>It Still Moves</v>
      </c>
    </row>
    <row r="3773" spans="1:4" x14ac:dyDescent="0.2">
      <c r="A3773" t="str">
        <f>"3772"</f>
        <v>3772</v>
      </c>
      <c r="B3773" t="str">
        <f>"-0.77"</f>
        <v>-0.77</v>
      </c>
      <c r="C3773" t="str">
        <f>"79"</f>
        <v>79</v>
      </c>
      <c r="D3773" t="str">
        <f>"Triumphant"</f>
        <v>Triumphant</v>
      </c>
    </row>
    <row r="3774" spans="1:4" x14ac:dyDescent="0.2">
      <c r="A3774" t="str">
        <f>"3773"</f>
        <v>3773</v>
      </c>
      <c r="B3774" t="str">
        <f>"0.08"</f>
        <v>0.08</v>
      </c>
      <c r="C3774" t="str">
        <f>"95"</f>
        <v>95</v>
      </c>
      <c r="D3774" t="str">
        <f>"Reality"</f>
        <v>Reality</v>
      </c>
    </row>
    <row r="3775" spans="1:4" x14ac:dyDescent="0.2">
      <c r="A3775" t="str">
        <f>"3774"</f>
        <v>3774</v>
      </c>
      <c r="B3775" t="str">
        <f>"-0.42"</f>
        <v>-0.42</v>
      </c>
      <c r="C3775" t="str">
        <f>"39"</f>
        <v>39</v>
      </c>
      <c r="D3775" t="str">
        <f>"Loud New Shit"</f>
        <v>Loud New Shit</v>
      </c>
    </row>
    <row r="3776" spans="1:4" x14ac:dyDescent="0.2">
      <c r="A3776" t="str">
        <f>"3775"</f>
        <v>3775</v>
      </c>
      <c r="B3776" t="str">
        <f>"-0.1"</f>
        <v>-0.1</v>
      </c>
      <c r="C3776" t="str">
        <f>"63"</f>
        <v>63</v>
      </c>
      <c r="D3776" t="str">
        <f>"Ghetto Pop Life"</f>
        <v>Ghetto Pop Life</v>
      </c>
    </row>
    <row r="3777" spans="1:4" x14ac:dyDescent="0.2">
      <c r="A3777" t="str">
        <f>"3776"</f>
        <v>3776</v>
      </c>
      <c r="B3777" t="str">
        <f>"-0.42"</f>
        <v>-0.42</v>
      </c>
      <c r="C3777" t="str">
        <f>"74"</f>
        <v>74</v>
      </c>
      <c r="D3777" t="str">
        <f>"From Me to U"</f>
        <v>From Me to U</v>
      </c>
    </row>
    <row r="3778" spans="1:4" x14ac:dyDescent="0.2">
      <c r="A3778" t="str">
        <f>"3777"</f>
        <v>3777</v>
      </c>
      <c r="B3778" t="str">
        <f>"-0.16"</f>
        <v>-0.16</v>
      </c>
      <c r="C3778" t="str">
        <f>"72"</f>
        <v>72</v>
      </c>
      <c r="D3778" t="str">
        <f>"Vaudeville Villain"</f>
        <v>Vaudeville Villain</v>
      </c>
    </row>
    <row r="3779" spans="1:4" x14ac:dyDescent="0.2">
      <c r="A3779" t="str">
        <f>"3778"</f>
        <v>3778</v>
      </c>
      <c r="B3779" t="str">
        <f>"-0.6"</f>
        <v>-0.6</v>
      </c>
      <c r="C3779" t="str">
        <f>"56"</f>
        <v>56</v>
      </c>
      <c r="D3779" t="s">
        <v>130</v>
      </c>
    </row>
    <row r="3780" spans="1:4" x14ac:dyDescent="0.2">
      <c r="A3780" t="str">
        <f>"3779"</f>
        <v>3779</v>
      </c>
      <c r="B3780" t="str">
        <f>"-0.11"</f>
        <v>-0.11</v>
      </c>
      <c r="C3780" t="str">
        <f>"39"</f>
        <v>39</v>
      </c>
      <c r="D3780" t="str">
        <f>"Only With Laughter Can You Win"</f>
        <v>Only With Laughter Can You Win</v>
      </c>
    </row>
    <row r="3781" spans="1:4" x14ac:dyDescent="0.2">
      <c r="A3781" t="str">
        <f>"3780"</f>
        <v>3780</v>
      </c>
      <c r="B3781" t="str">
        <f>"-1.46"</f>
        <v>-1.46</v>
      </c>
      <c r="C3781" t="str">
        <f>"69"</f>
        <v>69</v>
      </c>
      <c r="D3781" t="str">
        <f>"Halve Maen"</f>
        <v>Halve Maen</v>
      </c>
    </row>
    <row r="3782" spans="1:4" x14ac:dyDescent="0.2">
      <c r="A3782" t="str">
        <f>"3781"</f>
        <v>3781</v>
      </c>
      <c r="B3782" t="str">
        <f>"-0.31"</f>
        <v>-0.31</v>
      </c>
      <c r="C3782" t="str">
        <f>"35"</f>
        <v>35</v>
      </c>
      <c r="D3782" t="str">
        <f>"Another"</f>
        <v>Another</v>
      </c>
    </row>
    <row r="3783" spans="1:4" x14ac:dyDescent="0.2">
      <c r="A3783" t="str">
        <f>"3782"</f>
        <v>3782</v>
      </c>
      <c r="B3783" t="str">
        <f>"0.44"</f>
        <v>0.44</v>
      </c>
      <c r="C3783" t="str">
        <f>"77"</f>
        <v>77</v>
      </c>
      <c r="D3783" t="str">
        <f>"These Are the Vistas"</f>
        <v>These Are the Vistas</v>
      </c>
    </row>
    <row r="3784" spans="1:4" x14ac:dyDescent="0.2">
      <c r="A3784" t="str">
        <f>"3783"</f>
        <v>3783</v>
      </c>
      <c r="B3784" t="str">
        <f>"-0.2"</f>
        <v>-0.2</v>
      </c>
      <c r="C3784" t="str">
        <f>"92"</f>
        <v>92</v>
      </c>
      <c r="D3784" t="str">
        <f>"The Sea and The Rhythm EP"</f>
        <v>The Sea and The Rhythm EP</v>
      </c>
    </row>
    <row r="3785" spans="1:4" x14ac:dyDescent="0.2">
      <c r="A3785" t="str">
        <f>"3784"</f>
        <v>3784</v>
      </c>
      <c r="B3785" t="str">
        <f>"0.6"</f>
        <v>0.6</v>
      </c>
      <c r="C3785" t="str">
        <f>"65"</f>
        <v>65</v>
      </c>
      <c r="D3785" t="str">
        <f>"Scorpio Rising"</f>
        <v>Scorpio Rising</v>
      </c>
    </row>
    <row r="3786" spans="1:4" x14ac:dyDescent="0.2">
      <c r="A3786" t="str">
        <f>"3785"</f>
        <v>3785</v>
      </c>
      <c r="B3786" t="str">
        <f>"-0.83"</f>
        <v>-0.83</v>
      </c>
      <c r="C3786" t="str">
        <f>"67"</f>
        <v>67</v>
      </c>
      <c r="D3786" t="str">
        <f>"Black Lava"</f>
        <v>Black Lava</v>
      </c>
    </row>
    <row r="3787" spans="1:4" x14ac:dyDescent="0.2">
      <c r="A3787" t="str">
        <f>"3786"</f>
        <v>3786</v>
      </c>
      <c r="B3787" t="str">
        <f>"-0.26"</f>
        <v>-0.26</v>
      </c>
      <c r="C3787" t="str">
        <f>"53"</f>
        <v>53</v>
      </c>
      <c r="D3787" t="str">
        <f>"21st Century Toy"</f>
        <v>21st Century Toy</v>
      </c>
    </row>
    <row r="3788" spans="1:4" x14ac:dyDescent="0.2">
      <c r="A3788" t="str">
        <f>"3787"</f>
        <v>3787</v>
      </c>
      <c r="B3788" t="str">
        <f>"0.6"</f>
        <v>0.6</v>
      </c>
      <c r="C3788" t="str">
        <f>"76"</f>
        <v>76</v>
      </c>
      <c r="D3788" t="str">
        <f>"The New Romance"</f>
        <v>The New Romance</v>
      </c>
    </row>
    <row r="3789" spans="1:4" x14ac:dyDescent="0.2">
      <c r="A3789" t="str">
        <f>"3788"</f>
        <v>3788</v>
      </c>
      <c r="B3789" t="str">
        <f>"-0.6"</f>
        <v>-0.6</v>
      </c>
      <c r="C3789" t="str">
        <f>"26"</f>
        <v>26</v>
      </c>
      <c r="D3789" t="s">
        <v>131</v>
      </c>
    </row>
    <row r="3790" spans="1:4" x14ac:dyDescent="0.2">
      <c r="A3790" t="str">
        <f>"3789"</f>
        <v>3789</v>
      </c>
      <c r="B3790" t="str">
        <f>"-0.21"</f>
        <v>-0.21</v>
      </c>
      <c r="C3790" t="str">
        <f>"61"</f>
        <v>61</v>
      </c>
      <c r="D3790" t="str">
        <f>"Obedience"</f>
        <v>Obedience</v>
      </c>
    </row>
    <row r="3791" spans="1:4" x14ac:dyDescent="0.2">
      <c r="A3791" t="str">
        <f>"3790"</f>
        <v>3790</v>
      </c>
      <c r="B3791" t="str">
        <f>"-0.45"</f>
        <v>-0.45</v>
      </c>
      <c r="C3791" t="str">
        <f>"67"</f>
        <v>67</v>
      </c>
      <c r="D3791" t="str">
        <f>"Captured Anthems for an Empty Bathtub"</f>
        <v>Captured Anthems for an Empty Bathtub</v>
      </c>
    </row>
    <row r="3792" spans="1:4" x14ac:dyDescent="0.2">
      <c r="A3792" t="str">
        <f>"3791"</f>
        <v>3791</v>
      </c>
      <c r="B3792" t="str">
        <f>"-0.09"</f>
        <v>-0.09</v>
      </c>
      <c r="C3792" t="str">
        <f>"43"</f>
        <v>43</v>
      </c>
      <c r="D3792" t="str">
        <f>"Also Rising"</f>
        <v>Also Rising</v>
      </c>
    </row>
    <row r="3793" spans="1:4" x14ac:dyDescent="0.2">
      <c r="A3793" t="str">
        <f>"3792"</f>
        <v>3792</v>
      </c>
      <c r="B3793" t="str">
        <f>"-0.63"</f>
        <v>-0.63</v>
      </c>
      <c r="C3793" t="str">
        <f>"56"</f>
        <v>56</v>
      </c>
      <c r="D3793" t="str">
        <f>"Pulse Demon"</f>
        <v>Pulse Demon</v>
      </c>
    </row>
    <row r="3794" spans="1:4" x14ac:dyDescent="0.2">
      <c r="A3794" t="str">
        <f>"3793"</f>
        <v>3793</v>
      </c>
      <c r="B3794" t="str">
        <f>"-0.29"</f>
        <v>-0.29</v>
      </c>
      <c r="C3794" t="str">
        <f>"73"</f>
        <v>73</v>
      </c>
      <c r="D3794" t="str">
        <f>"Love You Just the Same"</f>
        <v>Love You Just the Same</v>
      </c>
    </row>
    <row r="3795" spans="1:4" x14ac:dyDescent="0.2">
      <c r="A3795" t="str">
        <f>"3794"</f>
        <v>3794</v>
      </c>
      <c r="B3795" t="str">
        <f>"-1.13"</f>
        <v>-1.13</v>
      </c>
      <c r="C3795" t="str">
        <f>"62"</f>
        <v>62</v>
      </c>
      <c r="D3795" t="str">
        <f>"Lichter EP"</f>
        <v>Lichter EP</v>
      </c>
    </row>
    <row r="3796" spans="1:4" x14ac:dyDescent="0.2">
      <c r="A3796" t="str">
        <f>"3795"</f>
        <v>3795</v>
      </c>
      <c r="B3796" t="str">
        <f>"0.95"</f>
        <v>0.95</v>
      </c>
      <c r="C3796" t="str">
        <f>"54"</f>
        <v>54</v>
      </c>
      <c r="D3796" t="str">
        <f>"Crydamoure Presents Waves II"</f>
        <v>Crydamoure Presents Waves II</v>
      </c>
    </row>
    <row r="3797" spans="1:4" x14ac:dyDescent="0.2">
      <c r="A3797" t="str">
        <f>"3796"</f>
        <v>3796</v>
      </c>
      <c r="B3797" t="str">
        <f>"0.13"</f>
        <v>0.13</v>
      </c>
      <c r="C3797" t="str">
        <f>"64"</f>
        <v>64</v>
      </c>
      <c r="D3797" t="str">
        <f>"The Edge of Heaven"</f>
        <v>The Edge of Heaven</v>
      </c>
    </row>
    <row r="3798" spans="1:4" x14ac:dyDescent="0.2">
      <c r="A3798" t="str">
        <f>"3797"</f>
        <v>3797</v>
      </c>
      <c r="B3798" t="str">
        <f>"0.25"</f>
        <v>0.25</v>
      </c>
      <c r="C3798" t="str">
        <f>"66"</f>
        <v>66</v>
      </c>
      <c r="D3798" t="str">
        <f>"I Get Along EP"</f>
        <v>I Get Along EP</v>
      </c>
    </row>
    <row r="3799" spans="1:4" x14ac:dyDescent="0.2">
      <c r="A3799" t="str">
        <f>"3798"</f>
        <v>3798</v>
      </c>
      <c r="B3799" t="str">
        <f>"-0.6"</f>
        <v>-0.6</v>
      </c>
      <c r="C3799" t="str">
        <f>"120"</f>
        <v>120</v>
      </c>
      <c r="D3799" t="str">
        <f>"Echoes"</f>
        <v>Echoes</v>
      </c>
    </row>
    <row r="3800" spans="1:4" x14ac:dyDescent="0.2">
      <c r="A3800" t="str">
        <f>"3799"</f>
        <v>3799</v>
      </c>
      <c r="B3800" t="str">
        <f>"-0.42"</f>
        <v>-0.42</v>
      </c>
      <c r="C3800" t="str">
        <f>"77"</f>
        <v>77</v>
      </c>
      <c r="D3800" t="str">
        <f>"Salt Marie Celeste"</f>
        <v>Salt Marie Celeste</v>
      </c>
    </row>
    <row r="3801" spans="1:4" x14ac:dyDescent="0.2">
      <c r="A3801" t="str">
        <f>"3800"</f>
        <v>3800</v>
      </c>
      <c r="B3801" t="str">
        <f>"-0.3"</f>
        <v>-0.3</v>
      </c>
      <c r="C3801" t="str">
        <f>"64"</f>
        <v>64</v>
      </c>
      <c r="D3801" t="str">
        <f>"Hocus Pocus"</f>
        <v>Hocus Pocus</v>
      </c>
    </row>
    <row r="3802" spans="1:4" x14ac:dyDescent="0.2">
      <c r="A3802" t="str">
        <f>"3801"</f>
        <v>3801</v>
      </c>
      <c r="B3802" t="str">
        <f>"-0.29"</f>
        <v>-0.29</v>
      </c>
      <c r="C3802" t="str">
        <f>"66"</f>
        <v>66</v>
      </c>
      <c r="D3802" t="str">
        <f>"Chimeras"</f>
        <v>Chimeras</v>
      </c>
    </row>
    <row r="3803" spans="1:4" x14ac:dyDescent="0.2">
      <c r="A3803" t="str">
        <f>"3802"</f>
        <v>3802</v>
      </c>
      <c r="B3803" t="str">
        <f>"-0.25"</f>
        <v>-0.25</v>
      </c>
      <c r="C3803" t="str">
        <f>"38"</f>
        <v>38</v>
      </c>
      <c r="D3803" t="str">
        <f>"Band Red"</f>
        <v>Band Red</v>
      </c>
    </row>
    <row r="3804" spans="1:4" x14ac:dyDescent="0.2">
      <c r="A3804" t="str">
        <f>"3803"</f>
        <v>3803</v>
      </c>
      <c r="B3804" t="str">
        <f>"-0.38"</f>
        <v>-0.38</v>
      </c>
      <c r="C3804" t="str">
        <f>"38"</f>
        <v>38</v>
      </c>
      <c r="D3804" t="str">
        <f>"4 Parabolic Mixes"</f>
        <v>4 Parabolic Mixes</v>
      </c>
    </row>
    <row r="3805" spans="1:4" x14ac:dyDescent="0.2">
      <c r="A3805" t="str">
        <f>"3804"</f>
        <v>3804</v>
      </c>
      <c r="B3805" t="str">
        <f>"0.18"</f>
        <v>0.18</v>
      </c>
      <c r="C3805" t="str">
        <f>"74"</f>
        <v>74</v>
      </c>
      <c r="D3805" t="s">
        <v>132</v>
      </c>
    </row>
    <row r="3806" spans="1:4" x14ac:dyDescent="0.2">
      <c r="A3806" t="str">
        <f>"3805"</f>
        <v>3805</v>
      </c>
      <c r="B3806" t="str">
        <f>"-0.02"</f>
        <v>-0.02</v>
      </c>
      <c r="C3806" t="str">
        <f>"84"</f>
        <v>84</v>
      </c>
      <c r="D3806" t="str">
        <f>"Sonic Terror Tour 2003"</f>
        <v>Sonic Terror Tour 2003</v>
      </c>
    </row>
    <row r="3807" spans="1:4" x14ac:dyDescent="0.2">
      <c r="A3807" t="str">
        <f>"3806"</f>
        <v>3806</v>
      </c>
      <c r="B3807" t="str">
        <f>"-0.98"</f>
        <v>-0.98</v>
      </c>
      <c r="C3807" t="str">
        <f>"59"</f>
        <v>59</v>
      </c>
      <c r="D3807" t="str">
        <f>"Hot Shit"</f>
        <v>Hot Shit</v>
      </c>
    </row>
    <row r="3808" spans="1:4" x14ac:dyDescent="0.2">
      <c r="A3808" t="str">
        <f>"3807"</f>
        <v>3807</v>
      </c>
      <c r="B3808" t="str">
        <f>"-0.01"</f>
        <v>-0.01</v>
      </c>
      <c r="C3808" t="str">
        <f>"62"</f>
        <v>62</v>
      </c>
      <c r="D3808" t="str">
        <f>"Her Majesty The Decemberists"</f>
        <v>Her Majesty The Decemberists</v>
      </c>
    </row>
    <row r="3809" spans="1:4" x14ac:dyDescent="0.2">
      <c r="A3809" t="str">
        <f>"3808"</f>
        <v>3808</v>
      </c>
      <c r="B3809" t="str">
        <f>"-0.05"</f>
        <v>-0.05</v>
      </c>
      <c r="C3809" t="str">
        <f>"83"</f>
        <v>83</v>
      </c>
      <c r="D3809" t="str">
        <f>"3"</f>
        <v>3</v>
      </c>
    </row>
    <row r="3810" spans="1:4" x14ac:dyDescent="0.2">
      <c r="A3810" t="str">
        <f>"3809"</f>
        <v>3809</v>
      </c>
      <c r="B3810" t="str">
        <f>"0.05"</f>
        <v>0.05</v>
      </c>
      <c r="C3810" t="str">
        <f>"42"</f>
        <v>42</v>
      </c>
      <c r="D3810" t="str">
        <f>"Total 5"</f>
        <v>Total 5</v>
      </c>
    </row>
    <row r="3811" spans="1:4" x14ac:dyDescent="0.2">
      <c r="A3811" t="str">
        <f>"3810"</f>
        <v>3810</v>
      </c>
      <c r="B3811" t="str">
        <f>"0.14"</f>
        <v>0.14</v>
      </c>
      <c r="C3811" t="str">
        <f>"52"</f>
        <v>52</v>
      </c>
      <c r="D3811" t="str">
        <f>"Neu"</f>
        <v>Neu</v>
      </c>
    </row>
    <row r="3812" spans="1:4" x14ac:dyDescent="0.2">
      <c r="A3812" t="str">
        <f>"3811"</f>
        <v>3811</v>
      </c>
      <c r="B3812" t="str">
        <f>"0.18"</f>
        <v>0.18</v>
      </c>
      <c r="C3812" t="str">
        <f>"46"</f>
        <v>46</v>
      </c>
      <c r="D3812" t="str">
        <f>"Holding His Breath EP"</f>
        <v>Holding His Breath EP</v>
      </c>
    </row>
    <row r="3813" spans="1:4" x14ac:dyDescent="0.2">
      <c r="A3813" t="str">
        <f>"3812"</f>
        <v>3812</v>
      </c>
      <c r="B3813" t="str">
        <f>"0.46"</f>
        <v>0.46</v>
      </c>
      <c r="C3813" t="str">
        <f>"46"</f>
        <v>46</v>
      </c>
      <c r="D3813" t="str">
        <f>"Ghetto Blaster"</f>
        <v>Ghetto Blaster</v>
      </c>
    </row>
    <row r="3814" spans="1:4" x14ac:dyDescent="0.2">
      <c r="A3814" t="str">
        <f>"3813"</f>
        <v>3813</v>
      </c>
      <c r="B3814" t="str">
        <f>"0.36"</f>
        <v>0.36</v>
      </c>
      <c r="C3814" t="str">
        <f>"62"</f>
        <v>62</v>
      </c>
      <c r="D3814" t="str">
        <f>"Banned in D.C.: Bad Brains Greatest Riffs"</f>
        <v>Banned in D.C.: Bad Brains Greatest Riffs</v>
      </c>
    </row>
    <row r="3815" spans="1:4" x14ac:dyDescent="0.2">
      <c r="A3815" t="str">
        <f>"3814"</f>
        <v>3814</v>
      </c>
      <c r="B3815" t="str">
        <f>"-1.16"</f>
        <v>-1.16</v>
      </c>
      <c r="C3815" t="str">
        <f>"64"</f>
        <v>64</v>
      </c>
      <c r="D3815" t="s">
        <v>133</v>
      </c>
    </row>
    <row r="3816" spans="1:4" x14ac:dyDescent="0.2">
      <c r="A3816" t="str">
        <f>"3815"</f>
        <v>3815</v>
      </c>
      <c r="B3816" t="str">
        <f>"0.19"</f>
        <v>0.19</v>
      </c>
      <c r="C3816" t="str">
        <f>"46"</f>
        <v>46</v>
      </c>
      <c r="D3816" t="str">
        <f>"Naturaliste"</f>
        <v>Naturaliste</v>
      </c>
    </row>
    <row r="3817" spans="1:4" x14ac:dyDescent="0.2">
      <c r="A3817" t="str">
        <f>"3816"</f>
        <v>3816</v>
      </c>
      <c r="B3817" t="str">
        <f>"0.5"</f>
        <v>0.5</v>
      </c>
      <c r="C3817" t="str">
        <f>"72"</f>
        <v>72</v>
      </c>
      <c r="D3817" t="str">
        <f>"Magic Magicians"</f>
        <v>Magic Magicians</v>
      </c>
    </row>
    <row r="3818" spans="1:4" x14ac:dyDescent="0.2">
      <c r="A3818" t="str">
        <f>"3817"</f>
        <v>3817</v>
      </c>
      <c r="B3818" t="str">
        <f>"0.69"</f>
        <v>0.69</v>
      </c>
      <c r="C3818" t="str">
        <f>"57"</f>
        <v>57</v>
      </c>
      <c r="D3818" t="str">
        <f>"Inside the Skate Scandal"</f>
        <v>Inside the Skate Scandal</v>
      </c>
    </row>
    <row r="3819" spans="1:4" x14ac:dyDescent="0.2">
      <c r="A3819" t="str">
        <f>"3818"</f>
        <v>3818</v>
      </c>
      <c r="B3819" t="str">
        <f>"-0.7"</f>
        <v>-0.7</v>
      </c>
      <c r="C3819" t="str">
        <f>"76"</f>
        <v>76</v>
      </c>
      <c r="D3819" t="str">
        <f>"Amigo Row"</f>
        <v>Amigo Row</v>
      </c>
    </row>
    <row r="3820" spans="1:4" x14ac:dyDescent="0.2">
      <c r="A3820" t="str">
        <f>"3819"</f>
        <v>3819</v>
      </c>
      <c r="B3820" t="str">
        <f>"-0.01"</f>
        <v>-0.01</v>
      </c>
      <c r="C3820" t="str">
        <f>"55"</f>
        <v>55</v>
      </c>
      <c r="D3820" t="str">
        <f>"Varieties of Religious Experience"</f>
        <v>Varieties of Religious Experience</v>
      </c>
    </row>
    <row r="3821" spans="1:4" x14ac:dyDescent="0.2">
      <c r="A3821" t="str">
        <f>"3820"</f>
        <v>3820</v>
      </c>
      <c r="B3821" t="str">
        <f>"-0.68"</f>
        <v>-0.68</v>
      </c>
      <c r="C3821" t="str">
        <f>"73"</f>
        <v>73</v>
      </c>
      <c r="D3821" t="str">
        <f>"Unite Tonight"</f>
        <v>Unite Tonight</v>
      </c>
    </row>
    <row r="3822" spans="1:4" x14ac:dyDescent="0.2">
      <c r="A3822" t="str">
        <f>"3821"</f>
        <v>3821</v>
      </c>
      <c r="B3822" t="str">
        <f>"-0.19"</f>
        <v>-0.19</v>
      </c>
      <c r="C3822" t="str">
        <f>"83"</f>
        <v>83</v>
      </c>
      <c r="D3822" t="s">
        <v>134</v>
      </c>
    </row>
    <row r="3823" spans="1:4" x14ac:dyDescent="0.2">
      <c r="A3823" t="str">
        <f>"3822"</f>
        <v>3822</v>
      </c>
      <c r="B3823" t="str">
        <f>"-1.41"</f>
        <v>-1.41</v>
      </c>
      <c r="C3823" t="str">
        <f>"68"</f>
        <v>68</v>
      </c>
      <c r="D3823" t="str">
        <f>"Scrypt"</f>
        <v>Scrypt</v>
      </c>
    </row>
    <row r="3824" spans="1:4" x14ac:dyDescent="0.2">
      <c r="A3824" t="str">
        <f>"3823"</f>
        <v>3823</v>
      </c>
      <c r="B3824" t="str">
        <f>"0.23"</f>
        <v>0.23</v>
      </c>
      <c r="C3824" t="str">
        <f>"42"</f>
        <v>42</v>
      </c>
      <c r="D3824" t="str">
        <f>"Dosh"</f>
        <v>Dosh</v>
      </c>
    </row>
    <row r="3825" spans="1:4" x14ac:dyDescent="0.2">
      <c r="A3825" t="str">
        <f>"3824"</f>
        <v>3824</v>
      </c>
      <c r="B3825" t="str">
        <f>"-1.09"</f>
        <v>-1.09</v>
      </c>
      <c r="C3825" t="str">
        <f>"46"</f>
        <v>46</v>
      </c>
      <c r="D3825" t="str">
        <f>"Two Conversations"</f>
        <v>Two Conversations</v>
      </c>
    </row>
    <row r="3826" spans="1:4" x14ac:dyDescent="0.2">
      <c r="A3826" t="str">
        <f>"3825"</f>
        <v>3825</v>
      </c>
      <c r="B3826" t="str">
        <f>"0.36"</f>
        <v>0.36</v>
      </c>
      <c r="C3826" t="str">
        <f>"45"</f>
        <v>45</v>
      </c>
      <c r="D3826" t="str">
        <f>"Song in the Air"</f>
        <v>Song in the Air</v>
      </c>
    </row>
    <row r="3827" spans="1:4" x14ac:dyDescent="0.2">
      <c r="A3827" t="str">
        <f>"3826"</f>
        <v>3826</v>
      </c>
      <c r="B3827" t="str">
        <f>"-0.37"</f>
        <v>-0.37</v>
      </c>
      <c r="C3827" t="str">
        <f>"66"</f>
        <v>66</v>
      </c>
      <c r="D3827" t="str">
        <f>"Land of Lurches"</f>
        <v>Land of Lurches</v>
      </c>
    </row>
    <row r="3828" spans="1:4" x14ac:dyDescent="0.2">
      <c r="A3828" t="str">
        <f>"3827"</f>
        <v>3827</v>
      </c>
      <c r="B3828" t="str">
        <f>"-0.13"</f>
        <v>-0.13</v>
      </c>
      <c r="C3828" t="str">
        <f>"62"</f>
        <v>62</v>
      </c>
      <c r="D3828" t="str">
        <f>"All Your Faded Things"</f>
        <v>All Your Faded Things</v>
      </c>
    </row>
    <row r="3829" spans="1:4" x14ac:dyDescent="0.2">
      <c r="A3829" t="str">
        <f>"3828"</f>
        <v>3828</v>
      </c>
      <c r="B3829" t="str">
        <f>"-0.19"</f>
        <v>-0.19</v>
      </c>
      <c r="C3829" t="str">
        <f>"44"</f>
        <v>44</v>
      </c>
      <c r="D3829" t="str">
        <f>"Feeding Frenzy"</f>
        <v>Feeding Frenzy</v>
      </c>
    </row>
    <row r="3830" spans="1:4" x14ac:dyDescent="0.2">
      <c r="A3830" t="str">
        <f>"3829"</f>
        <v>3829</v>
      </c>
      <c r="B3830" t="str">
        <f>"1"</f>
        <v>1</v>
      </c>
      <c r="C3830" t="str">
        <f>"54"</f>
        <v>54</v>
      </c>
      <c r="D3830" t="str">
        <f>"Farewell Sorrow"</f>
        <v>Farewell Sorrow</v>
      </c>
    </row>
    <row r="3831" spans="1:4" x14ac:dyDescent="0.2">
      <c r="A3831" t="str">
        <f>"3830"</f>
        <v>3830</v>
      </c>
      <c r="B3831" t="str">
        <f>"0.32"</f>
        <v>0.32</v>
      </c>
      <c r="C3831" t="str">
        <f>"65"</f>
        <v>65</v>
      </c>
      <c r="D3831" t="str">
        <f>"Tiger Thrush"</f>
        <v>Tiger Thrush</v>
      </c>
    </row>
    <row r="3832" spans="1:4" x14ac:dyDescent="0.2">
      <c r="A3832" t="str">
        <f>"3831"</f>
        <v>3831</v>
      </c>
      <c r="B3832" t="str">
        <f>"-0.64"</f>
        <v>-0.64</v>
      </c>
      <c r="C3832" t="str">
        <f>"42"</f>
        <v>42</v>
      </c>
      <c r="D3832" t="str">
        <f>"This Book is About Words"</f>
        <v>This Book is About Words</v>
      </c>
    </row>
    <row r="3833" spans="1:4" x14ac:dyDescent="0.2">
      <c r="A3833" t="str">
        <f>"3832"</f>
        <v>3832</v>
      </c>
      <c r="B3833" t="str">
        <f>"-0.71"</f>
        <v>-0.71</v>
      </c>
      <c r="C3833" t="str">
        <f>"70"</f>
        <v>70</v>
      </c>
      <c r="D3833" t="str">
        <f>"O"</f>
        <v>O</v>
      </c>
    </row>
    <row r="3834" spans="1:4" x14ac:dyDescent="0.2">
      <c r="A3834" t="str">
        <f>"3833"</f>
        <v>3833</v>
      </c>
      <c r="B3834" t="str">
        <f>"0.67"</f>
        <v>0.67</v>
      </c>
      <c r="C3834" t="str">
        <f>"47"</f>
        <v>47</v>
      </c>
      <c r="D3834" t="str">
        <f>"Lowlights"</f>
        <v>Lowlights</v>
      </c>
    </row>
    <row r="3835" spans="1:4" x14ac:dyDescent="0.2">
      <c r="A3835" t="str">
        <f>"3834"</f>
        <v>3834</v>
      </c>
      <c r="B3835" t="str">
        <f>"-1.5"</f>
        <v>-1.5</v>
      </c>
      <c r="C3835" t="str">
        <f>"16"</f>
        <v>16</v>
      </c>
      <c r="D3835" t="str">
        <f>"It's the Ones Who've Cracked That the Light Shines Through"</f>
        <v>It's the Ones Who've Cracked That the Light Shines Through</v>
      </c>
    </row>
    <row r="3836" spans="1:4" x14ac:dyDescent="0.2">
      <c r="A3836" t="str">
        <f>"3835"</f>
        <v>3835</v>
      </c>
      <c r="B3836" t="str">
        <f>"-0.42"</f>
        <v>-0.42</v>
      </c>
      <c r="C3836" t="str">
        <f>"64"</f>
        <v>64</v>
      </c>
      <c r="D3836" t="str">
        <f>"Gekkyukekkaichi"</f>
        <v>Gekkyukekkaichi</v>
      </c>
    </row>
    <row r="3837" spans="1:4" x14ac:dyDescent="0.2">
      <c r="A3837" t="str">
        <f>"3836"</f>
        <v>3836</v>
      </c>
      <c r="B3837" t="str">
        <f>"-0.02"</f>
        <v>-0.02</v>
      </c>
      <c r="C3837" t="str">
        <f>"52"</f>
        <v>52</v>
      </c>
      <c r="D3837" t="str">
        <f>"Decoration Day"</f>
        <v>Decoration Day</v>
      </c>
    </row>
    <row r="3838" spans="1:4" x14ac:dyDescent="0.2">
      <c r="A3838" t="str">
        <f>"3837"</f>
        <v>3837</v>
      </c>
      <c r="B3838" t="str">
        <f>"-1.53"</f>
        <v>-1.53</v>
      </c>
      <c r="C3838" t="str">
        <f>"69"</f>
        <v>69</v>
      </c>
      <c r="D3838" t="str">
        <f>"Bitches Ain't Shit But Good People EP"</f>
        <v>Bitches Ain't Shit But Good People EP</v>
      </c>
    </row>
    <row r="3839" spans="1:4" x14ac:dyDescent="0.2">
      <c r="A3839" t="str">
        <f>"3838"</f>
        <v>3838</v>
      </c>
      <c r="B3839" t="str">
        <f>"0.36"</f>
        <v>0.36</v>
      </c>
      <c r="C3839" t="str">
        <f>"58"</f>
        <v>58</v>
      </c>
      <c r="D3839" t="str">
        <f>"The Marionette and the Music Box"</f>
        <v>The Marionette and the Music Box</v>
      </c>
    </row>
    <row r="3840" spans="1:4" x14ac:dyDescent="0.2">
      <c r="A3840" t="str">
        <f>"3839"</f>
        <v>3839</v>
      </c>
      <c r="B3840" t="str">
        <f>"-0.62"</f>
        <v>-0.62</v>
      </c>
      <c r="C3840" t="str">
        <f>"69"</f>
        <v>69</v>
      </c>
      <c r="D3840" t="str">
        <f>"Secret Weapon Revealed at Last"</f>
        <v>Secret Weapon Revealed at Last</v>
      </c>
    </row>
    <row r="3841" spans="1:4" x14ac:dyDescent="0.2">
      <c r="A3841" t="str">
        <f>"3840"</f>
        <v>3840</v>
      </c>
      <c r="B3841" t="str">
        <f>"-0.52"</f>
        <v>-0.52</v>
      </c>
      <c r="C3841" t="str">
        <f>"23"</f>
        <v>23</v>
      </c>
      <c r="D3841" t="str">
        <f>"Metarie EP"</f>
        <v>Metarie EP</v>
      </c>
    </row>
    <row r="3842" spans="1:4" x14ac:dyDescent="0.2">
      <c r="A3842" t="str">
        <f>"3841"</f>
        <v>3841</v>
      </c>
      <c r="B3842" t="str">
        <f>"-0.67"</f>
        <v>-0.67</v>
      </c>
      <c r="C3842" t="str">
        <f>"90"</f>
        <v>90</v>
      </c>
      <c r="D3842" t="str">
        <f>"Fanfare in the Garden: An Essential Logic Collection"</f>
        <v>Fanfare in the Garden: An Essential Logic Collection</v>
      </c>
    </row>
    <row r="3843" spans="1:4" x14ac:dyDescent="0.2">
      <c r="A3843" t="str">
        <f>"3842"</f>
        <v>3842</v>
      </c>
      <c r="B3843" t="str">
        <f>"-0.85"</f>
        <v>-0.85</v>
      </c>
      <c r="C3843" t="str">
        <f>"94"</f>
        <v>94</v>
      </c>
      <c r="D3843" t="str">
        <f>"Extinguished: Outtakes"</f>
        <v>Extinguished: Outtakes</v>
      </c>
    </row>
    <row r="3844" spans="1:4" x14ac:dyDescent="0.2">
      <c r="A3844" t="str">
        <f>"3843"</f>
        <v>3843</v>
      </c>
      <c r="B3844" t="str">
        <f>"-0.68"</f>
        <v>-0.68</v>
      </c>
      <c r="C3844" t="str">
        <f>"66"</f>
        <v>66</v>
      </c>
      <c r="D3844" t="str">
        <f>"Visions of Gandhi"</f>
        <v>Visions of Gandhi</v>
      </c>
    </row>
    <row r="3845" spans="1:4" x14ac:dyDescent="0.2">
      <c r="A3845" t="str">
        <f>"3844"</f>
        <v>3844</v>
      </c>
      <c r="B3845" t="str">
        <f>"0.59"</f>
        <v>0.59</v>
      </c>
      <c r="C3845" t="str">
        <f>"68"</f>
        <v>68</v>
      </c>
      <c r="D3845" t="str">
        <f>"So"</f>
        <v>So</v>
      </c>
    </row>
    <row r="3846" spans="1:4" x14ac:dyDescent="0.2">
      <c r="A3846" t="str">
        <f>"3845"</f>
        <v>3845</v>
      </c>
      <c r="B3846" t="str">
        <f>"0"</f>
        <v>0</v>
      </c>
      <c r="C3846" t="str">
        <f>"45"</f>
        <v>45</v>
      </c>
      <c r="D3846" t="str">
        <f>"Hendrix with Ko EP"</f>
        <v>Hendrix with Ko EP</v>
      </c>
    </row>
    <row r="3847" spans="1:4" x14ac:dyDescent="0.2">
      <c r="A3847" t="str">
        <f>"3846"</f>
        <v>3846</v>
      </c>
      <c r="B3847" t="str">
        <f>"0.19"</f>
        <v>0.19</v>
      </c>
      <c r="C3847" t="str">
        <f>"46"</f>
        <v>46</v>
      </c>
      <c r="D3847" t="str">
        <f>"Haha Sound"</f>
        <v>Haha Sound</v>
      </c>
    </row>
    <row r="3848" spans="1:4" x14ac:dyDescent="0.2">
      <c r="A3848" t="str">
        <f>"3847"</f>
        <v>3847</v>
      </c>
      <c r="B3848" t="str">
        <f>"-0.13"</f>
        <v>-0.13</v>
      </c>
      <c r="C3848" t="str">
        <f>"52"</f>
        <v>52</v>
      </c>
      <c r="D3848" t="str">
        <f>"Ambulance Ltd EP"</f>
        <v>Ambulance Ltd EP</v>
      </c>
    </row>
    <row r="3849" spans="1:4" x14ac:dyDescent="0.2">
      <c r="A3849" t="str">
        <f>"3848"</f>
        <v>3848</v>
      </c>
      <c r="B3849" t="str">
        <f>"0.39"</f>
        <v>0.39</v>
      </c>
      <c r="C3849" t="str">
        <f>"39"</f>
        <v>39</v>
      </c>
      <c r="D3849" t="str">
        <f>"The New Millennium"</f>
        <v>The New Millennium</v>
      </c>
    </row>
    <row r="3850" spans="1:4" x14ac:dyDescent="0.2">
      <c r="A3850" t="str">
        <f>"3849"</f>
        <v>3849</v>
      </c>
      <c r="B3850" t="str">
        <f>"-0.14"</f>
        <v>-0.14</v>
      </c>
      <c r="C3850" t="str">
        <f>"54"</f>
        <v>54</v>
      </c>
      <c r="D3850" t="str">
        <f>"Secondary Protocol"</f>
        <v>Secondary Protocol</v>
      </c>
    </row>
    <row r="3851" spans="1:4" x14ac:dyDescent="0.2">
      <c r="A3851" t="str">
        <f>"3850"</f>
        <v>3850</v>
      </c>
      <c r="B3851" t="str">
        <f>"0.07"</f>
        <v>0.07</v>
      </c>
      <c r="C3851" t="str">
        <f>"67"</f>
        <v>67</v>
      </c>
      <c r="D3851" t="str">
        <f>"Keep It Together"</f>
        <v>Keep It Together</v>
      </c>
    </row>
    <row r="3852" spans="1:4" x14ac:dyDescent="0.2">
      <c r="A3852" t="str">
        <f>"3851"</f>
        <v>3851</v>
      </c>
      <c r="B3852" t="str">
        <f>"1.07"</f>
        <v>1.07</v>
      </c>
      <c r="C3852" t="str">
        <f>"59"</f>
        <v>59</v>
      </c>
      <c r="D3852" t="str">
        <f>"Forms and Follies"</f>
        <v>Forms and Follies</v>
      </c>
    </row>
    <row r="3853" spans="1:4" x14ac:dyDescent="0.2">
      <c r="A3853" t="str">
        <f>"3852"</f>
        <v>3852</v>
      </c>
      <c r="B3853" t="str">
        <f>"0.51"</f>
        <v>0.51</v>
      </c>
      <c r="C3853" t="str">
        <f>"55"</f>
        <v>55</v>
      </c>
      <c r="D3853" t="str">
        <f>"Dodeka"</f>
        <v>Dodeka</v>
      </c>
    </row>
    <row r="3854" spans="1:4" x14ac:dyDescent="0.2">
      <c r="A3854" t="str">
        <f>"3853"</f>
        <v>3853</v>
      </c>
      <c r="B3854" t="str">
        <f>"0.21"</f>
        <v>0.21</v>
      </c>
      <c r="C3854" t="str">
        <f>"60"</f>
        <v>60</v>
      </c>
      <c r="D3854" t="str">
        <f>"Clones"</f>
        <v>Clones</v>
      </c>
    </row>
    <row r="3855" spans="1:4" x14ac:dyDescent="0.2">
      <c r="A3855" t="str">
        <f>"3854"</f>
        <v>3854</v>
      </c>
      <c r="B3855" t="str">
        <f>"0.23"</f>
        <v>0.23</v>
      </c>
      <c r="C3855" t="str">
        <f>"69"</f>
        <v>69</v>
      </c>
      <c r="D3855" t="str">
        <f>"Microminiature Love"</f>
        <v>Microminiature Love</v>
      </c>
    </row>
    <row r="3856" spans="1:4" x14ac:dyDescent="0.2">
      <c r="A3856" t="str">
        <f>"3855"</f>
        <v>3855</v>
      </c>
      <c r="B3856" t="str">
        <f>"-0.46"</f>
        <v>-0.46</v>
      </c>
      <c r="C3856" t="str">
        <f>"56"</f>
        <v>56</v>
      </c>
      <c r="D3856" t="str">
        <f>"Empty the Bones of You"</f>
        <v>Empty the Bones of You</v>
      </c>
    </row>
    <row r="3857" spans="1:4" x14ac:dyDescent="0.2">
      <c r="A3857" t="str">
        <f>"3856"</f>
        <v>3856</v>
      </c>
      <c r="B3857" t="str">
        <f>"-0.39"</f>
        <v>-0.39</v>
      </c>
      <c r="C3857" t="str">
        <f>"120"</f>
        <v>120</v>
      </c>
      <c r="D3857" t="str">
        <f>"Earthquake Glue"</f>
        <v>Earthquake Glue</v>
      </c>
    </row>
    <row r="3858" spans="1:4" x14ac:dyDescent="0.2">
      <c r="A3858" t="str">
        <f>"3857"</f>
        <v>3857</v>
      </c>
      <c r="B3858" t="str">
        <f>"0.12"</f>
        <v>0.12</v>
      </c>
      <c r="C3858" t="str">
        <f>"42"</f>
        <v>42</v>
      </c>
      <c r="D3858" t="str">
        <f>"Cool Rock"</f>
        <v>Cool Rock</v>
      </c>
    </row>
    <row r="3859" spans="1:4" x14ac:dyDescent="0.2">
      <c r="A3859" t="str">
        <f>"3858"</f>
        <v>3858</v>
      </c>
      <c r="B3859" t="str">
        <f>"-0.47"</f>
        <v>-0.47</v>
      </c>
      <c r="C3859" t="str">
        <f>"59"</f>
        <v>59</v>
      </c>
      <c r="D3859" t="str">
        <f>"Undead in NYC"</f>
        <v>Undead in NYC</v>
      </c>
    </row>
    <row r="3860" spans="1:4" x14ac:dyDescent="0.2">
      <c r="A3860" t="str">
        <f>"3859"</f>
        <v>3859</v>
      </c>
      <c r="B3860" t="str">
        <f>"-0.25"</f>
        <v>-0.25</v>
      </c>
      <c r="C3860" t="str">
        <f>"37"</f>
        <v>37</v>
      </c>
      <c r="D3860" t="str">
        <f>"Never Too Late But Always Too Early"</f>
        <v>Never Too Late But Always Too Early</v>
      </c>
    </row>
    <row r="3861" spans="1:4" x14ac:dyDescent="0.2">
      <c r="A3861" t="str">
        <f>"3860"</f>
        <v>3860</v>
      </c>
      <c r="B3861" t="str">
        <f>"-1.5"</f>
        <v>-1.5</v>
      </c>
      <c r="C3861" t="str">
        <f>"30"</f>
        <v>30</v>
      </c>
      <c r="D3861" t="str">
        <f>"My Room is a Mess"</f>
        <v>My Room is a Mess</v>
      </c>
    </row>
    <row r="3862" spans="1:4" x14ac:dyDescent="0.2">
      <c r="A3862" t="str">
        <f>"3861"</f>
        <v>3861</v>
      </c>
      <c r="B3862" t="str">
        <f>"-0.11"</f>
        <v>-0.11</v>
      </c>
      <c r="C3862" t="str">
        <f>"51"</f>
        <v>51</v>
      </c>
      <c r="D3862" t="str">
        <f>"Beautiful Blood"</f>
        <v>Beautiful Blood</v>
      </c>
    </row>
    <row r="3863" spans="1:4" x14ac:dyDescent="0.2">
      <c r="A3863" t="str">
        <f>"3862"</f>
        <v>3862</v>
      </c>
      <c r="B3863" t="str">
        <f>"-0.22"</f>
        <v>-0.22</v>
      </c>
      <c r="C3863" t="str">
        <f>"60"</f>
        <v>60</v>
      </c>
      <c r="D3863" t="str">
        <f>"Youth and Young Manhood"</f>
        <v>Youth and Young Manhood</v>
      </c>
    </row>
    <row r="3864" spans="1:4" x14ac:dyDescent="0.2">
      <c r="A3864" t="str">
        <f>"3863"</f>
        <v>3863</v>
      </c>
      <c r="B3864" t="str">
        <f>"0.23"</f>
        <v>0.23</v>
      </c>
      <c r="C3864" t="str">
        <f>"49"</f>
        <v>49</v>
      </c>
      <c r="D3864" t="str">
        <f>"Too Crazy Cowboys"</f>
        <v>Too Crazy Cowboys</v>
      </c>
    </row>
    <row r="3865" spans="1:4" x14ac:dyDescent="0.2">
      <c r="A3865" t="str">
        <f>"3864"</f>
        <v>3864</v>
      </c>
      <c r="B3865" t="str">
        <f>"-0.32"</f>
        <v>-0.32</v>
      </c>
      <c r="C3865" t="str">
        <f>"53"</f>
        <v>53</v>
      </c>
      <c r="D3865" t="str">
        <f>"Observing Systems"</f>
        <v>Observing Systems</v>
      </c>
    </row>
    <row r="3866" spans="1:4" x14ac:dyDescent="0.2">
      <c r="A3866" t="str">
        <f>"3865"</f>
        <v>3865</v>
      </c>
      <c r="B3866" t="str">
        <f>"0.74"</f>
        <v>0.74</v>
      </c>
      <c r="C3866" t="str">
        <f>"48"</f>
        <v>48</v>
      </c>
      <c r="D3866" t="str">
        <f>"Man With a Movie Camera"</f>
        <v>Man With a Movie Camera</v>
      </c>
    </row>
    <row r="3867" spans="1:4" x14ac:dyDescent="0.2">
      <c r="A3867" t="str">
        <f>"3866"</f>
        <v>3866</v>
      </c>
      <c r="B3867" t="str">
        <f>"0.74"</f>
        <v>0.74</v>
      </c>
      <c r="C3867" t="str">
        <f>"35"</f>
        <v>35</v>
      </c>
      <c r="D3867" t="str">
        <f>"Deliverance"</f>
        <v>Deliverance</v>
      </c>
    </row>
    <row r="3868" spans="1:4" x14ac:dyDescent="0.2">
      <c r="A3868" t="str">
        <f>"3867"</f>
        <v>3867</v>
      </c>
      <c r="B3868" t="str">
        <f>"0.17"</f>
        <v>0.17</v>
      </c>
      <c r="C3868" t="str">
        <f>"45"</f>
        <v>45</v>
      </c>
      <c r="D3868" t="str">
        <f>"Songs for Dustmites"</f>
        <v>Songs for Dustmites</v>
      </c>
    </row>
    <row r="3869" spans="1:4" x14ac:dyDescent="0.2">
      <c r="A3869" t="str">
        <f>"3868"</f>
        <v>3868</v>
      </c>
      <c r="B3869" t="str">
        <f>"-0.65"</f>
        <v>-0.65</v>
      </c>
      <c r="C3869" t="str">
        <f>"76"</f>
        <v>76</v>
      </c>
      <c r="D3869" t="str">
        <f>"Smashy Trashy"</f>
        <v>Smashy Trashy</v>
      </c>
    </row>
    <row r="3870" spans="1:4" x14ac:dyDescent="0.2">
      <c r="A3870" t="str">
        <f>"3869"</f>
        <v>3869</v>
      </c>
      <c r="B3870" t="str">
        <f>"0.32"</f>
        <v>0.32</v>
      </c>
      <c r="C3870" t="str">
        <f>"48"</f>
        <v>48</v>
      </c>
      <c r="D3870" t="str">
        <f>"Goodbye Swingtime"</f>
        <v>Goodbye Swingtime</v>
      </c>
    </row>
    <row r="3871" spans="1:4" x14ac:dyDescent="0.2">
      <c r="A3871" t="str">
        <f>"3870"</f>
        <v>3870</v>
      </c>
      <c r="B3871" t="str">
        <f>"-0.25"</f>
        <v>-0.25</v>
      </c>
      <c r="C3871" t="str">
        <f>"82"</f>
        <v>82</v>
      </c>
      <c r="D3871" t="str">
        <f>"Cyborgs Revisited"</f>
        <v>Cyborgs Revisited</v>
      </c>
    </row>
    <row r="3872" spans="1:4" x14ac:dyDescent="0.2">
      <c r="A3872" t="str">
        <f>"3871"</f>
        <v>3871</v>
      </c>
      <c r="B3872" t="str">
        <f>"0.09"</f>
        <v>0.09</v>
      </c>
      <c r="C3872" t="str">
        <f>"48"</f>
        <v>48</v>
      </c>
      <c r="D3872" t="str">
        <f>"This Needs to Be Your Style"</f>
        <v>This Needs to Be Your Style</v>
      </c>
    </row>
    <row r="3873" spans="1:4" x14ac:dyDescent="0.2">
      <c r="A3873" t="str">
        <f>"3872"</f>
        <v>3872</v>
      </c>
      <c r="B3873" t="str">
        <f>"-0.4"</f>
        <v>-0.4</v>
      </c>
      <c r="C3873" t="str">
        <f>"56"</f>
        <v>56</v>
      </c>
      <c r="D3873" t="str">
        <f>"The River Bed"</f>
        <v>The River Bed</v>
      </c>
    </row>
    <row r="3874" spans="1:4" x14ac:dyDescent="0.2">
      <c r="A3874" t="str">
        <f>"3873"</f>
        <v>3873</v>
      </c>
      <c r="B3874" t="str">
        <f>"-0.31"</f>
        <v>-0.31</v>
      </c>
      <c r="C3874" t="str">
        <f>"62"</f>
        <v>62</v>
      </c>
      <c r="D3874" t="str">
        <f>"The Black EP"</f>
        <v>The Black EP</v>
      </c>
    </row>
    <row r="3875" spans="1:4" x14ac:dyDescent="0.2">
      <c r="A3875" t="str">
        <f>"3874"</f>
        <v>3874</v>
      </c>
      <c r="B3875" t="str">
        <f>"-0.71"</f>
        <v>-0.71</v>
      </c>
      <c r="C3875" t="str">
        <f>"46"</f>
        <v>46</v>
      </c>
      <c r="D3875" t="str">
        <f>"Square"</f>
        <v>Square</v>
      </c>
    </row>
    <row r="3876" spans="1:4" x14ac:dyDescent="0.2">
      <c r="A3876" t="str">
        <f>"3875"</f>
        <v>3875</v>
      </c>
      <c r="B3876" t="str">
        <f>"0.2"</f>
        <v>0.2</v>
      </c>
      <c r="C3876" t="str">
        <f>"56"</f>
        <v>56</v>
      </c>
      <c r="D3876" t="str">
        <f>"Fly Below the Radar"</f>
        <v>Fly Below the Radar</v>
      </c>
    </row>
    <row r="3877" spans="1:4" x14ac:dyDescent="0.2">
      <c r="A3877" t="str">
        <f>"3876"</f>
        <v>3876</v>
      </c>
      <c r="B3877" t="str">
        <f>"0.69"</f>
        <v>0.69</v>
      </c>
      <c r="C3877" t="str">
        <f>"76"</f>
        <v>76</v>
      </c>
      <c r="D3877" t="str">
        <f>"The American Song-Poem Anthology"</f>
        <v>The American Song-Poem Anthology</v>
      </c>
    </row>
    <row r="3878" spans="1:4" x14ac:dyDescent="0.2">
      <c r="A3878" t="str">
        <f>"3877"</f>
        <v>3877</v>
      </c>
      <c r="B3878" t="str">
        <f>"0.49"</f>
        <v>0.49</v>
      </c>
      <c r="C3878" t="str">
        <f>"58"</f>
        <v>58</v>
      </c>
      <c r="D3878" t="str">
        <f>"Shadows on the Sun"</f>
        <v>Shadows on the Sun</v>
      </c>
    </row>
    <row r="3879" spans="1:4" x14ac:dyDescent="0.2">
      <c r="A3879" t="str">
        <f>"3878"</f>
        <v>3878</v>
      </c>
      <c r="B3879" t="str">
        <f>"0.22"</f>
        <v>0.22</v>
      </c>
      <c r="C3879" t="str">
        <f>"63"</f>
        <v>63</v>
      </c>
      <c r="D3879" t="str">
        <f>"Radio Blackout"</f>
        <v>Radio Blackout</v>
      </c>
    </row>
    <row r="3880" spans="1:4" x14ac:dyDescent="0.2">
      <c r="A3880" t="str">
        <f>"3879"</f>
        <v>3879</v>
      </c>
      <c r="B3880" t="str">
        <f>"-0.24"</f>
        <v>-0.24</v>
      </c>
      <c r="C3880" t="str">
        <f>"78"</f>
        <v>78</v>
      </c>
      <c r="D3880" t="str">
        <f>"Leather Wings"</f>
        <v>Leather Wings</v>
      </c>
    </row>
    <row r="3881" spans="1:4" x14ac:dyDescent="0.2">
      <c r="A3881" t="str">
        <f>"3880"</f>
        <v>3880</v>
      </c>
      <c r="B3881" t="str">
        <f>"0.87"</f>
        <v>0.87</v>
      </c>
      <c r="C3881" t="str">
        <f>"52"</f>
        <v>52</v>
      </c>
      <c r="D3881" t="str">
        <f>"Heart"</f>
        <v>Heart</v>
      </c>
    </row>
    <row r="3882" spans="1:4" x14ac:dyDescent="0.2">
      <c r="A3882" t="str">
        <f>"3881"</f>
        <v>3881</v>
      </c>
      <c r="B3882" t="str">
        <f>"-1.08"</f>
        <v>-1.08</v>
      </c>
      <c r="C3882" t="str">
        <f>"69"</f>
        <v>69</v>
      </c>
      <c r="D3882" t="str">
        <f>"Vulnerable"</f>
        <v>Vulnerable</v>
      </c>
    </row>
    <row r="3883" spans="1:4" x14ac:dyDescent="0.2">
      <c r="A3883" t="str">
        <f>"3882"</f>
        <v>3882</v>
      </c>
      <c r="B3883" t="str">
        <f>"-1.01"</f>
        <v>-1.01</v>
      </c>
      <c r="C3883" t="str">
        <f>"52"</f>
        <v>52</v>
      </c>
      <c r="D3883" t="str">
        <f>"Sunset in the Eye of the Hurricane"</f>
        <v>Sunset in the Eye of the Hurricane</v>
      </c>
    </row>
    <row r="3884" spans="1:4" x14ac:dyDescent="0.2">
      <c r="A3884" t="str">
        <f>"3883"</f>
        <v>3883</v>
      </c>
      <c r="B3884" t="str">
        <f>"-0.47"</f>
        <v>-0.47</v>
      </c>
      <c r="C3884" t="str">
        <f>"144"</f>
        <v>144</v>
      </c>
      <c r="D3884" t="str">
        <f>"quebec"</f>
        <v>quebec</v>
      </c>
    </row>
    <row r="3885" spans="1:4" x14ac:dyDescent="0.2">
      <c r="A3885" t="str">
        <f>"3884"</f>
        <v>3884</v>
      </c>
      <c r="B3885" t="str">
        <f>"-0.39"</f>
        <v>-0.39</v>
      </c>
      <c r="C3885" t="str">
        <f>"57"</f>
        <v>57</v>
      </c>
      <c r="D3885" t="str">
        <f>"Helio"</f>
        <v>Helio</v>
      </c>
    </row>
    <row r="3886" spans="1:4" x14ac:dyDescent="0.2">
      <c r="A3886" t="str">
        <f>"3885"</f>
        <v>3885</v>
      </c>
      <c r="B3886" t="str">
        <f>"0.37"</f>
        <v>0.37</v>
      </c>
      <c r="C3886" t="str">
        <f>"22"</f>
        <v>22</v>
      </c>
      <c r="D3886" t="s">
        <v>135</v>
      </c>
    </row>
    <row r="3887" spans="1:4" x14ac:dyDescent="0.2">
      <c r="A3887" t="str">
        <f>"3886"</f>
        <v>3886</v>
      </c>
      <c r="B3887" t="str">
        <f>"-0.6"</f>
        <v>-0.6</v>
      </c>
      <c r="C3887" t="str">
        <f>"55"</f>
        <v>55</v>
      </c>
      <c r="D3887" t="str">
        <f>"II"</f>
        <v>II</v>
      </c>
    </row>
    <row r="3888" spans="1:4" x14ac:dyDescent="0.2">
      <c r="A3888" t="str">
        <f>"3887"</f>
        <v>3887</v>
      </c>
      <c r="B3888" t="str">
        <f>"1.01"</f>
        <v>1.01</v>
      </c>
      <c r="C3888" t="str">
        <f>"28"</f>
        <v>28</v>
      </c>
      <c r="D3888" t="str">
        <f>"Parallelograms"</f>
        <v>Parallelograms</v>
      </c>
    </row>
    <row r="3889" spans="1:4" x14ac:dyDescent="0.2">
      <c r="A3889" t="str">
        <f>"3888"</f>
        <v>3888</v>
      </c>
      <c r="B3889" t="str">
        <f>"-0.59"</f>
        <v>-0.59</v>
      </c>
      <c r="C3889" t="str">
        <f>"61"</f>
        <v>61</v>
      </c>
      <c r="D3889" t="str">
        <f>"The Golden River"</f>
        <v>The Golden River</v>
      </c>
    </row>
    <row r="3890" spans="1:4" x14ac:dyDescent="0.2">
      <c r="A3890" t="str">
        <f>"3889"</f>
        <v>3889</v>
      </c>
      <c r="B3890" t="str">
        <f>"-1.34"</f>
        <v>-1.34</v>
      </c>
      <c r="C3890" t="str">
        <f>"35"</f>
        <v>35</v>
      </c>
      <c r="D3890" t="str">
        <f>"Playing it Cool and Playing it Right"</f>
        <v>Playing it Cool and Playing it Right</v>
      </c>
    </row>
    <row r="3891" spans="1:4" x14ac:dyDescent="0.2">
      <c r="A3891" t="str">
        <f>"3890"</f>
        <v>3890</v>
      </c>
      <c r="B3891" t="str">
        <f>"0.24"</f>
        <v>0.24</v>
      </c>
      <c r="C3891" t="str">
        <f>"50"</f>
        <v>50</v>
      </c>
      <c r="D3891" t="str">
        <f>"Shades of Blue: Madlib Invades Blue Note"</f>
        <v>Shades of Blue: Madlib Invades Blue Note</v>
      </c>
    </row>
    <row r="3892" spans="1:4" x14ac:dyDescent="0.2">
      <c r="A3892" t="str">
        <f>"3891"</f>
        <v>3891</v>
      </c>
      <c r="B3892" t="str">
        <f>"0.21"</f>
        <v>0.21</v>
      </c>
      <c r="C3892" t="str">
        <f>"39"</f>
        <v>39</v>
      </c>
      <c r="D3892" t="str">
        <f>"Twice"</f>
        <v>Twice</v>
      </c>
    </row>
    <row r="3893" spans="1:4" x14ac:dyDescent="0.2">
      <c r="A3893" t="str">
        <f>"3892"</f>
        <v>3892</v>
      </c>
      <c r="B3893" t="str">
        <f>"1.05"</f>
        <v>1.05</v>
      </c>
      <c r="C3893" t="str">
        <f>"73"</f>
        <v>73</v>
      </c>
      <c r="D3893" t="str">
        <f>"Tour de France Soundtracks"</f>
        <v>Tour de France Soundtracks</v>
      </c>
    </row>
    <row r="3894" spans="1:4" x14ac:dyDescent="0.2">
      <c r="A3894" t="str">
        <f>"3893"</f>
        <v>3893</v>
      </c>
      <c r="B3894" t="str">
        <f>"-0.06"</f>
        <v>-0.06</v>
      </c>
      <c r="C3894" t="str">
        <f>"83"</f>
        <v>83</v>
      </c>
      <c r="D3894" t="str">
        <f>"Stains on a Decade"</f>
        <v>Stains on a Decade</v>
      </c>
    </row>
    <row r="3895" spans="1:4" x14ac:dyDescent="0.2">
      <c r="A3895" t="str">
        <f>"3894"</f>
        <v>3894</v>
      </c>
      <c r="B3895" t="str">
        <f>"-0.57"</f>
        <v>-0.57</v>
      </c>
      <c r="C3895" t="str">
        <f>"37"</f>
        <v>37</v>
      </c>
      <c r="D3895" t="str">
        <f>"Out of Reach"</f>
        <v>Out of Reach</v>
      </c>
    </row>
    <row r="3896" spans="1:4" x14ac:dyDescent="0.2">
      <c r="A3896" t="str">
        <f>"3895"</f>
        <v>3895</v>
      </c>
      <c r="B3896" t="str">
        <f>"-0.54"</f>
        <v>-0.54</v>
      </c>
      <c r="C3896" t="str">
        <f>"86"</f>
        <v>86</v>
      </c>
      <c r="D3896" t="str">
        <f>"On the Ellipse"</f>
        <v>On the Ellipse</v>
      </c>
    </row>
    <row r="3897" spans="1:4" x14ac:dyDescent="0.2">
      <c r="A3897" t="str">
        <f>"3896"</f>
        <v>3896</v>
      </c>
      <c r="B3897" t="str">
        <f>"1.19"</f>
        <v>1.19</v>
      </c>
      <c r="C3897" t="str">
        <f>"73"</f>
        <v>73</v>
      </c>
      <c r="D3897" t="str">
        <f>"Steam Kodok: 26 A Go-Go Ultrarities from the Sixties Singapore and South-East Asia Underground"</f>
        <v>Steam Kodok: 26 A Go-Go Ultrarities from the Sixties Singapore and South-East Asia Underground</v>
      </c>
    </row>
    <row r="3898" spans="1:4" x14ac:dyDescent="0.2">
      <c r="A3898" t="str">
        <f>"3897"</f>
        <v>3897</v>
      </c>
      <c r="B3898" t="str">
        <f>"-0.73"</f>
        <v>-0.73</v>
      </c>
      <c r="C3898" t="str">
        <f>"62"</f>
        <v>62</v>
      </c>
      <c r="D3898" t="str">
        <f>"Mass Destruction"</f>
        <v>Mass Destruction</v>
      </c>
    </row>
    <row r="3899" spans="1:4" x14ac:dyDescent="0.2">
      <c r="A3899" t="str">
        <f>"3898"</f>
        <v>3898</v>
      </c>
      <c r="B3899" t="str">
        <f>"-0.23"</f>
        <v>-0.23</v>
      </c>
      <c r="C3899" t="str">
        <f>"45"</f>
        <v>45</v>
      </c>
      <c r="D3899" t="str">
        <f>"Kaospilot"</f>
        <v>Kaospilot</v>
      </c>
    </row>
    <row r="3900" spans="1:4" x14ac:dyDescent="0.2">
      <c r="A3900" t="str">
        <f>"3899"</f>
        <v>3899</v>
      </c>
      <c r="B3900" t="str">
        <f>"0.91"</f>
        <v>0.91</v>
      </c>
      <c r="C3900" t="str">
        <f>"39"</f>
        <v>39</v>
      </c>
      <c r="D3900" t="str">
        <f>"Beat Beat Heartbeat"</f>
        <v>Beat Beat Heartbeat</v>
      </c>
    </row>
    <row r="3901" spans="1:4" x14ac:dyDescent="0.2">
      <c r="A3901" t="str">
        <f>"3900"</f>
        <v>3900</v>
      </c>
      <c r="B3901" t="str">
        <f>"-0.15"</f>
        <v>-0.15</v>
      </c>
      <c r="C3901" t="str">
        <f>"46"</f>
        <v>46</v>
      </c>
      <c r="D3901" t="str">
        <f>"Solid Guild"</f>
        <v>Solid Guild</v>
      </c>
    </row>
    <row r="3902" spans="1:4" x14ac:dyDescent="0.2">
      <c r="A3902" t="str">
        <f>"3901"</f>
        <v>3901</v>
      </c>
      <c r="B3902" t="str">
        <f>"0.15"</f>
        <v>0.15</v>
      </c>
      <c r="C3902" t="str">
        <f>"47"</f>
        <v>47</v>
      </c>
      <c r="D3902" t="str">
        <f>"Reconstruction Site"</f>
        <v>Reconstruction Site</v>
      </c>
    </row>
    <row r="3903" spans="1:4" x14ac:dyDescent="0.2">
      <c r="A3903" t="str">
        <f>"3902"</f>
        <v>3902</v>
      </c>
      <c r="B3903" t="str">
        <f>"0.42"</f>
        <v>0.42</v>
      </c>
      <c r="C3903" t="str">
        <f>"43"</f>
        <v>43</v>
      </c>
      <c r="D3903" t="str">
        <f>"Lovers"</f>
        <v>Lovers</v>
      </c>
    </row>
    <row r="3904" spans="1:4" x14ac:dyDescent="0.2">
      <c r="A3904" t="str">
        <f>"3903"</f>
        <v>3903</v>
      </c>
      <c r="B3904" t="str">
        <f>"-0.1"</f>
        <v>-0.1</v>
      </c>
      <c r="C3904" t="str">
        <f>"75"</f>
        <v>75</v>
      </c>
      <c r="D3904" t="str">
        <f>"In the Jungle Groove"</f>
        <v>In the Jungle Groove</v>
      </c>
    </row>
    <row r="3905" spans="1:4" x14ac:dyDescent="0.2">
      <c r="A3905" t="str">
        <f>"3904"</f>
        <v>3904</v>
      </c>
      <c r="B3905" t="str">
        <f>"-0.78"</f>
        <v>-0.78</v>
      </c>
      <c r="C3905" t="str">
        <f>"45"</f>
        <v>45</v>
      </c>
      <c r="D3905" t="str">
        <f>"Fried My Little Brains EP"</f>
        <v>Fried My Little Brains EP</v>
      </c>
    </row>
    <row r="3906" spans="1:4" x14ac:dyDescent="0.2">
      <c r="A3906" t="str">
        <f>"3905"</f>
        <v>3905</v>
      </c>
      <c r="B3906" t="str">
        <f>"0.48"</f>
        <v>0.48</v>
      </c>
      <c r="C3906" t="str">
        <f>"71"</f>
        <v>71</v>
      </c>
      <c r="D3906" t="str">
        <f>"So Stylistic"</f>
        <v>So Stylistic</v>
      </c>
    </row>
    <row r="3907" spans="1:4" x14ac:dyDescent="0.2">
      <c r="A3907" t="str">
        <f>"3906"</f>
        <v>3906</v>
      </c>
      <c r="B3907" t="str">
        <f>"0.48"</f>
        <v>0.48</v>
      </c>
      <c r="C3907" t="str">
        <f>"42"</f>
        <v>42</v>
      </c>
      <c r="D3907" t="str">
        <f>"Love and Easy Living"</f>
        <v>Love and Easy Living</v>
      </c>
    </row>
    <row r="3908" spans="1:4" x14ac:dyDescent="0.2">
      <c r="A3908" t="str">
        <f>"3907"</f>
        <v>3907</v>
      </c>
      <c r="B3908" t="str">
        <f>"1.29"</f>
        <v>1.29</v>
      </c>
      <c r="C3908" t="str">
        <f>"34"</f>
        <v>34</v>
      </c>
      <c r="D3908" t="str">
        <f>"Kill Them With Kindness"</f>
        <v>Kill Them With Kindness</v>
      </c>
    </row>
    <row r="3909" spans="1:4" x14ac:dyDescent="0.2">
      <c r="A3909" t="str">
        <f>"3908"</f>
        <v>3908</v>
      </c>
      <c r="B3909" t="str">
        <f>"0.02"</f>
        <v>0.02</v>
      </c>
      <c r="C3909" t="str">
        <f>"42"</f>
        <v>42</v>
      </c>
      <c r="D3909" t="str">
        <f>"It's Not Up to Us"</f>
        <v>It's Not Up to Us</v>
      </c>
    </row>
    <row r="3910" spans="1:4" x14ac:dyDescent="0.2">
      <c r="A3910" t="str">
        <f>"3909"</f>
        <v>3909</v>
      </c>
      <c r="B3910" t="str">
        <f>"0.44"</f>
        <v>0.44</v>
      </c>
      <c r="C3910" t="str">
        <f>"54"</f>
        <v>54</v>
      </c>
      <c r="D3910" t="str">
        <f>"The Ugly American"</f>
        <v>The Ugly American</v>
      </c>
    </row>
    <row r="3911" spans="1:4" x14ac:dyDescent="0.2">
      <c r="A3911" t="str">
        <f>"3910"</f>
        <v>3910</v>
      </c>
      <c r="B3911" t="str">
        <f>"0.81"</f>
        <v>0.81</v>
      </c>
      <c r="C3911" t="str">
        <f>"43"</f>
        <v>43</v>
      </c>
      <c r="D3911" t="str">
        <f>"Left Handed EP"</f>
        <v>Left Handed EP</v>
      </c>
    </row>
    <row r="3912" spans="1:4" x14ac:dyDescent="0.2">
      <c r="A3912" t="str">
        <f>"3911"</f>
        <v>3911</v>
      </c>
      <c r="B3912" t="str">
        <f>"-0.19"</f>
        <v>-0.19</v>
      </c>
      <c r="C3912" t="str">
        <f>"87"</f>
        <v>87</v>
      </c>
      <c r="D3912" t="str">
        <f>"Invent Modest Fires"</f>
        <v>Invent Modest Fires</v>
      </c>
    </row>
    <row r="3913" spans="1:4" x14ac:dyDescent="0.2">
      <c r="A3913" t="str">
        <f>"3912"</f>
        <v>3912</v>
      </c>
      <c r="B3913" t="str">
        <f>"-0.55"</f>
        <v>-0.55</v>
      </c>
      <c r="C3913" t="str">
        <f>"66"</f>
        <v>66</v>
      </c>
      <c r="D3913" t="str">
        <f>"Cone Toaster 12"""</f>
        <v>Cone Toaster 12"</v>
      </c>
    </row>
    <row r="3914" spans="1:4" x14ac:dyDescent="0.2">
      <c r="A3914" t="str">
        <f>"3913"</f>
        <v>3913</v>
      </c>
      <c r="B3914" t="str">
        <f>"-0.23"</f>
        <v>-0.23</v>
      </c>
      <c r="C3914" t="str">
        <f>"45"</f>
        <v>45</v>
      </c>
      <c r="D3914" t="str">
        <f>"2"</f>
        <v>2</v>
      </c>
    </row>
    <row r="3915" spans="1:4" x14ac:dyDescent="0.2">
      <c r="A3915" t="str">
        <f>"3914"</f>
        <v>3914</v>
      </c>
      <c r="B3915" t="str">
        <f>"-0.2"</f>
        <v>-0.2</v>
      </c>
      <c r="C3915" t="str">
        <f>"52"</f>
        <v>52</v>
      </c>
      <c r="D3915" t="str">
        <f>"Spirit in Stone"</f>
        <v>Spirit in Stone</v>
      </c>
    </row>
    <row r="3916" spans="1:4" x14ac:dyDescent="0.2">
      <c r="A3916" t="str">
        <f>"3915"</f>
        <v>3915</v>
      </c>
      <c r="B3916" t="str">
        <f>"0.31"</f>
        <v>0.31</v>
      </c>
      <c r="C3916" t="str">
        <f>"50"</f>
        <v>50</v>
      </c>
      <c r="D3916" t="str">
        <f>"Pole"</f>
        <v>Pole</v>
      </c>
    </row>
    <row r="3917" spans="1:4" x14ac:dyDescent="0.2">
      <c r="A3917" t="str">
        <f>"3916"</f>
        <v>3916</v>
      </c>
      <c r="B3917" t="str">
        <f>"-0.19"</f>
        <v>-0.19</v>
      </c>
      <c r="C3917" t="str">
        <f>"90"</f>
        <v>90</v>
      </c>
      <c r="D3917" t="str">
        <f>"It's the New Thing! - The Step Forward Years"</f>
        <v>It's the New Thing! - The Step Forward Years</v>
      </c>
    </row>
    <row r="3918" spans="1:4" x14ac:dyDescent="0.2">
      <c r="A3918" t="str">
        <f>"3917"</f>
        <v>3917</v>
      </c>
      <c r="B3918" t="str">
        <f>"-0.96"</f>
        <v>-0.96</v>
      </c>
      <c r="C3918" t="str">
        <f>"46"</f>
        <v>46</v>
      </c>
      <c r="D3918" t="str">
        <f>"Comets on Fire"</f>
        <v>Comets on Fire</v>
      </c>
    </row>
    <row r="3919" spans="1:4" x14ac:dyDescent="0.2">
      <c r="A3919" t="str">
        <f>"3918"</f>
        <v>3918</v>
      </c>
      <c r="B3919" t="str">
        <f>"0.16"</f>
        <v>0.16</v>
      </c>
      <c r="C3919" t="str">
        <f>"68"</f>
        <v>68</v>
      </c>
      <c r="D3919" t="str">
        <f>"Built on Squares"</f>
        <v>Built on Squares</v>
      </c>
    </row>
    <row r="3920" spans="1:4" x14ac:dyDescent="0.2">
      <c r="A3920" t="str">
        <f>"3919"</f>
        <v>3919</v>
      </c>
      <c r="B3920" t="str">
        <f>"0.4"</f>
        <v>0.4</v>
      </c>
      <c r="C3920" t="str">
        <f>"71"</f>
        <v>71</v>
      </c>
      <c r="D3920" t="str">
        <f>"Tranquil Isolation"</f>
        <v>Tranquil Isolation</v>
      </c>
    </row>
    <row r="3921" spans="1:4" x14ac:dyDescent="0.2">
      <c r="A3921" t="str">
        <f>"3920"</f>
        <v>3920</v>
      </c>
      <c r="B3921" t="str">
        <f>"-0.55"</f>
        <v>-0.55</v>
      </c>
      <c r="C3921" t="str">
        <f>"46"</f>
        <v>46</v>
      </c>
      <c r="D3921" t="str">
        <f>"The Stix"</f>
        <v>The Stix</v>
      </c>
    </row>
    <row r="3922" spans="1:4" x14ac:dyDescent="0.2">
      <c r="A3922" t="str">
        <f>"3921"</f>
        <v>3921</v>
      </c>
      <c r="B3922" t="str">
        <f>"0.74"</f>
        <v>0.74</v>
      </c>
      <c r="C3922" t="str">
        <f>"69"</f>
        <v>69</v>
      </c>
      <c r="D3922" t="str">
        <f>"Sunlight Makes Me Paranoid"</f>
        <v>Sunlight Makes Me Paranoid</v>
      </c>
    </row>
    <row r="3923" spans="1:4" x14ac:dyDescent="0.2">
      <c r="A3923" t="str">
        <f>"3922"</f>
        <v>3922</v>
      </c>
      <c r="B3923" t="str">
        <f>"-0.46"</f>
        <v>-0.46</v>
      </c>
      <c r="C3923" t="str">
        <f>"69"</f>
        <v>69</v>
      </c>
      <c r="D3923" t="str">
        <f>"Sinking Hearts EP"</f>
        <v>Sinking Hearts EP</v>
      </c>
    </row>
    <row r="3924" spans="1:4" x14ac:dyDescent="0.2">
      <c r="A3924" t="str">
        <f>"3923"</f>
        <v>3923</v>
      </c>
      <c r="B3924" t="str">
        <f>"-0.05"</f>
        <v>-0.05</v>
      </c>
      <c r="C3924" t="str">
        <f>"60"</f>
        <v>60</v>
      </c>
      <c r="D3924" t="str">
        <f>"Charlene"</f>
        <v>Charlene</v>
      </c>
    </row>
    <row r="3925" spans="1:4" x14ac:dyDescent="0.2">
      <c r="A3925" t="str">
        <f>"3924"</f>
        <v>3924</v>
      </c>
      <c r="B3925" t="str">
        <f>"-0.24"</f>
        <v>-0.24</v>
      </c>
      <c r="C3925" t="str">
        <f>"32"</f>
        <v>32</v>
      </c>
      <c r="D3925" t="str">
        <f>"Insound Tour Support EP"</f>
        <v>Insound Tour Support EP</v>
      </c>
    </row>
    <row r="3926" spans="1:4" x14ac:dyDescent="0.2">
      <c r="A3926" t="str">
        <f>"3925"</f>
        <v>3925</v>
      </c>
      <c r="B3926" t="str">
        <f>"-0.14"</f>
        <v>-0.14</v>
      </c>
      <c r="C3926" t="str">
        <f>"38"</f>
        <v>38</v>
      </c>
      <c r="D3926" t="str">
        <f>"In a Wilderness"</f>
        <v>In a Wilderness</v>
      </c>
    </row>
    <row r="3927" spans="1:4" x14ac:dyDescent="0.2">
      <c r="A3927" t="str">
        <f>"3926"</f>
        <v>3926</v>
      </c>
      <c r="B3927" t="str">
        <f>"1.66"</f>
        <v>1.66</v>
      </c>
      <c r="C3927" t="str">
        <f>"30"</f>
        <v>30</v>
      </c>
      <c r="D3927" t="str">
        <f>"If We Meet in the Future"</f>
        <v>If We Meet in the Future</v>
      </c>
    </row>
    <row r="3928" spans="1:4" x14ac:dyDescent="0.2">
      <c r="A3928" t="str">
        <f>"3927"</f>
        <v>3927</v>
      </c>
      <c r="B3928" t="str">
        <f>"-0.61"</f>
        <v>-0.61</v>
      </c>
      <c r="C3928" t="str">
        <f>"48"</f>
        <v>48</v>
      </c>
      <c r="D3928" t="str">
        <f>"Even Further Behind"</f>
        <v>Even Further Behind</v>
      </c>
    </row>
    <row r="3929" spans="1:4" x14ac:dyDescent="0.2">
      <c r="A3929" t="str">
        <f>"3928"</f>
        <v>3928</v>
      </c>
      <c r="B3929" t="str">
        <f>"0.16"</f>
        <v>0.16</v>
      </c>
      <c r="C3929" t="str">
        <f>"50"</f>
        <v>50</v>
      </c>
      <c r="D3929" t="str">
        <f>"Corrugated Sibilants EP"</f>
        <v>Corrugated Sibilants EP</v>
      </c>
    </row>
    <row r="3930" spans="1:4" x14ac:dyDescent="0.2">
      <c r="A3930" t="str">
        <f>"3929"</f>
        <v>3929</v>
      </c>
      <c r="B3930" t="str">
        <f>"0.39"</f>
        <v>0.39</v>
      </c>
      <c r="C3930" t="str">
        <f>"51"</f>
        <v>51</v>
      </c>
      <c r="D3930" t="str">
        <f>"Young Liars EP"</f>
        <v>Young Liars EP</v>
      </c>
    </row>
    <row r="3931" spans="1:4" x14ac:dyDescent="0.2">
      <c r="A3931" t="str">
        <f>"3930"</f>
        <v>3930</v>
      </c>
      <c r="B3931" t="str">
        <f>"0.75"</f>
        <v>0.75</v>
      </c>
      <c r="C3931" t="str">
        <f>"71"</f>
        <v>71</v>
      </c>
      <c r="D3931" t="str">
        <f>"The Unknown Masada"</f>
        <v>The Unknown Masada</v>
      </c>
    </row>
    <row r="3932" spans="1:4" x14ac:dyDescent="0.2">
      <c r="A3932" t="str">
        <f>"3931"</f>
        <v>3931</v>
      </c>
      <c r="B3932" t="str">
        <f>"0.14"</f>
        <v>0.14</v>
      </c>
      <c r="C3932" t="str">
        <f>"82"</f>
        <v>82</v>
      </c>
      <c r="D3932" t="str">
        <f>"Greetings from Michigan: The Great Lakes State"</f>
        <v>Greetings from Michigan: The Great Lakes State</v>
      </c>
    </row>
    <row r="3933" spans="1:4" x14ac:dyDescent="0.2">
      <c r="A3933" t="str">
        <f>"3932"</f>
        <v>3932</v>
      </c>
      <c r="B3933" t="str">
        <f>"1.52"</f>
        <v>1.52</v>
      </c>
      <c r="C3933" t="str">
        <f>"13"</f>
        <v>13</v>
      </c>
      <c r="D3933" t="str">
        <f>"Befriended"</f>
        <v>Befriended</v>
      </c>
    </row>
    <row r="3934" spans="1:4" x14ac:dyDescent="0.2">
      <c r="A3934" t="str">
        <f>"3933"</f>
        <v>3933</v>
      </c>
      <c r="B3934" t="str">
        <f>"-0.06"</f>
        <v>-0.06</v>
      </c>
      <c r="C3934" t="str">
        <f>"64"</f>
        <v>64</v>
      </c>
      <c r="D3934" t="str">
        <f>"58:34"</f>
        <v>58:34</v>
      </c>
    </row>
    <row r="3935" spans="1:4" x14ac:dyDescent="0.2">
      <c r="A3935" t="str">
        <f>"3934"</f>
        <v>3934</v>
      </c>
      <c r="B3935" t="str">
        <f>"0.07"</f>
        <v>0.07</v>
      </c>
      <c r="C3935" t="str">
        <f>"54"</f>
        <v>54</v>
      </c>
      <c r="D3935" t="str">
        <f>"What the Day Was Dreaming"</f>
        <v>What the Day Was Dreaming</v>
      </c>
    </row>
    <row r="3936" spans="1:4" x14ac:dyDescent="0.2">
      <c r="A3936" t="str">
        <f>"3935"</f>
        <v>3935</v>
      </c>
      <c r="B3936" t="str">
        <f>"0.41"</f>
        <v>0.41</v>
      </c>
      <c r="C3936" t="str">
        <f>"80"</f>
        <v>80</v>
      </c>
      <c r="D3936" t="str">
        <f>"Phantom Power"</f>
        <v>Phantom Power</v>
      </c>
    </row>
    <row r="3937" spans="1:4" x14ac:dyDescent="0.2">
      <c r="A3937" t="str">
        <f>"3936"</f>
        <v>3936</v>
      </c>
      <c r="B3937" t="str">
        <f>"-0.27"</f>
        <v>-0.27</v>
      </c>
      <c r="C3937" t="str">
        <f>"66"</f>
        <v>66</v>
      </c>
      <c r="D3937" t="str">
        <f>"Paper Monsters"</f>
        <v>Paper Monsters</v>
      </c>
    </row>
    <row r="3938" spans="1:4" x14ac:dyDescent="0.2">
      <c r="A3938" t="str">
        <f>"3937"</f>
        <v>3937</v>
      </c>
      <c r="B3938" t="str">
        <f>"0.83"</f>
        <v>0.83</v>
      </c>
      <c r="C3938" t="str">
        <f>"72"</f>
        <v>72</v>
      </c>
      <c r="D3938" t="str">
        <f>"Live in Japan"</f>
        <v>Live in Japan</v>
      </c>
    </row>
    <row r="3939" spans="1:4" x14ac:dyDescent="0.2">
      <c r="A3939" t="str">
        <f>"3938"</f>
        <v>3938</v>
      </c>
      <c r="B3939" t="str">
        <f>"-0.21"</f>
        <v>-0.21</v>
      </c>
      <c r="C3939" t="str">
        <f>"64"</f>
        <v>64</v>
      </c>
      <c r="D3939" t="str">
        <f>"Counterfeit 2"</f>
        <v>Counterfeit 2</v>
      </c>
    </row>
    <row r="3940" spans="1:4" x14ac:dyDescent="0.2">
      <c r="A3940" t="str">
        <f>"3939"</f>
        <v>3939</v>
      </c>
      <c r="B3940" t="str">
        <f>"-0.66"</f>
        <v>-0.66</v>
      </c>
      <c r="C3940" t="str">
        <f>"60"</f>
        <v>60</v>
      </c>
      <c r="D3940" t="str">
        <f>"You Are Dignified EP"</f>
        <v>You Are Dignified EP</v>
      </c>
    </row>
    <row r="3941" spans="1:4" x14ac:dyDescent="0.2">
      <c r="A3941" t="str">
        <f>"3940"</f>
        <v>3940</v>
      </c>
      <c r="B3941" t="str">
        <f>"1.56"</f>
        <v>1.56</v>
      </c>
      <c r="C3941" t="str">
        <f>"56"</f>
        <v>56</v>
      </c>
      <c r="D3941" t="str">
        <f>"Dengue Fever"</f>
        <v>Dengue Fever</v>
      </c>
    </row>
    <row r="3942" spans="1:4" x14ac:dyDescent="0.2">
      <c r="A3942" t="str">
        <f>"3941"</f>
        <v>3941</v>
      </c>
      <c r="B3942" t="str">
        <f>"1.5"</f>
        <v>1.5</v>
      </c>
      <c r="C3942" t="str">
        <f>"36"</f>
        <v>36</v>
      </c>
      <c r="D3942" t="str">
        <f>"Whats Come Inside of You"</f>
        <v>Whats Come Inside of You</v>
      </c>
    </row>
    <row r="3943" spans="1:4" x14ac:dyDescent="0.2">
      <c r="A3943" t="str">
        <f>"3942"</f>
        <v>3942</v>
      </c>
      <c r="B3943" t="str">
        <f>"-1.72"</f>
        <v>-1.72</v>
      </c>
      <c r="C3943" t="str">
        <f>"53"</f>
        <v>53</v>
      </c>
      <c r="D3943" t="str">
        <f>"Songs for Psychotic Children"</f>
        <v>Songs for Psychotic Children</v>
      </c>
    </row>
    <row r="3944" spans="1:4" x14ac:dyDescent="0.2">
      <c r="A3944" t="str">
        <f>"3943"</f>
        <v>3943</v>
      </c>
      <c r="B3944" t="str">
        <f>"-0.18"</f>
        <v>-0.18</v>
      </c>
      <c r="C3944" t="str">
        <f>"61"</f>
        <v>61</v>
      </c>
      <c r="D3944" t="str">
        <f>"Rooney"</f>
        <v>Rooney</v>
      </c>
    </row>
    <row r="3945" spans="1:4" x14ac:dyDescent="0.2">
      <c r="A3945" t="str">
        <f>"3944"</f>
        <v>3944</v>
      </c>
      <c r="B3945" t="str">
        <f>"0.54"</f>
        <v>0.54</v>
      </c>
      <c r="C3945" t="str">
        <f>"49"</f>
        <v>49</v>
      </c>
      <c r="D3945" t="str">
        <f>"Ripple"</f>
        <v>Ripple</v>
      </c>
    </row>
    <row r="3946" spans="1:4" x14ac:dyDescent="0.2">
      <c r="A3946" t="str">
        <f>"3945"</f>
        <v>3945</v>
      </c>
      <c r="B3946" t="str">
        <f>"0.33"</f>
        <v>0.33</v>
      </c>
      <c r="C3946" t="str">
        <f>"22"</f>
        <v>22</v>
      </c>
      <c r="D3946" t="str">
        <f>"39 Minutes of Bliss (In An Otherwise Meaningless World)"</f>
        <v>39 Minutes of Bliss (In An Otherwise Meaningless World)</v>
      </c>
    </row>
    <row r="3947" spans="1:4" x14ac:dyDescent="0.2">
      <c r="A3947" t="str">
        <f>"3946"</f>
        <v>3946</v>
      </c>
      <c r="B3947" t="str">
        <f>"0.66"</f>
        <v>0.66</v>
      </c>
      <c r="C3947" t="str">
        <f>"55"</f>
        <v>55</v>
      </c>
      <c r="D3947" t="str">
        <f>"Orchestral Manoeuvres in the Dark"</f>
        <v>Orchestral Manoeuvres in the Dark</v>
      </c>
    </row>
    <row r="3948" spans="1:4" x14ac:dyDescent="0.2">
      <c r="A3948" t="str">
        <f>"3947"</f>
        <v>3947</v>
      </c>
      <c r="B3948" t="str">
        <f>"-0.59"</f>
        <v>-0.59</v>
      </c>
      <c r="C3948" t="str">
        <f>"69"</f>
        <v>69</v>
      </c>
      <c r="D3948" t="str">
        <f>"Methodology '74/'78: Attic Tapes"</f>
        <v>Methodology '74/'78: Attic Tapes</v>
      </c>
    </row>
    <row r="3949" spans="1:4" x14ac:dyDescent="0.2">
      <c r="A3949" t="str">
        <f>"3948"</f>
        <v>3948</v>
      </c>
      <c r="B3949" t="str">
        <f>"-0.26"</f>
        <v>-0.26</v>
      </c>
      <c r="C3949" t="str">
        <f>"79"</f>
        <v>79</v>
      </c>
      <c r="D3949" t="str">
        <f>"Dying in Stereo"</f>
        <v>Dying in Stereo</v>
      </c>
    </row>
    <row r="3950" spans="1:4" x14ac:dyDescent="0.2">
      <c r="A3950" t="str">
        <f>"3949"</f>
        <v>3949</v>
      </c>
      <c r="B3950" t="str">
        <f>"-0.21"</f>
        <v>-0.21</v>
      </c>
      <c r="C3950" t="str">
        <f>"67"</f>
        <v>67</v>
      </c>
      <c r="D3950" t="str">
        <f>"Children of God"</f>
        <v>Children of God</v>
      </c>
    </row>
    <row r="3951" spans="1:4" x14ac:dyDescent="0.2">
      <c r="A3951" t="str">
        <f>"3950"</f>
        <v>3950</v>
      </c>
      <c r="B3951" t="str">
        <f>"0.64"</f>
        <v>0.64</v>
      </c>
      <c r="C3951" t="str">
        <f>"39"</f>
        <v>39</v>
      </c>
      <c r="D3951" t="str">
        <f>"After the Last"</f>
        <v>After the Last</v>
      </c>
    </row>
    <row r="3952" spans="1:4" x14ac:dyDescent="0.2">
      <c r="A3952" t="str">
        <f>"3951"</f>
        <v>3951</v>
      </c>
      <c r="B3952" t="str">
        <f>"-0.22"</f>
        <v>-0.22</v>
      </c>
      <c r="C3952" t="str">
        <f>"60"</f>
        <v>60</v>
      </c>
      <c r="D3952" t="str">
        <f>"Welcome To The Monkey House"</f>
        <v>Welcome To The Monkey House</v>
      </c>
    </row>
    <row r="3953" spans="1:4" x14ac:dyDescent="0.2">
      <c r="A3953" t="str">
        <f>"3952"</f>
        <v>3952</v>
      </c>
      <c r="B3953" t="str">
        <f>"-0.3"</f>
        <v>-0.3</v>
      </c>
      <c r="C3953" t="str">
        <f>"100"</f>
        <v>100</v>
      </c>
      <c r="D3953" t="str">
        <f>"Pin EP"</f>
        <v>Pin EP</v>
      </c>
    </row>
    <row r="3954" spans="1:4" x14ac:dyDescent="0.2">
      <c r="A3954" t="str">
        <f>"3953"</f>
        <v>3953</v>
      </c>
      <c r="B3954" t="str">
        <f>"-0.01"</f>
        <v>-0.01</v>
      </c>
      <c r="C3954" t="str">
        <f>"56"</f>
        <v>56</v>
      </c>
      <c r="D3954" t="str">
        <f>"II"</f>
        <v>II</v>
      </c>
    </row>
    <row r="3955" spans="1:4" x14ac:dyDescent="0.2">
      <c r="A3955" t="str">
        <f>"3954"</f>
        <v>3954</v>
      </c>
      <c r="B3955" t="str">
        <f>"1.85"</f>
        <v>1.85</v>
      </c>
      <c r="C3955" t="str">
        <f>"40"</f>
        <v>40</v>
      </c>
      <c r="D3955" t="str">
        <f>"From Death To Passwords Where You're A Paper Aeroplane"</f>
        <v>From Death To Passwords Where You're A Paper Aeroplane</v>
      </c>
    </row>
    <row r="3956" spans="1:4" x14ac:dyDescent="0.2">
      <c r="A3956" t="str">
        <f>"3955"</f>
        <v>3955</v>
      </c>
      <c r="B3956" t="str">
        <f>"0.32"</f>
        <v>0.32</v>
      </c>
      <c r="C3956" t="str">
        <f>"50"</f>
        <v>50</v>
      </c>
      <c r="D3956" t="str">
        <f>"Clemency"</f>
        <v>Clemency</v>
      </c>
    </row>
    <row r="3957" spans="1:4" x14ac:dyDescent="0.2">
      <c r="A3957" t="str">
        <f>"3956"</f>
        <v>3956</v>
      </c>
      <c r="B3957" t="str">
        <f>"0.5"</f>
        <v>0.5</v>
      </c>
      <c r="C3957" t="str">
        <f>"48"</f>
        <v>48</v>
      </c>
      <c r="D3957" t="str">
        <f>"Welcome Crummy Mystics"</f>
        <v>Welcome Crummy Mystics</v>
      </c>
    </row>
    <row r="3958" spans="1:4" x14ac:dyDescent="0.2">
      <c r="A3958" t="str">
        <f>"3957"</f>
        <v>3957</v>
      </c>
      <c r="B3958" t="str">
        <f>"0.15"</f>
        <v>0.15</v>
      </c>
      <c r="C3958" t="str">
        <f>"42"</f>
        <v>42</v>
      </c>
      <c r="D3958" t="str">
        <f>"These Are the New Good Times"</f>
        <v>These Are the New Good Times</v>
      </c>
    </row>
    <row r="3959" spans="1:4" x14ac:dyDescent="0.2">
      <c r="A3959" t="str">
        <f>"3958"</f>
        <v>3958</v>
      </c>
      <c r="B3959" t="str">
        <f>"-0.01"</f>
        <v>-0.01</v>
      </c>
      <c r="C3959" t="str">
        <f>"46"</f>
        <v>46</v>
      </c>
      <c r="D3959" t="str">
        <f>"The Mechanical Forces of Love"</f>
        <v>The Mechanical Forces of Love</v>
      </c>
    </row>
    <row r="3960" spans="1:4" x14ac:dyDescent="0.2">
      <c r="A3960" t="str">
        <f>"3959"</f>
        <v>3959</v>
      </c>
      <c r="B3960" t="str">
        <f>"-0.37"</f>
        <v>-0.37</v>
      </c>
      <c r="C3960" t="str">
        <f>"61"</f>
        <v>61</v>
      </c>
      <c r="D3960" t="str">
        <f>"Noyes EP"</f>
        <v>Noyes EP</v>
      </c>
    </row>
    <row r="3961" spans="1:4" x14ac:dyDescent="0.2">
      <c r="A3961" t="str">
        <f>"3960"</f>
        <v>3960</v>
      </c>
      <c r="B3961" t="str">
        <f>"0.15"</f>
        <v>0.15</v>
      </c>
      <c r="C3961" t="str">
        <f>"45"</f>
        <v>45</v>
      </c>
      <c r="D3961" t="str">
        <f>"Wired for Sound"</f>
        <v>Wired for Sound</v>
      </c>
    </row>
    <row r="3962" spans="1:4" x14ac:dyDescent="0.2">
      <c r="A3962" t="str">
        <f>"3961"</f>
        <v>3961</v>
      </c>
      <c r="B3962" t="str">
        <f>"-0.37"</f>
        <v>-0.37</v>
      </c>
      <c r="C3962" t="str">
        <f>"59"</f>
        <v>59</v>
      </c>
      <c r="D3962" t="str">
        <f>"The Man on the Burning Tightrope"</f>
        <v>The Man on the Burning Tightrope</v>
      </c>
    </row>
    <row r="3963" spans="1:4" x14ac:dyDescent="0.2">
      <c r="A3963" t="str">
        <f>"3962"</f>
        <v>3962</v>
      </c>
      <c r="B3963" t="str">
        <f>"0.39"</f>
        <v>0.39</v>
      </c>
      <c r="C3963" t="str">
        <f>"56"</f>
        <v>56</v>
      </c>
      <c r="D3963" t="str">
        <f>"New York Noise"</f>
        <v>New York Noise</v>
      </c>
    </row>
    <row r="3964" spans="1:4" x14ac:dyDescent="0.2">
      <c r="A3964" t="str">
        <f>"3963"</f>
        <v>3963</v>
      </c>
      <c r="B3964" t="str">
        <f>"0.63"</f>
        <v>0.63</v>
      </c>
      <c r="C3964" t="str">
        <f>"55"</f>
        <v>55</v>
      </c>
      <c r="D3964" t="str">
        <f>"Come Here When You Sleepwalk"</f>
        <v>Come Here When You Sleepwalk</v>
      </c>
    </row>
    <row r="3965" spans="1:4" x14ac:dyDescent="0.2">
      <c r="A3965" t="str">
        <f>"3964"</f>
        <v>3964</v>
      </c>
      <c r="B3965" t="str">
        <f>"-0.36"</f>
        <v>-0.36</v>
      </c>
      <c r="C3965" t="str">
        <f>"46"</f>
        <v>46</v>
      </c>
      <c r="D3965" t="str">
        <f>"Born Free Forever"</f>
        <v>Born Free Forever</v>
      </c>
    </row>
    <row r="3966" spans="1:4" x14ac:dyDescent="0.2">
      <c r="A3966" t="str">
        <f>"3965"</f>
        <v>3965</v>
      </c>
      <c r="B3966" t="str">
        <f>"0.28"</f>
        <v>0.28</v>
      </c>
      <c r="C3966" t="str">
        <f>"66"</f>
        <v>66</v>
      </c>
      <c r="D3966" t="str">
        <f>"The Ownerz"</f>
        <v>The Ownerz</v>
      </c>
    </row>
    <row r="3967" spans="1:4" x14ac:dyDescent="0.2">
      <c r="A3967" t="str">
        <f>"3966"</f>
        <v>3966</v>
      </c>
      <c r="B3967" t="str">
        <f>"0.33"</f>
        <v>0.33</v>
      </c>
      <c r="C3967" t="str">
        <f>"34"</f>
        <v>34</v>
      </c>
      <c r="D3967" t="str">
        <f>"The Blues Is a Minefield"</f>
        <v>The Blues Is a Minefield</v>
      </c>
    </row>
    <row r="3968" spans="1:4" x14ac:dyDescent="0.2">
      <c r="A3968" t="str">
        <f>"3967"</f>
        <v>3967</v>
      </c>
      <c r="B3968" t="str">
        <f>"0"</f>
        <v>0</v>
      </c>
      <c r="C3968" t="str">
        <f>"76"</f>
        <v>76</v>
      </c>
      <c r="D3968" t="str">
        <f>"Goldcard"</f>
        <v>Goldcard</v>
      </c>
    </row>
    <row r="3969" spans="1:4" x14ac:dyDescent="0.2">
      <c r="A3969" t="str">
        <f>"3968"</f>
        <v>3968</v>
      </c>
      <c r="B3969" t="str">
        <f>"0.12"</f>
        <v>0.12</v>
      </c>
      <c r="C3969" t="str">
        <f>"56"</f>
        <v>56</v>
      </c>
      <c r="D3969" t="str">
        <f>"Electric Turn to Me"</f>
        <v>Electric Turn to Me</v>
      </c>
    </row>
    <row r="3970" spans="1:4" x14ac:dyDescent="0.2">
      <c r="A3970" t="str">
        <f>"3969"</f>
        <v>3969</v>
      </c>
      <c r="B3970" t="str">
        <f>"0.33"</f>
        <v>0.33</v>
      </c>
      <c r="C3970" t="str">
        <f>"32"</f>
        <v>32</v>
      </c>
      <c r="D3970" t="str">
        <f>"Sting Sting Sting"</f>
        <v>Sting Sting Sting</v>
      </c>
    </row>
    <row r="3971" spans="1:4" x14ac:dyDescent="0.2">
      <c r="A3971" t="str">
        <f>"3970"</f>
        <v>3970</v>
      </c>
      <c r="B3971" t="str">
        <f>"0.4"</f>
        <v>0.4</v>
      </c>
      <c r="C3971" t="str">
        <f>"28"</f>
        <v>28</v>
      </c>
      <c r="D3971" t="str">
        <f>"Off-Road"</f>
        <v>Off-Road</v>
      </c>
    </row>
    <row r="3972" spans="1:4" x14ac:dyDescent="0.2">
      <c r="A3972" t="str">
        <f>"3971"</f>
        <v>3971</v>
      </c>
      <c r="B3972" t="str">
        <f>"0.44"</f>
        <v>0.44</v>
      </c>
      <c r="C3972" t="str">
        <f>"63"</f>
        <v>63</v>
      </c>
      <c r="D3972" t="str">
        <f>"No Cities Left"</f>
        <v>No Cities Left</v>
      </c>
    </row>
    <row r="3973" spans="1:4" x14ac:dyDescent="0.2">
      <c r="A3973" t="str">
        <f>"3972"</f>
        <v>3972</v>
      </c>
      <c r="B3973" t="str">
        <f>"0.04"</f>
        <v>0.04</v>
      </c>
      <c r="C3973" t="str">
        <f>"50"</f>
        <v>50</v>
      </c>
      <c r="D3973" t="str">
        <f>"Cardia"</f>
        <v>Cardia</v>
      </c>
    </row>
    <row r="3974" spans="1:4" x14ac:dyDescent="0.2">
      <c r="A3974" t="str">
        <f>"3973"</f>
        <v>3973</v>
      </c>
      <c r="B3974" t="str">
        <f>"-0.38"</f>
        <v>-0.38</v>
      </c>
      <c r="C3974" t="str">
        <f>"24"</f>
        <v>24</v>
      </c>
      <c r="D3974" t="str">
        <f>"Waiting for the Moon"</f>
        <v>Waiting for the Moon</v>
      </c>
    </row>
    <row r="3975" spans="1:4" x14ac:dyDescent="0.2">
      <c r="A3975" t="str">
        <f>"3974"</f>
        <v>3974</v>
      </c>
      <c r="B3975" t="str">
        <f>"0.31"</f>
        <v>0.31</v>
      </c>
      <c r="C3975" t="str">
        <f>"50"</f>
        <v>50</v>
      </c>
      <c r="D3975" t="str">
        <f>"Speicher CD 1"</f>
        <v>Speicher CD 1</v>
      </c>
    </row>
    <row r="3976" spans="1:4" x14ac:dyDescent="0.2">
      <c r="A3976" t="str">
        <f>"3975"</f>
        <v>3975</v>
      </c>
      <c r="B3976" t="str">
        <f>"-0.68"</f>
        <v>-0.68</v>
      </c>
      <c r="C3976" t="str">
        <f>"50"</f>
        <v>50</v>
      </c>
      <c r="D3976" t="str">
        <f>"Politik Braucht Neinen Feind"</f>
        <v>Politik Braucht Neinen Feind</v>
      </c>
    </row>
    <row r="3977" spans="1:4" x14ac:dyDescent="0.2">
      <c r="A3977" t="str">
        <f>"3976"</f>
        <v>3976</v>
      </c>
      <c r="B3977" t="str">
        <f>"0.16"</f>
        <v>0.16</v>
      </c>
      <c r="C3977" t="str">
        <f>"46"</f>
        <v>46</v>
      </c>
      <c r="D3977" t="str">
        <f>"A Thousand Songs"</f>
        <v>A Thousand Songs</v>
      </c>
    </row>
    <row r="3978" spans="1:4" x14ac:dyDescent="0.2">
      <c r="A3978" t="str">
        <f>"3977"</f>
        <v>3977</v>
      </c>
      <c r="B3978" t="str">
        <f>"0.15"</f>
        <v>0.15</v>
      </c>
      <c r="C3978" t="str">
        <f>"48"</f>
        <v>48</v>
      </c>
      <c r="D3978" t="str">
        <f>"Arcanum Moderne"</f>
        <v>Arcanum Moderne</v>
      </c>
    </row>
    <row r="3979" spans="1:4" x14ac:dyDescent="0.2">
      <c r="A3979" t="str">
        <f>"3978"</f>
        <v>3978</v>
      </c>
      <c r="B3979" t="str">
        <f>"-0.3"</f>
        <v>-0.3</v>
      </c>
      <c r="C3979" t="str">
        <f>"42"</f>
        <v>42</v>
      </c>
      <c r="D3979" t="str">
        <f>"The Violet Hour"</f>
        <v>The Violet Hour</v>
      </c>
    </row>
    <row r="3980" spans="1:4" x14ac:dyDescent="0.2">
      <c r="A3980" t="str">
        <f>"3979"</f>
        <v>3979</v>
      </c>
      <c r="B3980" t="str">
        <f>"-0.21"</f>
        <v>-0.21</v>
      </c>
      <c r="C3980" t="str">
        <f>"49"</f>
        <v>49</v>
      </c>
      <c r="D3980" t="str">
        <f>"Run to Ruin"</f>
        <v>Run to Ruin</v>
      </c>
    </row>
    <row r="3981" spans="1:4" x14ac:dyDescent="0.2">
      <c r="A3981" t="str">
        <f>"3980"</f>
        <v>3980</v>
      </c>
      <c r="B3981" t="str">
        <f>"-0.09"</f>
        <v>-0.09</v>
      </c>
      <c r="C3981" t="str">
        <f>"61"</f>
        <v>61</v>
      </c>
      <c r="D3981" t="str">
        <f>"Promise of Love"</f>
        <v>Promise of Love</v>
      </c>
    </row>
    <row r="3982" spans="1:4" x14ac:dyDescent="0.2">
      <c r="A3982" t="str">
        <f>"3981"</f>
        <v>3981</v>
      </c>
      <c r="B3982" t="str">
        <f>"-0.6"</f>
        <v>-0.6</v>
      </c>
      <c r="C3982" t="str">
        <f>"37"</f>
        <v>37</v>
      </c>
      <c r="D3982" t="str">
        <f>"Kind Kind"</f>
        <v>Kind Kind</v>
      </c>
    </row>
    <row r="3983" spans="1:4" x14ac:dyDescent="0.2">
      <c r="A3983" t="str">
        <f>"3982"</f>
        <v>3982</v>
      </c>
      <c r="B3983" t="str">
        <f>"1.7"</f>
        <v>1.7</v>
      </c>
      <c r="C3983" t="str">
        <f>"41"</f>
        <v>41</v>
      </c>
      <c r="D3983" t="str">
        <f>"Holding Patterns EP"</f>
        <v>Holding Patterns EP</v>
      </c>
    </row>
    <row r="3984" spans="1:4" x14ac:dyDescent="0.2">
      <c r="A3984" t="str">
        <f>"3983"</f>
        <v>3983</v>
      </c>
      <c r="B3984" t="str">
        <f>"1.27"</f>
        <v>1.27</v>
      </c>
      <c r="C3984" t="str">
        <f>"35"</f>
        <v>35</v>
      </c>
      <c r="D3984" t="str">
        <f>"When I'm Falling"</f>
        <v>When I'm Falling</v>
      </c>
    </row>
    <row r="3985" spans="1:4" x14ac:dyDescent="0.2">
      <c r="A3985" t="str">
        <f>"3984"</f>
        <v>3984</v>
      </c>
      <c r="B3985" t="str">
        <f>"-0.76"</f>
        <v>-0.76</v>
      </c>
      <c r="C3985" t="str">
        <f>"91"</f>
        <v>91</v>
      </c>
      <c r="D3985" t="str">
        <f>"Take Me to Your Leader"</f>
        <v>Take Me to Your Leader</v>
      </c>
    </row>
    <row r="3986" spans="1:4" x14ac:dyDescent="0.2">
      <c r="A3986" t="str">
        <f>"3985"</f>
        <v>3985</v>
      </c>
      <c r="B3986" t="str">
        <f>"0.39"</f>
        <v>0.39</v>
      </c>
      <c r="C3986" t="str">
        <f>"63"</f>
        <v>63</v>
      </c>
      <c r="D3986" t="str">
        <f>"A Is For Accident"</f>
        <v>A Is For Accident</v>
      </c>
    </row>
    <row r="3987" spans="1:4" x14ac:dyDescent="0.2">
      <c r="A3987" t="str">
        <f>"3986"</f>
        <v>3986</v>
      </c>
      <c r="B3987" t="str">
        <f>"0.44"</f>
        <v>0.44</v>
      </c>
      <c r="C3987" t="str">
        <f>"69"</f>
        <v>69</v>
      </c>
      <c r="D3987" t="str">
        <f>"Yours Mine &amp; Ours"</f>
        <v>Yours Mine &amp; Ours</v>
      </c>
    </row>
    <row r="3988" spans="1:4" x14ac:dyDescent="0.2">
      <c r="A3988" t="str">
        <f>"3987"</f>
        <v>3987</v>
      </c>
      <c r="B3988" t="str">
        <f>"1.27"</f>
        <v>1.27</v>
      </c>
      <c r="C3988" t="str">
        <f>"36"</f>
        <v>36</v>
      </c>
      <c r="D3988" t="str">
        <f>"Truly She Is None Other"</f>
        <v>Truly She Is None Other</v>
      </c>
    </row>
    <row r="3989" spans="1:4" x14ac:dyDescent="0.2">
      <c r="A3989" t="str">
        <f>"3988"</f>
        <v>3988</v>
      </c>
      <c r="B3989" t="str">
        <f>"-0.26"</f>
        <v>-0.26</v>
      </c>
      <c r="C3989" t="str">
        <f>"57"</f>
        <v>57</v>
      </c>
      <c r="D3989" t="str">
        <f>"Slicer"</f>
        <v>Slicer</v>
      </c>
    </row>
    <row r="3990" spans="1:4" x14ac:dyDescent="0.2">
      <c r="A3990" t="str">
        <f>"3989"</f>
        <v>3989</v>
      </c>
      <c r="B3990" t="str">
        <f>"-0.22"</f>
        <v>-0.22</v>
      </c>
      <c r="C3990" t="str">
        <f>"42"</f>
        <v>42</v>
      </c>
      <c r="D3990" t="str">
        <f>"Lambent Material"</f>
        <v>Lambent Material</v>
      </c>
    </row>
    <row r="3991" spans="1:4" x14ac:dyDescent="0.2">
      <c r="A3991" t="str">
        <f>"3990"</f>
        <v>3990</v>
      </c>
      <c r="B3991" t="str">
        <f>"-0.85"</f>
        <v>-0.85</v>
      </c>
      <c r="C3991" t="str">
        <f>"140"</f>
        <v>140</v>
      </c>
      <c r="D3991" t="str">
        <f>"Boy in Da Corner"</f>
        <v>Boy in Da Corner</v>
      </c>
    </row>
    <row r="3992" spans="1:4" x14ac:dyDescent="0.2">
      <c r="A3992" t="str">
        <f>"3991"</f>
        <v>3991</v>
      </c>
      <c r="B3992" t="str">
        <f>"-0.63"</f>
        <v>-0.63</v>
      </c>
      <c r="C3992" t="str">
        <f>"42"</f>
        <v>42</v>
      </c>
      <c r="D3992" t="str">
        <f>"Oaklandazulasylum"</f>
        <v>Oaklandazulasylum</v>
      </c>
    </row>
    <row r="3993" spans="1:4" x14ac:dyDescent="0.2">
      <c r="A3993" t="str">
        <f>"3992"</f>
        <v>3992</v>
      </c>
      <c r="B3993" t="str">
        <f>"0.11"</f>
        <v>0.11</v>
      </c>
      <c r="C3993" t="str">
        <f>"115"</f>
        <v>115</v>
      </c>
      <c r="D3993" t="str">
        <f>"The Present Lover"</f>
        <v>The Present Lover</v>
      </c>
    </row>
    <row r="3994" spans="1:4" x14ac:dyDescent="0.2">
      <c r="A3994" t="str">
        <f>"3993"</f>
        <v>3993</v>
      </c>
      <c r="B3994" t="str">
        <f>"-0.74"</f>
        <v>-0.74</v>
      </c>
      <c r="C3994" t="str">
        <f>"66"</f>
        <v>66</v>
      </c>
      <c r="D3994" t="str">
        <f>"Shame Fantasy II"</f>
        <v>Shame Fantasy II</v>
      </c>
    </row>
    <row r="3995" spans="1:4" x14ac:dyDescent="0.2">
      <c r="A3995" t="str">
        <f>"3994"</f>
        <v>3994</v>
      </c>
      <c r="B3995" t="str">
        <f>"-0.49"</f>
        <v>-0.49</v>
      </c>
      <c r="C3995" t="str">
        <f>"39"</f>
        <v>39</v>
      </c>
      <c r="D3995" t="str">
        <f>"Missing Dragons EP"</f>
        <v>Missing Dragons EP</v>
      </c>
    </row>
    <row r="3996" spans="1:4" x14ac:dyDescent="0.2">
      <c r="A3996" t="str">
        <f>"3995"</f>
        <v>3995</v>
      </c>
      <c r="B3996" t="str">
        <f>"0.56"</f>
        <v>0.56</v>
      </c>
      <c r="C3996" t="str">
        <f>"67"</f>
        <v>67</v>
      </c>
      <c r="D3996" t="str">
        <f>"Holy Roller Novocaine"</f>
        <v>Holy Roller Novocaine</v>
      </c>
    </row>
    <row r="3997" spans="1:4" x14ac:dyDescent="0.2">
      <c r="A3997" t="str">
        <f>"3996"</f>
        <v>3996</v>
      </c>
      <c r="B3997" t="str">
        <f>"-0.58"</f>
        <v>-0.58</v>
      </c>
      <c r="C3997" t="str">
        <f>"97"</f>
        <v>97</v>
      </c>
      <c r="D3997" t="str">
        <f>"Singles 80-85"</f>
        <v>Singles 80-85</v>
      </c>
    </row>
    <row r="3998" spans="1:4" x14ac:dyDescent="0.2">
      <c r="A3998" t="str">
        <f>"3997"</f>
        <v>3997</v>
      </c>
      <c r="B3998" t="str">
        <f>"1.05"</f>
        <v>1.05</v>
      </c>
      <c r="C3998" t="str">
        <f>"73"</f>
        <v>73</v>
      </c>
      <c r="D3998" t="s">
        <v>136</v>
      </c>
    </row>
    <row r="3999" spans="1:4" x14ac:dyDescent="0.2">
      <c r="A3999" t="str">
        <f>"3998"</f>
        <v>3998</v>
      </c>
      <c r="B3999" t="str">
        <f>"0.02"</f>
        <v>0.02</v>
      </c>
      <c r="C3999" t="str">
        <f>"59"</f>
        <v>59</v>
      </c>
      <c r="D3999" t="str">
        <f>"Koroshiya Ichi"</f>
        <v>Koroshiya Ichi</v>
      </c>
    </row>
    <row r="4000" spans="1:4" x14ac:dyDescent="0.2">
      <c r="A4000" t="str">
        <f>"3999"</f>
        <v>3999</v>
      </c>
      <c r="B4000" t="str">
        <f>"-0.24"</f>
        <v>-0.24</v>
      </c>
      <c r="C4000" t="str">
        <f>"48"</f>
        <v>48</v>
      </c>
      <c r="D4000" t="str">
        <f>"Dancing Machine: Erase Errata Remix Record EP"</f>
        <v>Dancing Machine: Erase Errata Remix Record EP</v>
      </c>
    </row>
    <row r="4001" spans="1:4" x14ac:dyDescent="0.2">
      <c r="A4001" t="str">
        <f>"4000"</f>
        <v>4000</v>
      </c>
      <c r="B4001" t="str">
        <f>"-0.74"</f>
        <v>-0.74</v>
      </c>
      <c r="C4001" t="str">
        <f>"89"</f>
        <v>89</v>
      </c>
      <c r="D4001" t="str">
        <f>"A"</f>
        <v>A</v>
      </c>
    </row>
    <row r="4002" spans="1:4" x14ac:dyDescent="0.2">
      <c r="A4002" t="str">
        <f>"4001"</f>
        <v>4001</v>
      </c>
      <c r="B4002" t="str">
        <f>"-0.19"</f>
        <v>-0.19</v>
      </c>
      <c r="C4002" t="str">
        <f>"55"</f>
        <v>55</v>
      </c>
      <c r="D4002" t="str">
        <f>"White1"</f>
        <v>White1</v>
      </c>
    </row>
    <row r="4003" spans="1:4" x14ac:dyDescent="0.2">
      <c r="A4003" t="str">
        <f>"4002"</f>
        <v>4002</v>
      </c>
      <c r="B4003" t="str">
        <f>"-0.92"</f>
        <v>-0.92</v>
      </c>
      <c r="C4003" t="str">
        <f>"60"</f>
        <v>60</v>
      </c>
      <c r="D4003" t="str">
        <f>"Trickboxes on the Pony Line"</f>
        <v>Trickboxes on the Pony Line</v>
      </c>
    </row>
    <row r="4004" spans="1:4" x14ac:dyDescent="0.2">
      <c r="A4004" t="str">
        <f>"4003"</f>
        <v>4003</v>
      </c>
      <c r="B4004" t="str">
        <f>"-0.5"</f>
        <v>-0.5</v>
      </c>
      <c r="C4004" t="str">
        <f>"92"</f>
        <v>92</v>
      </c>
      <c r="D4004" t="str">
        <f>"Soft Spot"</f>
        <v>Soft Spot</v>
      </c>
    </row>
    <row r="4005" spans="1:4" x14ac:dyDescent="0.2">
      <c r="A4005" t="str">
        <f>"4004"</f>
        <v>4004</v>
      </c>
      <c r="B4005" t="str">
        <f>"-0.68"</f>
        <v>-0.68</v>
      </c>
      <c r="C4005" t="str">
        <f>"62"</f>
        <v>62</v>
      </c>
      <c r="D4005" t="str">
        <f>"Get Well Soon"</f>
        <v>Get Well Soon</v>
      </c>
    </row>
    <row r="4006" spans="1:4" x14ac:dyDescent="0.2">
      <c r="A4006" t="str">
        <f>"4005"</f>
        <v>4005</v>
      </c>
      <c r="B4006" t="str">
        <f>"-0.64"</f>
        <v>-0.64</v>
      </c>
      <c r="C4006" t="str">
        <f>"65"</f>
        <v>65</v>
      </c>
      <c r="D4006" t="str">
        <f>"One Step More and You Die"</f>
        <v>One Step More and You Die</v>
      </c>
    </row>
    <row r="4007" spans="1:4" x14ac:dyDescent="0.2">
      <c r="A4007" t="str">
        <f>"4006"</f>
        <v>4006</v>
      </c>
      <c r="B4007" t="str">
        <f>"-0.8"</f>
        <v>-0.8</v>
      </c>
      <c r="C4007" t="str">
        <f>"63"</f>
        <v>63</v>
      </c>
      <c r="D4007" t="str">
        <f>"Lines Are Infinitely Fine"</f>
        <v>Lines Are Infinitely Fine</v>
      </c>
    </row>
    <row r="4008" spans="1:4" x14ac:dyDescent="0.2">
      <c r="A4008" t="str">
        <f>"4007"</f>
        <v>4007</v>
      </c>
      <c r="B4008" t="str">
        <f>"-1.06"</f>
        <v>-1.06</v>
      </c>
      <c r="C4008" t="str">
        <f>"114"</f>
        <v>114</v>
      </c>
      <c r="D4008" t="str">
        <f>"De-Loused in the Comatorium"</f>
        <v>De-Loused in the Comatorium</v>
      </c>
    </row>
    <row r="4009" spans="1:4" x14ac:dyDescent="0.2">
      <c r="A4009" t="str">
        <f>"4008"</f>
        <v>4008</v>
      </c>
      <c r="B4009" t="str">
        <f>"1.27"</f>
        <v>1.27</v>
      </c>
      <c r="C4009" t="str">
        <f>"34"</f>
        <v>34</v>
      </c>
      <c r="D4009" t="str">
        <f>"20: Singles and EPs '94-'96"</f>
        <v>20: Singles and EPs '94-'96</v>
      </c>
    </row>
    <row r="4010" spans="1:4" x14ac:dyDescent="0.2">
      <c r="A4010" t="str">
        <f>"4009"</f>
        <v>4009</v>
      </c>
      <c r="B4010" t="str">
        <f>"0.56"</f>
        <v>0.56</v>
      </c>
      <c r="C4010" t="str">
        <f>"61"</f>
        <v>61</v>
      </c>
      <c r="D4010" t="s">
        <v>137</v>
      </c>
    </row>
    <row r="4011" spans="1:4" x14ac:dyDescent="0.2">
      <c r="A4011" t="str">
        <f>"4010"</f>
        <v>4010</v>
      </c>
      <c r="B4011" t="str">
        <f>"0.83"</f>
        <v>0.83</v>
      </c>
      <c r="C4011" t="str">
        <f>"43"</f>
        <v>43</v>
      </c>
      <c r="D4011" t="str">
        <f>"Heroin"</f>
        <v>Heroin</v>
      </c>
    </row>
    <row r="4012" spans="1:4" x14ac:dyDescent="0.2">
      <c r="A4012" t="str">
        <f>"4011"</f>
        <v>4011</v>
      </c>
      <c r="B4012" t="str">
        <f>"0.1"</f>
        <v>0.1</v>
      </c>
      <c r="C4012" t="str">
        <f>"48"</f>
        <v>48</v>
      </c>
      <c r="D4012" t="str">
        <f>"From Every Sphere"</f>
        <v>From Every Sphere</v>
      </c>
    </row>
    <row r="4013" spans="1:4" x14ac:dyDescent="0.2">
      <c r="A4013" t="str">
        <f>"4012"</f>
        <v>4012</v>
      </c>
      <c r="B4013" t="str">
        <f>"0.29"</f>
        <v>0.29</v>
      </c>
      <c r="C4013" t="str">
        <f>"64"</f>
        <v>64</v>
      </c>
      <c r="D4013" t="str">
        <f>"Everyone Down Here"</f>
        <v>Everyone Down Here</v>
      </c>
    </row>
    <row r="4014" spans="1:4" x14ac:dyDescent="0.2">
      <c r="A4014" t="str">
        <f>"4013"</f>
        <v>4013</v>
      </c>
      <c r="B4014" t="str">
        <f>"-1.22"</f>
        <v>-1.22</v>
      </c>
      <c r="C4014" t="str">
        <f>"53"</f>
        <v>53</v>
      </c>
      <c r="D4014" t="str">
        <f>"Deftones"</f>
        <v>Deftones</v>
      </c>
    </row>
    <row r="4015" spans="1:4" x14ac:dyDescent="0.2">
      <c r="A4015" t="str">
        <f>"4014"</f>
        <v>4014</v>
      </c>
      <c r="B4015" t="str">
        <f>"-0.57"</f>
        <v>-0.57</v>
      </c>
      <c r="C4015" t="str">
        <f>"49"</f>
        <v>49</v>
      </c>
      <c r="D4015" t="str">
        <f>"A Slow Messe"</f>
        <v>A Slow Messe</v>
      </c>
    </row>
    <row r="4016" spans="1:4" x14ac:dyDescent="0.2">
      <c r="A4016" t="str">
        <f>"4015"</f>
        <v>4015</v>
      </c>
      <c r="B4016" t="str">
        <f>"-0.07"</f>
        <v>-0.07</v>
      </c>
      <c r="C4016" t="str">
        <f>"80"</f>
        <v>80</v>
      </c>
      <c r="D4016" t="str">
        <f>"Liz Phair"</f>
        <v>Liz Phair</v>
      </c>
    </row>
    <row r="4017" spans="1:4" x14ac:dyDescent="0.2">
      <c r="A4017" t="str">
        <f>"4016"</f>
        <v>4016</v>
      </c>
      <c r="B4017" t="str">
        <f>"-0.05"</f>
        <v>-0.05</v>
      </c>
      <c r="C4017" t="str">
        <f>"52"</f>
        <v>52</v>
      </c>
      <c r="D4017" t="str">
        <f>"Giraffe"</f>
        <v>Giraffe</v>
      </c>
    </row>
    <row r="4018" spans="1:4" x14ac:dyDescent="0.2">
      <c r="A4018" t="str">
        <f>"4017"</f>
        <v>4017</v>
      </c>
      <c r="B4018" t="str">
        <f>"-0.58"</f>
        <v>-0.58</v>
      </c>
      <c r="C4018" t="str">
        <f>"64"</f>
        <v>64</v>
      </c>
      <c r="D4018" t="str">
        <f>"'...And Farewell to Hightide/Lighthouse in Athens' and 'Elements of Structure/Permanence'"</f>
        <v>'...And Farewell to Hightide/Lighthouse in Athens' and 'Elements of Structure/Permanence'</v>
      </c>
    </row>
    <row r="4019" spans="1:4" x14ac:dyDescent="0.2">
      <c r="A4019" t="str">
        <f>"4018"</f>
        <v>4018</v>
      </c>
      <c r="B4019" t="str">
        <f>"-0.19"</f>
        <v>-0.19</v>
      </c>
      <c r="C4019" t="str">
        <f>"72"</f>
        <v>72</v>
      </c>
      <c r="D4019" t="str">
        <f>"Take Your Skin Off"</f>
        <v>Take Your Skin Off</v>
      </c>
    </row>
    <row r="4020" spans="1:4" x14ac:dyDescent="0.2">
      <c r="A4020" t="str">
        <f>"4019"</f>
        <v>4019</v>
      </c>
      <c r="B4020" t="str">
        <f>"-0.73"</f>
        <v>-0.73</v>
      </c>
      <c r="C4020" t="str">
        <f>"83"</f>
        <v>83</v>
      </c>
      <c r="D4020" t="str">
        <f>"Plague Soundscapes"</f>
        <v>Plague Soundscapes</v>
      </c>
    </row>
    <row r="4021" spans="1:4" x14ac:dyDescent="0.2">
      <c r="A4021" t="str">
        <f>"4020"</f>
        <v>4020</v>
      </c>
      <c r="B4021" t="str">
        <f>"-0.21"</f>
        <v>-0.21</v>
      </c>
      <c r="C4021" t="str">
        <f>"24"</f>
        <v>24</v>
      </c>
      <c r="D4021" t="str">
        <f>"L'Avventura"</f>
        <v>L'Avventura</v>
      </c>
    </row>
    <row r="4022" spans="1:4" x14ac:dyDescent="0.2">
      <c r="A4022" t="str">
        <f>"4021"</f>
        <v>4021</v>
      </c>
      <c r="B4022" t="str">
        <f>"0.12"</f>
        <v>0.12</v>
      </c>
      <c r="C4022" t="str">
        <f>"51"</f>
        <v>51</v>
      </c>
      <c r="D4022" t="str">
        <f>"I'm Staying Out"</f>
        <v>I'm Staying Out</v>
      </c>
    </row>
    <row r="4023" spans="1:4" x14ac:dyDescent="0.2">
      <c r="A4023" t="str">
        <f>"4022"</f>
        <v>4022</v>
      </c>
      <c r="B4023" t="str">
        <f>"0.93"</f>
        <v>0.93</v>
      </c>
      <c r="C4023" t="str">
        <f>"45"</f>
        <v>45</v>
      </c>
      <c r="D4023" t="str">
        <f>"I Know Your Troubles Been Long"</f>
        <v>I Know Your Troubles Been Long</v>
      </c>
    </row>
    <row r="4024" spans="1:4" x14ac:dyDescent="0.2">
      <c r="A4024" t="str">
        <f>"4023"</f>
        <v>4023</v>
      </c>
      <c r="B4024" t="str">
        <f>"-0.88"</f>
        <v>-0.88</v>
      </c>
      <c r="C4024" t="str">
        <f>"57"</f>
        <v>57</v>
      </c>
      <c r="D4024" t="str">
        <f>"Absolutes"</f>
        <v>Absolutes</v>
      </c>
    </row>
    <row r="4025" spans="1:4" x14ac:dyDescent="0.2">
      <c r="A4025" t="str">
        <f>"4024"</f>
        <v>4024</v>
      </c>
      <c r="B4025" t="str">
        <f>"-1.3"</f>
        <v>-1.3</v>
      </c>
      <c r="C4025" t="str">
        <f>"20"</f>
        <v>20</v>
      </c>
      <c r="D4025" t="str">
        <f>"Vigil"</f>
        <v>Vigil</v>
      </c>
    </row>
    <row r="4026" spans="1:4" x14ac:dyDescent="0.2">
      <c r="A4026" t="str">
        <f>"4025"</f>
        <v>4025</v>
      </c>
      <c r="B4026" t="str">
        <f>"0.16"</f>
        <v>0.16</v>
      </c>
      <c r="C4026" t="str">
        <f>"44"</f>
        <v>44</v>
      </c>
      <c r="D4026" t="str">
        <f>"Shivering King and Others"</f>
        <v>Shivering King and Others</v>
      </c>
    </row>
    <row r="4027" spans="1:4" x14ac:dyDescent="0.2">
      <c r="A4027" t="str">
        <f>"4026"</f>
        <v>4026</v>
      </c>
      <c r="B4027" t="str">
        <f>"-0.38"</f>
        <v>-0.38</v>
      </c>
      <c r="C4027" t="str">
        <f>"55"</f>
        <v>55</v>
      </c>
      <c r="D4027" t="s">
        <v>138</v>
      </c>
    </row>
    <row r="4028" spans="1:4" x14ac:dyDescent="0.2">
      <c r="A4028" t="str">
        <f>"4027"</f>
        <v>4027</v>
      </c>
      <c r="B4028" t="str">
        <f>"-0.69"</f>
        <v>-0.69</v>
      </c>
      <c r="C4028" t="str">
        <f>"50"</f>
        <v>50</v>
      </c>
      <c r="D4028" t="str">
        <f>"No More Wig For Ohio"</f>
        <v>No More Wig For Ohio</v>
      </c>
    </row>
    <row r="4029" spans="1:4" x14ac:dyDescent="0.2">
      <c r="A4029" t="str">
        <f>"4028"</f>
        <v>4028</v>
      </c>
      <c r="B4029" t="str">
        <f>"0.03"</f>
        <v>0.03</v>
      </c>
      <c r="C4029" t="str">
        <f>"57"</f>
        <v>57</v>
      </c>
      <c r="D4029" t="str">
        <f>"Cedars"</f>
        <v>Cedars</v>
      </c>
    </row>
    <row r="4030" spans="1:4" x14ac:dyDescent="0.2">
      <c r="A4030" t="str">
        <f>"4029"</f>
        <v>4029</v>
      </c>
      <c r="B4030" t="str">
        <f>"-0.68"</f>
        <v>-0.68</v>
      </c>
      <c r="C4030" t="str">
        <f>"83"</f>
        <v>83</v>
      </c>
      <c r="D4030" t="str">
        <f>"The Ascension"</f>
        <v>The Ascension</v>
      </c>
    </row>
    <row r="4031" spans="1:4" x14ac:dyDescent="0.2">
      <c r="A4031" t="str">
        <f>"4030"</f>
        <v>4030</v>
      </c>
      <c r="B4031" t="str">
        <f>"0.53"</f>
        <v>0.53</v>
      </c>
      <c r="C4031" t="str">
        <f>"46"</f>
        <v>46</v>
      </c>
      <c r="D4031" t="str">
        <f>"Rivers &amp; Bridges"</f>
        <v>Rivers &amp; Bridges</v>
      </c>
    </row>
    <row r="4032" spans="1:4" x14ac:dyDescent="0.2">
      <c r="A4032" t="str">
        <f>"4031"</f>
        <v>4031</v>
      </c>
      <c r="B4032" t="str">
        <f>"0.78"</f>
        <v>0.78</v>
      </c>
      <c r="C4032" t="str">
        <f>"46"</f>
        <v>46</v>
      </c>
      <c r="D4032" t="str">
        <f>"Passages Through"</f>
        <v>Passages Through</v>
      </c>
    </row>
    <row r="4033" spans="1:4" x14ac:dyDescent="0.2">
      <c r="A4033" t="str">
        <f>"4032"</f>
        <v>4032</v>
      </c>
      <c r="B4033" t="str">
        <f>"0.04"</f>
        <v>0.04</v>
      </c>
      <c r="C4033" t="str">
        <f>"54"</f>
        <v>54</v>
      </c>
      <c r="D4033" t="str">
        <f>"Nu Frequency"</f>
        <v>Nu Frequency</v>
      </c>
    </row>
    <row r="4034" spans="1:4" x14ac:dyDescent="0.2">
      <c r="A4034" t="str">
        <f>"4033"</f>
        <v>4033</v>
      </c>
      <c r="B4034" t="str">
        <f>"-0.22"</f>
        <v>-0.22</v>
      </c>
      <c r="C4034" t="str">
        <f>"56"</f>
        <v>56</v>
      </c>
      <c r="D4034" t="str">
        <f>"Notwist"</f>
        <v>Notwist</v>
      </c>
    </row>
    <row r="4035" spans="1:4" x14ac:dyDescent="0.2">
      <c r="A4035" t="str">
        <f>"4034"</f>
        <v>4034</v>
      </c>
      <c r="B4035" t="str">
        <f>"0.44"</f>
        <v>0.44</v>
      </c>
      <c r="C4035" t="str">
        <f>"46"</f>
        <v>46</v>
      </c>
      <c r="D4035" t="str">
        <f>"Prospect Park"</f>
        <v>Prospect Park</v>
      </c>
    </row>
    <row r="4036" spans="1:4" x14ac:dyDescent="0.2">
      <c r="A4036" t="str">
        <f>"4035"</f>
        <v>4035</v>
      </c>
      <c r="B4036" t="str">
        <f>"-0.62"</f>
        <v>-0.62</v>
      </c>
      <c r="C4036" t="str">
        <f>"54"</f>
        <v>54</v>
      </c>
      <c r="D4036" t="str">
        <f>"Movement"</f>
        <v>Movement</v>
      </c>
    </row>
    <row r="4037" spans="1:4" x14ac:dyDescent="0.2">
      <c r="A4037" t="str">
        <f>"4036"</f>
        <v>4036</v>
      </c>
      <c r="B4037" t="str">
        <f>"-0.14"</f>
        <v>-0.14</v>
      </c>
      <c r="C4037" t="str">
        <f>"77"</f>
        <v>77</v>
      </c>
      <c r="D4037" t="str">
        <f>"Happy Songs for Happy People"</f>
        <v>Happy Songs for Happy People</v>
      </c>
    </row>
    <row r="4038" spans="1:4" x14ac:dyDescent="0.2">
      <c r="A4038" t="str">
        <f>"4037"</f>
        <v>4037</v>
      </c>
      <c r="B4038" t="str">
        <f>"-0.03"</f>
        <v>-0.03</v>
      </c>
      <c r="C4038" t="str">
        <f>"68"</f>
        <v>68</v>
      </c>
      <c r="D4038" t="str">
        <f>"Blues Goblins"</f>
        <v>Blues Goblins</v>
      </c>
    </row>
    <row r="4039" spans="1:4" x14ac:dyDescent="0.2">
      <c r="A4039" t="str">
        <f>"4038"</f>
        <v>4038</v>
      </c>
      <c r="B4039" t="str">
        <f>"0.02"</f>
        <v>0.02</v>
      </c>
      <c r="C4039" t="str">
        <f>"67"</f>
        <v>67</v>
      </c>
      <c r="D4039" t="str">
        <f>"Welcome Interstate Managers"</f>
        <v>Welcome Interstate Managers</v>
      </c>
    </row>
    <row r="4040" spans="1:4" x14ac:dyDescent="0.2">
      <c r="A4040" t="str">
        <f>"4039"</f>
        <v>4039</v>
      </c>
      <c r="B4040" t="str">
        <f>"-1.01"</f>
        <v>-1.01</v>
      </c>
      <c r="C4040" t="str">
        <f>"58"</f>
        <v>58</v>
      </c>
      <c r="D4040" t="str">
        <f>"Here Comes the Indian"</f>
        <v>Here Comes the Indian</v>
      </c>
    </row>
    <row r="4041" spans="1:4" x14ac:dyDescent="0.2">
      <c r="A4041" t="str">
        <f>"4040"</f>
        <v>4040</v>
      </c>
      <c r="B4041" t="str">
        <f>"0.18"</f>
        <v>0.18</v>
      </c>
      <c r="C4041" t="str">
        <f>"49"</f>
        <v>49</v>
      </c>
      <c r="D4041" t="str">
        <f>"Enantiodromia"</f>
        <v>Enantiodromia</v>
      </c>
    </row>
    <row r="4042" spans="1:4" x14ac:dyDescent="0.2">
      <c r="A4042" t="str">
        <f>"4041"</f>
        <v>4041</v>
      </c>
      <c r="B4042" t="str">
        <f>"-0.42"</f>
        <v>-0.42</v>
      </c>
      <c r="C4042" t="str">
        <f>"66"</f>
        <v>66</v>
      </c>
      <c r="D4042" t="str">
        <f>"Ego War"</f>
        <v>Ego War</v>
      </c>
    </row>
    <row r="4043" spans="1:4" x14ac:dyDescent="0.2">
      <c r="A4043" t="str">
        <f>"4042"</f>
        <v>4042</v>
      </c>
      <c r="B4043" t="str">
        <f>"0.72"</f>
        <v>0.72</v>
      </c>
      <c r="C4043" t="str">
        <f>"33"</f>
        <v>33</v>
      </c>
      <c r="D4043" t="str">
        <f>"Dragyn"</f>
        <v>Dragyn</v>
      </c>
    </row>
    <row r="4044" spans="1:4" x14ac:dyDescent="0.2">
      <c r="A4044" t="str">
        <f>"4043"</f>
        <v>4043</v>
      </c>
      <c r="B4044" t="str">
        <f>"-0.23"</f>
        <v>-0.23</v>
      </c>
      <c r="C4044" t="str">
        <f>"53"</f>
        <v>53</v>
      </c>
      <c r="D4044" t="str">
        <f>"Cell-Scape"</f>
        <v>Cell-Scape</v>
      </c>
    </row>
    <row r="4045" spans="1:4" x14ac:dyDescent="0.2">
      <c r="A4045" t="str">
        <f>"4044"</f>
        <v>4044</v>
      </c>
      <c r="B4045" t="str">
        <f>"0.51"</f>
        <v>0.51</v>
      </c>
      <c r="C4045" t="str">
        <f>"82"</f>
        <v>82</v>
      </c>
      <c r="D4045" t="str">
        <f>"Yes New York"</f>
        <v>Yes New York</v>
      </c>
    </row>
    <row r="4046" spans="1:4" x14ac:dyDescent="0.2">
      <c r="A4046" t="str">
        <f>"4045"</f>
        <v>4045</v>
      </c>
      <c r="B4046" t="str">
        <f>"-0.55"</f>
        <v>-0.55</v>
      </c>
      <c r="C4046" t="str">
        <f>"40"</f>
        <v>40</v>
      </c>
      <c r="D4046" t="str">
        <f>"Songs for an Unborn Sun"</f>
        <v>Songs for an Unborn Sun</v>
      </c>
    </row>
    <row r="4047" spans="1:4" x14ac:dyDescent="0.2">
      <c r="A4047" t="str">
        <f>"4046"</f>
        <v>4046</v>
      </c>
      <c r="B4047" t="str">
        <f>"-0.35"</f>
        <v>-0.35</v>
      </c>
      <c r="C4047" t="str">
        <f>"57"</f>
        <v>57</v>
      </c>
      <c r="D4047" t="str">
        <f>"Oskar Tennis Champion"</f>
        <v>Oskar Tennis Champion</v>
      </c>
    </row>
    <row r="4048" spans="1:4" x14ac:dyDescent="0.2">
      <c r="A4048" t="str">
        <f>"4047"</f>
        <v>4047</v>
      </c>
      <c r="B4048" t="str">
        <f>"-1"</f>
        <v>-1</v>
      </c>
      <c r="C4048" t="str">
        <f>"60"</f>
        <v>60</v>
      </c>
      <c r="D4048" t="str">
        <f>"Asleep Many Years in the Wood"</f>
        <v>Asleep Many Years in the Wood</v>
      </c>
    </row>
    <row r="4049" spans="1:4" x14ac:dyDescent="0.2">
      <c r="A4049" t="str">
        <f>"4048"</f>
        <v>4048</v>
      </c>
      <c r="B4049" t="str">
        <f>"-0.58"</f>
        <v>-0.58</v>
      </c>
      <c r="C4049" t="str">
        <f>"48"</f>
        <v>48</v>
      </c>
      <c r="D4049" t="str">
        <f>"Are You Ready for an Organ Solo?"</f>
        <v>Are You Ready for an Organ Solo?</v>
      </c>
    </row>
    <row r="4050" spans="1:4" x14ac:dyDescent="0.2">
      <c r="A4050" t="str">
        <f>"4049"</f>
        <v>4049</v>
      </c>
      <c r="B4050" t="str">
        <f>"-0.13"</f>
        <v>-0.13</v>
      </c>
      <c r="C4050" t="str">
        <f>"75"</f>
        <v>75</v>
      </c>
      <c r="D4050" t="str">
        <f>"The Mess We Made"</f>
        <v>The Mess We Made</v>
      </c>
    </row>
    <row r="4051" spans="1:4" x14ac:dyDescent="0.2">
      <c r="A4051" t="str">
        <f>"4050"</f>
        <v>4050</v>
      </c>
      <c r="B4051" t="str">
        <f>"-0.75"</f>
        <v>-0.75</v>
      </c>
      <c r="C4051" t="str">
        <f>"156"</f>
        <v>156</v>
      </c>
      <c r="D4051" t="str">
        <f>"St. Anger"</f>
        <v>St. Anger</v>
      </c>
    </row>
    <row r="4052" spans="1:4" x14ac:dyDescent="0.2">
      <c r="A4052" t="str">
        <f>"4051"</f>
        <v>4051</v>
      </c>
      <c r="B4052" t="str">
        <f>"-0.13"</f>
        <v>-0.13</v>
      </c>
      <c r="C4052" t="str">
        <f>"68"</f>
        <v>68</v>
      </c>
      <c r="D4052" t="str">
        <f>"Reset the Preset"</f>
        <v>Reset the Preset</v>
      </c>
    </row>
    <row r="4053" spans="1:4" x14ac:dyDescent="0.2">
      <c r="A4053" t="str">
        <f>"4052"</f>
        <v>4052</v>
      </c>
      <c r="B4053" t="str">
        <f>"0.21"</f>
        <v>0.21</v>
      </c>
      <c r="C4053" t="str">
        <f>"57"</f>
        <v>57</v>
      </c>
      <c r="D4053" t="str">
        <f>"Love &amp; Hate"</f>
        <v>Love &amp; Hate</v>
      </c>
    </row>
    <row r="4054" spans="1:4" x14ac:dyDescent="0.2">
      <c r="A4054" t="str">
        <f>"4053"</f>
        <v>4053</v>
      </c>
      <c r="B4054" t="str">
        <f>"0.42"</f>
        <v>0.42</v>
      </c>
      <c r="C4054" t="str">
        <f>"85"</f>
        <v>85</v>
      </c>
      <c r="D4054" t="s">
        <v>139</v>
      </c>
    </row>
    <row r="4055" spans="1:4" x14ac:dyDescent="0.2">
      <c r="A4055" t="str">
        <f>"4054"</f>
        <v>4054</v>
      </c>
      <c r="B4055" t="str">
        <f>"-0.26"</f>
        <v>-0.26</v>
      </c>
      <c r="C4055" t="str">
        <f>"53"</f>
        <v>53</v>
      </c>
      <c r="D4055" t="str">
        <f>"Pelican Songs"</f>
        <v>Pelican Songs</v>
      </c>
    </row>
    <row r="4056" spans="1:4" x14ac:dyDescent="0.2">
      <c r="A4056" t="str">
        <f>"4055"</f>
        <v>4055</v>
      </c>
      <c r="B4056" t="str">
        <f>"0.71"</f>
        <v>0.71</v>
      </c>
      <c r="C4056" t="str">
        <f>"69"</f>
        <v>69</v>
      </c>
      <c r="D4056" t="str">
        <f>"Let's Get Ready to Crumble"</f>
        <v>Let's Get Ready to Crumble</v>
      </c>
    </row>
    <row r="4057" spans="1:4" x14ac:dyDescent="0.2">
      <c r="A4057" t="str">
        <f>"4056"</f>
        <v>4056</v>
      </c>
      <c r="B4057" t="str">
        <f>"0.56"</f>
        <v>0.56</v>
      </c>
      <c r="C4057" t="str">
        <f>"51"</f>
        <v>51</v>
      </c>
      <c r="D4057" t="str">
        <f>"For Frosty Mornings and Summer Nights"</f>
        <v>For Frosty Mornings and Summer Nights</v>
      </c>
    </row>
    <row r="4058" spans="1:4" x14ac:dyDescent="0.2">
      <c r="A4058" t="str">
        <f>"4057"</f>
        <v>4057</v>
      </c>
      <c r="B4058" t="str">
        <f>"-0.45"</f>
        <v>-0.45</v>
      </c>
      <c r="C4058" t="str">
        <f>"66"</f>
        <v>66</v>
      </c>
      <c r="D4058" t="s">
        <v>140</v>
      </c>
    </row>
    <row r="4059" spans="1:4" x14ac:dyDescent="0.2">
      <c r="A4059" t="str">
        <f>"4058"</f>
        <v>4058</v>
      </c>
      <c r="B4059" t="str">
        <f>"0.35"</f>
        <v>0.35</v>
      </c>
      <c r="C4059" t="str">
        <f>"34"</f>
        <v>34</v>
      </c>
      <c r="D4059" t="str">
        <f>"City Reading"</f>
        <v>City Reading</v>
      </c>
    </row>
    <row r="4060" spans="1:4" x14ac:dyDescent="0.2">
      <c r="A4060" t="str">
        <f>"4059"</f>
        <v>4059</v>
      </c>
      <c r="B4060" t="str">
        <f>"-0.71"</f>
        <v>-0.71</v>
      </c>
      <c r="C4060" t="str">
        <f>"66"</f>
        <v>66</v>
      </c>
      <c r="D4060" t="str">
        <f>"Your Love Means Everything"</f>
        <v>Your Love Means Everything</v>
      </c>
    </row>
    <row r="4061" spans="1:4" x14ac:dyDescent="0.2">
      <c r="A4061" t="str">
        <f>"4060"</f>
        <v>4060</v>
      </c>
      <c r="B4061" t="str">
        <f>"0.48"</f>
        <v>0.48</v>
      </c>
      <c r="C4061" t="str">
        <f>"47"</f>
        <v>47</v>
      </c>
      <c r="D4061" t="str">
        <f>"Trinity Neon"</f>
        <v>Trinity Neon</v>
      </c>
    </row>
    <row r="4062" spans="1:4" x14ac:dyDescent="0.2">
      <c r="A4062" t="str">
        <f>"4061"</f>
        <v>4061</v>
      </c>
      <c r="B4062" t="str">
        <f>"-0.27"</f>
        <v>-0.27</v>
      </c>
      <c r="C4062" t="str">
        <f>"63"</f>
        <v>63</v>
      </c>
      <c r="D4062" t="str">
        <f>"Raw and Rare"</f>
        <v>Raw and Rare</v>
      </c>
    </row>
    <row r="4063" spans="1:4" x14ac:dyDescent="0.2">
      <c r="A4063" t="str">
        <f>"4062"</f>
        <v>4062</v>
      </c>
      <c r="B4063" t="str">
        <f>"0.05"</f>
        <v>0.05</v>
      </c>
      <c r="C4063" t="str">
        <f>"135"</f>
        <v>135</v>
      </c>
      <c r="D4063" t="str">
        <f>"How the West Was Won"</f>
        <v>How the West Was Won</v>
      </c>
    </row>
    <row r="4064" spans="1:4" x14ac:dyDescent="0.2">
      <c r="A4064" t="str">
        <f>"4063"</f>
        <v>4063</v>
      </c>
      <c r="B4064" t="str">
        <f>"-0.88"</f>
        <v>-0.88</v>
      </c>
      <c r="C4064" t="str">
        <f>"43"</f>
        <v>43</v>
      </c>
      <c r="D4064" t="str">
        <f>"Halloween Party"</f>
        <v>Halloween Party</v>
      </c>
    </row>
    <row r="4065" spans="1:4" x14ac:dyDescent="0.2">
      <c r="A4065" t="str">
        <f>"4064"</f>
        <v>4064</v>
      </c>
      <c r="B4065" t="str">
        <f>"-0.39"</f>
        <v>-0.39</v>
      </c>
      <c r="C4065" t="str">
        <f>"69"</f>
        <v>69</v>
      </c>
      <c r="D4065" t="str">
        <f>"They Ate Themselves"</f>
        <v>They Ate Themselves</v>
      </c>
    </row>
    <row r="4066" spans="1:4" x14ac:dyDescent="0.2">
      <c r="A4066" t="str">
        <f>"4065"</f>
        <v>4065</v>
      </c>
      <c r="B4066" t="str">
        <f>"0.01"</f>
        <v>0.01</v>
      </c>
      <c r="C4066" t="str">
        <f>"43"</f>
        <v>43</v>
      </c>
      <c r="D4066" t="str">
        <f>"Sigur 1/Sigur 9 EP"</f>
        <v>Sigur 1/Sigur 9 EP</v>
      </c>
    </row>
    <row r="4067" spans="1:4" x14ac:dyDescent="0.2">
      <c r="A4067" t="str">
        <f>"4066"</f>
        <v>4066</v>
      </c>
      <c r="B4067" t="str">
        <f>"0.31"</f>
        <v>0.31</v>
      </c>
      <c r="C4067" t="str">
        <f>"37"</f>
        <v>37</v>
      </c>
      <c r="D4067" t="str">
        <f>"In Fine Style: Original Rockers 7"" and 12"" Selection 1973-1979"</f>
        <v>In Fine Style: Original Rockers 7" and 12" Selection 1973-1979</v>
      </c>
    </row>
    <row r="4068" spans="1:4" x14ac:dyDescent="0.2">
      <c r="A4068" t="str">
        <f>"4067"</f>
        <v>4067</v>
      </c>
      <c r="B4068" t="str">
        <f>"0.42"</f>
        <v>0.42</v>
      </c>
      <c r="C4068" t="str">
        <f>"72"</f>
        <v>72</v>
      </c>
      <c r="D4068" t="str">
        <f>"Desengano"</f>
        <v>Desengano</v>
      </c>
    </row>
    <row r="4069" spans="1:4" x14ac:dyDescent="0.2">
      <c r="A4069" t="str">
        <f>"4068"</f>
        <v>4068</v>
      </c>
      <c r="B4069" t="str">
        <f>"0"</f>
        <v>0</v>
      </c>
      <c r="C4069" t="str">
        <f>"2"</f>
        <v>2</v>
      </c>
      <c r="D4069" t="str">
        <f>"A Grown-Ass Man"</f>
        <v>A Grown-Ass Man</v>
      </c>
    </row>
    <row r="4070" spans="1:4" x14ac:dyDescent="0.2">
      <c r="A4070" t="str">
        <f>"4069"</f>
        <v>4069</v>
      </c>
      <c r="B4070" t="str">
        <f>"0.05"</f>
        <v>0.05</v>
      </c>
      <c r="C4070" t="str">
        <f>"70"</f>
        <v>70</v>
      </c>
      <c r="D4070" t="str">
        <f>"Triste"</f>
        <v>Triste</v>
      </c>
    </row>
    <row r="4071" spans="1:4" x14ac:dyDescent="0.2">
      <c r="A4071" t="str">
        <f>"4070"</f>
        <v>4070</v>
      </c>
      <c r="B4071" t="str">
        <f>"0.46"</f>
        <v>0.46</v>
      </c>
      <c r="C4071" t="str">
        <f>"61"</f>
        <v>61</v>
      </c>
      <c r="D4071" t="str">
        <f>"The Black Babies EP"</f>
        <v>The Black Babies EP</v>
      </c>
    </row>
    <row r="4072" spans="1:4" x14ac:dyDescent="0.2">
      <c r="A4072" t="str">
        <f>"4071"</f>
        <v>4071</v>
      </c>
      <c r="B4072" t="str">
        <f>"-0.37"</f>
        <v>-0.37</v>
      </c>
      <c r="C4072" t="str">
        <f>"59"</f>
        <v>59</v>
      </c>
      <c r="D4072" t="str">
        <f>"Slow Charm"</f>
        <v>Slow Charm</v>
      </c>
    </row>
    <row r="4073" spans="1:4" x14ac:dyDescent="0.2">
      <c r="A4073" t="str">
        <f>"4072"</f>
        <v>4072</v>
      </c>
      <c r="B4073" t="str">
        <f>"1.54"</f>
        <v>1.54</v>
      </c>
      <c r="C4073" t="str">
        <f>"42"</f>
        <v>42</v>
      </c>
      <c r="D4073" t="str">
        <f>"Opera"</f>
        <v>Opera</v>
      </c>
    </row>
    <row r="4074" spans="1:4" x14ac:dyDescent="0.2">
      <c r="A4074" t="str">
        <f>"4073"</f>
        <v>4073</v>
      </c>
      <c r="B4074" t="str">
        <f>"-0.81"</f>
        <v>-0.81</v>
      </c>
      <c r="C4074" t="str">
        <f>"36"</f>
        <v>36</v>
      </c>
      <c r="D4074" t="str">
        <f>"White Noise"</f>
        <v>White Noise</v>
      </c>
    </row>
    <row r="4075" spans="1:4" x14ac:dyDescent="0.2">
      <c r="A4075" t="str">
        <f>"4074"</f>
        <v>4074</v>
      </c>
      <c r="B4075" t="str">
        <f>"-0.13"</f>
        <v>-0.13</v>
      </c>
      <c r="C4075" t="str">
        <f>"61"</f>
        <v>61</v>
      </c>
      <c r="D4075" t="str">
        <f>"We Walk the Young Earth"</f>
        <v>We Walk the Young Earth</v>
      </c>
    </row>
    <row r="4076" spans="1:4" x14ac:dyDescent="0.2">
      <c r="A4076" t="str">
        <f>"4075"</f>
        <v>4075</v>
      </c>
      <c r="B4076" t="str">
        <f>"-0.8"</f>
        <v>-0.8</v>
      </c>
      <c r="C4076" t="str">
        <f>"85"</f>
        <v>85</v>
      </c>
      <c r="D4076" t="str">
        <f>"Sumday"</f>
        <v>Sumday</v>
      </c>
    </row>
    <row r="4077" spans="1:4" x14ac:dyDescent="0.2">
      <c r="A4077" t="str">
        <f>"4076"</f>
        <v>4076</v>
      </c>
      <c r="B4077" t="str">
        <f>"-0.29"</f>
        <v>-0.29</v>
      </c>
      <c r="C4077" t="str">
        <f>"63"</f>
        <v>63</v>
      </c>
      <c r="D4077" t="str">
        <f>"Pretest"</f>
        <v>Pretest</v>
      </c>
    </row>
    <row r="4078" spans="1:4" x14ac:dyDescent="0.2">
      <c r="A4078" t="str">
        <f>"4077"</f>
        <v>4077</v>
      </c>
      <c r="B4078" t="str">
        <f>"0.03"</f>
        <v>0.03</v>
      </c>
      <c r="C4078" t="str">
        <f>"87"</f>
        <v>87</v>
      </c>
      <c r="D4078" t="str">
        <f>"Converted Thieves"</f>
        <v>Converted Thieves</v>
      </c>
    </row>
    <row r="4079" spans="1:4" x14ac:dyDescent="0.2">
      <c r="A4079" t="str">
        <f>"4078"</f>
        <v>4078</v>
      </c>
      <c r="B4079" t="str">
        <f>"0"</f>
        <v>0</v>
      </c>
      <c r="C4079" t="str">
        <f>"80"</f>
        <v>80</v>
      </c>
      <c r="D4079" t="str">
        <f>"NYC Man: The Collection"</f>
        <v>NYC Man: The Collection</v>
      </c>
    </row>
    <row r="4080" spans="1:4" x14ac:dyDescent="0.2">
      <c r="A4080" t="str">
        <f>"4079"</f>
        <v>4079</v>
      </c>
      <c r="B4080" t="str">
        <f>"0.03"</f>
        <v>0.03</v>
      </c>
      <c r="C4080" t="str">
        <f>"48"</f>
        <v>48</v>
      </c>
      <c r="D4080" t="str">
        <f>"No Podemos Ser Amigos"</f>
        <v>No Podemos Ser Amigos</v>
      </c>
    </row>
    <row r="4081" spans="1:4" x14ac:dyDescent="0.2">
      <c r="A4081" t="str">
        <f>"4080"</f>
        <v>4080</v>
      </c>
      <c r="B4081" t="str">
        <f>"-0.43"</f>
        <v>-0.43</v>
      </c>
      <c r="C4081" t="str">
        <f>"49"</f>
        <v>49</v>
      </c>
      <c r="D4081" t="str">
        <f>"History's First Know-It-All"</f>
        <v>History's First Know-It-All</v>
      </c>
    </row>
    <row r="4082" spans="1:4" x14ac:dyDescent="0.2">
      <c r="A4082" t="str">
        <f>"4081"</f>
        <v>4081</v>
      </c>
      <c r="B4082" t="str">
        <f>"-0.03"</f>
        <v>-0.03</v>
      </c>
      <c r="C4082" t="str">
        <f>"63"</f>
        <v>63</v>
      </c>
      <c r="D4082" t="str">
        <f>"Entertainment Is Over If You Want It"</f>
        <v>Entertainment Is Over If You Want It</v>
      </c>
    </row>
    <row r="4083" spans="1:4" x14ac:dyDescent="0.2">
      <c r="A4083" t="str">
        <f>"4082"</f>
        <v>4082</v>
      </c>
      <c r="B4083" t="str">
        <f>"-0.39"</f>
        <v>-0.39</v>
      </c>
      <c r="C4083" t="str">
        <f>"53"</f>
        <v>53</v>
      </c>
      <c r="D4083" t="str">
        <f>"Us"</f>
        <v>Us</v>
      </c>
    </row>
    <row r="4084" spans="1:4" x14ac:dyDescent="0.2">
      <c r="A4084" t="str">
        <f>"4083"</f>
        <v>4083</v>
      </c>
      <c r="B4084" t="str">
        <f>"-0.03"</f>
        <v>-0.03</v>
      </c>
      <c r="C4084" t="str">
        <f>"69"</f>
        <v>69</v>
      </c>
      <c r="D4084" t="s">
        <v>141</v>
      </c>
    </row>
    <row r="4085" spans="1:4" x14ac:dyDescent="0.2">
      <c r="A4085" t="str">
        <f>"4084"</f>
        <v>4084</v>
      </c>
      <c r="B4085" t="str">
        <f>"0.37"</f>
        <v>0.37</v>
      </c>
      <c r="C4085" t="str">
        <f>"91"</f>
        <v>91</v>
      </c>
      <c r="D4085" t="str">
        <f>"Le Red Soul Communitte (10 Points Program)"</f>
        <v>Le Red Soul Communitte (10 Points Program)</v>
      </c>
    </row>
    <row r="4086" spans="1:4" x14ac:dyDescent="0.2">
      <c r="A4086" t="str">
        <f>"4085"</f>
        <v>4085</v>
      </c>
      <c r="B4086" t="str">
        <f>"-0.3"</f>
        <v>-0.3</v>
      </c>
      <c r="C4086" t="str">
        <f>"70"</f>
        <v>70</v>
      </c>
      <c r="D4086" t="str">
        <f>"Answers"</f>
        <v>Answers</v>
      </c>
    </row>
    <row r="4087" spans="1:4" x14ac:dyDescent="0.2">
      <c r="A4087" t="str">
        <f>"4086"</f>
        <v>4086</v>
      </c>
      <c r="B4087" t="str">
        <f>"0.78"</f>
        <v>0.78</v>
      </c>
      <c r="C4087" t="str">
        <f>"95"</f>
        <v>95</v>
      </c>
      <c r="D4087" t="str">
        <f>"Airports for Light"</f>
        <v>Airports for Light</v>
      </c>
    </row>
    <row r="4088" spans="1:4" x14ac:dyDescent="0.2">
      <c r="A4088" t="str">
        <f>"4087"</f>
        <v>4087</v>
      </c>
      <c r="B4088" t="str">
        <f>"0.67"</f>
        <v>0.67</v>
      </c>
      <c r="C4088" t="str">
        <f>"77"</f>
        <v>77</v>
      </c>
      <c r="D4088" t="str">
        <f>"Tempting: Jenny Toomey Sings the Songs of Franklin Bruno"</f>
        <v>Tempting: Jenny Toomey Sings the Songs of Franklin Bruno</v>
      </c>
    </row>
    <row r="4089" spans="1:4" x14ac:dyDescent="0.2">
      <c r="A4089" t="str">
        <f>"4088"</f>
        <v>4088</v>
      </c>
      <c r="B4089" t="str">
        <f>"0.22"</f>
        <v>0.22</v>
      </c>
      <c r="C4089" t="str">
        <f>"93"</f>
        <v>93</v>
      </c>
      <c r="D4089" t="str">
        <f>"It's Not for You as It Is for Us"</f>
        <v>It's Not for You as It Is for Us</v>
      </c>
    </row>
    <row r="4090" spans="1:4" x14ac:dyDescent="0.2">
      <c r="A4090" t="str">
        <f>"4089"</f>
        <v>4089</v>
      </c>
      <c r="B4090" t="str">
        <f>"0.09"</f>
        <v>0.09</v>
      </c>
      <c r="C4090" t="str">
        <f>"72"</f>
        <v>72</v>
      </c>
      <c r="D4090" t="str">
        <f>"'Fire on Ice' and 'Turn You to Love'"</f>
        <v>'Fire on Ice' and 'Turn You to Love'</v>
      </c>
    </row>
    <row r="4091" spans="1:4" x14ac:dyDescent="0.2">
      <c r="A4091" t="str">
        <f>"4090"</f>
        <v>4090</v>
      </c>
      <c r="B4091" t="str">
        <f>"-0.66"</f>
        <v>-0.66</v>
      </c>
      <c r="C4091" t="str">
        <f>"69"</f>
        <v>69</v>
      </c>
      <c r="D4091" t="str">
        <f>"Fag Patrol"</f>
        <v>Fag Patrol</v>
      </c>
    </row>
    <row r="4092" spans="1:4" x14ac:dyDescent="0.2">
      <c r="A4092" t="str">
        <f>"4091"</f>
        <v>4091</v>
      </c>
      <c r="B4092" t="str">
        <f>"-0.8"</f>
        <v>-0.8</v>
      </c>
      <c r="C4092" t="str">
        <f>"39"</f>
        <v>39</v>
      </c>
      <c r="D4092" t="str">
        <f>"Six Soviet Misfits"</f>
        <v>Six Soviet Misfits</v>
      </c>
    </row>
    <row r="4093" spans="1:4" x14ac:dyDescent="0.2">
      <c r="A4093" t="str">
        <f>"4092"</f>
        <v>4092</v>
      </c>
      <c r="B4093" t="str">
        <f>"1.06"</f>
        <v>1.06</v>
      </c>
      <c r="C4093" t="str">
        <f>"23"</f>
        <v>23</v>
      </c>
      <c r="D4093" t="str">
        <f>"Old Fashioned Love"</f>
        <v>Old Fashioned Love</v>
      </c>
    </row>
    <row r="4094" spans="1:4" x14ac:dyDescent="0.2">
      <c r="A4094" t="str">
        <f>"4093"</f>
        <v>4093</v>
      </c>
      <c r="B4094" t="str">
        <f>"-0.6"</f>
        <v>-0.6</v>
      </c>
      <c r="C4094" t="str">
        <f>"52"</f>
        <v>52</v>
      </c>
      <c r="D4094" t="str">
        <f>"Finery"</f>
        <v>Finery</v>
      </c>
    </row>
    <row r="4095" spans="1:4" x14ac:dyDescent="0.2">
      <c r="A4095" t="str">
        <f>"4094"</f>
        <v>4094</v>
      </c>
      <c r="B4095" t="str">
        <f>"0.15"</f>
        <v>0.15</v>
      </c>
      <c r="C4095" t="str">
        <f>"65"</f>
        <v>65</v>
      </c>
      <c r="D4095" t="str">
        <f>"D-D-Don't Don't Stop the Beat"</f>
        <v>D-D-Don't Don't Stop the Beat</v>
      </c>
    </row>
    <row r="4096" spans="1:4" x14ac:dyDescent="0.2">
      <c r="A4096" t="str">
        <f>"4095"</f>
        <v>4095</v>
      </c>
      <c r="B4096" t="str">
        <f>"0.19"</f>
        <v>0.19</v>
      </c>
      <c r="C4096" t="str">
        <f>"64"</f>
        <v>64</v>
      </c>
      <c r="D4096" t="str">
        <f>"We Are from Nowhere"</f>
        <v>We Are from Nowhere</v>
      </c>
    </row>
    <row r="4097" spans="1:4" x14ac:dyDescent="0.2">
      <c r="A4097" t="str">
        <f>"4096"</f>
        <v>4096</v>
      </c>
      <c r="B4097" t="str">
        <f>"-0.03"</f>
        <v>-0.03</v>
      </c>
      <c r="C4097" t="str">
        <f>"87"</f>
        <v>87</v>
      </c>
      <c r="D4097" t="str">
        <f>"Fire"</f>
        <v>Fire</v>
      </c>
    </row>
    <row r="4098" spans="1:4" x14ac:dyDescent="0.2">
      <c r="A4098" t="str">
        <f>"4097"</f>
        <v>4097</v>
      </c>
      <c r="B4098" t="str">
        <f>"0.66"</f>
        <v>0.66</v>
      </c>
      <c r="C4098" t="str">
        <f>"72"</f>
        <v>72</v>
      </c>
      <c r="D4098" t="str">
        <f>"Deceleration Two"</f>
        <v>Deceleration Two</v>
      </c>
    </row>
    <row r="4099" spans="1:4" x14ac:dyDescent="0.2">
      <c r="A4099" t="str">
        <f>"4098"</f>
        <v>4098</v>
      </c>
      <c r="B4099" t="str">
        <f>"0.37"</f>
        <v>0.37</v>
      </c>
      <c r="C4099" t="str">
        <f>"68"</f>
        <v>68</v>
      </c>
      <c r="D4099" t="str">
        <f>"Computer Recital"</f>
        <v>Computer Recital</v>
      </c>
    </row>
    <row r="4100" spans="1:4" x14ac:dyDescent="0.2">
      <c r="A4100" t="str">
        <f>"4099"</f>
        <v>4099</v>
      </c>
      <c r="B4100" t="str">
        <f>"-0.06"</f>
        <v>-0.06</v>
      </c>
      <c r="C4100" t="str">
        <f>"65"</f>
        <v>65</v>
      </c>
      <c r="D4100" t="str">
        <f>"Alter"</f>
        <v>Alter</v>
      </c>
    </row>
    <row r="4101" spans="1:4" x14ac:dyDescent="0.2">
      <c r="A4101" t="str">
        <f>"4100"</f>
        <v>4100</v>
      </c>
      <c r="B4101" t="str">
        <f>"-0.47"</f>
        <v>-0.47</v>
      </c>
      <c r="C4101" t="str">
        <f>"48"</f>
        <v>48</v>
      </c>
      <c r="D4101" t="str">
        <f>"Nice Up the Dance"</f>
        <v>Nice Up the Dance</v>
      </c>
    </row>
    <row r="4102" spans="1:4" x14ac:dyDescent="0.2">
      <c r="A4102" t="str">
        <f>"4101"</f>
        <v>4101</v>
      </c>
      <c r="B4102" t="str">
        <f>"-0.21"</f>
        <v>-0.21</v>
      </c>
      <c r="C4102" t="str">
        <f>"46"</f>
        <v>46</v>
      </c>
      <c r="D4102" t="str">
        <f>"Jefferson at Rest"</f>
        <v>Jefferson at Rest</v>
      </c>
    </row>
    <row r="4103" spans="1:4" x14ac:dyDescent="0.2">
      <c r="A4103" t="str">
        <f>"4102"</f>
        <v>4102</v>
      </c>
      <c r="B4103" t="str">
        <f>"-1.11"</f>
        <v>-1.11</v>
      </c>
      <c r="C4103" t="str">
        <f>"45"</f>
        <v>45</v>
      </c>
      <c r="D4103" t="str">
        <f>"Failer"</f>
        <v>Failer</v>
      </c>
    </row>
    <row r="4104" spans="1:4" x14ac:dyDescent="0.2">
      <c r="A4104" t="str">
        <f>"4103"</f>
        <v>4103</v>
      </c>
      <c r="B4104" t="str">
        <f>"-0.34"</f>
        <v>-0.34</v>
      </c>
      <c r="C4104" t="str">
        <f>"36"</f>
        <v>36</v>
      </c>
      <c r="D4104" t="str">
        <f>"Broken Girl"</f>
        <v>Broken Girl</v>
      </c>
    </row>
    <row r="4105" spans="1:4" x14ac:dyDescent="0.2">
      <c r="A4105" t="str">
        <f>"4104"</f>
        <v>4104</v>
      </c>
      <c r="B4105" t="str">
        <f>"-1.08"</f>
        <v>-1.08</v>
      </c>
      <c r="C4105" t="str">
        <f>"55"</f>
        <v>55</v>
      </c>
      <c r="D4105" t="str">
        <f>"Zongamin"</f>
        <v>Zongamin</v>
      </c>
    </row>
    <row r="4106" spans="1:4" x14ac:dyDescent="0.2">
      <c r="A4106" t="str">
        <f>"4105"</f>
        <v>4105</v>
      </c>
      <c r="B4106" t="str">
        <f>"0.08"</f>
        <v>0.08</v>
      </c>
      <c r="C4106" t="str">
        <f>"60"</f>
        <v>60</v>
      </c>
      <c r="D4106" t="str">
        <f>"The Howling Hex"</f>
        <v>The Howling Hex</v>
      </c>
    </row>
    <row r="4107" spans="1:4" x14ac:dyDescent="0.2">
      <c r="A4107" t="str">
        <f>"4106"</f>
        <v>4106</v>
      </c>
      <c r="B4107" t="str">
        <f>"-0.52"</f>
        <v>-0.52</v>
      </c>
      <c r="C4107" t="str">
        <f>"74"</f>
        <v>74</v>
      </c>
      <c r="D4107" t="str">
        <f>"Keep It Simple"</f>
        <v>Keep It Simple</v>
      </c>
    </row>
    <row r="4108" spans="1:4" x14ac:dyDescent="0.2">
      <c r="A4108" t="str">
        <f>"4107"</f>
        <v>4107</v>
      </c>
      <c r="B4108" t="str">
        <f>"0.06"</f>
        <v>0.06</v>
      </c>
      <c r="C4108" t="str">
        <f>"63"</f>
        <v>63</v>
      </c>
      <c r="D4108" t="s">
        <v>142</v>
      </c>
    </row>
    <row r="4109" spans="1:4" x14ac:dyDescent="0.2">
      <c r="A4109" t="str">
        <f>"4108"</f>
        <v>4108</v>
      </c>
      <c r="B4109" t="str">
        <f>"-0.58"</f>
        <v>-0.58</v>
      </c>
      <c r="C4109" t="str">
        <f>"39"</f>
        <v>39</v>
      </c>
      <c r="D4109" t="s">
        <v>143</v>
      </c>
    </row>
    <row r="4110" spans="1:4" x14ac:dyDescent="0.2">
      <c r="A4110" t="str">
        <f>"4109"</f>
        <v>4109</v>
      </c>
      <c r="B4110" t="str">
        <f>"-0.47"</f>
        <v>-0.47</v>
      </c>
      <c r="C4110" t="str">
        <f>"56"</f>
        <v>56</v>
      </c>
      <c r="D4110" t="str">
        <f>"Zoo Psychology"</f>
        <v>Zoo Psychology</v>
      </c>
    </row>
    <row r="4111" spans="1:4" x14ac:dyDescent="0.2">
      <c r="A4111" t="str">
        <f>"4110"</f>
        <v>4110</v>
      </c>
      <c r="B4111" t="str">
        <f>"-0.08"</f>
        <v>-0.08</v>
      </c>
      <c r="C4111" t="str">
        <f>"63"</f>
        <v>63</v>
      </c>
      <c r="D4111" t="str">
        <f>"Wetheads Come Running"</f>
        <v>Wetheads Come Running</v>
      </c>
    </row>
    <row r="4112" spans="1:4" x14ac:dyDescent="0.2">
      <c r="A4112" t="str">
        <f>"4111"</f>
        <v>4111</v>
      </c>
      <c r="B4112" t="str">
        <f>"-0.51"</f>
        <v>-0.51</v>
      </c>
      <c r="C4112" t="str">
        <f>"46"</f>
        <v>46</v>
      </c>
      <c r="D4112" t="str">
        <f>"Precollection"</f>
        <v>Precollection</v>
      </c>
    </row>
    <row r="4113" spans="1:4" x14ac:dyDescent="0.2">
      <c r="A4113" t="str">
        <f>"4112"</f>
        <v>4112</v>
      </c>
      <c r="B4113" t="str">
        <f>"0.21"</f>
        <v>0.21</v>
      </c>
      <c r="C4113" t="str">
        <f>"44"</f>
        <v>44</v>
      </c>
      <c r="D4113" t="str">
        <f>"Please Believe It"</f>
        <v>Please Believe It</v>
      </c>
    </row>
    <row r="4114" spans="1:4" x14ac:dyDescent="0.2">
      <c r="A4114" t="str">
        <f>"4113"</f>
        <v>4113</v>
      </c>
      <c r="B4114" t="str">
        <f>"-0.53"</f>
        <v>-0.53</v>
      </c>
      <c r="C4114" t="str">
        <f>"68"</f>
        <v>68</v>
      </c>
      <c r="D4114" t="str">
        <f>"Now"</f>
        <v>Now</v>
      </c>
    </row>
    <row r="4115" spans="1:4" x14ac:dyDescent="0.2">
      <c r="A4115" t="str">
        <f>"4114"</f>
        <v>4114</v>
      </c>
      <c r="B4115" t="str">
        <f>"-1.02"</f>
        <v>-1.02</v>
      </c>
      <c r="C4115" t="str">
        <f>"69"</f>
        <v>69</v>
      </c>
      <c r="D4115" t="str">
        <f>"Shootenanny!"</f>
        <v>Shootenanny!</v>
      </c>
    </row>
    <row r="4116" spans="1:4" x14ac:dyDescent="0.2">
      <c r="A4116" t="str">
        <f>"4115"</f>
        <v>4115</v>
      </c>
      <c r="B4116" t="str">
        <f>"-1.27"</f>
        <v>-1.27</v>
      </c>
      <c r="C4116" t="str">
        <f>"37"</f>
        <v>37</v>
      </c>
      <c r="D4116" t="str">
        <f>"Michigan Haters"</f>
        <v>Michigan Haters</v>
      </c>
    </row>
    <row r="4117" spans="1:4" x14ac:dyDescent="0.2">
      <c r="A4117" t="str">
        <f>"4116"</f>
        <v>4116</v>
      </c>
      <c r="B4117" t="str">
        <f>"0.45"</f>
        <v>0.45</v>
      </c>
      <c r="C4117" t="str">
        <f>"65"</f>
        <v>65</v>
      </c>
      <c r="D4117" t="str">
        <f>"Lovebomb"</f>
        <v>Lovebomb</v>
      </c>
    </row>
    <row r="4118" spans="1:4" x14ac:dyDescent="0.2">
      <c r="A4118" t="str">
        <f>"4117"</f>
        <v>4117</v>
      </c>
      <c r="B4118" t="str">
        <f>"0.32"</f>
        <v>0.32</v>
      </c>
      <c r="C4118" t="str">
        <f>"56"</f>
        <v>56</v>
      </c>
      <c r="D4118" t="str">
        <f>"Iki"</f>
        <v>Iki</v>
      </c>
    </row>
    <row r="4119" spans="1:4" x14ac:dyDescent="0.2">
      <c r="A4119" t="str">
        <f>"4118"</f>
        <v>4118</v>
      </c>
      <c r="B4119" t="str">
        <f>"-0.22"</f>
        <v>-0.22</v>
      </c>
      <c r="C4119" t="str">
        <f>"67"</f>
        <v>67</v>
      </c>
      <c r="D4119" t="str">
        <f>"Death"</f>
        <v>Death</v>
      </c>
    </row>
    <row r="4120" spans="1:4" x14ac:dyDescent="0.2">
      <c r="A4120" t="str">
        <f>"4119"</f>
        <v>4119</v>
      </c>
      <c r="B4120" t="str">
        <f>"-0.37"</f>
        <v>-0.37</v>
      </c>
      <c r="C4120" t="str">
        <f>"49"</f>
        <v>49</v>
      </c>
      <c r="D4120" t="str">
        <f>"When I Pretend to Fall"</f>
        <v>When I Pretend to Fall</v>
      </c>
    </row>
    <row r="4121" spans="1:4" x14ac:dyDescent="0.2">
      <c r="A4121" t="str">
        <f>"4120"</f>
        <v>4120</v>
      </c>
      <c r="B4121" t="str">
        <f>"-0.68"</f>
        <v>-0.68</v>
      </c>
      <c r="C4121" t="str">
        <f>"35"</f>
        <v>35</v>
      </c>
      <c r="D4121" t="str">
        <f>"To The Rooftops"</f>
        <v>To The Rooftops</v>
      </c>
    </row>
    <row r="4122" spans="1:4" x14ac:dyDescent="0.2">
      <c r="A4122" t="str">
        <f>"4121"</f>
        <v>4121</v>
      </c>
      <c r="B4122" t="str">
        <f>"0.3"</f>
        <v>0.3</v>
      </c>
      <c r="C4122" t="str">
        <f>"43"</f>
        <v>43</v>
      </c>
      <c r="D4122" t="str">
        <f>"Scratchology: Mixed by the X-ecutioners"</f>
        <v>Scratchology: Mixed by the X-ecutioners</v>
      </c>
    </row>
    <row r="4123" spans="1:4" x14ac:dyDescent="0.2">
      <c r="A4123" t="str">
        <f>"4122"</f>
        <v>4122</v>
      </c>
      <c r="B4123" t="str">
        <f>"-0.28"</f>
        <v>-0.28</v>
      </c>
      <c r="C4123" t="str">
        <f>"61"</f>
        <v>61</v>
      </c>
      <c r="D4123" t="str">
        <f>"Offcell"</f>
        <v>Offcell</v>
      </c>
    </row>
    <row r="4124" spans="1:4" x14ac:dyDescent="0.2">
      <c r="A4124" t="str">
        <f>"4123"</f>
        <v>4123</v>
      </c>
      <c r="B4124" t="str">
        <f>"-1.09"</f>
        <v>-1.09</v>
      </c>
      <c r="C4124" t="str">
        <f>"52"</f>
        <v>52</v>
      </c>
      <c r="D4124" t="str">
        <f>"Bloodthirsty Lovers"</f>
        <v>Bloodthirsty Lovers</v>
      </c>
    </row>
    <row r="4125" spans="1:4" x14ac:dyDescent="0.2">
      <c r="A4125" t="str">
        <f>"4124"</f>
        <v>4124</v>
      </c>
      <c r="B4125" t="str">
        <f>"0.13"</f>
        <v>0.13</v>
      </c>
      <c r="C4125" t="str">
        <f>"56"</f>
        <v>56</v>
      </c>
      <c r="D4125" t="str">
        <f>"The River Nektar"</f>
        <v>The River Nektar</v>
      </c>
    </row>
    <row r="4126" spans="1:4" x14ac:dyDescent="0.2">
      <c r="A4126" t="str">
        <f>"4125"</f>
        <v>4125</v>
      </c>
      <c r="B4126" t="str">
        <f>"-0.45"</f>
        <v>-0.45</v>
      </c>
      <c r="C4126" t="str">
        <f>"46"</f>
        <v>46</v>
      </c>
      <c r="D4126" t="str">
        <f>"The River"</f>
        <v>The River</v>
      </c>
    </row>
    <row r="4127" spans="1:4" x14ac:dyDescent="0.2">
      <c r="A4127" t="str">
        <f>"4126"</f>
        <v>4126</v>
      </c>
      <c r="B4127" t="str">
        <f>"-0.24"</f>
        <v>-0.24</v>
      </c>
      <c r="C4127" t="str">
        <f>"77"</f>
        <v>77</v>
      </c>
      <c r="D4127" t="str">
        <f>"Ether Teeth"</f>
        <v>Ether Teeth</v>
      </c>
    </row>
    <row r="4128" spans="1:4" x14ac:dyDescent="0.2">
      <c r="A4128" t="str">
        <f>"4127"</f>
        <v>4127</v>
      </c>
      <c r="B4128" t="str">
        <f>"-0.17"</f>
        <v>-0.17</v>
      </c>
      <c r="C4128" t="str">
        <f>"36"</f>
        <v>36</v>
      </c>
      <c r="D4128" t="str">
        <f>"Dark Island"</f>
        <v>Dark Island</v>
      </c>
    </row>
    <row r="4129" spans="1:4" x14ac:dyDescent="0.2">
      <c r="A4129" t="str">
        <f>"4128"</f>
        <v>4128</v>
      </c>
      <c r="B4129" t="str">
        <f>"0.57"</f>
        <v>0.57</v>
      </c>
      <c r="C4129" t="str">
        <f>"45"</f>
        <v>45</v>
      </c>
      <c r="D4129" t="str">
        <f>"Words"</f>
        <v>Words</v>
      </c>
    </row>
    <row r="4130" spans="1:4" x14ac:dyDescent="0.2">
      <c r="A4130" t="str">
        <f>"4129"</f>
        <v>4129</v>
      </c>
      <c r="B4130" t="str">
        <f>"-0.96"</f>
        <v>-0.96</v>
      </c>
      <c r="C4130" t="str">
        <f>"64"</f>
        <v>64</v>
      </c>
      <c r="D4130" t="str">
        <f>"Shub Niggurath"</f>
        <v>Shub Niggurath</v>
      </c>
    </row>
    <row r="4131" spans="1:4" x14ac:dyDescent="0.2">
      <c r="A4131" t="str">
        <f>"4130"</f>
        <v>4130</v>
      </c>
      <c r="B4131" t="str">
        <f>"-0.62"</f>
        <v>-0.62</v>
      </c>
      <c r="C4131" t="str">
        <f>"70"</f>
        <v>70</v>
      </c>
      <c r="D4131" t="s">
        <v>144</v>
      </c>
    </row>
    <row r="4132" spans="1:4" x14ac:dyDescent="0.2">
      <c r="A4132" t="str">
        <f>"4131"</f>
        <v>4131</v>
      </c>
      <c r="B4132" t="str">
        <f>"-0.66"</f>
        <v>-0.66</v>
      </c>
      <c r="C4132" t="str">
        <f>"42"</f>
        <v>42</v>
      </c>
      <c r="D4132" t="str">
        <f>"More Nipples"</f>
        <v>More Nipples</v>
      </c>
    </row>
    <row r="4133" spans="1:4" x14ac:dyDescent="0.2">
      <c r="A4133" t="str">
        <f>"4132"</f>
        <v>4132</v>
      </c>
      <c r="B4133" t="str">
        <f>"0.37"</f>
        <v>0.37</v>
      </c>
      <c r="C4133" t="str">
        <f>"37"</f>
        <v>37</v>
      </c>
      <c r="D4133" t="str">
        <f>"5 Songs EP"</f>
        <v>5 Songs EP</v>
      </c>
    </row>
    <row r="4134" spans="1:4" x14ac:dyDescent="0.2">
      <c r="A4134" t="str">
        <f>"4133"</f>
        <v>4133</v>
      </c>
      <c r="B4134" t="str">
        <f>"0.7"</f>
        <v>0.7</v>
      </c>
      <c r="C4134" t="str">
        <f>"67"</f>
        <v>67</v>
      </c>
      <c r="D4134" t="str">
        <f>"Southernunderground"</f>
        <v>Southernunderground</v>
      </c>
    </row>
    <row r="4135" spans="1:4" x14ac:dyDescent="0.2">
      <c r="A4135" t="str">
        <f>"4134"</f>
        <v>4134</v>
      </c>
      <c r="B4135" t="str">
        <f>"0.08"</f>
        <v>0.08</v>
      </c>
      <c r="C4135" t="str">
        <f>"60"</f>
        <v>60</v>
      </c>
      <c r="D4135" t="str">
        <f>"Shine"</f>
        <v>Shine</v>
      </c>
    </row>
    <row r="4136" spans="1:4" x14ac:dyDescent="0.2">
      <c r="A4136" t="str">
        <f>"4135"</f>
        <v>4135</v>
      </c>
      <c r="B4136" t="str">
        <f>"-0.76"</f>
        <v>-0.76</v>
      </c>
      <c r="C4136" t="str">
        <f>"79"</f>
        <v>79</v>
      </c>
      <c r="D4136" t="str">
        <f>"In Rape Fantasy and Terror Sex We Trust"</f>
        <v>In Rape Fantasy and Terror Sex We Trust</v>
      </c>
    </row>
    <row r="4137" spans="1:4" x14ac:dyDescent="0.2">
      <c r="A4137" t="str">
        <f>"4136"</f>
        <v>4136</v>
      </c>
      <c r="B4137" t="str">
        <f>"0"</f>
        <v>0</v>
      </c>
      <c r="C4137" t="str">
        <f>"1"</f>
        <v>1</v>
      </c>
      <c r="D4137" t="str">
        <f>"Being Ridden"</f>
        <v>Being Ridden</v>
      </c>
    </row>
    <row r="4138" spans="1:4" x14ac:dyDescent="0.2">
      <c r="A4138" t="str">
        <f>"4137"</f>
        <v>4137</v>
      </c>
      <c r="B4138" t="str">
        <f>"-0.06"</f>
        <v>-0.06</v>
      </c>
      <c r="C4138" t="str">
        <f>"70"</f>
        <v>70</v>
      </c>
      <c r="D4138" t="str">
        <f>"An Angel Moves Too Fast to See: Selected Works 1971-1989"</f>
        <v>An Angel Moves Too Fast to See: Selected Works 1971-1989</v>
      </c>
    </row>
    <row r="4139" spans="1:4" x14ac:dyDescent="0.2">
      <c r="A4139" t="str">
        <f>"4138"</f>
        <v>4138</v>
      </c>
      <c r="B4139" t="str">
        <f>"0.59"</f>
        <v>0.59</v>
      </c>
      <c r="C4139" t="str">
        <f>"67"</f>
        <v>67</v>
      </c>
      <c r="D4139" t="str">
        <f>"Songbook"</f>
        <v>Songbook</v>
      </c>
    </row>
    <row r="4140" spans="1:4" x14ac:dyDescent="0.2">
      <c r="A4140" t="str">
        <f>"4139"</f>
        <v>4139</v>
      </c>
      <c r="B4140" t="str">
        <f>"-0.18"</f>
        <v>-0.18</v>
      </c>
      <c r="C4140" t="str">
        <f>"46"</f>
        <v>46</v>
      </c>
      <c r="D4140" t="str">
        <f>"Single One EP"</f>
        <v>Single One EP</v>
      </c>
    </row>
    <row r="4141" spans="1:4" x14ac:dyDescent="0.2">
      <c r="A4141" t="str">
        <f>"4140"</f>
        <v>4140</v>
      </c>
      <c r="B4141" t="str">
        <f>"-0.46"</f>
        <v>-0.46</v>
      </c>
      <c r="C4141" t="str">
        <f>"61"</f>
        <v>61</v>
      </c>
      <c r="D4141" t="str">
        <f>"(Last Night We Were) The Delicious Wolves"</f>
        <v>(Last Night We Were) The Delicious Wolves</v>
      </c>
    </row>
    <row r="4142" spans="1:4" x14ac:dyDescent="0.2">
      <c r="A4142" t="str">
        <f>"4141"</f>
        <v>4141</v>
      </c>
      <c r="B4142" t="str">
        <f>"0.28"</f>
        <v>0.28</v>
      </c>
      <c r="C4142" t="str">
        <f>"50"</f>
        <v>50</v>
      </c>
      <c r="D4142" t="str">
        <f>"Balance"</f>
        <v>Balance</v>
      </c>
    </row>
    <row r="4143" spans="1:4" x14ac:dyDescent="0.2">
      <c r="A4143" t="str">
        <f>"4142"</f>
        <v>4142</v>
      </c>
      <c r="B4143" t="str">
        <f>"-0.44"</f>
        <v>-0.44</v>
      </c>
      <c r="C4143" t="str">
        <f>"62"</f>
        <v>62</v>
      </c>
      <c r="D4143" t="str">
        <f>"The UA Years: 1969-1974"</f>
        <v>The UA Years: 1969-1974</v>
      </c>
    </row>
    <row r="4144" spans="1:4" x14ac:dyDescent="0.2">
      <c r="A4144" t="str">
        <f>"4143"</f>
        <v>4143</v>
      </c>
      <c r="B4144" t="str">
        <f>"-0.04"</f>
        <v>-0.04</v>
      </c>
      <c r="C4144" t="str">
        <f>"72"</f>
        <v>72</v>
      </c>
      <c r="D4144" t="str">
        <f>"Oddeyesee"</f>
        <v>Oddeyesee</v>
      </c>
    </row>
    <row r="4145" spans="1:4" x14ac:dyDescent="0.2">
      <c r="A4145" t="str">
        <f>"4144"</f>
        <v>4144</v>
      </c>
      <c r="B4145" t="str">
        <f>"-0.19"</f>
        <v>-0.19</v>
      </c>
      <c r="C4145" t="str">
        <f>"90"</f>
        <v>90</v>
      </c>
      <c r="D4145" t="str">
        <f>"Free Sentridoh: Tales from Loobiecore"</f>
        <v>Free Sentridoh: Tales from Loobiecore</v>
      </c>
    </row>
    <row r="4146" spans="1:4" x14ac:dyDescent="0.2">
      <c r="A4146" t="str">
        <f>"4145"</f>
        <v>4145</v>
      </c>
      <c r="B4146" t="str">
        <f>"-0.43"</f>
        <v>-0.43</v>
      </c>
      <c r="C4146" t="str">
        <f>"50"</f>
        <v>50</v>
      </c>
      <c r="D4146" t="str">
        <f>"Fake French"</f>
        <v>Fake French</v>
      </c>
    </row>
    <row r="4147" spans="1:4" x14ac:dyDescent="0.2">
      <c r="A4147" t="str">
        <f>"4146"</f>
        <v>4146</v>
      </c>
      <c r="B4147" t="str">
        <f>"-0.39"</f>
        <v>-0.39</v>
      </c>
      <c r="C4147" t="str">
        <f>"60"</f>
        <v>60</v>
      </c>
      <c r="D4147" t="str">
        <f>"Electric Circus"</f>
        <v>Electric Circus</v>
      </c>
    </row>
    <row r="4148" spans="1:4" x14ac:dyDescent="0.2">
      <c r="A4148" t="str">
        <f>"4147"</f>
        <v>4147</v>
      </c>
      <c r="B4148" t="str">
        <f>"-0.54"</f>
        <v>-0.54</v>
      </c>
      <c r="C4148" t="str">
        <f>"67"</f>
        <v>67</v>
      </c>
      <c r="D4148" t="str">
        <f>"Dirty: Deluxe Edition"</f>
        <v>Dirty: Deluxe Edition</v>
      </c>
    </row>
    <row r="4149" spans="1:4" x14ac:dyDescent="0.2">
      <c r="A4149" t="str">
        <f>"4148"</f>
        <v>4148</v>
      </c>
      <c r="B4149" t="str">
        <f>"1.14"</f>
        <v>1.14</v>
      </c>
      <c r="C4149" t="str">
        <f>"57"</f>
        <v>57</v>
      </c>
      <c r="D4149" t="str">
        <f>"Touch Food"</f>
        <v>Touch Food</v>
      </c>
    </row>
    <row r="4150" spans="1:4" x14ac:dyDescent="0.2">
      <c r="A4150" t="str">
        <f>"4149"</f>
        <v>4149</v>
      </c>
      <c r="B4150" t="str">
        <f>"0.63"</f>
        <v>0.63</v>
      </c>
      <c r="C4150" t="str">
        <f>"87"</f>
        <v>87</v>
      </c>
      <c r="D4150" t="str">
        <f>"The Essential Byrds"</f>
        <v>The Essential Byrds</v>
      </c>
    </row>
    <row r="4151" spans="1:4" x14ac:dyDescent="0.2">
      <c r="A4151" t="str">
        <f>"4150"</f>
        <v>4150</v>
      </c>
      <c r="B4151" t="str">
        <f>"-0.59"</f>
        <v>-0.59</v>
      </c>
      <c r="C4151" t="str">
        <f>"80"</f>
        <v>80</v>
      </c>
      <c r="D4151" t="str">
        <f>"Chrome Rats vs Basement Rutz"</f>
        <v>Chrome Rats vs Basement Rutz</v>
      </c>
    </row>
    <row r="4152" spans="1:4" x14ac:dyDescent="0.2">
      <c r="A4152" t="str">
        <f>"4151"</f>
        <v>4151</v>
      </c>
      <c r="B4152" t="str">
        <f>"-0.1"</f>
        <v>-0.1</v>
      </c>
      <c r="C4152" t="str">
        <f>"68"</f>
        <v>68</v>
      </c>
      <c r="D4152" t="str">
        <f>"Ride Paranoia"</f>
        <v>Ride Paranoia</v>
      </c>
    </row>
    <row r="4153" spans="1:4" x14ac:dyDescent="0.2">
      <c r="A4153" t="str">
        <f>"4152"</f>
        <v>4152</v>
      </c>
      <c r="B4153" t="str">
        <f>"-0.69"</f>
        <v>-0.69</v>
      </c>
      <c r="C4153" t="str">
        <f>"103"</f>
        <v>103</v>
      </c>
      <c r="D4153" t="str">
        <f>"Politics of the Business"</f>
        <v>Politics of the Business</v>
      </c>
    </row>
    <row r="4154" spans="1:4" x14ac:dyDescent="0.2">
      <c r="A4154" t="str">
        <f>"4153"</f>
        <v>4153</v>
      </c>
      <c r="B4154" t="str">
        <f>"1.33"</f>
        <v>1.33</v>
      </c>
      <c r="C4154" t="str">
        <f>"59"</f>
        <v>59</v>
      </c>
      <c r="D4154" t="str">
        <f>"Jacknuggeted EP"</f>
        <v>Jacknuggeted EP</v>
      </c>
    </row>
    <row r="4155" spans="1:4" x14ac:dyDescent="0.2">
      <c r="A4155" t="str">
        <f>"4154"</f>
        <v>4154</v>
      </c>
      <c r="B4155" t="str">
        <f>"-0.96"</f>
        <v>-0.96</v>
      </c>
      <c r="C4155" t="str">
        <f>"96"</f>
        <v>96</v>
      </c>
      <c r="D4155" t="str">
        <f>"Do Rabbits Wonder?"</f>
        <v>Do Rabbits Wonder?</v>
      </c>
    </row>
    <row r="4156" spans="1:4" x14ac:dyDescent="0.2">
      <c r="A4156" t="str">
        <f>"4155"</f>
        <v>4155</v>
      </c>
      <c r="B4156" t="str">
        <f>"-0.61"</f>
        <v>-0.61</v>
      </c>
      <c r="C4156" t="str">
        <f>"34"</f>
        <v>34</v>
      </c>
      <c r="D4156" t="s">
        <v>145</v>
      </c>
    </row>
    <row r="4157" spans="1:4" x14ac:dyDescent="0.2">
      <c r="A4157" t="str">
        <f>"4156"</f>
        <v>4156</v>
      </c>
      <c r="B4157" t="str">
        <f>"-0.23"</f>
        <v>-0.23</v>
      </c>
      <c r="C4157" t="str">
        <f>"71"</f>
        <v>71</v>
      </c>
      <c r="D4157" t="str">
        <f>"x2"</f>
        <v>x2</v>
      </c>
    </row>
    <row r="4158" spans="1:4" x14ac:dyDescent="0.2">
      <c r="A4158" t="str">
        <f>"4157"</f>
        <v>4157</v>
      </c>
      <c r="B4158" t="str">
        <f>"0.31"</f>
        <v>0.31</v>
      </c>
      <c r="C4158" t="str">
        <f>"50"</f>
        <v>50</v>
      </c>
      <c r="D4158" t="str">
        <f>"This Is the Glamorous"</f>
        <v>This Is the Glamorous</v>
      </c>
    </row>
    <row r="4159" spans="1:4" x14ac:dyDescent="0.2">
      <c r="A4159" t="str">
        <f>"4158"</f>
        <v>4158</v>
      </c>
      <c r="B4159" t="str">
        <f>"-0.79"</f>
        <v>-0.79</v>
      </c>
      <c r="C4159" t="str">
        <f>"76"</f>
        <v>76</v>
      </c>
      <c r="D4159" t="str">
        <f>"The Moon Boys"</f>
        <v>The Moon Boys</v>
      </c>
    </row>
    <row r="4160" spans="1:4" x14ac:dyDescent="0.2">
      <c r="A4160" t="str">
        <f>"4159"</f>
        <v>4159</v>
      </c>
      <c r="B4160" t="str">
        <f>"0.22"</f>
        <v>0.22</v>
      </c>
      <c r="C4160" t="str">
        <f>"79"</f>
        <v>79</v>
      </c>
      <c r="D4160" t="str">
        <f>"Rainy Day Music"</f>
        <v>Rainy Day Music</v>
      </c>
    </row>
    <row r="4161" spans="1:4" x14ac:dyDescent="0.2">
      <c r="A4161" t="str">
        <f>"4160"</f>
        <v>4160</v>
      </c>
      <c r="B4161" t="str">
        <f>"-0.42"</f>
        <v>-0.42</v>
      </c>
      <c r="C4161" t="str">
        <f>"50"</f>
        <v>50</v>
      </c>
      <c r="D4161" t="str">
        <f>"Black Cherry"</f>
        <v>Black Cherry</v>
      </c>
    </row>
    <row r="4162" spans="1:4" x14ac:dyDescent="0.2">
      <c r="A4162" t="str">
        <f>"4161"</f>
        <v>4161</v>
      </c>
      <c r="B4162" t="str">
        <f>"-0.5"</f>
        <v>-0.5</v>
      </c>
      <c r="C4162" t="str">
        <f>"95"</f>
        <v>95</v>
      </c>
      <c r="D4162" t="str">
        <f>"You Can Never Go Fast Enough"</f>
        <v>You Can Never Go Fast Enough</v>
      </c>
    </row>
    <row r="4163" spans="1:4" x14ac:dyDescent="0.2">
      <c r="A4163" t="str">
        <f>"4162"</f>
        <v>4162</v>
      </c>
      <c r="B4163" t="str">
        <f>"0.35"</f>
        <v>0.35</v>
      </c>
      <c r="C4163" t="str">
        <f>"62"</f>
        <v>62</v>
      </c>
      <c r="D4163" t="str">
        <f>"Socialisme ou Barbarie: The Bedroom Recordings"</f>
        <v>Socialisme ou Barbarie: The Bedroom Recordings</v>
      </c>
    </row>
    <row r="4164" spans="1:4" x14ac:dyDescent="0.2">
      <c r="A4164" t="str">
        <f>"4163"</f>
        <v>4163</v>
      </c>
      <c r="B4164" t="str">
        <f>"-0.07"</f>
        <v>-0.07</v>
      </c>
      <c r="C4164" t="str">
        <f>"66"</f>
        <v>66</v>
      </c>
      <c r="D4164" t="str">
        <f>"I'm What's There to Show That Something's Missing"</f>
        <v>I'm What's There to Show That Something's Missing</v>
      </c>
    </row>
    <row r="4165" spans="1:4" x14ac:dyDescent="0.2">
      <c r="A4165" t="str">
        <f>"4164"</f>
        <v>4164</v>
      </c>
      <c r="B4165" t="str">
        <f>"-0.02"</f>
        <v>-0.02</v>
      </c>
      <c r="C4165" t="str">
        <f>"55"</f>
        <v>55</v>
      </c>
      <c r="D4165" t="str">
        <f>"Flower with No Color"</f>
        <v>Flower with No Color</v>
      </c>
    </row>
    <row r="4166" spans="1:4" x14ac:dyDescent="0.2">
      <c r="A4166" t="str">
        <f>"4165"</f>
        <v>4165</v>
      </c>
      <c r="B4166" t="str">
        <f>"-0.93"</f>
        <v>-0.93</v>
      </c>
      <c r="C4166" t="str">
        <f>"82"</f>
        <v>82</v>
      </c>
      <c r="D4166" t="str">
        <f>"One Word Extinguisher"</f>
        <v>One Word Extinguisher</v>
      </c>
    </row>
    <row r="4167" spans="1:4" x14ac:dyDescent="0.2">
      <c r="A4167" t="str">
        <f>"4166"</f>
        <v>4166</v>
      </c>
      <c r="B4167" t="str">
        <f>"0.16"</f>
        <v>0.16</v>
      </c>
      <c r="C4167" t="str">
        <f>"65"</f>
        <v>65</v>
      </c>
      <c r="D4167" t="str">
        <f>"Glass EP"</f>
        <v>Glass EP</v>
      </c>
    </row>
    <row r="4168" spans="1:4" x14ac:dyDescent="0.2">
      <c r="A4168" t="str">
        <f>"4167"</f>
        <v>4167</v>
      </c>
      <c r="B4168" t="str">
        <f>"-0.95"</f>
        <v>-0.95</v>
      </c>
      <c r="C4168" t="str">
        <f>"83"</f>
        <v>83</v>
      </c>
      <c r="D4168" t="str">
        <f>"Cryonics"</f>
        <v>Cryonics</v>
      </c>
    </row>
    <row r="4169" spans="1:4" x14ac:dyDescent="0.2">
      <c r="A4169" t="str">
        <f>"4168"</f>
        <v>4168</v>
      </c>
      <c r="B4169" t="str">
        <f>"-0.35"</f>
        <v>-0.35</v>
      </c>
      <c r="C4169" t="str">
        <f>"49"</f>
        <v>49</v>
      </c>
      <c r="D4169" t="str">
        <f>"Center:Level:Roar"</f>
        <v>Center:Level:Roar</v>
      </c>
    </row>
    <row r="4170" spans="1:4" x14ac:dyDescent="0.2">
      <c r="A4170" t="str">
        <f>"4169"</f>
        <v>4169</v>
      </c>
      <c r="B4170" t="str">
        <f>"0.68"</f>
        <v>0.68</v>
      </c>
      <c r="C4170" t="str">
        <f>"59"</f>
        <v>59</v>
      </c>
      <c r="D4170" t="str">
        <f>"45/45 EP"</f>
        <v>45/45 EP</v>
      </c>
    </row>
    <row r="4171" spans="1:4" x14ac:dyDescent="0.2">
      <c r="A4171" t="str">
        <f>"4170"</f>
        <v>4170</v>
      </c>
      <c r="B4171" t="str">
        <f>"-0.6"</f>
        <v>-0.6</v>
      </c>
      <c r="C4171" t="str">
        <f>"61"</f>
        <v>61</v>
      </c>
      <c r="D4171" t="str">
        <f>"The Listener"</f>
        <v>The Listener</v>
      </c>
    </row>
    <row r="4172" spans="1:4" x14ac:dyDescent="0.2">
      <c r="A4172" t="str">
        <f>"4171"</f>
        <v>4171</v>
      </c>
      <c r="B4172" t="str">
        <f>"0.03"</f>
        <v>0.03</v>
      </c>
      <c r="C4172" t="str">
        <f>"43"</f>
        <v>43</v>
      </c>
      <c r="D4172" t="str">
        <f>"Songs from Willipa Bay"</f>
        <v>Songs from Willipa Bay</v>
      </c>
    </row>
    <row r="4173" spans="1:4" x14ac:dyDescent="0.2">
      <c r="A4173" t="str">
        <f>"4172"</f>
        <v>4172</v>
      </c>
      <c r="B4173" t="str">
        <f>"-0.28"</f>
        <v>-0.28</v>
      </c>
      <c r="C4173" t="str">
        <f>"75"</f>
        <v>75</v>
      </c>
      <c r="D4173" t="str">
        <f>"Send"</f>
        <v>Send</v>
      </c>
    </row>
    <row r="4174" spans="1:4" x14ac:dyDescent="0.2">
      <c r="A4174" t="str">
        <f>"4173"</f>
        <v>4173</v>
      </c>
      <c r="B4174" t="str">
        <f>"1.25"</f>
        <v>1.25</v>
      </c>
      <c r="C4174" t="str">
        <f>"84"</f>
        <v>84</v>
      </c>
      <c r="D4174" t="str">
        <f>"Electric Version"</f>
        <v>Electric Version</v>
      </c>
    </row>
    <row r="4175" spans="1:4" x14ac:dyDescent="0.2">
      <c r="A4175" t="str">
        <f>"4174"</f>
        <v>4174</v>
      </c>
      <c r="B4175" t="str">
        <f>"-1.26"</f>
        <v>-1.26</v>
      </c>
      <c r="C4175" t="str">
        <f>"63"</f>
        <v>63</v>
      </c>
      <c r="D4175" t="str">
        <f>"Attention! Blah Blah Blah"</f>
        <v>Attention! Blah Blah Blah</v>
      </c>
    </row>
    <row r="4176" spans="1:4" x14ac:dyDescent="0.2">
      <c r="A4176" t="str">
        <f>"4175"</f>
        <v>4175</v>
      </c>
      <c r="B4176" t="str">
        <f>"-0.21"</f>
        <v>-0.21</v>
      </c>
      <c r="C4176" t="str">
        <f>"43"</f>
        <v>43</v>
      </c>
      <c r="D4176" t="str">
        <f>"Under a Different Sky"</f>
        <v>Under a Different Sky</v>
      </c>
    </row>
    <row r="4177" spans="1:4" x14ac:dyDescent="0.2">
      <c r="A4177" t="str">
        <f>"4176"</f>
        <v>4176</v>
      </c>
      <c r="B4177" t="str">
        <f>"-0.36"</f>
        <v>-0.36</v>
      </c>
      <c r="C4177" t="str">
        <f>"128"</f>
        <v>128</v>
      </c>
      <c r="D4177" t="str">
        <f>"Think Tank"</f>
        <v>Think Tank</v>
      </c>
    </row>
    <row r="4178" spans="1:4" x14ac:dyDescent="0.2">
      <c r="A4178" t="str">
        <f>"4177"</f>
        <v>4177</v>
      </c>
      <c r="B4178" t="str">
        <f>"-0.08"</f>
        <v>-0.08</v>
      </c>
      <c r="C4178" t="str">
        <f>"62"</f>
        <v>62</v>
      </c>
      <c r="D4178" t="str">
        <f>"The Stolen Singles"</f>
        <v>The Stolen Singles</v>
      </c>
    </row>
    <row r="4179" spans="1:4" x14ac:dyDescent="0.2">
      <c r="A4179" t="str">
        <f>"4178"</f>
        <v>4178</v>
      </c>
      <c r="B4179" t="str">
        <f>"-0.59"</f>
        <v>-0.59</v>
      </c>
      <c r="C4179" t="str">
        <f>"63"</f>
        <v>63</v>
      </c>
      <c r="D4179" t="str">
        <f>"The Horror EP"</f>
        <v>The Horror EP</v>
      </c>
    </row>
    <row r="4180" spans="1:4" x14ac:dyDescent="0.2">
      <c r="A4180" t="str">
        <f>"4179"</f>
        <v>4179</v>
      </c>
      <c r="B4180" t="str">
        <f>"-0.85"</f>
        <v>-0.85</v>
      </c>
      <c r="C4180" t="str">
        <f>"73"</f>
        <v>73</v>
      </c>
      <c r="D4180" t="str">
        <f>"Love and Distortion"</f>
        <v>Love and Distortion</v>
      </c>
    </row>
    <row r="4181" spans="1:4" x14ac:dyDescent="0.2">
      <c r="A4181" t="str">
        <f>"4180"</f>
        <v>4180</v>
      </c>
      <c r="B4181" t="str">
        <f>"-0.06"</f>
        <v>-0.06</v>
      </c>
      <c r="C4181" t="str">
        <f>"50"</f>
        <v>50</v>
      </c>
      <c r="D4181" t="str">
        <f>"Rounds"</f>
        <v>Rounds</v>
      </c>
    </row>
    <row r="4182" spans="1:4" x14ac:dyDescent="0.2">
      <c r="A4182" t="str">
        <f>"4181"</f>
        <v>4181</v>
      </c>
      <c r="B4182" t="str">
        <f>"-0.2"</f>
        <v>-0.2</v>
      </c>
      <c r="C4182" t="str">
        <f>"88"</f>
        <v>88</v>
      </c>
      <c r="D4182" t="str">
        <f>"Red Cross"</f>
        <v>Red Cross</v>
      </c>
    </row>
    <row r="4183" spans="1:4" x14ac:dyDescent="0.2">
      <c r="A4183" t="str">
        <f>"4182"</f>
        <v>4182</v>
      </c>
      <c r="B4183" t="str">
        <f>"0.2"</f>
        <v>0.2</v>
      </c>
      <c r="C4183" t="str">
        <f>"64"</f>
        <v>64</v>
      </c>
      <c r="D4183" t="str">
        <f>"Necessary Measures"</f>
        <v>Necessary Measures</v>
      </c>
    </row>
    <row r="4184" spans="1:4" x14ac:dyDescent="0.2">
      <c r="A4184" t="str">
        <f>"4183"</f>
        <v>4183</v>
      </c>
      <c r="B4184" t="str">
        <f>"-1.22"</f>
        <v>-1.22</v>
      </c>
      <c r="C4184" t="str">
        <f>"83"</f>
        <v>83</v>
      </c>
      <c r="D4184" t="str">
        <f>"Deception Pass"</f>
        <v>Deception Pass</v>
      </c>
    </row>
    <row r="4185" spans="1:4" x14ac:dyDescent="0.2">
      <c r="A4185" t="str">
        <f>"4184"</f>
        <v>4184</v>
      </c>
      <c r="B4185" t="str">
        <f>"0.35"</f>
        <v>0.35</v>
      </c>
      <c r="C4185" t="str">
        <f>"110"</f>
        <v>110</v>
      </c>
      <c r="D4185" t="str">
        <f>"ABC Music: The Radio 1 Sessions"</f>
        <v>ABC Music: The Radio 1 Sessions</v>
      </c>
    </row>
    <row r="4186" spans="1:4" x14ac:dyDescent="0.2">
      <c r="A4186" t="str">
        <f>"4185"</f>
        <v>4185</v>
      </c>
      <c r="B4186" t="str">
        <f>"0.7"</f>
        <v>0.7</v>
      </c>
      <c r="C4186" t="str">
        <f>"41"</f>
        <v>41</v>
      </c>
      <c r="D4186" t="str">
        <f>"Soft Sounds"</f>
        <v>Soft Sounds</v>
      </c>
    </row>
    <row r="4187" spans="1:4" x14ac:dyDescent="0.2">
      <c r="A4187" t="str">
        <f>"4186"</f>
        <v>4186</v>
      </c>
      <c r="B4187" t="str">
        <f>"-0.03"</f>
        <v>-0.03</v>
      </c>
      <c r="C4187" t="str">
        <f>"62"</f>
        <v>62</v>
      </c>
      <c r="D4187" t="str">
        <f>"Mit Gas"</f>
        <v>Mit Gas</v>
      </c>
    </row>
    <row r="4188" spans="1:4" x14ac:dyDescent="0.2">
      <c r="A4188" t="str">
        <f>"4187"</f>
        <v>4187</v>
      </c>
      <c r="B4188" t="str">
        <f>"0.13"</f>
        <v>0.13</v>
      </c>
      <c r="C4188" t="str">
        <f>"67"</f>
        <v>67</v>
      </c>
      <c r="D4188" t="s">
        <v>146</v>
      </c>
    </row>
    <row r="4189" spans="1:4" x14ac:dyDescent="0.2">
      <c r="A4189" t="str">
        <f>"4188"</f>
        <v>4188</v>
      </c>
      <c r="B4189" t="str">
        <f>"0.36"</f>
        <v>0.36</v>
      </c>
      <c r="C4189" t="str">
        <f>"58"</f>
        <v>58</v>
      </c>
      <c r="D4189" t="str">
        <f>"Beyond the Blue Heaven"</f>
        <v>Beyond the Blue Heaven</v>
      </c>
    </row>
    <row r="4190" spans="1:4" x14ac:dyDescent="0.2">
      <c r="A4190" t="str">
        <f>"4189"</f>
        <v>4189</v>
      </c>
      <c r="B4190" t="str">
        <f>"-1.42"</f>
        <v>-1.42</v>
      </c>
      <c r="C4190" t="str">
        <f>"36"</f>
        <v>36</v>
      </c>
      <c r="D4190" t="str">
        <f>"More G.D.M."</f>
        <v>More G.D.M.</v>
      </c>
    </row>
    <row r="4191" spans="1:4" x14ac:dyDescent="0.2">
      <c r="A4191" t="str">
        <f>"4190"</f>
        <v>4190</v>
      </c>
      <c r="B4191" t="str">
        <f>"-0.89"</f>
        <v>-0.89</v>
      </c>
      <c r="C4191" t="str">
        <f>"35"</f>
        <v>35</v>
      </c>
      <c r="D4191" t="str">
        <f>"Let's Get Serious EP"</f>
        <v>Let's Get Serious EP</v>
      </c>
    </row>
    <row r="4192" spans="1:4" x14ac:dyDescent="0.2">
      <c r="A4192" t="str">
        <f>"4191"</f>
        <v>4191</v>
      </c>
      <c r="B4192" t="str">
        <f>"0.05"</f>
        <v>0.05</v>
      </c>
      <c r="C4192" t="str">
        <f>"99"</f>
        <v>99</v>
      </c>
      <c r="D4192" t="str">
        <f>"Fight Test EP"</f>
        <v>Fight Test EP</v>
      </c>
    </row>
    <row r="4193" spans="1:4" x14ac:dyDescent="0.2">
      <c r="A4193" t="str">
        <f>"4192"</f>
        <v>4192</v>
      </c>
      <c r="B4193" t="str">
        <f>"0.25"</f>
        <v>0.25</v>
      </c>
      <c r="C4193" t="str">
        <f>"78"</f>
        <v>78</v>
      </c>
      <c r="D4193" t="str">
        <f>"Demonlover OST"</f>
        <v>Demonlover OST</v>
      </c>
    </row>
    <row r="4194" spans="1:4" x14ac:dyDescent="0.2">
      <c r="A4194" t="str">
        <f>"4193"</f>
        <v>4193</v>
      </c>
      <c r="B4194" t="str">
        <f>"-0.65"</f>
        <v>-0.65</v>
      </c>
      <c r="C4194" t="str">
        <f>"64"</f>
        <v>64</v>
      </c>
      <c r="D4194" t="str">
        <f>"C'mon Let's Pretend"</f>
        <v>C'mon Let's Pretend</v>
      </c>
    </row>
    <row r="4195" spans="1:4" x14ac:dyDescent="0.2">
      <c r="A4195" t="str">
        <f>"4194"</f>
        <v>4194</v>
      </c>
      <c r="B4195" t="str">
        <f>"-0.79"</f>
        <v>-0.79</v>
      </c>
      <c r="C4195" t="str">
        <f>"39"</f>
        <v>39</v>
      </c>
      <c r="D4195" t="str">
        <f>"Bad Timing"</f>
        <v>Bad Timing</v>
      </c>
    </row>
    <row r="4196" spans="1:4" x14ac:dyDescent="0.2">
      <c r="A4196" t="str">
        <f>"4195"</f>
        <v>4195</v>
      </c>
      <c r="B4196" t="str">
        <f>"-0.44"</f>
        <v>-0.44</v>
      </c>
      <c r="C4196" t="str">
        <f>"47"</f>
        <v>47</v>
      </c>
      <c r="D4196" t="str">
        <f>"Where Shall You Take Me"</f>
        <v>Where Shall You Take Me</v>
      </c>
    </row>
    <row r="4197" spans="1:4" x14ac:dyDescent="0.2">
      <c r="A4197" t="str">
        <f>"4196"</f>
        <v>4196</v>
      </c>
      <c r="B4197" t="str">
        <f>"-0.96"</f>
        <v>-0.96</v>
      </c>
      <c r="C4197" t="str">
        <f>"56"</f>
        <v>56</v>
      </c>
      <c r="D4197" t="str">
        <f>"R.I.P."</f>
        <v>R.I.P.</v>
      </c>
    </row>
    <row r="4198" spans="1:4" x14ac:dyDescent="0.2">
      <c r="A4198" t="str">
        <f>"4197"</f>
        <v>4197</v>
      </c>
      <c r="B4198" t="str">
        <f>"-0.07"</f>
        <v>-0.07</v>
      </c>
      <c r="C4198" t="str">
        <f>"18"</f>
        <v>18</v>
      </c>
      <c r="D4198" t="str">
        <f>"Mad Dogs and San Franciscans"</f>
        <v>Mad Dogs and San Franciscans</v>
      </c>
    </row>
    <row r="4199" spans="1:4" x14ac:dyDescent="0.2">
      <c r="A4199" t="str">
        <f>"4198"</f>
        <v>4198</v>
      </c>
      <c r="B4199" t="str">
        <f>"-0.66"</f>
        <v>-0.66</v>
      </c>
      <c r="C4199" t="str">
        <f>"23"</f>
        <v>23</v>
      </c>
      <c r="D4199" t="str">
        <f>"Telegraphs In Negative / Mouths Trapped In Static"</f>
        <v>Telegraphs In Negative / Mouths Trapped In Static</v>
      </c>
    </row>
    <row r="4200" spans="1:4" x14ac:dyDescent="0.2">
      <c r="A4200" t="str">
        <f>"4199"</f>
        <v>4199</v>
      </c>
      <c r="B4200" t="str">
        <f>"-0.24"</f>
        <v>-0.24</v>
      </c>
      <c r="C4200" t="str">
        <f>"46"</f>
        <v>46</v>
      </c>
      <c r="D4200" t="str">
        <f>"Re:Release: Clear Blue Skies"</f>
        <v>Re:Release: Clear Blue Skies</v>
      </c>
    </row>
    <row r="4201" spans="1:4" x14ac:dyDescent="0.2">
      <c r="A4201" t="str">
        <f>"4200"</f>
        <v>4200</v>
      </c>
      <c r="B4201" t="str">
        <f>"-0.53"</f>
        <v>-0.53</v>
      </c>
      <c r="C4201" t="str">
        <f>"94"</f>
        <v>94</v>
      </c>
      <c r="D4201" t="str">
        <f>"Fever to Tell"</f>
        <v>Fever to Tell</v>
      </c>
    </row>
    <row r="4202" spans="1:4" x14ac:dyDescent="0.2">
      <c r="A4202" t="str">
        <f>"4201"</f>
        <v>4201</v>
      </c>
      <c r="B4202" t="str">
        <f>"-0.3"</f>
        <v>-0.3</v>
      </c>
      <c r="C4202" t="str">
        <f>"58"</f>
        <v>58</v>
      </c>
      <c r="D4202" t="str">
        <f>"Danse Macabre Remixes"</f>
        <v>Danse Macabre Remixes</v>
      </c>
    </row>
    <row r="4203" spans="1:4" x14ac:dyDescent="0.2">
      <c r="A4203" t="str">
        <f>"4202"</f>
        <v>4202</v>
      </c>
      <c r="B4203" t="str">
        <f>"0.08"</f>
        <v>0.08</v>
      </c>
      <c r="C4203" t="str">
        <f>"55"</f>
        <v>55</v>
      </c>
      <c r="D4203" t="str">
        <f>"Airs of the Ear"</f>
        <v>Airs of the Ear</v>
      </c>
    </row>
    <row r="4204" spans="1:4" x14ac:dyDescent="0.2">
      <c r="A4204" t="str">
        <f>"4203"</f>
        <v>4203</v>
      </c>
      <c r="B4204" t="str">
        <f>"-0.32"</f>
        <v>-0.32</v>
      </c>
      <c r="C4204" t="str">
        <f>"77"</f>
        <v>77</v>
      </c>
      <c r="D4204" t="str">
        <f>"The Summer of the Shark"</f>
        <v>The Summer of the Shark</v>
      </c>
    </row>
    <row r="4205" spans="1:4" x14ac:dyDescent="0.2">
      <c r="A4205" t="str">
        <f>"4204"</f>
        <v>4204</v>
      </c>
      <c r="B4205" t="str">
        <f>"-0.17"</f>
        <v>-0.17</v>
      </c>
      <c r="C4205" t="str">
        <f>"85"</f>
        <v>85</v>
      </c>
      <c r="D4205" t="str">
        <f>"Slightly West EP"</f>
        <v>Slightly West EP</v>
      </c>
    </row>
    <row r="4206" spans="1:4" x14ac:dyDescent="0.2">
      <c r="A4206" t="str">
        <f>"4205"</f>
        <v>4205</v>
      </c>
      <c r="B4206" t="str">
        <f>"-0.24"</f>
        <v>-0.24</v>
      </c>
      <c r="C4206" t="str">
        <f>"78"</f>
        <v>78</v>
      </c>
      <c r="D4206" t="str">
        <f>"More Like the Moon EP"</f>
        <v>More Like the Moon EP</v>
      </c>
    </row>
    <row r="4207" spans="1:4" x14ac:dyDescent="0.2">
      <c r="A4207" t="str">
        <f>"4206"</f>
        <v>4206</v>
      </c>
      <c r="B4207" t="str">
        <f>"-0.64"</f>
        <v>-0.64</v>
      </c>
      <c r="C4207" t="str">
        <f>"61"</f>
        <v>61</v>
      </c>
      <c r="D4207" t="str">
        <f>"Love Is a Charm of Powerful Trouble"</f>
        <v>Love Is a Charm of Powerful Trouble</v>
      </c>
    </row>
    <row r="4208" spans="1:4" x14ac:dyDescent="0.2">
      <c r="A4208" t="str">
        <f>"4207"</f>
        <v>4207</v>
      </c>
      <c r="B4208" t="str">
        <f>"0.27"</f>
        <v>0.27</v>
      </c>
      <c r="C4208" t="str">
        <f>"37"</f>
        <v>37</v>
      </c>
      <c r="D4208" t="str">
        <f>"Glam"</f>
        <v>Glam</v>
      </c>
    </row>
    <row r="4209" spans="1:4" x14ac:dyDescent="0.2">
      <c r="A4209" t="str">
        <f>"4208"</f>
        <v>4208</v>
      </c>
      <c r="B4209" t="str">
        <f>"0.43"</f>
        <v>0.43</v>
      </c>
      <c r="C4209" t="str">
        <f>"45"</f>
        <v>45</v>
      </c>
      <c r="D4209" t="str">
        <f>"The Long Goodbye"</f>
        <v>The Long Goodbye</v>
      </c>
    </row>
    <row r="4210" spans="1:4" x14ac:dyDescent="0.2">
      <c r="A4210" t="str">
        <f>"4209"</f>
        <v>4209</v>
      </c>
      <c r="B4210" t="str">
        <f>"0.4"</f>
        <v>0.4</v>
      </c>
      <c r="C4210" t="str">
        <f>"149"</f>
        <v>149</v>
      </c>
      <c r="D4210" t="s">
        <v>147</v>
      </c>
    </row>
    <row r="4211" spans="1:4" x14ac:dyDescent="0.2">
      <c r="A4211" t="str">
        <f>"4210"</f>
        <v>4210</v>
      </c>
      <c r="B4211" t="str">
        <f>"-0.03"</f>
        <v>-0.03</v>
      </c>
      <c r="C4211" t="str">
        <f>"58"</f>
        <v>58</v>
      </c>
      <c r="D4211" t="str">
        <f>"Merit"</f>
        <v>Merit</v>
      </c>
    </row>
    <row r="4212" spans="1:4" x14ac:dyDescent="0.2">
      <c r="A4212" t="str">
        <f>"4211"</f>
        <v>4211</v>
      </c>
      <c r="B4212" t="str">
        <f>"-0.25"</f>
        <v>-0.25</v>
      </c>
      <c r="C4212" t="str">
        <f>"58"</f>
        <v>58</v>
      </c>
      <c r="D4212" t="str">
        <f>"Headdress"</f>
        <v>Headdress</v>
      </c>
    </row>
    <row r="4213" spans="1:4" x14ac:dyDescent="0.2">
      <c r="A4213" t="str">
        <f>"4212"</f>
        <v>4212</v>
      </c>
      <c r="B4213" t="str">
        <f>"-0.6"</f>
        <v>-0.6</v>
      </c>
      <c r="C4213" t="str">
        <f>"145"</f>
        <v>145</v>
      </c>
      <c r="D4213" t="str">
        <f>"6twenty"</f>
        <v>6twenty</v>
      </c>
    </row>
    <row r="4214" spans="1:4" x14ac:dyDescent="0.2">
      <c r="A4214" t="str">
        <f>"4213"</f>
        <v>4213</v>
      </c>
      <c r="B4214" t="str">
        <f>"0.29"</f>
        <v>0.29</v>
      </c>
      <c r="C4214" t="str">
        <f>"86"</f>
        <v>86</v>
      </c>
      <c r="D4214" t="str">
        <f>"The End of the Beginning"</f>
        <v>The End of the Beginning</v>
      </c>
    </row>
    <row r="4215" spans="1:4" x14ac:dyDescent="0.2">
      <c r="A4215" t="str">
        <f>"4214"</f>
        <v>4214</v>
      </c>
      <c r="B4215" t="str">
        <f>"-1.13"</f>
        <v>-1.13</v>
      </c>
      <c r="C4215" t="str">
        <f>"51"</f>
        <v>51</v>
      </c>
      <c r="D4215" t="str">
        <f>"No Games No Fun"</f>
        <v>No Games No Fun</v>
      </c>
    </row>
    <row r="4216" spans="1:4" x14ac:dyDescent="0.2">
      <c r="A4216" t="str">
        <f>"4215"</f>
        <v>4215</v>
      </c>
      <c r="B4216" t="str">
        <f>"0.1"</f>
        <v>0.1</v>
      </c>
      <c r="C4216" t="str">
        <f>"80"</f>
        <v>80</v>
      </c>
      <c r="D4216" t="str">
        <f>"Draft 7.30"</f>
        <v>Draft 7.30</v>
      </c>
    </row>
    <row r="4217" spans="1:4" x14ac:dyDescent="0.2">
      <c r="A4217" t="str">
        <f>"4216"</f>
        <v>4216</v>
      </c>
      <c r="B4217" t="str">
        <f>"0.46"</f>
        <v>0.46</v>
      </c>
      <c r="C4217" t="str">
        <f>"43"</f>
        <v>43</v>
      </c>
      <c r="D4217" t="str">
        <f>"Bring Along the Weather"</f>
        <v>Bring Along the Weather</v>
      </c>
    </row>
    <row r="4218" spans="1:4" x14ac:dyDescent="0.2">
      <c r="A4218" t="str">
        <f>"4217"</f>
        <v>4217</v>
      </c>
      <c r="B4218" t="str">
        <f>"-0.22"</f>
        <v>-0.22</v>
      </c>
      <c r="C4218" t="str">
        <f>"74"</f>
        <v>74</v>
      </c>
      <c r="D4218" t="str">
        <f>"Thickfreakness"</f>
        <v>Thickfreakness</v>
      </c>
    </row>
    <row r="4219" spans="1:4" x14ac:dyDescent="0.2">
      <c r="A4219" t="str">
        <f>"4218"</f>
        <v>4218</v>
      </c>
      <c r="B4219" t="str">
        <f>"0.75"</f>
        <v>0.75</v>
      </c>
      <c r="C4219" t="str">
        <f>"53"</f>
        <v>53</v>
      </c>
      <c r="D4219" t="str">
        <f>"Sharks and Flames"</f>
        <v>Sharks and Flames</v>
      </c>
    </row>
    <row r="4220" spans="1:4" x14ac:dyDescent="0.2">
      <c r="A4220" t="str">
        <f>"4219"</f>
        <v>4219</v>
      </c>
      <c r="B4220" t="str">
        <f>"0.39"</f>
        <v>0.39</v>
      </c>
      <c r="C4220" t="str">
        <f>"76"</f>
        <v>76</v>
      </c>
      <c r="D4220" t="s">
        <v>148</v>
      </c>
    </row>
    <row r="4221" spans="1:4" x14ac:dyDescent="0.2">
      <c r="A4221" t="str">
        <f>"4220"</f>
        <v>4220</v>
      </c>
      <c r="B4221" t="str">
        <f>"0.41"</f>
        <v>0.41</v>
      </c>
      <c r="C4221" t="str">
        <f>"64"</f>
        <v>64</v>
      </c>
      <c r="D4221" t="str">
        <f>"All Your Summer Songs"</f>
        <v>All Your Summer Songs</v>
      </c>
    </row>
    <row r="4222" spans="1:4" x14ac:dyDescent="0.2">
      <c r="A4222" t="str">
        <f>"4221"</f>
        <v>4221</v>
      </c>
      <c r="B4222" t="str">
        <f>"0.42"</f>
        <v>0.42</v>
      </c>
      <c r="C4222" t="str">
        <f>"64"</f>
        <v>64</v>
      </c>
      <c r="D4222" t="str">
        <f>"Radio Amor"</f>
        <v>Radio Amor</v>
      </c>
    </row>
    <row r="4223" spans="1:4" x14ac:dyDescent="0.2">
      <c r="A4223" t="str">
        <f>"4222"</f>
        <v>4222</v>
      </c>
      <c r="B4223" t="str">
        <f>"0.4"</f>
        <v>0.4</v>
      </c>
      <c r="C4223" t="str">
        <f>"71"</f>
        <v>71</v>
      </c>
      <c r="D4223" t="str">
        <f>"Friends Forever"</f>
        <v>Friends Forever</v>
      </c>
    </row>
    <row r="4224" spans="1:4" x14ac:dyDescent="0.2">
      <c r="A4224" t="str">
        <f>"4223"</f>
        <v>4223</v>
      </c>
      <c r="B4224" t="str">
        <f>"-0.31"</f>
        <v>-0.31</v>
      </c>
      <c r="C4224" t="str">
        <f>"78"</f>
        <v>78</v>
      </c>
      <c r="D4224" t="str">
        <f>"Diamonds on the Inside"</f>
        <v>Diamonds on the Inside</v>
      </c>
    </row>
    <row r="4225" spans="1:4" x14ac:dyDescent="0.2">
      <c r="A4225" t="str">
        <f>"4224"</f>
        <v>4224</v>
      </c>
      <c r="B4225" t="str">
        <f>"0.08"</f>
        <v>0.08</v>
      </c>
      <c r="C4225" t="str">
        <f>"100"</f>
        <v>100</v>
      </c>
      <c r="D4225" t="str">
        <f>"Buzzcocks"</f>
        <v>Buzzcocks</v>
      </c>
    </row>
    <row r="4226" spans="1:4" x14ac:dyDescent="0.2">
      <c r="A4226" t="str">
        <f>"4225"</f>
        <v>4225</v>
      </c>
      <c r="B4226" t="str">
        <f>"0.25"</f>
        <v>0.25</v>
      </c>
      <c r="C4226" t="str">
        <f>"42"</f>
        <v>42</v>
      </c>
      <c r="D4226" t="str">
        <f>"Animal Chin"</f>
        <v>Animal Chin</v>
      </c>
    </row>
    <row r="4227" spans="1:4" x14ac:dyDescent="0.2">
      <c r="A4227" t="str">
        <f>"4226"</f>
        <v>4226</v>
      </c>
      <c r="B4227" t="str">
        <f>"-0.55"</f>
        <v>-0.55</v>
      </c>
      <c r="C4227" t="str">
        <f>"58"</f>
        <v>58</v>
      </c>
      <c r="D4227" t="str">
        <f>"Sleeping with Ghosts"</f>
        <v>Sleeping with Ghosts</v>
      </c>
    </row>
    <row r="4228" spans="1:4" x14ac:dyDescent="0.2">
      <c r="A4228" t="str">
        <f>"4227"</f>
        <v>4227</v>
      </c>
      <c r="B4228" t="str">
        <f>"0.5"</f>
        <v>0.5</v>
      </c>
      <c r="C4228" t="str">
        <f>"51"</f>
        <v>51</v>
      </c>
      <c r="D4228" t="str">
        <f>"Nichts Muss"</f>
        <v>Nichts Muss</v>
      </c>
    </row>
    <row r="4229" spans="1:4" x14ac:dyDescent="0.2">
      <c r="A4229" t="str">
        <f>"4228"</f>
        <v>4228</v>
      </c>
      <c r="B4229" t="str">
        <f>"-0.4"</f>
        <v>-0.4</v>
      </c>
      <c r="C4229" t="str">
        <f>"47"</f>
        <v>47</v>
      </c>
      <c r="D4229" t="str">
        <f>"Hello Doctor"</f>
        <v>Hello Doctor</v>
      </c>
    </row>
    <row r="4230" spans="1:4" x14ac:dyDescent="0.2">
      <c r="A4230" t="str">
        <f>"4229"</f>
        <v>4229</v>
      </c>
      <c r="B4230" t="str">
        <f>"-0.86"</f>
        <v>-0.86</v>
      </c>
      <c r="C4230" t="str">
        <f>"48"</f>
        <v>48</v>
      </c>
      <c r="D4230" t="str">
        <f>"Black Eyes"</f>
        <v>Black Eyes</v>
      </c>
    </row>
    <row r="4231" spans="1:4" x14ac:dyDescent="0.2">
      <c r="A4231" t="str">
        <f>"4230"</f>
        <v>4230</v>
      </c>
      <c r="B4231" t="str">
        <f>"0.08"</f>
        <v>0.08</v>
      </c>
      <c r="C4231" t="str">
        <f>"46"</f>
        <v>46</v>
      </c>
      <c r="D4231" t="s">
        <v>149</v>
      </c>
    </row>
    <row r="4232" spans="1:4" x14ac:dyDescent="0.2">
      <c r="A4232" t="str">
        <f>"4231"</f>
        <v>4231</v>
      </c>
      <c r="B4232" t="str">
        <f>"0.23"</f>
        <v>0.23</v>
      </c>
      <c r="C4232" t="str">
        <f>"76"</f>
        <v>76</v>
      </c>
      <c r="D4232" t="str">
        <f>"The Smell of Our Own"</f>
        <v>The Smell of Our Own</v>
      </c>
    </row>
    <row r="4233" spans="1:4" x14ac:dyDescent="0.2">
      <c r="A4233" t="str">
        <f>"4232"</f>
        <v>4232</v>
      </c>
      <c r="B4233" t="str">
        <f>"0.48"</f>
        <v>0.48</v>
      </c>
      <c r="C4233" t="str">
        <f>"50"</f>
        <v>50</v>
      </c>
      <c r="D4233" t="str">
        <f>"MNML"</f>
        <v>MNML</v>
      </c>
    </row>
    <row r="4234" spans="1:4" x14ac:dyDescent="0.2">
      <c r="A4234" t="str">
        <f>"4233"</f>
        <v>4233</v>
      </c>
      <c r="B4234" t="str">
        <f>"-0.76"</f>
        <v>-0.76</v>
      </c>
      <c r="C4234" t="str">
        <f>"46"</f>
        <v>46</v>
      </c>
      <c r="D4234" t="str">
        <f>"Call and Response"</f>
        <v>Call and Response</v>
      </c>
    </row>
    <row r="4235" spans="1:4" x14ac:dyDescent="0.2">
      <c r="A4235" t="str">
        <f>"4234"</f>
        <v>4234</v>
      </c>
      <c r="B4235" t="str">
        <f>"-1.08"</f>
        <v>-1.08</v>
      </c>
      <c r="C4235" t="str">
        <f>"46"</f>
        <v>46</v>
      </c>
      <c r="D4235" t="str">
        <f>"Red Snapper"</f>
        <v>Red Snapper</v>
      </c>
    </row>
    <row r="4236" spans="1:4" x14ac:dyDescent="0.2">
      <c r="A4236" t="str">
        <f>"4235"</f>
        <v>4235</v>
      </c>
      <c r="B4236" t="str">
        <f>"-0.94"</f>
        <v>-0.94</v>
      </c>
      <c r="C4236" t="str">
        <f>"57"</f>
        <v>57</v>
      </c>
      <c r="D4236" t="str">
        <f>"Mouthfuls"</f>
        <v>Mouthfuls</v>
      </c>
    </row>
    <row r="4237" spans="1:4" x14ac:dyDescent="0.2">
      <c r="A4237" t="str">
        <f>"4236"</f>
        <v>4236</v>
      </c>
      <c r="B4237" t="str">
        <f>"-0.53"</f>
        <v>-0.53</v>
      </c>
      <c r="C4237" t="str">
        <f>"50"</f>
        <v>50</v>
      </c>
      <c r="D4237" t="str">
        <f>"In the Land of the Blind The One-Eyed Is King"</f>
        <v>In the Land of the Blind The One-Eyed Is King</v>
      </c>
    </row>
    <row r="4238" spans="1:4" x14ac:dyDescent="0.2">
      <c r="A4238" t="str">
        <f>"4237"</f>
        <v>4237</v>
      </c>
      <c r="B4238" t="str">
        <f>"-0.13"</f>
        <v>-0.13</v>
      </c>
      <c r="C4238" t="str">
        <f>"34"</f>
        <v>34</v>
      </c>
      <c r="D4238" t="str">
        <f>"Don't Want To Know You"</f>
        <v>Don't Want To Know You</v>
      </c>
    </row>
    <row r="4239" spans="1:4" x14ac:dyDescent="0.2">
      <c r="A4239" t="str">
        <f>"4238"</f>
        <v>4238</v>
      </c>
      <c r="B4239" t="str">
        <f>"-0.08"</f>
        <v>-0.08</v>
      </c>
      <c r="C4239" t="str">
        <f>"59"</f>
        <v>59</v>
      </c>
      <c r="D4239" t="str">
        <f>"Death of the Sun"</f>
        <v>Death of the Sun</v>
      </c>
    </row>
    <row r="4240" spans="1:4" x14ac:dyDescent="0.2">
      <c r="A4240" t="str">
        <f>"4239"</f>
        <v>4239</v>
      </c>
      <c r="B4240" t="str">
        <f>"-0.55"</f>
        <v>-0.55</v>
      </c>
      <c r="C4240" t="str">
        <f>"34"</f>
        <v>34</v>
      </c>
      <c r="D4240" t="str">
        <f>"Theoretical Girls"</f>
        <v>Theoretical Girls</v>
      </c>
    </row>
    <row r="4241" spans="1:4" x14ac:dyDescent="0.2">
      <c r="A4241" t="str">
        <f>"4240"</f>
        <v>4240</v>
      </c>
      <c r="B4241" t="str">
        <f>"0.08"</f>
        <v>0.08</v>
      </c>
      <c r="C4241" t="str">
        <f>"37"</f>
        <v>37</v>
      </c>
      <c r="D4241" t="str">
        <f>"The Handbag Memoirs"</f>
        <v>The Handbag Memoirs</v>
      </c>
    </row>
    <row r="4242" spans="1:4" x14ac:dyDescent="0.2">
      <c r="A4242" t="str">
        <f>"4241"</f>
        <v>4241</v>
      </c>
      <c r="B4242" t="str">
        <f>"0.43"</f>
        <v>0.43</v>
      </c>
      <c r="C4242" t="str">
        <f>"41"</f>
        <v>41</v>
      </c>
      <c r="D4242" t="str">
        <f>"Great Aviaries"</f>
        <v>Great Aviaries</v>
      </c>
    </row>
    <row r="4243" spans="1:4" x14ac:dyDescent="0.2">
      <c r="A4243" t="str">
        <f>"4242"</f>
        <v>4242</v>
      </c>
      <c r="B4243" t="str">
        <f>"0.79"</f>
        <v>0.79</v>
      </c>
      <c r="C4243" t="str">
        <f>"57"</f>
        <v>57</v>
      </c>
      <c r="D4243" t="str">
        <f>"Daystar"</f>
        <v>Daystar</v>
      </c>
    </row>
    <row r="4244" spans="1:4" x14ac:dyDescent="0.2">
      <c r="A4244" t="str">
        <f>"4243"</f>
        <v>4243</v>
      </c>
      <c r="B4244" t="str">
        <f>"-0.6"</f>
        <v>-0.6</v>
      </c>
      <c r="C4244" t="str">
        <f>"60"</f>
        <v>60</v>
      </c>
      <c r="D4244" t="s">
        <v>150</v>
      </c>
    </row>
    <row r="4245" spans="1:4" x14ac:dyDescent="0.2">
      <c r="A4245" t="str">
        <f>"4244"</f>
        <v>4244</v>
      </c>
      <c r="B4245" t="str">
        <f>"0.76"</f>
        <v>0.76</v>
      </c>
      <c r="C4245" t="str">
        <f>"166"</f>
        <v>166</v>
      </c>
      <c r="D4245" t="s">
        <v>151</v>
      </c>
    </row>
    <row r="4246" spans="1:4" x14ac:dyDescent="0.2">
      <c r="A4246" t="str">
        <f>"4245"</f>
        <v>4245</v>
      </c>
      <c r="B4246" t="str">
        <f>"-0.48"</f>
        <v>-0.48</v>
      </c>
      <c r="C4246" t="str">
        <f>"112"</f>
        <v>112</v>
      </c>
      <c r="D4246" t="str">
        <f>"The Strangest Things"</f>
        <v>The Strangest Things</v>
      </c>
    </row>
    <row r="4247" spans="1:4" x14ac:dyDescent="0.2">
      <c r="A4247" t="str">
        <f>"4246"</f>
        <v>4246</v>
      </c>
      <c r="B4247" t="str">
        <f>"0.24"</f>
        <v>0.24</v>
      </c>
      <c r="C4247" t="str">
        <f>"44"</f>
        <v>44</v>
      </c>
      <c r="D4247" t="str">
        <f>"Suns"</f>
        <v>Suns</v>
      </c>
    </row>
    <row r="4248" spans="1:4" x14ac:dyDescent="0.2">
      <c r="A4248" t="str">
        <f>"4247"</f>
        <v>4247</v>
      </c>
      <c r="B4248" t="str">
        <f>"-0.44"</f>
        <v>-0.44</v>
      </c>
      <c r="C4248" t="str">
        <f>"45"</f>
        <v>45</v>
      </c>
      <c r="D4248" t="str">
        <f>"Moldy Peaches 2000: Unreleased Cutz and Live Jamz"</f>
        <v>Moldy Peaches 2000: Unreleased Cutz and Live Jamz</v>
      </c>
    </row>
    <row r="4249" spans="1:4" x14ac:dyDescent="0.2">
      <c r="A4249" t="str">
        <f>"4248"</f>
        <v>4248</v>
      </c>
      <c r="B4249" t="str">
        <f>"0.72"</f>
        <v>0.72</v>
      </c>
      <c r="C4249" t="str">
        <f>"68"</f>
        <v>68</v>
      </c>
      <c r="D4249" t="str">
        <f>"Black Cabaret"</f>
        <v>Black Cabaret</v>
      </c>
    </row>
    <row r="4250" spans="1:4" x14ac:dyDescent="0.2">
      <c r="A4250" t="str">
        <f>"4249"</f>
        <v>4249</v>
      </c>
      <c r="B4250" t="str">
        <f>"-0.72"</f>
        <v>-0.72</v>
      </c>
      <c r="C4250" t="str">
        <f>"57"</f>
        <v>57</v>
      </c>
      <c r="D4250" t="str">
        <f>"Live"</f>
        <v>Live</v>
      </c>
    </row>
    <row r="4251" spans="1:4" x14ac:dyDescent="0.2">
      <c r="A4251" t="str">
        <f>"4250"</f>
        <v>4250</v>
      </c>
      <c r="B4251" t="str">
        <f>"-0.63"</f>
        <v>-0.63</v>
      </c>
      <c r="C4251" t="str">
        <f>"35"</f>
        <v>35</v>
      </c>
      <c r="D4251" t="str">
        <f>"Listen &amp; Learn"</f>
        <v>Listen &amp; Learn</v>
      </c>
    </row>
    <row r="4252" spans="1:4" x14ac:dyDescent="0.2">
      <c r="A4252" t="str">
        <f>"4251"</f>
        <v>4251</v>
      </c>
      <c r="B4252" t="str">
        <f>"1.08"</f>
        <v>1.08</v>
      </c>
      <c r="C4252" t="str">
        <f>"82"</f>
        <v>82</v>
      </c>
      <c r="D4252" t="str">
        <f>"Anthology"</f>
        <v>Anthology</v>
      </c>
    </row>
    <row r="4253" spans="1:4" x14ac:dyDescent="0.2">
      <c r="A4253" t="str">
        <f>"4252"</f>
        <v>4252</v>
      </c>
      <c r="B4253" t="str">
        <f>"0.08"</f>
        <v>0.08</v>
      </c>
      <c r="C4253" t="str">
        <f>"70"</f>
        <v>70</v>
      </c>
      <c r="D4253" t="str">
        <f>"6 Peace EP"</f>
        <v>6 Peace EP</v>
      </c>
    </row>
    <row r="4254" spans="1:4" x14ac:dyDescent="0.2">
      <c r="A4254" t="str">
        <f>"4253"</f>
        <v>4253</v>
      </c>
      <c r="B4254" t="str">
        <f>"0.18"</f>
        <v>0.18</v>
      </c>
      <c r="C4254" t="str">
        <f>"122"</f>
        <v>122</v>
      </c>
      <c r="D4254" t="str">
        <f>"26 Mixes for Cash"</f>
        <v>26 Mixes for Cash</v>
      </c>
    </row>
    <row r="4255" spans="1:4" x14ac:dyDescent="0.2">
      <c r="A4255" t="str">
        <f>"4254"</f>
        <v>4254</v>
      </c>
      <c r="B4255" t="str">
        <f>"-0.74"</f>
        <v>-0.74</v>
      </c>
      <c r="C4255" t="str">
        <f>"81"</f>
        <v>81</v>
      </c>
      <c r="D4255" t="s">
        <v>152</v>
      </c>
    </row>
    <row r="4256" spans="1:4" x14ac:dyDescent="0.2">
      <c r="A4256" t="str">
        <f>"4255"</f>
        <v>4255</v>
      </c>
      <c r="B4256" t="str">
        <f>"0.4"</f>
        <v>0.4</v>
      </c>
      <c r="C4256" t="str">
        <f>"70"</f>
        <v>70</v>
      </c>
      <c r="D4256" t="str">
        <f>"Summer Sun"</f>
        <v>Summer Sun</v>
      </c>
    </row>
    <row r="4257" spans="1:4" x14ac:dyDescent="0.2">
      <c r="A4257" t="str">
        <f>"4256"</f>
        <v>4256</v>
      </c>
      <c r="B4257" t="str">
        <f>"0.26"</f>
        <v>0.26</v>
      </c>
      <c r="C4257" t="str">
        <f>"42"</f>
        <v>42</v>
      </c>
      <c r="D4257" t="str">
        <f>"Polarity"</f>
        <v>Polarity</v>
      </c>
    </row>
    <row r="4258" spans="1:4" x14ac:dyDescent="0.2">
      <c r="A4258" t="str">
        <f>"4257"</f>
        <v>4257</v>
      </c>
      <c r="B4258" t="str">
        <f>"-0.37"</f>
        <v>-0.37</v>
      </c>
      <c r="C4258" t="str">
        <f>"68"</f>
        <v>68</v>
      </c>
      <c r="D4258" t="str">
        <f>"Kopernik"</f>
        <v>Kopernik</v>
      </c>
    </row>
    <row r="4259" spans="1:4" x14ac:dyDescent="0.2">
      <c r="A4259" t="str">
        <f>"4258"</f>
        <v>4258</v>
      </c>
      <c r="B4259" t="str">
        <f>"-1.42"</f>
        <v>-1.42</v>
      </c>
      <c r="C4259" t="str">
        <f>"72"</f>
        <v>72</v>
      </c>
      <c r="D4259" t="str">
        <f>"Dead Hills"</f>
        <v>Dead Hills</v>
      </c>
    </row>
    <row r="4260" spans="1:4" x14ac:dyDescent="0.2">
      <c r="A4260" t="str">
        <f>"4259"</f>
        <v>4259</v>
      </c>
      <c r="B4260" t="str">
        <f>"0.27"</f>
        <v>0.27</v>
      </c>
      <c r="C4260" t="str">
        <f>"103"</f>
        <v>103</v>
      </c>
      <c r="D4260" t="str">
        <f>"Wanna Buy a Craprak?"</f>
        <v>Wanna Buy a Craprak?</v>
      </c>
    </row>
    <row r="4261" spans="1:4" x14ac:dyDescent="0.2">
      <c r="A4261" t="str">
        <f>"4260"</f>
        <v>4260</v>
      </c>
      <c r="B4261" t="str">
        <f>"0.06"</f>
        <v>0.06</v>
      </c>
      <c r="C4261" t="str">
        <f>"80"</f>
        <v>80</v>
      </c>
      <c r="D4261" t="str">
        <f>"Pure Tone Audiometry"</f>
        <v>Pure Tone Audiometry</v>
      </c>
    </row>
    <row r="4262" spans="1:4" x14ac:dyDescent="0.2">
      <c r="A4262" t="str">
        <f>"4261"</f>
        <v>4261</v>
      </c>
      <c r="B4262" t="str">
        <f>"0.06"</f>
        <v>0.06</v>
      </c>
      <c r="C4262" t="str">
        <f>"24"</f>
        <v>24</v>
      </c>
      <c r="D4262" t="str">
        <f>"Guitar Romantic"</f>
        <v>Guitar Romantic</v>
      </c>
    </row>
    <row r="4263" spans="1:4" x14ac:dyDescent="0.2">
      <c r="A4263" t="str">
        <f>"4262"</f>
        <v>4262</v>
      </c>
      <c r="B4263" t="str">
        <f>"0.71"</f>
        <v>0.71</v>
      </c>
      <c r="C4263" t="str">
        <f>"69"</f>
        <v>69</v>
      </c>
      <c r="D4263" t="str">
        <f>"Fear Yourself"</f>
        <v>Fear Yourself</v>
      </c>
    </row>
    <row r="4264" spans="1:4" x14ac:dyDescent="0.2">
      <c r="A4264" t="str">
        <f>"4263"</f>
        <v>4263</v>
      </c>
      <c r="B4264" t="str">
        <f>"-0.23"</f>
        <v>-0.23</v>
      </c>
      <c r="C4264" t="str">
        <f>"36"</f>
        <v>36</v>
      </c>
      <c r="D4264" t="str">
        <f>"Dubtometry"</f>
        <v>Dubtometry</v>
      </c>
    </row>
    <row r="4265" spans="1:4" x14ac:dyDescent="0.2">
      <c r="A4265" t="str">
        <f>"4264"</f>
        <v>4264</v>
      </c>
      <c r="B4265" t="str">
        <f>"0.17"</f>
        <v>0.17</v>
      </c>
      <c r="C4265" t="str">
        <f>"40"</f>
        <v>40</v>
      </c>
      <c r="D4265" t="str">
        <f>"Radio-Free Brooklyn"</f>
        <v>Radio-Free Brooklyn</v>
      </c>
    </row>
    <row r="4266" spans="1:4" x14ac:dyDescent="0.2">
      <c r="A4266" t="str">
        <f>"4265"</f>
        <v>4265</v>
      </c>
      <c r="B4266" t="str">
        <f>"0.65"</f>
        <v>0.65</v>
      </c>
      <c r="C4266" t="str">
        <f>"68"</f>
        <v>68</v>
      </c>
      <c r="D4266" t="str">
        <f>"Nothing's Going to Happen"</f>
        <v>Nothing's Going to Happen</v>
      </c>
    </row>
    <row r="4267" spans="1:4" x14ac:dyDescent="0.2">
      <c r="A4267" t="str">
        <f>"4266"</f>
        <v>4266</v>
      </c>
      <c r="B4267" t="str">
        <f>"-0.78"</f>
        <v>-0.78</v>
      </c>
      <c r="C4267" t="str">
        <f>"52"</f>
        <v>52</v>
      </c>
      <c r="D4267" t="str">
        <f>"El Cielo"</f>
        <v>El Cielo</v>
      </c>
    </row>
    <row r="4268" spans="1:4" x14ac:dyDescent="0.2">
      <c r="A4268" t="str">
        <f>"4267"</f>
        <v>4267</v>
      </c>
      <c r="B4268" t="str">
        <f>"-0.83"</f>
        <v>-0.83</v>
      </c>
      <c r="C4268" t="str">
        <f>"52"</f>
        <v>52</v>
      </c>
      <c r="D4268" t="str">
        <f>"The Downfall of Ibliys: A Ghetto Opera"</f>
        <v>The Downfall of Ibliys: A Ghetto Opera</v>
      </c>
    </row>
    <row r="4269" spans="1:4" x14ac:dyDescent="0.2">
      <c r="A4269" t="str">
        <f>"4268"</f>
        <v>4268</v>
      </c>
      <c r="B4269" t="str">
        <f>"-0.6"</f>
        <v>-0.6</v>
      </c>
      <c r="C4269" t="str">
        <f>"50"</f>
        <v>50</v>
      </c>
      <c r="D4269" t="str">
        <f>"Land Air Sea"</f>
        <v>Land Air Sea</v>
      </c>
    </row>
    <row r="4270" spans="1:4" x14ac:dyDescent="0.2">
      <c r="A4270" t="str">
        <f>"4269"</f>
        <v>4269</v>
      </c>
      <c r="B4270" t="str">
        <f>"-0.37"</f>
        <v>-0.37</v>
      </c>
      <c r="C4270" t="str">
        <f>"27"</f>
        <v>27</v>
      </c>
      <c r="D4270" t="str">
        <f>"Cruel Smile"</f>
        <v>Cruel Smile</v>
      </c>
    </row>
    <row r="4271" spans="1:4" x14ac:dyDescent="0.2">
      <c r="A4271" t="str">
        <f>"4270"</f>
        <v>4270</v>
      </c>
      <c r="B4271" t="str">
        <f>"0.98"</f>
        <v>0.98</v>
      </c>
      <c r="C4271" t="str">
        <f>"43"</f>
        <v>43</v>
      </c>
      <c r="D4271" t="str">
        <f>"Bright Yellow Bright Orange"</f>
        <v>Bright Yellow Bright Orange</v>
      </c>
    </row>
    <row r="4272" spans="1:4" x14ac:dyDescent="0.2">
      <c r="A4272" t="str">
        <f>"4271"</f>
        <v>4271</v>
      </c>
      <c r="B4272" t="str">
        <f>"-0.09"</f>
        <v>-0.09</v>
      </c>
      <c r="C4272" t="str">
        <f>"84"</f>
        <v>84</v>
      </c>
      <c r="D4272" t="str">
        <f>"Anxiety Always"</f>
        <v>Anxiety Always</v>
      </c>
    </row>
    <row r="4273" spans="1:4" x14ac:dyDescent="0.2">
      <c r="A4273" t="str">
        <f>"4272"</f>
        <v>4272</v>
      </c>
      <c r="B4273" t="str">
        <f>"0.53"</f>
        <v>0.53</v>
      </c>
      <c r="C4273" t="str">
        <f>"33"</f>
        <v>33</v>
      </c>
      <c r="D4273" t="str">
        <f>"Up in Flames"</f>
        <v>Up in Flames</v>
      </c>
    </row>
    <row r="4274" spans="1:4" x14ac:dyDescent="0.2">
      <c r="A4274" t="str">
        <f>"4273"</f>
        <v>4273</v>
      </c>
      <c r="B4274" t="str">
        <f>"-0.68"</f>
        <v>-0.68</v>
      </c>
      <c r="C4274" t="str">
        <f>"75"</f>
        <v>75</v>
      </c>
      <c r="D4274" t="str">
        <f>"The Ugly Organ"</f>
        <v>The Ugly Organ</v>
      </c>
    </row>
    <row r="4275" spans="1:4" x14ac:dyDescent="0.2">
      <c r="A4275" t="str">
        <f>"4274"</f>
        <v>4274</v>
      </c>
      <c r="B4275" t="str">
        <f>"-1.58"</f>
        <v>-1.58</v>
      </c>
      <c r="C4275" t="str">
        <f>"91"</f>
        <v>91</v>
      </c>
      <c r="D4275" t="str">
        <f>"No Silver/No Gold"</f>
        <v>No Silver/No Gold</v>
      </c>
    </row>
    <row r="4276" spans="1:4" x14ac:dyDescent="0.2">
      <c r="A4276" t="str">
        <f>"4275"</f>
        <v>4275</v>
      </c>
      <c r="B4276" t="str">
        <f>"-0.63"</f>
        <v>-0.63</v>
      </c>
      <c r="C4276" t="str">
        <f>"96"</f>
        <v>96</v>
      </c>
      <c r="D4276" t="str">
        <f>"Log 22"</f>
        <v>Log 22</v>
      </c>
    </row>
    <row r="4277" spans="1:4" x14ac:dyDescent="0.2">
      <c r="A4277" t="str">
        <f>"4276"</f>
        <v>4276</v>
      </c>
      <c r="B4277" t="str">
        <f>"-0.69"</f>
        <v>-0.69</v>
      </c>
      <c r="C4277" t="str">
        <f>"79"</f>
        <v>79</v>
      </c>
      <c r="D4277" t="str">
        <f>"Butthole Surfers/Live PCPPEP"</f>
        <v>Butthole Surfers/Live PCPPEP</v>
      </c>
    </row>
    <row r="4278" spans="1:4" x14ac:dyDescent="0.2">
      <c r="A4278" t="str">
        <f>"4277"</f>
        <v>4277</v>
      </c>
      <c r="B4278" t="str">
        <f>"0.22"</f>
        <v>0.22</v>
      </c>
      <c r="C4278" t="str">
        <f>"36"</f>
        <v>36</v>
      </c>
      <c r="D4278" t="str">
        <f>"Rock Egypt"</f>
        <v>Rock Egypt</v>
      </c>
    </row>
    <row r="4279" spans="1:4" x14ac:dyDescent="0.2">
      <c r="A4279" t="str">
        <f>"4278"</f>
        <v>4278</v>
      </c>
      <c r="B4279" t="str">
        <f>"-0.42"</f>
        <v>-0.42</v>
      </c>
      <c r="C4279" t="str">
        <f>"53"</f>
        <v>53</v>
      </c>
      <c r="D4279" t="str">
        <f>"Racetothebottom"</f>
        <v>Racetothebottom</v>
      </c>
    </row>
    <row r="4280" spans="1:4" x14ac:dyDescent="0.2">
      <c r="A4280" t="str">
        <f>"4279"</f>
        <v>4279</v>
      </c>
      <c r="B4280" t="str">
        <f>"0.43"</f>
        <v>0.43</v>
      </c>
      <c r="C4280" t="str">
        <f>"54"</f>
        <v>54</v>
      </c>
      <c r="D4280" t="str">
        <f>"Data 80"</f>
        <v>Data 80</v>
      </c>
    </row>
    <row r="4281" spans="1:4" x14ac:dyDescent="0.2">
      <c r="A4281" t="str">
        <f>"4280"</f>
        <v>4280</v>
      </c>
      <c r="B4281" t="str">
        <f>"0.45"</f>
        <v>0.45</v>
      </c>
      <c r="C4281" t="str">
        <f>"26"</f>
        <v>26</v>
      </c>
      <c r="D4281" t="str">
        <f>"The Best of Morphine 1992-1995"</f>
        <v>The Best of Morphine 1992-1995</v>
      </c>
    </row>
    <row r="4282" spans="1:4" x14ac:dyDescent="0.2">
      <c r="A4282" t="str">
        <f>"4281"</f>
        <v>4281</v>
      </c>
      <c r="B4282" t="str">
        <f>"0.18"</f>
        <v>0.18</v>
      </c>
      <c r="C4282" t="str">
        <f>"48"</f>
        <v>48</v>
      </c>
      <c r="D4282" t="str">
        <f>"Multi Kontra Culti Vs. Irony"</f>
        <v>Multi Kontra Culti Vs. Irony</v>
      </c>
    </row>
    <row r="4283" spans="1:4" x14ac:dyDescent="0.2">
      <c r="A4283" t="str">
        <f>"4282"</f>
        <v>4282</v>
      </c>
      <c r="B4283" t="str">
        <f>"-0.51"</f>
        <v>-0.51</v>
      </c>
      <c r="C4283" t="str">
        <f>"67"</f>
        <v>67</v>
      </c>
      <c r="D4283" t="str">
        <f>"I Suck on That Emotion"</f>
        <v>I Suck on That Emotion</v>
      </c>
    </row>
    <row r="4284" spans="1:4" x14ac:dyDescent="0.2">
      <c r="A4284" t="str">
        <f>"4283"</f>
        <v>4283</v>
      </c>
      <c r="B4284" t="str">
        <f>"-0.63"</f>
        <v>-0.63</v>
      </c>
      <c r="C4284" t="str">
        <f>"46"</f>
        <v>46</v>
      </c>
      <c r="D4284" t="str">
        <f>"Il Dito and Other Gestures"</f>
        <v>Il Dito and Other Gestures</v>
      </c>
    </row>
    <row r="4285" spans="1:4" x14ac:dyDescent="0.2">
      <c r="A4285" t="str">
        <f>"4284"</f>
        <v>4284</v>
      </c>
      <c r="B4285" t="str">
        <f>"-0.6"</f>
        <v>-0.6</v>
      </c>
      <c r="C4285" t="str">
        <f>"88"</f>
        <v>88</v>
      </c>
      <c r="D4285" t="str">
        <f>"Elephant"</f>
        <v>Elephant</v>
      </c>
    </row>
    <row r="4286" spans="1:4" x14ac:dyDescent="0.2">
      <c r="A4286" t="str">
        <f>"4285"</f>
        <v>4285</v>
      </c>
      <c r="B4286" t="str">
        <f>"0.12"</f>
        <v>0.12</v>
      </c>
      <c r="C4286" t="str">
        <f>"44"</f>
        <v>44</v>
      </c>
      <c r="D4286" t="str">
        <f>"Antenna"</f>
        <v>Antenna</v>
      </c>
    </row>
    <row r="4287" spans="1:4" x14ac:dyDescent="0.2">
      <c r="A4287" t="str">
        <f>"4286"</f>
        <v>4286</v>
      </c>
      <c r="B4287" t="str">
        <f>"-0.28"</f>
        <v>-0.28</v>
      </c>
      <c r="C4287" t="str">
        <f>"53"</f>
        <v>53</v>
      </c>
      <c r="D4287" t="str">
        <f>"Keep On Your Mean Side"</f>
        <v>Keep On Your Mean Side</v>
      </c>
    </row>
    <row r="4288" spans="1:4" x14ac:dyDescent="0.2">
      <c r="A4288" t="str">
        <f>"4287"</f>
        <v>4287</v>
      </c>
      <c r="B4288" t="str">
        <f>"-0.9"</f>
        <v>-0.9</v>
      </c>
      <c r="C4288" t="str">
        <f>"38"</f>
        <v>38</v>
      </c>
      <c r="D4288" t="str">
        <f>"Intonomancy"</f>
        <v>Intonomancy</v>
      </c>
    </row>
    <row r="4289" spans="1:4" x14ac:dyDescent="0.2">
      <c r="A4289" t="str">
        <f>"4288"</f>
        <v>4288</v>
      </c>
      <c r="B4289" t="str">
        <f>"0.4"</f>
        <v>0.4</v>
      </c>
      <c r="C4289" t="str">
        <f>"40"</f>
        <v>40</v>
      </c>
      <c r="D4289" t="str">
        <f>"Clouds"</f>
        <v>Clouds</v>
      </c>
    </row>
    <row r="4290" spans="1:4" x14ac:dyDescent="0.2">
      <c r="A4290" t="str">
        <f>"4289"</f>
        <v>4289</v>
      </c>
      <c r="B4290" t="str">
        <f>"-0.81"</f>
        <v>-0.81</v>
      </c>
      <c r="C4290" t="str">
        <f>"22"</f>
        <v>22</v>
      </c>
      <c r="D4290" t="str">
        <f>"Campfire Songs"</f>
        <v>Campfire Songs</v>
      </c>
    </row>
    <row r="4291" spans="1:4" x14ac:dyDescent="0.2">
      <c r="A4291" t="str">
        <f>"4290"</f>
        <v>4290</v>
      </c>
      <c r="B4291" t="str">
        <f>"-0.05"</f>
        <v>-0.05</v>
      </c>
      <c r="C4291" t="str">
        <f>"60"</f>
        <v>60</v>
      </c>
      <c r="D4291" t="str">
        <f>"Amassed"</f>
        <v>Amassed</v>
      </c>
    </row>
    <row r="4292" spans="1:4" x14ac:dyDescent="0.2">
      <c r="A4292" t="str">
        <f>"4291"</f>
        <v>4291</v>
      </c>
      <c r="B4292" t="str">
        <f>"-0.6"</f>
        <v>-0.6</v>
      </c>
      <c r="C4292" t="str">
        <f>"38"</f>
        <v>38</v>
      </c>
      <c r="D4292" t="str">
        <f>"Winter in the Belly of a Snake"</f>
        <v>Winter in the Belly of a Snake</v>
      </c>
    </row>
    <row r="4293" spans="1:4" x14ac:dyDescent="0.2">
      <c r="A4293" t="str">
        <f>"4292"</f>
        <v>4292</v>
      </c>
      <c r="B4293" t="str">
        <f>"-0.89"</f>
        <v>-0.89</v>
      </c>
      <c r="C4293" t="str">
        <f>"95"</f>
        <v>95</v>
      </c>
      <c r="D4293" t="str">
        <f>"The Secret of Elena's Tomb EP"</f>
        <v>The Secret of Elena's Tomb EP</v>
      </c>
    </row>
    <row r="4294" spans="1:4" x14ac:dyDescent="0.2">
      <c r="A4294" t="str">
        <f>"4293"</f>
        <v>4293</v>
      </c>
      <c r="B4294" t="str">
        <f>"-0.05"</f>
        <v>-0.05</v>
      </c>
      <c r="C4294" t="str">
        <f>"45"</f>
        <v>45</v>
      </c>
      <c r="D4294" t="str">
        <f>"The Rutland Isles"</f>
        <v>The Rutland Isles</v>
      </c>
    </row>
    <row r="4295" spans="1:4" x14ac:dyDescent="0.2">
      <c r="A4295" t="str">
        <f>"4294"</f>
        <v>4294</v>
      </c>
      <c r="B4295" t="str">
        <f>"-0.65"</f>
        <v>-0.65</v>
      </c>
      <c r="C4295" t="str">
        <f>"42"</f>
        <v>42</v>
      </c>
      <c r="D4295" t="str">
        <f>"Smarmymob"</f>
        <v>Smarmymob</v>
      </c>
    </row>
    <row r="4296" spans="1:4" x14ac:dyDescent="0.2">
      <c r="A4296" t="str">
        <f>"4295"</f>
        <v>4295</v>
      </c>
      <c r="B4296" t="str">
        <f>"0.05"</f>
        <v>0.05</v>
      </c>
      <c r="C4296" t="str">
        <f>"62"</f>
        <v>62</v>
      </c>
      <c r="D4296" t="str">
        <f>"Clothes Your I's"</f>
        <v>Clothes Your I's</v>
      </c>
    </row>
    <row r="4297" spans="1:4" x14ac:dyDescent="0.2">
      <c r="A4297" t="str">
        <f>"4296"</f>
        <v>4296</v>
      </c>
      <c r="B4297" t="str">
        <f>"0.57"</f>
        <v>0.57</v>
      </c>
      <c r="C4297" t="str">
        <f>"79"</f>
        <v>79</v>
      </c>
      <c r="D4297" t="str">
        <f>"Apple O’"</f>
        <v>Apple O’</v>
      </c>
    </row>
    <row r="4298" spans="1:4" x14ac:dyDescent="0.2">
      <c r="A4298" t="str">
        <f>"4297"</f>
        <v>4297</v>
      </c>
      <c r="B4298" t="str">
        <f>"-0.8"</f>
        <v>-0.8</v>
      </c>
      <c r="C4298" t="str">
        <f>"34"</f>
        <v>34</v>
      </c>
      <c r="D4298" t="str">
        <f>"Slanguage"</f>
        <v>Slanguage</v>
      </c>
    </row>
    <row r="4299" spans="1:4" x14ac:dyDescent="0.2">
      <c r="A4299" t="str">
        <f>"4298"</f>
        <v>4298</v>
      </c>
      <c r="B4299" t="str">
        <f>"-0.21"</f>
        <v>-0.21</v>
      </c>
      <c r="C4299" t="str">
        <f>"80"</f>
        <v>80</v>
      </c>
      <c r="D4299" t="s">
        <v>153</v>
      </c>
    </row>
    <row r="4300" spans="1:4" x14ac:dyDescent="0.2">
      <c r="A4300" t="str">
        <f>"4299"</f>
        <v>4299</v>
      </c>
      <c r="B4300" t="str">
        <f>"0.13"</f>
        <v>0.13</v>
      </c>
      <c r="C4300" t="str">
        <f>"55"</f>
        <v>55</v>
      </c>
      <c r="D4300" t="str">
        <f>"Shot of Love"</f>
        <v>Shot of Love</v>
      </c>
    </row>
    <row r="4301" spans="1:4" x14ac:dyDescent="0.2">
      <c r="A4301" t="str">
        <f>"4300"</f>
        <v>4300</v>
      </c>
      <c r="B4301" t="str">
        <f>"-0.7"</f>
        <v>-0.7</v>
      </c>
      <c r="C4301" t="str">
        <f>"119"</f>
        <v>119</v>
      </c>
      <c r="D4301" t="str">
        <f>"Baby's Breadth"</f>
        <v>Baby's Breadth</v>
      </c>
    </row>
    <row r="4302" spans="1:4" x14ac:dyDescent="0.2">
      <c r="A4302" t="str">
        <f>"4301"</f>
        <v>4301</v>
      </c>
      <c r="B4302" t="str">
        <f>"0.65"</f>
        <v>0.65</v>
      </c>
      <c r="C4302" t="str">
        <f>"53"</f>
        <v>53</v>
      </c>
      <c r="D4302" t="str">
        <f>"Hot New Spirits"</f>
        <v>Hot New Spirits</v>
      </c>
    </row>
    <row r="4303" spans="1:4" x14ac:dyDescent="0.2">
      <c r="A4303" t="str">
        <f>"4302"</f>
        <v>4302</v>
      </c>
      <c r="B4303" t="str">
        <f>"0.02"</f>
        <v>0.02</v>
      </c>
      <c r="C4303" t="str">
        <f>"60"</f>
        <v>60</v>
      </c>
      <c r="D4303" t="s">
        <v>154</v>
      </c>
    </row>
    <row r="4304" spans="1:4" x14ac:dyDescent="0.2">
      <c r="A4304" t="str">
        <f>"4303"</f>
        <v>4303</v>
      </c>
      <c r="B4304" t="str">
        <f>"0.22"</f>
        <v>0.22</v>
      </c>
      <c r="C4304" t="str">
        <f>"48"</f>
        <v>48</v>
      </c>
      <c r="D4304" t="str">
        <f>"Transfiguration of Vincent"</f>
        <v>Transfiguration of Vincent</v>
      </c>
    </row>
    <row r="4305" spans="1:4" x14ac:dyDescent="0.2">
      <c r="A4305" t="str">
        <f>"4304"</f>
        <v>4304</v>
      </c>
      <c r="B4305" t="str">
        <f>"-0.88"</f>
        <v>-0.88</v>
      </c>
      <c r="C4305" t="str">
        <f>"55"</f>
        <v>55</v>
      </c>
      <c r="D4305" t="str">
        <f>"Selling Live Water"</f>
        <v>Selling Live Water</v>
      </c>
    </row>
    <row r="4306" spans="1:4" x14ac:dyDescent="0.2">
      <c r="A4306" t="str">
        <f>"4305"</f>
        <v>4305</v>
      </c>
      <c r="B4306" t="str">
        <f>"1.05"</f>
        <v>1.05</v>
      </c>
      <c r="C4306" t="str">
        <f>"69"</f>
        <v>69</v>
      </c>
      <c r="D4306" t="str">
        <f>"Quicksand/Cradlesnakes"</f>
        <v>Quicksand/Cradlesnakes</v>
      </c>
    </row>
    <row r="4307" spans="1:4" x14ac:dyDescent="0.2">
      <c r="A4307" t="str">
        <f>"4306"</f>
        <v>4306</v>
      </c>
      <c r="B4307" t="str">
        <f>"-0.16"</f>
        <v>-0.16</v>
      </c>
      <c r="C4307" t="str">
        <f>"60"</f>
        <v>60</v>
      </c>
      <c r="D4307" t="str">
        <f>"Son"</f>
        <v>Son</v>
      </c>
    </row>
    <row r="4308" spans="1:4" x14ac:dyDescent="0.2">
      <c r="A4308" t="str">
        <f>"4307"</f>
        <v>4307</v>
      </c>
      <c r="B4308" t="str">
        <f>"-0.09"</f>
        <v>-0.09</v>
      </c>
      <c r="C4308" t="str">
        <f>"35"</f>
        <v>35</v>
      </c>
      <c r="D4308" t="s">
        <v>155</v>
      </c>
    </row>
    <row r="4309" spans="1:4" x14ac:dyDescent="0.2">
      <c r="A4309" t="str">
        <f>"4308"</f>
        <v>4308</v>
      </c>
      <c r="B4309" t="str">
        <f>"-0.69"</f>
        <v>-0.69</v>
      </c>
      <c r="C4309" t="str">
        <f>"44"</f>
        <v>44</v>
      </c>
      <c r="D4309" t="str">
        <f>"Star Witness"</f>
        <v>Star Witness</v>
      </c>
    </row>
    <row r="4310" spans="1:4" x14ac:dyDescent="0.2">
      <c r="A4310" t="str">
        <f>"4309"</f>
        <v>4309</v>
      </c>
      <c r="B4310" t="str">
        <f>"-0.17"</f>
        <v>-0.17</v>
      </c>
      <c r="C4310" t="str">
        <f>"78"</f>
        <v>78</v>
      </c>
      <c r="D4310" t="str">
        <f>"Supper"</f>
        <v>Supper</v>
      </c>
    </row>
    <row r="4311" spans="1:4" x14ac:dyDescent="0.2">
      <c r="A4311" t="str">
        <f>"4310"</f>
        <v>4310</v>
      </c>
      <c r="B4311" t="str">
        <f>"0.03"</f>
        <v>0.03</v>
      </c>
      <c r="C4311" t="str">
        <f>"59"</f>
        <v>59</v>
      </c>
      <c r="D4311" t="str">
        <f>"New Deal"</f>
        <v>New Deal</v>
      </c>
    </row>
    <row r="4312" spans="1:4" x14ac:dyDescent="0.2">
      <c r="A4312" t="str">
        <f>"4311"</f>
        <v>4311</v>
      </c>
      <c r="B4312" t="str">
        <f>"0.09"</f>
        <v>0.09</v>
      </c>
      <c r="C4312" t="str">
        <f>"56"</f>
        <v>56</v>
      </c>
      <c r="D4312" t="str">
        <f>"Castaways and Cutouts"</f>
        <v>Castaways and Cutouts</v>
      </c>
    </row>
    <row r="4313" spans="1:4" x14ac:dyDescent="0.2">
      <c r="A4313" t="str">
        <f>"4312"</f>
        <v>4312</v>
      </c>
      <c r="B4313" t="str">
        <f>"-0.11"</f>
        <v>-0.11</v>
      </c>
      <c r="C4313" t="str">
        <f>"68"</f>
        <v>68</v>
      </c>
      <c r="D4313" t="str">
        <f>"Holopaw"</f>
        <v>Holopaw</v>
      </c>
    </row>
    <row r="4314" spans="1:4" x14ac:dyDescent="0.2">
      <c r="A4314" t="str">
        <f>"4313"</f>
        <v>4313</v>
      </c>
      <c r="B4314" t="str">
        <f>"0.37"</f>
        <v>0.37</v>
      </c>
      <c r="C4314" t="str">
        <f>"64"</f>
        <v>64</v>
      </c>
      <c r="D4314" t="str">
        <f>"Googler"</f>
        <v>Googler</v>
      </c>
    </row>
    <row r="4315" spans="1:4" x14ac:dyDescent="0.2">
      <c r="A4315" t="str">
        <f>"4314"</f>
        <v>4314</v>
      </c>
      <c r="B4315" t="str">
        <f>"-1.04"</f>
        <v>-1.04</v>
      </c>
      <c r="C4315" t="str">
        <f>"46"</f>
        <v>46</v>
      </c>
      <c r="D4315" t="str">
        <f>"Dust"</f>
        <v>Dust</v>
      </c>
    </row>
    <row r="4316" spans="1:4" x14ac:dyDescent="0.2">
      <c r="A4316" t="str">
        <f>"4315"</f>
        <v>4315</v>
      </c>
      <c r="B4316" t="str">
        <f>"0.75"</f>
        <v>0.75</v>
      </c>
      <c r="C4316" t="str">
        <f>"65"</f>
        <v>65</v>
      </c>
      <c r="D4316" t="str">
        <f>"DJ Kicks"</f>
        <v>DJ Kicks</v>
      </c>
    </row>
    <row r="4317" spans="1:4" x14ac:dyDescent="0.2">
      <c r="A4317" t="str">
        <f>"4316"</f>
        <v>4316</v>
      </c>
      <c r="B4317" t="str">
        <f>"0.21"</f>
        <v>0.21</v>
      </c>
      <c r="C4317" t="str">
        <f>"91"</f>
        <v>91</v>
      </c>
      <c r="D4317" t="str">
        <f>"Tsu Gi Ne Pu"</f>
        <v>Tsu Gi Ne Pu</v>
      </c>
    </row>
    <row r="4318" spans="1:4" x14ac:dyDescent="0.2">
      <c r="A4318" t="str">
        <f>"4317"</f>
        <v>4317</v>
      </c>
      <c r="B4318" t="str">
        <f>"-0.03"</f>
        <v>-0.03</v>
      </c>
      <c r="C4318" t="str">
        <f>"52"</f>
        <v>52</v>
      </c>
      <c r="D4318" t="str">
        <f>"Trouser Jazz"</f>
        <v>Trouser Jazz</v>
      </c>
    </row>
    <row r="4319" spans="1:4" x14ac:dyDescent="0.2">
      <c r="A4319" t="str">
        <f>"4318"</f>
        <v>4318</v>
      </c>
      <c r="B4319" t="str">
        <f>"-0.19"</f>
        <v>-0.19</v>
      </c>
      <c r="C4319" t="str">
        <f>"75"</f>
        <v>75</v>
      </c>
      <c r="D4319" t="str">
        <f>"Mani"</f>
        <v>Mani</v>
      </c>
    </row>
    <row r="4320" spans="1:4" x14ac:dyDescent="0.2">
      <c r="A4320" t="str">
        <f>"4319"</f>
        <v>4319</v>
      </c>
      <c r="B4320" t="str">
        <f>"0.35"</f>
        <v>0.35</v>
      </c>
      <c r="C4320" t="str">
        <f>"48"</f>
        <v>48</v>
      </c>
      <c r="D4320" t="str">
        <f>"A Gift from a Garden to a Flower: A Tribute to Donovan"</f>
        <v>A Gift from a Garden to a Flower: A Tribute to Donovan</v>
      </c>
    </row>
    <row r="4321" spans="1:4" x14ac:dyDescent="0.2">
      <c r="A4321" t="str">
        <f>"4320"</f>
        <v>4320</v>
      </c>
      <c r="B4321" t="str">
        <f>"0.06"</f>
        <v>0.06</v>
      </c>
      <c r="C4321" t="str">
        <f>"62"</f>
        <v>62</v>
      </c>
      <c r="D4321" t="str">
        <f>"The Grotto"</f>
        <v>The Grotto</v>
      </c>
    </row>
    <row r="4322" spans="1:4" x14ac:dyDescent="0.2">
      <c r="A4322" t="str">
        <f>"4321"</f>
        <v>4321</v>
      </c>
      <c r="B4322" t="str">
        <f>"0.04"</f>
        <v>0.04</v>
      </c>
      <c r="C4322" t="str">
        <f>"67"</f>
        <v>67</v>
      </c>
      <c r="D4322" t="str">
        <f>"It's All Happening Now"</f>
        <v>It's All Happening Now</v>
      </c>
    </row>
    <row r="4323" spans="1:4" x14ac:dyDescent="0.2">
      <c r="A4323" t="str">
        <f>"4322"</f>
        <v>4322</v>
      </c>
      <c r="B4323" t="str">
        <f>"-0.72"</f>
        <v>-0.72</v>
      </c>
      <c r="C4323" t="str">
        <f>"67"</f>
        <v>67</v>
      </c>
      <c r="D4323" t="str">
        <f>"Infinite Keys"</f>
        <v>Infinite Keys</v>
      </c>
    </row>
    <row r="4324" spans="1:4" x14ac:dyDescent="0.2">
      <c r="A4324" t="str">
        <f>"4323"</f>
        <v>4323</v>
      </c>
      <c r="B4324" t="str">
        <f>"-0.62"</f>
        <v>-0.62</v>
      </c>
      <c r="C4324" t="str">
        <f>"37"</f>
        <v>37</v>
      </c>
      <c r="D4324" t="str">
        <f>"Hamas Cinema Gaza Strip"</f>
        <v>Hamas Cinema Gaza Strip</v>
      </c>
    </row>
    <row r="4325" spans="1:4" x14ac:dyDescent="0.2">
      <c r="A4325" t="str">
        <f>"4324"</f>
        <v>4324</v>
      </c>
      <c r="B4325" t="str">
        <f>"0.23"</f>
        <v>0.23</v>
      </c>
      <c r="C4325" t="str">
        <f>"46"</f>
        <v>46</v>
      </c>
      <c r="D4325" t="str">
        <f>"Color Sympathy"</f>
        <v>Color Sympathy</v>
      </c>
    </row>
    <row r="4326" spans="1:4" x14ac:dyDescent="0.2">
      <c r="A4326" t="str">
        <f>"4325"</f>
        <v>4325</v>
      </c>
      <c r="B4326" t="str">
        <f>"-0.22"</f>
        <v>-0.22</v>
      </c>
      <c r="C4326" t="str">
        <f>"70"</f>
        <v>70</v>
      </c>
      <c r="D4326" t="str">
        <f>"The Life &amp; Times of Laddio Bolocko"</f>
        <v>The Life &amp; Times of Laddio Bolocko</v>
      </c>
    </row>
    <row r="4327" spans="1:4" x14ac:dyDescent="0.2">
      <c r="A4327" t="str">
        <f>"4326"</f>
        <v>4326</v>
      </c>
      <c r="B4327" t="str">
        <f>"-0.63"</f>
        <v>-0.63</v>
      </c>
      <c r="C4327" t="str">
        <f>"116"</f>
        <v>116</v>
      </c>
      <c r="D4327" t="str">
        <f>"So Much Staying Alive and Lovelessness"</f>
        <v>So Much Staying Alive and Lovelessness</v>
      </c>
    </row>
    <row r="4328" spans="1:4" x14ac:dyDescent="0.2">
      <c r="A4328" t="str">
        <f>"4327"</f>
        <v>4327</v>
      </c>
      <c r="B4328" t="str">
        <f>"-0.03"</f>
        <v>-0.03</v>
      </c>
      <c r="C4328" t="str">
        <f>"61"</f>
        <v>61</v>
      </c>
      <c r="D4328" t="str">
        <f>"Motel of Fools"</f>
        <v>Motel of Fools</v>
      </c>
    </row>
    <row r="4329" spans="1:4" x14ac:dyDescent="0.2">
      <c r="A4329" t="str">
        <f>"4328"</f>
        <v>4328</v>
      </c>
      <c r="B4329" t="str">
        <f>"0.3"</f>
        <v>0.3</v>
      </c>
      <c r="C4329" t="str">
        <f>"69"</f>
        <v>69</v>
      </c>
      <c r="D4329" t="str">
        <f>"For Ramona"</f>
        <v>For Ramona</v>
      </c>
    </row>
    <row r="4330" spans="1:4" x14ac:dyDescent="0.2">
      <c r="A4330" t="str">
        <f>"4329"</f>
        <v>4329</v>
      </c>
      <c r="B4330" t="str">
        <f>"-0.92"</f>
        <v>-0.92</v>
      </c>
      <c r="C4330" t="str">
        <f>"72"</f>
        <v>72</v>
      </c>
      <c r="D4330" t="str">
        <f>"Chopped Zombie Fungus"</f>
        <v>Chopped Zombie Fungus</v>
      </c>
    </row>
    <row r="4331" spans="1:4" x14ac:dyDescent="0.2">
      <c r="A4331" t="str">
        <f>"4330"</f>
        <v>4330</v>
      </c>
      <c r="B4331" t="str">
        <f>"-0.78"</f>
        <v>-0.78</v>
      </c>
      <c r="C4331" t="str">
        <f>"63"</f>
        <v>63</v>
      </c>
      <c r="D4331" t="str">
        <f>"The Boy and the Tree"</f>
        <v>The Boy and the Tree</v>
      </c>
    </row>
    <row r="4332" spans="1:4" x14ac:dyDescent="0.2">
      <c r="A4332" t="str">
        <f>"4331"</f>
        <v>4331</v>
      </c>
      <c r="B4332" t="str">
        <f>"-0.1"</f>
        <v>-0.1</v>
      </c>
      <c r="C4332" t="str">
        <f>"53"</f>
        <v>53</v>
      </c>
      <c r="D4332" t="str">
        <f>"Scenes One Through Thirteen"</f>
        <v>Scenes One Through Thirteen</v>
      </c>
    </row>
    <row r="4333" spans="1:4" x14ac:dyDescent="0.2">
      <c r="A4333" t="str">
        <f>"4332"</f>
        <v>4332</v>
      </c>
      <c r="B4333" t="str">
        <f>"-0.15"</f>
        <v>-0.15</v>
      </c>
      <c r="C4333" t="str">
        <f>"75"</f>
        <v>75</v>
      </c>
      <c r="D4333" t="str">
        <f>"Passionoia"</f>
        <v>Passionoia</v>
      </c>
    </row>
    <row r="4334" spans="1:4" x14ac:dyDescent="0.2">
      <c r="A4334" t="str">
        <f>"4333"</f>
        <v>4333</v>
      </c>
      <c r="B4334" t="str">
        <f>"-0.65"</f>
        <v>-0.65</v>
      </c>
      <c r="C4334" t="str">
        <f>"94"</f>
        <v>94</v>
      </c>
      <c r="D4334" t="s">
        <v>156</v>
      </c>
    </row>
    <row r="4335" spans="1:4" x14ac:dyDescent="0.2">
      <c r="A4335" t="str">
        <f>"4334"</f>
        <v>4334</v>
      </c>
      <c r="B4335" t="str">
        <f>"-0.42"</f>
        <v>-0.42</v>
      </c>
      <c r="C4335" t="str">
        <f>"97"</f>
        <v>97</v>
      </c>
      <c r="D4335" t="str">
        <f>"Danger! High Voltage EP"</f>
        <v>Danger! High Voltage EP</v>
      </c>
    </row>
    <row r="4336" spans="1:4" x14ac:dyDescent="0.2">
      <c r="A4336" t="str">
        <f>"4335"</f>
        <v>4335</v>
      </c>
      <c r="B4336" t="str">
        <f>"-0.74"</f>
        <v>-0.74</v>
      </c>
      <c r="C4336" t="str">
        <f>"84"</f>
        <v>84</v>
      </c>
      <c r="D4336" t="s">
        <v>157</v>
      </c>
    </row>
    <row r="4337" spans="1:4" x14ac:dyDescent="0.2">
      <c r="A4337" t="str">
        <f>"4336"</f>
        <v>4336</v>
      </c>
      <c r="B4337" t="str">
        <f>"-0.52"</f>
        <v>-0.52</v>
      </c>
      <c r="C4337" t="str">
        <f>"54"</f>
        <v>54</v>
      </c>
      <c r="D4337" t="str">
        <f>"Dartmouth Street Underpass"</f>
        <v>Dartmouth Street Underpass</v>
      </c>
    </row>
    <row r="4338" spans="1:4" x14ac:dyDescent="0.2">
      <c r="A4338" t="str">
        <f>"4337"</f>
        <v>4337</v>
      </c>
      <c r="B4338" t="str">
        <f>"0.66"</f>
        <v>0.66</v>
      </c>
      <c r="C4338" t="str">
        <f>"89"</f>
        <v>89</v>
      </c>
      <c r="D4338" t="str">
        <f>"Bousha Blue Blazes"</f>
        <v>Bousha Blue Blazes</v>
      </c>
    </row>
    <row r="4339" spans="1:4" x14ac:dyDescent="0.2">
      <c r="A4339" t="str">
        <f>"4338"</f>
        <v>4338</v>
      </c>
      <c r="B4339" t="str">
        <f>"-0.3"</f>
        <v>-0.3</v>
      </c>
      <c r="C4339" t="str">
        <f>"55"</f>
        <v>55</v>
      </c>
      <c r="D4339" t="str">
        <f>"Astral Collapse"</f>
        <v>Astral Collapse</v>
      </c>
    </row>
    <row r="4340" spans="1:4" x14ac:dyDescent="0.2">
      <c r="A4340" t="str">
        <f>"4339"</f>
        <v>4339</v>
      </c>
      <c r="B4340" t="str">
        <f>"-0.05"</f>
        <v>-0.05</v>
      </c>
      <c r="C4340" t="str">
        <f>"65"</f>
        <v>65</v>
      </c>
      <c r="D4340" t="str">
        <f>"She Has No Strings Apollo"</f>
        <v>She Has No Strings Apollo</v>
      </c>
    </row>
    <row r="4341" spans="1:4" x14ac:dyDescent="0.2">
      <c r="A4341" t="str">
        <f>"4340"</f>
        <v>4340</v>
      </c>
      <c r="B4341" t="str">
        <f>"-1.09"</f>
        <v>-1.09</v>
      </c>
      <c r="C4341" t="str">
        <f>"45"</f>
        <v>45</v>
      </c>
      <c r="D4341" t="str">
        <f>"Model 91"</f>
        <v>Model 91</v>
      </c>
    </row>
    <row r="4342" spans="1:4" x14ac:dyDescent="0.2">
      <c r="A4342" t="str">
        <f>"4341"</f>
        <v>4341</v>
      </c>
      <c r="B4342" t="str">
        <f>"-1.85"</f>
        <v>-1.85</v>
      </c>
      <c r="C4342" t="str">
        <f>"37"</f>
        <v>37</v>
      </c>
      <c r="D4342" t="str">
        <f>"Liaisons Dangereuses"</f>
        <v>Liaisons Dangereuses</v>
      </c>
    </row>
    <row r="4343" spans="1:4" x14ac:dyDescent="0.2">
      <c r="A4343" t="str">
        <f>"4342"</f>
        <v>4342</v>
      </c>
      <c r="B4343" t="str">
        <f>"-0.52"</f>
        <v>-0.52</v>
      </c>
      <c r="C4343" t="str">
        <f>"184"</f>
        <v>184</v>
      </c>
      <c r="D4343" t="str">
        <f>"Fields and Streams"</f>
        <v>Fields and Streams</v>
      </c>
    </row>
    <row r="4344" spans="1:4" x14ac:dyDescent="0.2">
      <c r="A4344" t="str">
        <f>"4343"</f>
        <v>4343</v>
      </c>
      <c r="B4344" t="str">
        <f>"-0.46"</f>
        <v>-0.46</v>
      </c>
      <c r="C4344" t="str">
        <f>"34"</f>
        <v>34</v>
      </c>
      <c r="D4344" t="str">
        <f>"Ass Cobra"</f>
        <v>Ass Cobra</v>
      </c>
    </row>
    <row r="4345" spans="1:4" x14ac:dyDescent="0.2">
      <c r="A4345" t="str">
        <f>"4344"</f>
        <v>4344</v>
      </c>
      <c r="B4345" t="str">
        <f>"0.24"</f>
        <v>0.24</v>
      </c>
      <c r="C4345" t="str">
        <f>"64"</f>
        <v>64</v>
      </c>
      <c r="D4345" t="str">
        <f>"Unrest"</f>
        <v>Unrest</v>
      </c>
    </row>
    <row r="4346" spans="1:4" x14ac:dyDescent="0.2">
      <c r="A4346" t="str">
        <f>"4345"</f>
        <v>4345</v>
      </c>
      <c r="B4346" t="str">
        <f>"0.57"</f>
        <v>0.57</v>
      </c>
      <c r="C4346" t="str">
        <f>"55"</f>
        <v>55</v>
      </c>
      <c r="D4346" t="str">
        <f>"The Instigator"</f>
        <v>The Instigator</v>
      </c>
    </row>
    <row r="4347" spans="1:4" x14ac:dyDescent="0.2">
      <c r="A4347" t="str">
        <f>"4346"</f>
        <v>4346</v>
      </c>
      <c r="B4347" t="str">
        <f>"1.21"</f>
        <v>1.21</v>
      </c>
      <c r="C4347" t="str">
        <f>"31"</f>
        <v>31</v>
      </c>
      <c r="D4347" t="str">
        <f>"The Inhuman Condition EP"</f>
        <v>The Inhuman Condition EP</v>
      </c>
    </row>
    <row r="4348" spans="1:4" x14ac:dyDescent="0.2">
      <c r="A4348" t="str">
        <f>"4347"</f>
        <v>4347</v>
      </c>
      <c r="B4348" t="str">
        <f>"-0.47"</f>
        <v>-0.47</v>
      </c>
      <c r="C4348" t="str">
        <f>"78"</f>
        <v>78</v>
      </c>
      <c r="D4348" t="str">
        <f>"Magnolia Electric Co."</f>
        <v>Magnolia Electric Co.</v>
      </c>
    </row>
    <row r="4349" spans="1:4" x14ac:dyDescent="0.2">
      <c r="A4349" t="str">
        <f>"4348"</f>
        <v>4348</v>
      </c>
      <c r="B4349" t="str">
        <f>"0.43"</f>
        <v>0.43</v>
      </c>
      <c r="C4349" t="str">
        <f>"60"</f>
        <v>60</v>
      </c>
      <c r="D4349" t="str">
        <f>"Fast Asleep"</f>
        <v>Fast Asleep</v>
      </c>
    </row>
    <row r="4350" spans="1:4" x14ac:dyDescent="0.2">
      <c r="A4350" t="str">
        <f>"4349"</f>
        <v>4349</v>
      </c>
      <c r="B4350" t="str">
        <f>"0.9"</f>
        <v>0.9</v>
      </c>
      <c r="C4350" t="str">
        <f>"62"</f>
        <v>62</v>
      </c>
      <c r="D4350" t="str">
        <f>"Transformer"</f>
        <v>Transformer</v>
      </c>
    </row>
    <row r="4351" spans="1:4" x14ac:dyDescent="0.2">
      <c r="A4351" t="str">
        <f>"4350"</f>
        <v>4350</v>
      </c>
      <c r="B4351" t="str">
        <f>"0.09"</f>
        <v>0.09</v>
      </c>
      <c r="C4351" t="str">
        <f>"111"</f>
        <v>111</v>
      </c>
      <c r="D4351" t="str">
        <f>"The New Folk Implosion"</f>
        <v>The New Folk Implosion</v>
      </c>
    </row>
    <row r="4352" spans="1:4" x14ac:dyDescent="0.2">
      <c r="A4352" t="str">
        <f>"4351"</f>
        <v>4351</v>
      </c>
      <c r="B4352" t="str">
        <f>"-0.48"</f>
        <v>-0.48</v>
      </c>
      <c r="C4352" t="str">
        <f>"86"</f>
        <v>86</v>
      </c>
      <c r="D4352" t="str">
        <f>"Shakestation"</f>
        <v>Shakestation</v>
      </c>
    </row>
    <row r="4353" spans="1:4" x14ac:dyDescent="0.2">
      <c r="A4353" t="str">
        <f>"4352"</f>
        <v>4352</v>
      </c>
      <c r="B4353" t="str">
        <f>"0.02"</f>
        <v>0.02</v>
      </c>
      <c r="C4353" t="str">
        <f>"47"</f>
        <v>47</v>
      </c>
      <c r="D4353" t="str">
        <f>"Let It Rest"</f>
        <v>Let It Rest</v>
      </c>
    </row>
    <row r="4354" spans="1:4" x14ac:dyDescent="0.2">
      <c r="A4354" t="str">
        <f>"4353"</f>
        <v>4353</v>
      </c>
      <c r="B4354" t="str">
        <f>"-0.53"</f>
        <v>-0.53</v>
      </c>
      <c r="C4354" t="str">
        <f>"83"</f>
        <v>83</v>
      </c>
      <c r="D4354" t="str">
        <f>"All Things Firesign"</f>
        <v>All Things Firesign</v>
      </c>
    </row>
    <row r="4355" spans="1:4" x14ac:dyDescent="0.2">
      <c r="A4355" t="str">
        <f>"4354"</f>
        <v>4354</v>
      </c>
      <c r="B4355" t="str">
        <f>"0.53"</f>
        <v>0.53</v>
      </c>
      <c r="C4355" t="str">
        <f>"54"</f>
        <v>54</v>
      </c>
      <c r="D4355" t="str">
        <f>"On the Shore"</f>
        <v>On the Shore</v>
      </c>
    </row>
    <row r="4356" spans="1:4" x14ac:dyDescent="0.2">
      <c r="A4356" t="str">
        <f>"4355"</f>
        <v>4355</v>
      </c>
      <c r="B4356" t="str">
        <f>"0.35"</f>
        <v>0.35</v>
      </c>
      <c r="C4356" t="str">
        <f>"92"</f>
        <v>92</v>
      </c>
      <c r="D4356" t="str">
        <f>"Hlemmur"</f>
        <v>Hlemmur</v>
      </c>
    </row>
    <row r="4357" spans="1:4" x14ac:dyDescent="0.2">
      <c r="A4357" t="str">
        <f>"4356"</f>
        <v>4356</v>
      </c>
      <c r="B4357" t="str">
        <f>"-0.23"</f>
        <v>-0.23</v>
      </c>
      <c r="C4357" t="str">
        <f>"52"</f>
        <v>52</v>
      </c>
      <c r="D4357" t="str">
        <f>"Facts and Fictions"</f>
        <v>Facts and Fictions</v>
      </c>
    </row>
    <row r="4358" spans="1:4" x14ac:dyDescent="0.2">
      <c r="A4358" t="str">
        <f>"4357"</f>
        <v>4357</v>
      </c>
      <c r="B4358" t="str">
        <f>"0.9"</f>
        <v>0.9</v>
      </c>
      <c r="C4358" t="str">
        <f>"40"</f>
        <v>40</v>
      </c>
      <c r="D4358" t="str">
        <f>"Ankern"</f>
        <v>Ankern</v>
      </c>
    </row>
    <row r="4359" spans="1:4" x14ac:dyDescent="0.2">
      <c r="A4359" t="str">
        <f>"4358"</f>
        <v>4358</v>
      </c>
      <c r="B4359" t="str">
        <f>"-0.07"</f>
        <v>-0.07</v>
      </c>
      <c r="C4359" t="str">
        <f>"49"</f>
        <v>49</v>
      </c>
      <c r="D4359" t="str">
        <f>"Wires"</f>
        <v>Wires</v>
      </c>
    </row>
    <row r="4360" spans="1:4" x14ac:dyDescent="0.2">
      <c r="A4360" t="str">
        <f>"4359"</f>
        <v>4359</v>
      </c>
      <c r="B4360" t="str">
        <f>"0.27"</f>
        <v>0.27</v>
      </c>
      <c r="C4360" t="str">
        <f>"120"</f>
        <v>120</v>
      </c>
      <c r="D4360" t="str">
        <f>"The Power to Believe"</f>
        <v>The Power to Believe</v>
      </c>
    </row>
    <row r="4361" spans="1:4" x14ac:dyDescent="0.2">
      <c r="A4361" t="str">
        <f>"4360"</f>
        <v>4360</v>
      </c>
      <c r="B4361" t="str">
        <f>"0.82"</f>
        <v>0.82</v>
      </c>
      <c r="C4361" t="str">
        <f>"51"</f>
        <v>51</v>
      </c>
      <c r="D4361" t="str">
        <f>"Sunshine Hit Me"</f>
        <v>Sunshine Hit Me</v>
      </c>
    </row>
    <row r="4362" spans="1:4" x14ac:dyDescent="0.2">
      <c r="A4362" t="str">
        <f>"4361"</f>
        <v>4361</v>
      </c>
      <c r="B4362" t="str">
        <f>"-0.62"</f>
        <v>-0.62</v>
      </c>
      <c r="C4362" t="str">
        <f>"48"</f>
        <v>48</v>
      </c>
      <c r="D4362" t="str">
        <f>"Ok Go"</f>
        <v>Ok Go</v>
      </c>
    </row>
    <row r="4363" spans="1:4" x14ac:dyDescent="0.2">
      <c r="A4363" t="str">
        <f>"4362"</f>
        <v>4362</v>
      </c>
      <c r="B4363" t="str">
        <f>"0.38"</f>
        <v>0.38</v>
      </c>
      <c r="C4363" t="str">
        <f>"61"</f>
        <v>61</v>
      </c>
      <c r="D4363" t="str">
        <f>"Throwing Muses"</f>
        <v>Throwing Muses</v>
      </c>
    </row>
    <row r="4364" spans="1:4" x14ac:dyDescent="0.2">
      <c r="A4364" t="str">
        <f>"4363"</f>
        <v>4363</v>
      </c>
      <c r="B4364" t="str">
        <f>"-0.63"</f>
        <v>-0.63</v>
      </c>
      <c r="C4364" t="str">
        <f>"69"</f>
        <v>69</v>
      </c>
      <c r="D4364" t="str">
        <f>"The Original Sound of Sheffield '78-'82: The Best of..."</f>
        <v>The Original Sound of Sheffield '78-'82: The Best of...</v>
      </c>
    </row>
    <row r="4365" spans="1:4" x14ac:dyDescent="0.2">
      <c r="A4365" t="str">
        <f>"4364"</f>
        <v>4364</v>
      </c>
      <c r="B4365" t="str">
        <f>"0.09"</f>
        <v>0.09</v>
      </c>
      <c r="C4365" t="str">
        <f>"46"</f>
        <v>46</v>
      </c>
      <c r="D4365" t="str">
        <f>"Skimskitta"</f>
        <v>Skimskitta</v>
      </c>
    </row>
    <row r="4366" spans="1:4" x14ac:dyDescent="0.2">
      <c r="A4366" t="str">
        <f>"4365"</f>
        <v>4365</v>
      </c>
      <c r="B4366" t="str">
        <f>"-0.55"</f>
        <v>-0.55</v>
      </c>
      <c r="C4366" t="str">
        <f>"59"</f>
        <v>59</v>
      </c>
      <c r="D4366" t="s">
        <v>158</v>
      </c>
    </row>
    <row r="4367" spans="1:4" x14ac:dyDescent="0.2">
      <c r="A4367" t="str">
        <f>"4366"</f>
        <v>4366</v>
      </c>
      <c r="B4367" t="str">
        <f>"-1.86"</f>
        <v>-1.86</v>
      </c>
      <c r="C4367" t="str">
        <f>"66"</f>
        <v>66</v>
      </c>
      <c r="D4367" t="str">
        <f>"Some People Deserve to Suffer"</f>
        <v>Some People Deserve to Suffer</v>
      </c>
    </row>
    <row r="4368" spans="1:4" x14ac:dyDescent="0.2">
      <c r="A4368" t="str">
        <f>"4367"</f>
        <v>4367</v>
      </c>
      <c r="B4368" t="str">
        <f>"-1.86"</f>
        <v>-1.86</v>
      </c>
      <c r="C4368" t="str">
        <f>"66"</f>
        <v>66</v>
      </c>
      <c r="D4368" t="str">
        <f>"Some People Deserve to Suffer"</f>
        <v>Some People Deserve to Suffer</v>
      </c>
    </row>
    <row r="4369" spans="1:4" x14ac:dyDescent="0.2">
      <c r="A4369" t="str">
        <f>"4368"</f>
        <v>4368</v>
      </c>
      <c r="B4369" t="str">
        <f>"0.64"</f>
        <v>0.64</v>
      </c>
      <c r="C4369" t="str">
        <f>"65"</f>
        <v>65</v>
      </c>
      <c r="D4369" t="str">
        <f>"Melody A.M."</f>
        <v>Melody A.M.</v>
      </c>
    </row>
    <row r="4370" spans="1:4" x14ac:dyDescent="0.2">
      <c r="A4370" t="str">
        <f>"4369"</f>
        <v>4369</v>
      </c>
      <c r="B4370" t="str">
        <f>"-0.23"</f>
        <v>-0.23</v>
      </c>
      <c r="C4370" t="str">
        <f>"47"</f>
        <v>47</v>
      </c>
      <c r="D4370" t="str">
        <f>"Live with J Lesser"</f>
        <v>Live with J Lesser</v>
      </c>
    </row>
    <row r="4371" spans="1:4" x14ac:dyDescent="0.2">
      <c r="A4371" t="str">
        <f>"4370"</f>
        <v>4370</v>
      </c>
      <c r="B4371" t="str">
        <f>"-0.63"</f>
        <v>-0.63</v>
      </c>
      <c r="C4371" t="str">
        <f>"68"</f>
        <v>68</v>
      </c>
      <c r="D4371" t="str">
        <f>"Facts and Fictions"</f>
        <v>Facts and Fictions</v>
      </c>
    </row>
    <row r="4372" spans="1:4" x14ac:dyDescent="0.2">
      <c r="A4372" t="str">
        <f>"4371"</f>
        <v>4371</v>
      </c>
      <c r="B4372" t="str">
        <f>"-0.16"</f>
        <v>-0.16</v>
      </c>
      <c r="C4372" t="str">
        <f>"38"</f>
        <v>38</v>
      </c>
      <c r="D4372" t="str">
        <f>"Englabörn"</f>
        <v>Englabörn</v>
      </c>
    </row>
    <row r="4373" spans="1:4" x14ac:dyDescent="0.2">
      <c r="A4373" t="str">
        <f>"4372"</f>
        <v>4372</v>
      </c>
      <c r="B4373" t="str">
        <f>"-0.55"</f>
        <v>-0.55</v>
      </c>
      <c r="C4373" t="str">
        <f>"97"</f>
        <v>97</v>
      </c>
      <c r="D4373" t="str">
        <f>"13 Songs and a Thing"</f>
        <v>13 Songs and a Thing</v>
      </c>
    </row>
    <row r="4374" spans="1:4" x14ac:dyDescent="0.2">
      <c r="A4374" t="str">
        <f>"4373"</f>
        <v>4373</v>
      </c>
      <c r="B4374" t="str">
        <f>"-0.76"</f>
        <v>-0.76</v>
      </c>
      <c r="C4374" t="str">
        <f>"92"</f>
        <v>92</v>
      </c>
      <c r="D4374" t="str">
        <f>"Sound Restores Young Men"</f>
        <v>Sound Restores Young Men</v>
      </c>
    </row>
    <row r="4375" spans="1:4" x14ac:dyDescent="0.2">
      <c r="A4375" t="str">
        <f>"4374"</f>
        <v>4374</v>
      </c>
      <c r="B4375" t="str">
        <f>"0.38"</f>
        <v>0.38</v>
      </c>
      <c r="C4375" t="str">
        <f>"85"</f>
        <v>85</v>
      </c>
      <c r="D4375" t="str">
        <f>"Rost Pocks: The EP Collection"</f>
        <v>Rost Pocks: The EP Collection</v>
      </c>
    </row>
    <row r="4376" spans="1:4" x14ac:dyDescent="0.2">
      <c r="A4376" t="str">
        <f>"4375"</f>
        <v>4375</v>
      </c>
      <c r="B4376" t="str">
        <f>"0.63"</f>
        <v>0.63</v>
      </c>
      <c r="C4376" t="str">
        <f>"53"</f>
        <v>53</v>
      </c>
      <c r="D4376" t="str">
        <f>"Incredible String Band"</f>
        <v>Incredible String Band</v>
      </c>
    </row>
    <row r="4377" spans="1:4" x14ac:dyDescent="0.2">
      <c r="A4377" t="str">
        <f>"4376"</f>
        <v>4376</v>
      </c>
      <c r="B4377" t="str">
        <f>"-0.55"</f>
        <v>-0.55</v>
      </c>
      <c r="C4377" t="str">
        <f>"73"</f>
        <v>73</v>
      </c>
      <c r="D4377" t="str">
        <f>"Get Rich or Die Tryin'"</f>
        <v>Get Rich or Die Tryin'</v>
      </c>
    </row>
    <row r="4378" spans="1:4" x14ac:dyDescent="0.2">
      <c r="A4378" t="str">
        <f>"4377"</f>
        <v>4377</v>
      </c>
      <c r="B4378" t="str">
        <f>"-0.12"</f>
        <v>-0.12</v>
      </c>
      <c r="C4378" t="str">
        <f>"66"</f>
        <v>66</v>
      </c>
      <c r="D4378" t="str">
        <f>"Wonderful Rainbow"</f>
        <v>Wonderful Rainbow</v>
      </c>
    </row>
    <row r="4379" spans="1:4" x14ac:dyDescent="0.2">
      <c r="A4379" t="str">
        <f>"4378"</f>
        <v>4378</v>
      </c>
      <c r="B4379" t="str">
        <f>"0.06"</f>
        <v>0.06</v>
      </c>
      <c r="C4379" t="str">
        <f>"87"</f>
        <v>87</v>
      </c>
      <c r="D4379" t="str">
        <f>"Sleep and Release"</f>
        <v>Sleep and Release</v>
      </c>
    </row>
    <row r="4380" spans="1:4" x14ac:dyDescent="0.2">
      <c r="A4380" t="str">
        <f>"4379"</f>
        <v>4379</v>
      </c>
      <c r="B4380" t="str">
        <f>"-1.28"</f>
        <v>-1.28</v>
      </c>
      <c r="C4380" t="str">
        <f>"56"</f>
        <v>56</v>
      </c>
      <c r="D4380" t="str">
        <f>"Sex Is Everything"</f>
        <v>Sex Is Everything</v>
      </c>
    </row>
    <row r="4381" spans="1:4" x14ac:dyDescent="0.2">
      <c r="A4381" t="str">
        <f>"4380"</f>
        <v>4380</v>
      </c>
      <c r="B4381" t="str">
        <f>"0.26"</f>
        <v>0.26</v>
      </c>
      <c r="C4381" t="str">
        <f>"37"</f>
        <v>37</v>
      </c>
      <c r="D4381" t="str">
        <f>"Mayors of the Moon"</f>
        <v>Mayors of the Moon</v>
      </c>
    </row>
    <row r="4382" spans="1:4" x14ac:dyDescent="0.2">
      <c r="A4382" t="str">
        <f>"4381"</f>
        <v>4381</v>
      </c>
      <c r="B4382" t="str">
        <f>"0.1"</f>
        <v>0.1</v>
      </c>
      <c r="C4382" t="str">
        <f>"87"</f>
        <v>87</v>
      </c>
      <c r="D4382" t="str">
        <f>"Irresistible Impulse"</f>
        <v>Irresistible Impulse</v>
      </c>
    </row>
    <row r="4383" spans="1:4" x14ac:dyDescent="0.2">
      <c r="A4383" t="str">
        <f>"4382"</f>
        <v>4382</v>
      </c>
      <c r="B4383" t="str">
        <f>"-0.38"</f>
        <v>-0.38</v>
      </c>
      <c r="C4383" t="str">
        <f>"98"</f>
        <v>98</v>
      </c>
      <c r="D4383" t="str">
        <f>"Chains and Black Exhaust"</f>
        <v>Chains and Black Exhaust</v>
      </c>
    </row>
    <row r="4384" spans="1:4" x14ac:dyDescent="0.2">
      <c r="A4384" t="str">
        <f>"4383"</f>
        <v>4383</v>
      </c>
      <c r="B4384" t="str">
        <f>"0.28"</f>
        <v>0.28</v>
      </c>
      <c r="C4384" t="str">
        <f>"52"</f>
        <v>52</v>
      </c>
      <c r="D4384" t="str">
        <f>"Hip Hop and the World We Live In"</f>
        <v>Hip Hop and the World We Live In</v>
      </c>
    </row>
    <row r="4385" spans="1:4" x14ac:dyDescent="0.2">
      <c r="A4385" t="str">
        <f>"4384"</f>
        <v>4384</v>
      </c>
      <c r="B4385" t="str">
        <f>"0.29"</f>
        <v>0.29</v>
      </c>
      <c r="C4385" t="str">
        <f>"49"</f>
        <v>49</v>
      </c>
      <c r="D4385" t="str">
        <f>"Empty Rooms"</f>
        <v>Empty Rooms</v>
      </c>
    </row>
    <row r="4386" spans="1:4" x14ac:dyDescent="0.2">
      <c r="A4386" t="str">
        <f>"4385"</f>
        <v>4385</v>
      </c>
      <c r="B4386" t="str">
        <f>"-0.4"</f>
        <v>-0.4</v>
      </c>
      <c r="C4386" t="str">
        <f>"46"</f>
        <v>46</v>
      </c>
      <c r="D4386" t="str">
        <f>"Billions of Phonographs"</f>
        <v>Billions of Phonographs</v>
      </c>
    </row>
    <row r="4387" spans="1:4" x14ac:dyDescent="0.2">
      <c r="A4387" t="str">
        <f>"4386"</f>
        <v>4386</v>
      </c>
      <c r="B4387" t="str">
        <f>"0.25"</f>
        <v>0.25</v>
      </c>
      <c r="C4387" t="str">
        <f>"27"</f>
        <v>27</v>
      </c>
      <c r="D4387" t="str">
        <f>"Armed Forces"</f>
        <v>Armed Forces</v>
      </c>
    </row>
    <row r="4388" spans="1:4" x14ac:dyDescent="0.2">
      <c r="A4388" t="str">
        <f>"4387"</f>
        <v>4387</v>
      </c>
      <c r="B4388" t="str">
        <f>"-1.3"</f>
        <v>-1.3</v>
      </c>
      <c r="C4388" t="str">
        <f>"125"</f>
        <v>125</v>
      </c>
      <c r="D4388" t="str">
        <f>"You Can Feel Me"</f>
        <v>You Can Feel Me</v>
      </c>
    </row>
    <row r="4389" spans="1:4" x14ac:dyDescent="0.2">
      <c r="A4389" t="str">
        <f>"4388"</f>
        <v>4388</v>
      </c>
      <c r="B4389" t="str">
        <f>"1.31"</f>
        <v>1.31</v>
      </c>
      <c r="C4389" t="str">
        <f>"79"</f>
        <v>79</v>
      </c>
      <c r="D4389" t="str">
        <f>"Unreleased Classics 78-82"</f>
        <v>Unreleased Classics 78-82</v>
      </c>
    </row>
    <row r="4390" spans="1:4" x14ac:dyDescent="0.2">
      <c r="A4390" t="str">
        <f>"4389"</f>
        <v>4389</v>
      </c>
      <c r="B4390" t="str">
        <f>"-0.42"</f>
        <v>-0.42</v>
      </c>
      <c r="C4390" t="str">
        <f>"58"</f>
        <v>58</v>
      </c>
      <c r="D4390" t="str">
        <f>"Tulsa for One Second"</f>
        <v>Tulsa for One Second</v>
      </c>
    </row>
    <row r="4391" spans="1:4" x14ac:dyDescent="0.2">
      <c r="A4391" t="str">
        <f>"4390"</f>
        <v>4390</v>
      </c>
      <c r="B4391" t="str">
        <f>"-0.63"</f>
        <v>-0.63</v>
      </c>
      <c r="C4391" t="str">
        <f>"62"</f>
        <v>62</v>
      </c>
      <c r="D4391" t="str">
        <f>"Riot for Romance!"</f>
        <v>Riot for Romance!</v>
      </c>
    </row>
    <row r="4392" spans="1:4" x14ac:dyDescent="0.2">
      <c r="A4392" t="str">
        <f>"4391"</f>
        <v>4391</v>
      </c>
      <c r="B4392" t="str">
        <f>"-2.24"</f>
        <v>-2.24</v>
      </c>
      <c r="C4392" t="str">
        <f>"65"</f>
        <v>65</v>
      </c>
      <c r="D4392" t="str">
        <f>"15 Tracks"</f>
        <v>15 Tracks</v>
      </c>
    </row>
    <row r="4393" spans="1:4" x14ac:dyDescent="0.2">
      <c r="A4393" t="str">
        <f>"4392"</f>
        <v>4392</v>
      </c>
      <c r="B4393" t="str">
        <f>"-1.23"</f>
        <v>-1.23</v>
      </c>
      <c r="C4393" t="str">
        <f>"69"</f>
        <v>69</v>
      </c>
      <c r="D4393" t="str">
        <f>"Thank You for Giving Me Your Valuable Time"</f>
        <v>Thank You for Giving Me Your Valuable Time</v>
      </c>
    </row>
    <row r="4394" spans="1:4" x14ac:dyDescent="0.2">
      <c r="A4394" t="str">
        <f>"4393"</f>
        <v>4393</v>
      </c>
      <c r="B4394" t="str">
        <f>"-0.15"</f>
        <v>-0.15</v>
      </c>
      <c r="C4394" t="str">
        <f>"85"</f>
        <v>85</v>
      </c>
      <c r="D4394" t="str">
        <f>"Summer at Shatter Creek"</f>
        <v>Summer at Shatter Creek</v>
      </c>
    </row>
    <row r="4395" spans="1:4" x14ac:dyDescent="0.2">
      <c r="A4395" t="str">
        <f>"4394"</f>
        <v>4394</v>
      </c>
      <c r="B4395" t="str">
        <f>"-0.34"</f>
        <v>-0.34</v>
      </c>
      <c r="C4395" t="str">
        <f>"62"</f>
        <v>62</v>
      </c>
      <c r="D4395" t="str">
        <f>"All the King's Men"</f>
        <v>All the King's Men</v>
      </c>
    </row>
    <row r="4396" spans="1:4" x14ac:dyDescent="0.2">
      <c r="A4396" t="str">
        <f>"4395"</f>
        <v>4395</v>
      </c>
      <c r="B4396" t="str">
        <f>"0.06"</f>
        <v>0.06</v>
      </c>
      <c r="C4396" t="str">
        <f>"49"</f>
        <v>49</v>
      </c>
      <c r="D4396" t="str">
        <f>"Odds and Ends"</f>
        <v>Odds and Ends</v>
      </c>
    </row>
    <row r="4397" spans="1:4" x14ac:dyDescent="0.2">
      <c r="A4397" t="str">
        <f>"4396"</f>
        <v>4396</v>
      </c>
      <c r="B4397" t="str">
        <f>"0.55"</f>
        <v>0.55</v>
      </c>
      <c r="C4397" t="str">
        <f>"43"</f>
        <v>43</v>
      </c>
      <c r="D4397" t="str">
        <f>"La Nouvelle Pauvreté"</f>
        <v>La Nouvelle Pauvreté</v>
      </c>
    </row>
    <row r="4398" spans="1:4" x14ac:dyDescent="0.2">
      <c r="A4398" t="str">
        <f>"4397"</f>
        <v>4397</v>
      </c>
      <c r="B4398" t="str">
        <f>"0.3"</f>
        <v>0.3</v>
      </c>
      <c r="C4398" t="str">
        <f>"70"</f>
        <v>70</v>
      </c>
      <c r="D4398" t="str">
        <f>"Give Peas a Chance"</f>
        <v>Give Peas a Chance</v>
      </c>
    </row>
    <row r="4399" spans="1:4" x14ac:dyDescent="0.2">
      <c r="A4399" t="str">
        <f>"4398"</f>
        <v>4398</v>
      </c>
      <c r="B4399" t="str">
        <f>"0.03"</f>
        <v>0.03</v>
      </c>
      <c r="C4399" t="str">
        <f>"77"</f>
        <v>77</v>
      </c>
      <c r="D4399" t="str">
        <f>"Electric Warrior"</f>
        <v>Electric Warrior</v>
      </c>
    </row>
    <row r="4400" spans="1:4" x14ac:dyDescent="0.2">
      <c r="A4400" t="str">
        <f>"4399"</f>
        <v>4399</v>
      </c>
      <c r="B4400" t="str">
        <f>"-0.15"</f>
        <v>-0.15</v>
      </c>
      <c r="C4400" t="str">
        <f>"54"</f>
        <v>54</v>
      </c>
      <c r="D4400" t="str">
        <f>"Beauty Party"</f>
        <v>Beauty Party</v>
      </c>
    </row>
    <row r="4401" spans="1:4" x14ac:dyDescent="0.2">
      <c r="A4401" t="str">
        <f>"4400"</f>
        <v>4400</v>
      </c>
      <c r="B4401" t="str">
        <f>"-1.16"</f>
        <v>-1.16</v>
      </c>
      <c r="C4401" t="str">
        <f>"51"</f>
        <v>51</v>
      </c>
      <c r="D4401" t="str">
        <f>"Style Drift"</f>
        <v>Style Drift</v>
      </c>
    </row>
    <row r="4402" spans="1:4" x14ac:dyDescent="0.2">
      <c r="A4402" t="str">
        <f>"4401"</f>
        <v>4401</v>
      </c>
      <c r="B4402" t="str">
        <f>"0.5"</f>
        <v>0.5</v>
      </c>
      <c r="C4402" t="str">
        <f>"50"</f>
        <v>50</v>
      </c>
      <c r="D4402" t="str">
        <f>"Life on Other Planets"</f>
        <v>Life on Other Planets</v>
      </c>
    </row>
    <row r="4403" spans="1:4" x14ac:dyDescent="0.2">
      <c r="A4403" t="str">
        <f>"4402"</f>
        <v>4402</v>
      </c>
      <c r="B4403" t="str">
        <f>"-0.06"</f>
        <v>-0.06</v>
      </c>
      <c r="C4403" t="str">
        <f>"52"</f>
        <v>52</v>
      </c>
      <c r="D4403" t="str">
        <f>"Eurotechno"</f>
        <v>Eurotechno</v>
      </c>
    </row>
    <row r="4404" spans="1:4" x14ac:dyDescent="0.2">
      <c r="A4404" t="str">
        <f>"4403"</f>
        <v>4403</v>
      </c>
      <c r="B4404" t="str">
        <f>"-0.09"</f>
        <v>-0.09</v>
      </c>
      <c r="C4404" t="str">
        <f>"42"</f>
        <v>42</v>
      </c>
      <c r="D4404" t="str">
        <f>"European Onion"</f>
        <v>European Onion</v>
      </c>
    </row>
    <row r="4405" spans="1:4" x14ac:dyDescent="0.2">
      <c r="A4405" t="str">
        <f>"4404"</f>
        <v>4404</v>
      </c>
      <c r="B4405" t="str">
        <f>"-0.6"</f>
        <v>-0.6</v>
      </c>
      <c r="C4405" t="str">
        <f>"63"</f>
        <v>63</v>
      </c>
      <c r="D4405" t="str">
        <f>"Tomorrow Right Now"</f>
        <v>Tomorrow Right Now</v>
      </c>
    </row>
    <row r="4406" spans="1:4" x14ac:dyDescent="0.2">
      <c r="A4406" t="str">
        <f>"4405"</f>
        <v>4405</v>
      </c>
      <c r="B4406" t="str">
        <f>"-1.1"</f>
        <v>-1.1</v>
      </c>
      <c r="C4406" t="str">
        <f>"67"</f>
        <v>67</v>
      </c>
      <c r="D4406" t="str">
        <f>"Op."</f>
        <v>Op.</v>
      </c>
    </row>
    <row r="4407" spans="1:4" x14ac:dyDescent="0.2">
      <c r="A4407" t="str">
        <f>"4406"</f>
        <v>4406</v>
      </c>
      <c r="B4407" t="str">
        <f>"-0.57"</f>
        <v>-0.57</v>
      </c>
      <c r="C4407" t="str">
        <f>"46"</f>
        <v>46</v>
      </c>
      <c r="D4407" t="str">
        <f>"Greatest Hits"</f>
        <v>Greatest Hits</v>
      </c>
    </row>
    <row r="4408" spans="1:4" x14ac:dyDescent="0.2">
      <c r="A4408" t="str">
        <f>"4407"</f>
        <v>4407</v>
      </c>
      <c r="B4408" t="str">
        <f>"-0.21"</f>
        <v>-0.21</v>
      </c>
      <c r="C4408" t="str">
        <f>"61"</f>
        <v>61</v>
      </c>
      <c r="D4408" t="str">
        <f>"Feast of Wire"</f>
        <v>Feast of Wire</v>
      </c>
    </row>
    <row r="4409" spans="1:4" x14ac:dyDescent="0.2">
      <c r="A4409" t="str">
        <f>"4408"</f>
        <v>4408</v>
      </c>
      <c r="B4409" t="str">
        <f>"-0.21"</f>
        <v>-0.21</v>
      </c>
      <c r="C4409" t="str">
        <f>"46"</f>
        <v>46</v>
      </c>
      <c r="D4409" t="str">
        <f>"ABC DEF"</f>
        <v>ABC DEF</v>
      </c>
    </row>
    <row r="4410" spans="1:4" x14ac:dyDescent="0.2">
      <c r="A4410" t="str">
        <f>"4409"</f>
        <v>4409</v>
      </c>
      <c r="B4410" t="str">
        <f>"-0.64"</f>
        <v>-0.64</v>
      </c>
      <c r="C4410" t="str">
        <f>"65"</f>
        <v>65</v>
      </c>
      <c r="D4410" t="str">
        <f>"Darkness -&gt; Light"</f>
        <v>Darkness -&gt; Light</v>
      </c>
    </row>
    <row r="4411" spans="1:4" x14ac:dyDescent="0.2">
      <c r="A4411" t="str">
        <f>"4410"</f>
        <v>4410</v>
      </c>
      <c r="B4411" t="str">
        <f>"-0.56"</f>
        <v>-0.56</v>
      </c>
      <c r="C4411" t="str">
        <f>"27"</f>
        <v>27</v>
      </c>
      <c r="D4411" t="str">
        <f>"Catechism"</f>
        <v>Catechism</v>
      </c>
    </row>
    <row r="4412" spans="1:4" x14ac:dyDescent="0.2">
      <c r="A4412" t="str">
        <f>"4411"</f>
        <v>4411</v>
      </c>
      <c r="B4412" t="str">
        <f>"-0.76"</f>
        <v>-0.76</v>
      </c>
      <c r="C4412" t="str">
        <f>"84"</f>
        <v>84</v>
      </c>
      <c r="D4412" t="str">
        <f>"Sun Pandämonium"</f>
        <v>Sun Pandämonium</v>
      </c>
    </row>
    <row r="4413" spans="1:4" x14ac:dyDescent="0.2">
      <c r="A4413" t="str">
        <f>"4412"</f>
        <v>4412</v>
      </c>
      <c r="B4413" t="str">
        <f>"-0.11"</f>
        <v>-0.11</v>
      </c>
      <c r="C4413" t="str">
        <f>"45"</f>
        <v>45</v>
      </c>
      <c r="D4413" t="str">
        <f>"Merzbeat"</f>
        <v>Merzbeat</v>
      </c>
    </row>
    <row r="4414" spans="1:4" x14ac:dyDescent="0.2">
      <c r="A4414" t="str">
        <f>"4413"</f>
        <v>4413</v>
      </c>
      <c r="B4414" t="str">
        <f>"0.23"</f>
        <v>0.23</v>
      </c>
      <c r="C4414" t="str">
        <f>"53"</f>
        <v>53</v>
      </c>
      <c r="D4414" t="str">
        <f>"How I Learned to Write Backwards"</f>
        <v>How I Learned to Write Backwards</v>
      </c>
    </row>
    <row r="4415" spans="1:4" x14ac:dyDescent="0.2">
      <c r="A4415" t="str">
        <f>"4414"</f>
        <v>4414</v>
      </c>
      <c r="B4415" t="str">
        <f>"-0.14"</f>
        <v>-0.14</v>
      </c>
      <c r="C4415" t="str">
        <f>"48"</f>
        <v>48</v>
      </c>
      <c r="D4415" t="str">
        <f>"Struts &amp; Shocks"</f>
        <v>Struts &amp; Shocks</v>
      </c>
    </row>
    <row r="4416" spans="1:4" x14ac:dyDescent="0.2">
      <c r="A4416" t="str">
        <f>"4415"</f>
        <v>4415</v>
      </c>
      <c r="B4416" t="str">
        <f>"-0.31"</f>
        <v>-0.31</v>
      </c>
      <c r="C4416" t="str">
        <f>"60"</f>
        <v>60</v>
      </c>
      <c r="D4416" t="str">
        <f>"Sands"</f>
        <v>Sands</v>
      </c>
    </row>
    <row r="4417" spans="1:4" x14ac:dyDescent="0.2">
      <c r="A4417" t="str">
        <f>"4416"</f>
        <v>4416</v>
      </c>
      <c r="B4417" t="str">
        <f>"-0.77"</f>
        <v>-0.77</v>
      </c>
      <c r="C4417" t="str">
        <f>"136"</f>
        <v>136</v>
      </c>
      <c r="D4417" t="str">
        <f>"Long Knives Drawn"</f>
        <v>Long Knives Drawn</v>
      </c>
    </row>
    <row r="4418" spans="1:4" x14ac:dyDescent="0.2">
      <c r="A4418" t="str">
        <f>"4417"</f>
        <v>4417</v>
      </c>
      <c r="B4418" t="str">
        <f>"0.07"</f>
        <v>0.07</v>
      </c>
      <c r="C4418" t="str">
        <f>"70"</f>
        <v>70</v>
      </c>
      <c r="D4418" t="str">
        <f>"Antipop Vs. Matthew Shipp"</f>
        <v>Antipop Vs. Matthew Shipp</v>
      </c>
    </row>
    <row r="4419" spans="1:4" x14ac:dyDescent="0.2">
      <c r="A4419" t="str">
        <f>"4418"</f>
        <v>4418</v>
      </c>
      <c r="B4419" t="str">
        <f>"0.55"</f>
        <v>0.55</v>
      </c>
      <c r="C4419" t="str">
        <f>"99"</f>
        <v>99</v>
      </c>
      <c r="D4419" t="str">
        <f>"10th"</f>
        <v>10th</v>
      </c>
    </row>
    <row r="4420" spans="1:4" x14ac:dyDescent="0.2">
      <c r="A4420" t="str">
        <f>"4419"</f>
        <v>4419</v>
      </c>
      <c r="B4420" t="str">
        <f>"-0.07"</f>
        <v>-0.07</v>
      </c>
      <c r="C4420" t="str">
        <f>"86"</f>
        <v>86</v>
      </c>
      <c r="D4420" t="str">
        <f>"To Get a Better Hold You've Got to Loosen Yr Grip"</f>
        <v>To Get a Better Hold You've Got to Loosen Yr Grip</v>
      </c>
    </row>
    <row r="4421" spans="1:4" x14ac:dyDescent="0.2">
      <c r="A4421" t="str">
        <f>"4420"</f>
        <v>4420</v>
      </c>
      <c r="B4421" t="str">
        <f>"0.41"</f>
        <v>0.41</v>
      </c>
      <c r="C4421" t="str">
        <f>"22"</f>
        <v>22</v>
      </c>
      <c r="D4421" t="str">
        <f>"The Weather"</f>
        <v>The Weather</v>
      </c>
    </row>
    <row r="4422" spans="1:4" x14ac:dyDescent="0.2">
      <c r="A4422" t="str">
        <f>"4421"</f>
        <v>4421</v>
      </c>
      <c r="B4422" t="str">
        <f>"-1.17"</f>
        <v>-1.17</v>
      </c>
      <c r="C4422" t="str">
        <f>"73"</f>
        <v>73</v>
      </c>
      <c r="D4422" t="str">
        <f>"The Message at the Depth"</f>
        <v>The Message at the Depth</v>
      </c>
    </row>
    <row r="4423" spans="1:4" x14ac:dyDescent="0.2">
      <c r="A4423" t="str">
        <f>"4422"</f>
        <v>4422</v>
      </c>
      <c r="B4423" t="str">
        <f>"1.07"</f>
        <v>1.07</v>
      </c>
      <c r="C4423" t="str">
        <f>"51"</f>
        <v>51</v>
      </c>
      <c r="D4423" t="str">
        <f>"Stories Often Told"</f>
        <v>Stories Often Told</v>
      </c>
    </row>
    <row r="4424" spans="1:4" x14ac:dyDescent="0.2">
      <c r="A4424" t="str">
        <f>"4423"</f>
        <v>4423</v>
      </c>
      <c r="B4424" t="str">
        <f>"-0.53"</f>
        <v>-0.53</v>
      </c>
      <c r="C4424" t="str">
        <f>"60"</f>
        <v>60</v>
      </c>
      <c r="D4424" t="str">
        <f>"Hello Dirty"</f>
        <v>Hello Dirty</v>
      </c>
    </row>
    <row r="4425" spans="1:4" x14ac:dyDescent="0.2">
      <c r="A4425" t="str">
        <f>"4424"</f>
        <v>4424</v>
      </c>
      <c r="B4425" t="str">
        <f>"-0.89"</f>
        <v>-0.89</v>
      </c>
      <c r="C4425" t="str">
        <f>"58"</f>
        <v>58</v>
      </c>
      <c r="D4425" t="str">
        <f>"Dixie Fried"</f>
        <v>Dixie Fried</v>
      </c>
    </row>
    <row r="4426" spans="1:4" x14ac:dyDescent="0.2">
      <c r="A4426" t="str">
        <f>"4425"</f>
        <v>4425</v>
      </c>
      <c r="B4426" t="str">
        <f>"-0.18"</f>
        <v>-0.18</v>
      </c>
      <c r="C4426" t="str">
        <f>"43"</f>
        <v>43</v>
      </c>
      <c r="D4426" t="str">
        <f>"Big Men Cry"</f>
        <v>Big Men Cry</v>
      </c>
    </row>
    <row r="4427" spans="1:4" x14ac:dyDescent="0.2">
      <c r="A4427" t="str">
        <f>"4426"</f>
        <v>4426</v>
      </c>
      <c r="B4427" t="str">
        <f>"0.32"</f>
        <v>0.32</v>
      </c>
      <c r="C4427" t="str">
        <f>"53"</f>
        <v>53</v>
      </c>
      <c r="D4427" t="str">
        <f>"Love or Perish"</f>
        <v>Love or Perish</v>
      </c>
    </row>
    <row r="4428" spans="1:4" x14ac:dyDescent="0.2">
      <c r="A4428" t="str">
        <f>"4427"</f>
        <v>4427</v>
      </c>
      <c r="B4428" t="str">
        <f>"0"</f>
        <v>0</v>
      </c>
      <c r="C4428" t="str">
        <f>"55"</f>
        <v>55</v>
      </c>
      <c r="D4428" t="str">
        <f>"Kicker in Tow"</f>
        <v>Kicker in Tow</v>
      </c>
    </row>
    <row r="4429" spans="1:4" x14ac:dyDescent="0.2">
      <c r="A4429" t="str">
        <f>"4428"</f>
        <v>4428</v>
      </c>
      <c r="B4429" t="str">
        <f>"-1.09"</f>
        <v>-1.09</v>
      </c>
      <c r="C4429" t="str">
        <f>"39"</f>
        <v>39</v>
      </c>
      <c r="D4429" t="str">
        <f>"Inner System Blues"</f>
        <v>Inner System Blues</v>
      </c>
    </row>
    <row r="4430" spans="1:4" x14ac:dyDescent="0.2">
      <c r="A4430" t="str">
        <f>"4429"</f>
        <v>4429</v>
      </c>
      <c r="B4430" t="str">
        <f>"0.63"</f>
        <v>0.63</v>
      </c>
      <c r="C4430" t="str">
        <f>"36"</f>
        <v>36</v>
      </c>
      <c r="D4430" t="str">
        <f>"Down with Wilco"</f>
        <v>Down with Wilco</v>
      </c>
    </row>
    <row r="4431" spans="1:4" x14ac:dyDescent="0.2">
      <c r="A4431" t="str">
        <f>"4430"</f>
        <v>4430</v>
      </c>
      <c r="B4431" t="str">
        <f>"-0.65"</f>
        <v>-0.65</v>
      </c>
      <c r="C4431" t="str">
        <f>"50"</f>
        <v>50</v>
      </c>
      <c r="D4431" t="str">
        <f>"More Parts Per Million"</f>
        <v>More Parts Per Million</v>
      </c>
    </row>
    <row r="4432" spans="1:4" x14ac:dyDescent="0.2">
      <c r="A4432" t="str">
        <f>"4431"</f>
        <v>4431</v>
      </c>
      <c r="B4432" t="str">
        <f>"1.59"</f>
        <v>1.59</v>
      </c>
      <c r="C4432" t="str">
        <f>"63"</f>
        <v>63</v>
      </c>
      <c r="D4432" t="str">
        <f>"Looks at the Bird"</f>
        <v>Looks at the Bird</v>
      </c>
    </row>
    <row r="4433" spans="1:4" x14ac:dyDescent="0.2">
      <c r="A4433" t="str">
        <f>"4432"</f>
        <v>4432</v>
      </c>
      <c r="B4433" t="str">
        <f>"-0.24"</f>
        <v>-0.24</v>
      </c>
      <c r="C4433" t="str">
        <f>"87"</f>
        <v>87</v>
      </c>
      <c r="D4433" t="str">
        <f>"Jerusalem"</f>
        <v>Jerusalem</v>
      </c>
    </row>
    <row r="4434" spans="1:4" x14ac:dyDescent="0.2">
      <c r="A4434" t="str">
        <f>"4433"</f>
        <v>4433</v>
      </c>
      <c r="B4434" t="str">
        <f>"-0.27"</f>
        <v>-0.27</v>
      </c>
      <c r="C4434" t="str">
        <f>"85"</f>
        <v>85</v>
      </c>
      <c r="D4434" t="str">
        <f>"Incest Live"</f>
        <v>Incest Live</v>
      </c>
    </row>
    <row r="4435" spans="1:4" x14ac:dyDescent="0.2">
      <c r="A4435" t="str">
        <f>"4434"</f>
        <v>4434</v>
      </c>
      <c r="B4435" t="str">
        <f>"-0.01"</f>
        <v>-0.01</v>
      </c>
      <c r="C4435" t="str">
        <f>"99"</f>
        <v>99</v>
      </c>
      <c r="D4435" t="str">
        <f>"Yank Crime"</f>
        <v>Yank Crime</v>
      </c>
    </row>
    <row r="4436" spans="1:4" x14ac:dyDescent="0.2">
      <c r="A4436" t="str">
        <f>"4435"</f>
        <v>4435</v>
      </c>
      <c r="B4436" t="str">
        <f>"0.56"</f>
        <v>0.56</v>
      </c>
      <c r="C4436" t="str">
        <f>"79"</f>
        <v>79</v>
      </c>
      <c r="D4436" t="str">
        <f>"Univers Zen ou de Zéro à Zéro"</f>
        <v>Univers Zen ou de Zéro à Zéro</v>
      </c>
    </row>
    <row r="4437" spans="1:4" x14ac:dyDescent="0.2">
      <c r="A4437" t="str">
        <f>"4436"</f>
        <v>4436</v>
      </c>
      <c r="B4437" t="str">
        <f>"-0.57"</f>
        <v>-0.57</v>
      </c>
      <c r="C4437" t="str">
        <f>"83"</f>
        <v>83</v>
      </c>
      <c r="D4437" t="str">
        <f>"Journey Through a Burning Brain (Anthology)"</f>
        <v>Journey Through a Burning Brain (Anthology)</v>
      </c>
    </row>
    <row r="4438" spans="1:4" x14ac:dyDescent="0.2">
      <c r="A4438" t="str">
        <f>"4437"</f>
        <v>4437</v>
      </c>
      <c r="B4438" t="str">
        <f>"-0.79"</f>
        <v>-0.79</v>
      </c>
      <c r="C4438" t="str">
        <f>"84"</f>
        <v>84</v>
      </c>
      <c r="D4438" t="str">
        <f>"Phoenix Album"</f>
        <v>Phoenix Album</v>
      </c>
    </row>
    <row r="4439" spans="1:4" x14ac:dyDescent="0.2">
      <c r="A4439" t="str">
        <f>"4438"</f>
        <v>4438</v>
      </c>
      <c r="B4439" t="str">
        <f>"-0.38"</f>
        <v>-0.38</v>
      </c>
      <c r="C4439" t="str">
        <f>"36"</f>
        <v>36</v>
      </c>
      <c r="D4439" t="str">
        <f>"Nocturama"</f>
        <v>Nocturama</v>
      </c>
    </row>
    <row r="4440" spans="1:4" x14ac:dyDescent="0.2">
      <c r="A4440" t="str">
        <f>"4439"</f>
        <v>4439</v>
      </c>
      <c r="B4440" t="str">
        <f>"0.52"</f>
        <v>0.52</v>
      </c>
      <c r="C4440" t="str">
        <f>"46"</f>
        <v>46</v>
      </c>
      <c r="D4440" t="str">
        <f>"Here to There"</f>
        <v>Here to There</v>
      </c>
    </row>
    <row r="4441" spans="1:4" x14ac:dyDescent="0.2">
      <c r="A4441" t="str">
        <f>"4440"</f>
        <v>4440</v>
      </c>
      <c r="B4441" t="str">
        <f>"0.89"</f>
        <v>0.89</v>
      </c>
      <c r="C4441" t="str">
        <f>"69"</f>
        <v>69</v>
      </c>
      <c r="D4441" t="str">
        <f>"Submers"</f>
        <v>Submers</v>
      </c>
    </row>
    <row r="4442" spans="1:4" x14ac:dyDescent="0.2">
      <c r="A4442" t="str">
        <f>"4441"</f>
        <v>4441</v>
      </c>
      <c r="B4442" t="str">
        <f>"-0.76"</f>
        <v>-0.76</v>
      </c>
      <c r="C4442" t="str">
        <f>"52"</f>
        <v>52</v>
      </c>
      <c r="D4442" t="str">
        <f>"Make It Pop"</f>
        <v>Make It Pop</v>
      </c>
    </row>
    <row r="4443" spans="1:4" x14ac:dyDescent="0.2">
      <c r="A4443" t="str">
        <f>"4442"</f>
        <v>4442</v>
      </c>
      <c r="B4443" t="str">
        <f>"0.04"</f>
        <v>0.04</v>
      </c>
      <c r="C4443" t="str">
        <f>"59"</f>
        <v>59</v>
      </c>
      <c r="D4443" t="str">
        <f>"Highly Refined Pirates"</f>
        <v>Highly Refined Pirates</v>
      </c>
    </row>
    <row r="4444" spans="1:4" x14ac:dyDescent="0.2">
      <c r="A4444" t="str">
        <f>"4443"</f>
        <v>4443</v>
      </c>
      <c r="B4444" t="str">
        <f>"-0.42"</f>
        <v>-0.42</v>
      </c>
      <c r="C4444" t="str">
        <f>"73"</f>
        <v>73</v>
      </c>
      <c r="D4444" t="str">
        <f>"Flage"</f>
        <v>Flage</v>
      </c>
    </row>
    <row r="4445" spans="1:4" x14ac:dyDescent="0.2">
      <c r="A4445" t="str">
        <f>"4444"</f>
        <v>4444</v>
      </c>
      <c r="B4445" t="str">
        <f>"0.17"</f>
        <v>0.17</v>
      </c>
      <c r="C4445" t="str">
        <f>"80"</f>
        <v>80</v>
      </c>
      <c r="D4445" t="str">
        <f>"Ally in the Sky"</f>
        <v>Ally in the Sky</v>
      </c>
    </row>
    <row r="4446" spans="1:4" x14ac:dyDescent="0.2">
      <c r="A4446" t="str">
        <f>"4445"</f>
        <v>4445</v>
      </c>
      <c r="B4446" t="str">
        <f>"0.04"</f>
        <v>0.04</v>
      </c>
      <c r="C4446" t="str">
        <f>"90"</f>
        <v>90</v>
      </c>
      <c r="D4446" t="str">
        <f>"6"</f>
        <v>6</v>
      </c>
    </row>
    <row r="4447" spans="1:4" x14ac:dyDescent="0.2">
      <c r="A4447" t="str">
        <f>"4446"</f>
        <v>4446</v>
      </c>
      <c r="B4447" t="str">
        <f>"-0.13"</f>
        <v>-0.13</v>
      </c>
      <c r="C4447" t="str">
        <f>"142"</f>
        <v>142</v>
      </c>
      <c r="D4447" t="str">
        <f>"The Best of 1990-2000"</f>
        <v>The Best of 1990-2000</v>
      </c>
    </row>
    <row r="4448" spans="1:4" x14ac:dyDescent="0.2">
      <c r="A4448" t="str">
        <f>"4447"</f>
        <v>4447</v>
      </c>
      <c r="B4448" t="str">
        <f>"0.21"</f>
        <v>0.21</v>
      </c>
      <c r="C4448" t="str">
        <f>"69"</f>
        <v>69</v>
      </c>
      <c r="D4448" t="str">
        <f>"Paradise"</f>
        <v>Paradise</v>
      </c>
    </row>
    <row r="4449" spans="1:4" x14ac:dyDescent="0.2">
      <c r="A4449" t="str">
        <f>"4448"</f>
        <v>4448</v>
      </c>
      <c r="B4449" t="str">
        <f>"-0.46"</f>
        <v>-0.46</v>
      </c>
      <c r="C4449" t="str">
        <f>"43"</f>
        <v>43</v>
      </c>
      <c r="D4449" t="str">
        <f>"Morning Macumba"</f>
        <v>Morning Macumba</v>
      </c>
    </row>
    <row r="4450" spans="1:4" x14ac:dyDescent="0.2">
      <c r="A4450" t="str">
        <f>"4449"</f>
        <v>4449</v>
      </c>
      <c r="B4450" t="str">
        <f>"0.1"</f>
        <v>0.1</v>
      </c>
      <c r="C4450" t="str">
        <f>"52"</f>
        <v>52</v>
      </c>
      <c r="D4450" t="str">
        <f>"Mansion"</f>
        <v>Mansion</v>
      </c>
    </row>
    <row r="4451" spans="1:4" x14ac:dyDescent="0.2">
      <c r="A4451" t="str">
        <f>"4450"</f>
        <v>4450</v>
      </c>
      <c r="B4451" t="str">
        <f>"-0.45"</f>
        <v>-0.45</v>
      </c>
      <c r="C4451" t="str">
        <f>"65"</f>
        <v>65</v>
      </c>
      <c r="D4451" t="str">
        <f>"Lost Time"</f>
        <v>Lost Time</v>
      </c>
    </row>
    <row r="4452" spans="1:4" x14ac:dyDescent="0.2">
      <c r="A4452" t="str">
        <f>"4451"</f>
        <v>4451</v>
      </c>
      <c r="B4452" t="str">
        <f>"-0.1"</f>
        <v>-0.1</v>
      </c>
      <c r="C4452" t="str">
        <f>"46"</f>
        <v>46</v>
      </c>
      <c r="D4452" t="str">
        <f>"Jessica Bailiff"</f>
        <v>Jessica Bailiff</v>
      </c>
    </row>
    <row r="4453" spans="1:4" x14ac:dyDescent="0.2">
      <c r="A4453" t="str">
        <f>"4452"</f>
        <v>4452</v>
      </c>
      <c r="B4453" t="str">
        <f>"-0.4"</f>
        <v>-0.4</v>
      </c>
      <c r="C4453" t="str">
        <f>"68"</f>
        <v>68</v>
      </c>
      <c r="D4453" t="str">
        <f>"Grava 4"</f>
        <v>Grava 4</v>
      </c>
    </row>
    <row r="4454" spans="1:4" x14ac:dyDescent="0.2">
      <c r="A4454" t="str">
        <f>"4453"</f>
        <v>4453</v>
      </c>
      <c r="B4454" t="str">
        <f>"-0.99"</f>
        <v>-0.99</v>
      </c>
      <c r="C4454" t="str">
        <f>"44"</f>
        <v>44</v>
      </c>
      <c r="D4454" t="str">
        <f>"Everybody Makes Mistakes"</f>
        <v>Everybody Makes Mistakes</v>
      </c>
    </row>
    <row r="4455" spans="1:4" x14ac:dyDescent="0.2">
      <c r="A4455" t="str">
        <f>"4454"</f>
        <v>4454</v>
      </c>
      <c r="B4455" t="str">
        <f>"-0.68"</f>
        <v>-0.68</v>
      </c>
      <c r="C4455" t="str">
        <f>"36"</f>
        <v>36</v>
      </c>
      <c r="D4455" t="str">
        <f>"Hard"</f>
        <v>Hard</v>
      </c>
    </row>
    <row r="4456" spans="1:4" x14ac:dyDescent="0.2">
      <c r="A4456" t="str">
        <f>"4455"</f>
        <v>4455</v>
      </c>
      <c r="B4456" t="str">
        <f>"0.47"</f>
        <v>0.47</v>
      </c>
      <c r="C4456" t="str">
        <f>"55"</f>
        <v>55</v>
      </c>
      <c r="D4456" t="str">
        <f>"Give Up"</f>
        <v>Give Up</v>
      </c>
    </row>
    <row r="4457" spans="1:4" x14ac:dyDescent="0.2">
      <c r="A4457" t="str">
        <f>"4456"</f>
        <v>4456</v>
      </c>
      <c r="B4457" t="str">
        <f>"-1.1"</f>
        <v>-1.1</v>
      </c>
      <c r="C4457" t="str">
        <f>"64"</f>
        <v>64</v>
      </c>
      <c r="D4457" t="str">
        <f>"Siamese Pipe"</f>
        <v>Siamese Pipe</v>
      </c>
    </row>
    <row r="4458" spans="1:4" x14ac:dyDescent="0.2">
      <c r="A4458" t="str">
        <f>"4457"</f>
        <v>4457</v>
      </c>
      <c r="B4458" t="str">
        <f>"-0.95"</f>
        <v>-0.95</v>
      </c>
      <c r="C4458" t="str">
        <f>"40"</f>
        <v>40</v>
      </c>
      <c r="D4458" t="str">
        <f>"Satanstornade"</f>
        <v>Satanstornade</v>
      </c>
    </row>
    <row r="4459" spans="1:4" x14ac:dyDescent="0.2">
      <c r="A4459" t="str">
        <f>"4458"</f>
        <v>4458</v>
      </c>
      <c r="B4459" t="str">
        <f>"-0.54"</f>
        <v>-0.54</v>
      </c>
      <c r="C4459" t="str">
        <f>"40"</f>
        <v>40</v>
      </c>
      <c r="D4459" t="str">
        <f>"Hearts of Oak"</f>
        <v>Hearts of Oak</v>
      </c>
    </row>
    <row r="4460" spans="1:4" x14ac:dyDescent="0.2">
      <c r="A4460" t="str">
        <f>"4459"</f>
        <v>4459</v>
      </c>
      <c r="B4460" t="str">
        <f>"0.86"</f>
        <v>0.86</v>
      </c>
      <c r="C4460" t="str">
        <f>"52"</f>
        <v>52</v>
      </c>
      <c r="D4460" t="str">
        <f>"Private Lines EP"</f>
        <v>Private Lines EP</v>
      </c>
    </row>
    <row r="4461" spans="1:4" x14ac:dyDescent="0.2">
      <c r="A4461" t="str">
        <f>"4460"</f>
        <v>4460</v>
      </c>
      <c r="B4461" t="str">
        <f>"0.35"</f>
        <v>0.35</v>
      </c>
      <c r="C4461" t="str">
        <f>"49"</f>
        <v>49</v>
      </c>
      <c r="D4461" t="str">
        <f>"Electronic Meditation"</f>
        <v>Electronic Meditation</v>
      </c>
    </row>
    <row r="4462" spans="1:4" x14ac:dyDescent="0.2">
      <c r="A4462" t="str">
        <f>"4461"</f>
        <v>4461</v>
      </c>
      <c r="B4462" t="str">
        <f>"0.09"</f>
        <v>0.09</v>
      </c>
      <c r="C4462" t="str">
        <f>"45"</f>
        <v>45</v>
      </c>
      <c r="D4462" t="str">
        <f>"Another Beginning"</f>
        <v>Another Beginning</v>
      </c>
    </row>
    <row r="4463" spans="1:4" x14ac:dyDescent="0.2">
      <c r="A4463" t="str">
        <f>"4462"</f>
        <v>4462</v>
      </c>
      <c r="B4463" t="str">
        <f>"0.36"</f>
        <v>0.36</v>
      </c>
      <c r="C4463" t="str">
        <f>"68"</f>
        <v>68</v>
      </c>
      <c r="D4463" t="str">
        <f>"Toktok vs. Soffy O"</f>
        <v>Toktok vs. Soffy O</v>
      </c>
    </row>
    <row r="4464" spans="1:4" x14ac:dyDescent="0.2">
      <c r="A4464" t="str">
        <f>"4463"</f>
        <v>4463</v>
      </c>
      <c r="B4464" t="str">
        <f>"-0.63"</f>
        <v>-0.63</v>
      </c>
      <c r="C4464" t="str">
        <f>"88"</f>
        <v>88</v>
      </c>
      <c r="D4464" t="str">
        <f>"The Raven"</f>
        <v>The Raven</v>
      </c>
    </row>
    <row r="4465" spans="1:4" x14ac:dyDescent="0.2">
      <c r="A4465" t="str">
        <f>"4464"</f>
        <v>4464</v>
      </c>
      <c r="B4465" t="str">
        <f>"0.7"</f>
        <v>0.7</v>
      </c>
      <c r="C4465" t="str">
        <f>"56"</f>
        <v>56</v>
      </c>
      <c r="D4465" t="str">
        <f>"On the Love Beach"</f>
        <v>On the Love Beach</v>
      </c>
    </row>
    <row r="4466" spans="1:4" x14ac:dyDescent="0.2">
      <c r="A4466" t="str">
        <f>"4465"</f>
        <v>4465</v>
      </c>
      <c r="B4466" t="str">
        <f>"0.1"</f>
        <v>0.1</v>
      </c>
      <c r="C4466" t="str">
        <f>"36"</f>
        <v>36</v>
      </c>
      <c r="D4466" t="str">
        <f>"Lost Horizons"</f>
        <v>Lost Horizons</v>
      </c>
    </row>
    <row r="4467" spans="1:4" x14ac:dyDescent="0.2">
      <c r="A4467" t="str">
        <f>"4466"</f>
        <v>4466</v>
      </c>
      <c r="B4467" t="str">
        <f>"-0.2"</f>
        <v>-0.2</v>
      </c>
      <c r="C4467" t="str">
        <f>"53"</f>
        <v>53</v>
      </c>
      <c r="D4467" t="str">
        <f>"Absolutely Nothing"</f>
        <v>Absolutely Nothing</v>
      </c>
    </row>
    <row r="4468" spans="1:4" x14ac:dyDescent="0.2">
      <c r="A4468" t="str">
        <f>"4467"</f>
        <v>4467</v>
      </c>
      <c r="B4468" t="str">
        <f>"0.4"</f>
        <v>0.4</v>
      </c>
      <c r="C4468" t="str">
        <f>"23"</f>
        <v>23</v>
      </c>
      <c r="D4468" t="str">
        <f>"Phase One: Celebrity Take Down"</f>
        <v>Phase One: Celebrity Take Down</v>
      </c>
    </row>
    <row r="4469" spans="1:4" x14ac:dyDescent="0.2">
      <c r="A4469" t="str">
        <f>"4468"</f>
        <v>4468</v>
      </c>
      <c r="B4469" t="str">
        <f>"-0.12"</f>
        <v>-0.12</v>
      </c>
      <c r="C4469" t="str">
        <f>"40"</f>
        <v>40</v>
      </c>
      <c r="D4469" t="str">
        <f>"It's a Lonely Planet"</f>
        <v>It's a Lonely Planet</v>
      </c>
    </row>
    <row r="4470" spans="1:4" x14ac:dyDescent="0.2">
      <c r="A4470" t="str">
        <f>"4469"</f>
        <v>4469</v>
      </c>
      <c r="B4470" t="str">
        <f>"0.45"</f>
        <v>0.45</v>
      </c>
      <c r="C4470" t="str">
        <f>"87"</f>
        <v>87</v>
      </c>
      <c r="D4470" t="str">
        <f>"Do You Party?"</f>
        <v>Do You Party?</v>
      </c>
    </row>
    <row r="4471" spans="1:4" x14ac:dyDescent="0.2">
      <c r="A4471" t="str">
        <f>"4470"</f>
        <v>4470</v>
      </c>
      <c r="B4471" t="str">
        <f>"-0.2"</f>
        <v>-0.2</v>
      </c>
      <c r="C4471" t="str">
        <f>"50"</f>
        <v>50</v>
      </c>
      <c r="D4471" t="str">
        <f>"Anti"</f>
        <v>Anti</v>
      </c>
    </row>
    <row r="4472" spans="1:4" x14ac:dyDescent="0.2">
      <c r="A4472" t="str">
        <f>"4471"</f>
        <v>4471</v>
      </c>
      <c r="B4472" t="str">
        <f>"-0.06"</f>
        <v>-0.06</v>
      </c>
      <c r="C4472" t="str">
        <f>"55"</f>
        <v>55</v>
      </c>
      <c r="D4472" t="str">
        <f>"Televise"</f>
        <v>Televise</v>
      </c>
    </row>
    <row r="4473" spans="1:4" x14ac:dyDescent="0.2">
      <c r="A4473" t="str">
        <f>"4472"</f>
        <v>4472</v>
      </c>
      <c r="B4473" t="str">
        <f>"-1.32"</f>
        <v>-1.32</v>
      </c>
      <c r="C4473" t="str">
        <f>"56"</f>
        <v>56</v>
      </c>
      <c r="D4473" t="str">
        <f>"Roggaboggas"</f>
        <v>Roggaboggas</v>
      </c>
    </row>
    <row r="4474" spans="1:4" x14ac:dyDescent="0.2">
      <c r="A4474" t="str">
        <f>"4473"</f>
        <v>4473</v>
      </c>
      <c r="B4474" t="str">
        <f>"-0.84"</f>
        <v>-0.84</v>
      </c>
      <c r="C4474" t="str">
        <f>"28"</f>
        <v>28</v>
      </c>
      <c r="D4474" t="str">
        <f>"Propaganda"</f>
        <v>Propaganda</v>
      </c>
    </row>
    <row r="4475" spans="1:4" x14ac:dyDescent="0.2">
      <c r="A4475" t="str">
        <f>"4474"</f>
        <v>4474</v>
      </c>
      <c r="B4475" t="str">
        <f>"0.17"</f>
        <v>0.17</v>
      </c>
      <c r="C4475" t="str">
        <f>"70"</f>
        <v>70</v>
      </c>
      <c r="D4475" t="str">
        <f>"Minority of One"</f>
        <v>Minority of One</v>
      </c>
    </row>
    <row r="4476" spans="1:4" x14ac:dyDescent="0.2">
      <c r="A4476" t="str">
        <f>"4475"</f>
        <v>4475</v>
      </c>
      <c r="B4476" t="str">
        <f>"0.06"</f>
        <v>0.06</v>
      </c>
      <c r="C4476" t="str">
        <f>"112"</f>
        <v>112</v>
      </c>
      <c r="D4476" t="str">
        <f>"You Forgot It in People"</f>
        <v>You Forgot It in People</v>
      </c>
    </row>
    <row r="4477" spans="1:4" x14ac:dyDescent="0.2">
      <c r="A4477" t="str">
        <f>"4476"</f>
        <v>4476</v>
      </c>
      <c r="B4477" t="str">
        <f>"1.1"</f>
        <v>1.1</v>
      </c>
      <c r="C4477" t="str">
        <f>"70"</f>
        <v>70</v>
      </c>
      <c r="D4477" t="str">
        <f>"Writers Without Homes"</f>
        <v>Writers Without Homes</v>
      </c>
    </row>
    <row r="4478" spans="1:4" x14ac:dyDescent="0.2">
      <c r="A4478" t="str">
        <f>"4477"</f>
        <v>4477</v>
      </c>
      <c r="B4478" t="str">
        <f>"-0.17"</f>
        <v>-0.17</v>
      </c>
      <c r="C4478" t="str">
        <f>"80"</f>
        <v>80</v>
      </c>
      <c r="D4478" t="str">
        <f>"Moth"</f>
        <v>Moth</v>
      </c>
    </row>
    <row r="4479" spans="1:4" x14ac:dyDescent="0.2">
      <c r="A4479" t="str">
        <f>"4478"</f>
        <v>4478</v>
      </c>
      <c r="B4479" t="str">
        <f>"-0.49"</f>
        <v>-0.49</v>
      </c>
      <c r="C4479" t="str">
        <f>"68"</f>
        <v>68</v>
      </c>
      <c r="D4479" t="str">
        <f>"C64 Massive SIDplay Party Mix CD"</f>
        <v>C64 Massive SIDplay Party Mix CD</v>
      </c>
    </row>
    <row r="4480" spans="1:4" x14ac:dyDescent="0.2">
      <c r="A4480" t="str">
        <f>"4479"</f>
        <v>4479</v>
      </c>
      <c r="B4480" t="str">
        <f>"-0.3"</f>
        <v>-0.3</v>
      </c>
      <c r="C4480" t="str">
        <f>"108"</f>
        <v>108</v>
      </c>
      <c r="D4480" t="str">
        <f>"Walking in Jerusalem"</f>
        <v>Walking in Jerusalem</v>
      </c>
    </row>
    <row r="4481" spans="1:4" x14ac:dyDescent="0.2">
      <c r="A4481" t="str">
        <f>"4480"</f>
        <v>4480</v>
      </c>
      <c r="B4481" t="str">
        <f>"-0.03"</f>
        <v>-0.03</v>
      </c>
      <c r="C4481" t="str">
        <f>"108"</f>
        <v>108</v>
      </c>
      <c r="D4481" t="s">
        <v>159</v>
      </c>
    </row>
    <row r="4482" spans="1:4" x14ac:dyDescent="0.2">
      <c r="A4482" t="str">
        <f>"4481"</f>
        <v>4481</v>
      </c>
      <c r="B4482" t="str">
        <f>"-0.69"</f>
        <v>-0.69</v>
      </c>
      <c r="C4482" t="str">
        <f>"54"</f>
        <v>54</v>
      </c>
      <c r="D4482" t="str">
        <f>"Mad Hueman Disease"</f>
        <v>Mad Hueman Disease</v>
      </c>
    </row>
    <row r="4483" spans="1:4" x14ac:dyDescent="0.2">
      <c r="A4483" t="str">
        <f>"4482"</f>
        <v>4482</v>
      </c>
      <c r="B4483" t="str">
        <f>"0.14"</f>
        <v>0.14</v>
      </c>
      <c r="C4483" t="str">
        <f>"63"</f>
        <v>63</v>
      </c>
      <c r="D4483" t="str">
        <f>"Live at Maxwell's"</f>
        <v>Live at Maxwell's</v>
      </c>
    </row>
    <row r="4484" spans="1:4" x14ac:dyDescent="0.2">
      <c r="A4484" t="str">
        <f>"4483"</f>
        <v>4483</v>
      </c>
      <c r="B4484" t="str">
        <f>"0.88"</f>
        <v>0.88</v>
      </c>
      <c r="C4484" t="str">
        <f>"65"</f>
        <v>65</v>
      </c>
      <c r="D4484" t="str">
        <f>"Fed"</f>
        <v>Fed</v>
      </c>
    </row>
    <row r="4485" spans="1:4" x14ac:dyDescent="0.2">
      <c r="A4485" t="str">
        <f>"4484"</f>
        <v>4484</v>
      </c>
      <c r="B4485" t="str">
        <f>"-0.47"</f>
        <v>-0.47</v>
      </c>
      <c r="C4485" t="str">
        <f>"89"</f>
        <v>89</v>
      </c>
      <c r="D4485" t="str">
        <f>"Red Devil Dawn"</f>
        <v>Red Devil Dawn</v>
      </c>
    </row>
    <row r="4486" spans="1:4" x14ac:dyDescent="0.2">
      <c r="A4486" t="str">
        <f>"4485"</f>
        <v>4485</v>
      </c>
      <c r="B4486" t="str">
        <f>"0.42"</f>
        <v>0.42</v>
      </c>
      <c r="C4486" t="str">
        <f>"65"</f>
        <v>65</v>
      </c>
      <c r="D4486" t="str">
        <f>"Masada Guitars"</f>
        <v>Masada Guitars</v>
      </c>
    </row>
    <row r="4487" spans="1:4" x14ac:dyDescent="0.2">
      <c r="A4487" t="str">
        <f>"4486"</f>
        <v>4486</v>
      </c>
      <c r="B4487" t="str">
        <f>"0.3"</f>
        <v>0.3</v>
      </c>
      <c r="C4487" t="str">
        <f>"67"</f>
        <v>67</v>
      </c>
      <c r="D4487" t="str">
        <f>"Enemy of Fun"</f>
        <v>Enemy of Fun</v>
      </c>
    </row>
    <row r="4488" spans="1:4" x14ac:dyDescent="0.2">
      <c r="A4488" t="str">
        <f>"4487"</f>
        <v>4487</v>
      </c>
      <c r="B4488" t="str">
        <f>"-0.54"</f>
        <v>-0.54</v>
      </c>
      <c r="C4488" t="str">
        <f>"62"</f>
        <v>62</v>
      </c>
      <c r="D4488" t="str">
        <f>"Danger: Rock Science!"</f>
        <v>Danger: Rock Science!</v>
      </c>
    </row>
    <row r="4489" spans="1:4" x14ac:dyDescent="0.2">
      <c r="A4489" t="str">
        <f>"4488"</f>
        <v>4488</v>
      </c>
      <c r="B4489" t="str">
        <f>"-0.45"</f>
        <v>-0.45</v>
      </c>
      <c r="C4489" t="str">
        <f>"78"</f>
        <v>78</v>
      </c>
      <c r="D4489" t="str">
        <f>"American Supreme"</f>
        <v>American Supreme</v>
      </c>
    </row>
    <row r="4490" spans="1:4" x14ac:dyDescent="0.2">
      <c r="A4490" t="str">
        <f>"4489"</f>
        <v>4489</v>
      </c>
      <c r="B4490" t="str">
        <f>"-0.15"</f>
        <v>-0.15</v>
      </c>
      <c r="C4490" t="str">
        <f>"110"</f>
        <v>110</v>
      </c>
      <c r="D4490" t="str">
        <f>"Revolution"</f>
        <v>Revolution</v>
      </c>
    </row>
    <row r="4491" spans="1:4" x14ac:dyDescent="0.2">
      <c r="A4491" t="str">
        <f>"4490"</f>
        <v>4490</v>
      </c>
      <c r="B4491" t="str">
        <f>"0.04"</f>
        <v>0.04</v>
      </c>
      <c r="C4491" t="str">
        <f>"86"</f>
        <v>86</v>
      </c>
      <c r="D4491" t="str">
        <f>"Phrenology"</f>
        <v>Phrenology</v>
      </c>
    </row>
    <row r="4492" spans="1:4" x14ac:dyDescent="0.2">
      <c r="A4492" t="str">
        <f>"4491"</f>
        <v>4491</v>
      </c>
      <c r="B4492" t="str">
        <f>"-0.11"</f>
        <v>-0.11</v>
      </c>
      <c r="C4492" t="str">
        <f>"55"</f>
        <v>55</v>
      </c>
      <c r="D4492" t="str">
        <f>"End Transmission"</f>
        <v>End Transmission</v>
      </c>
    </row>
    <row r="4493" spans="1:4" x14ac:dyDescent="0.2">
      <c r="A4493" t="str">
        <f>"4492"</f>
        <v>4492</v>
      </c>
      <c r="B4493" t="str">
        <f>"-0.01"</f>
        <v>-0.01</v>
      </c>
      <c r="C4493" t="str">
        <f>"55"</f>
        <v>55</v>
      </c>
      <c r="D4493" t="str">
        <f>"Can You See the Music"</f>
        <v>Can You See the Music</v>
      </c>
    </row>
    <row r="4494" spans="1:4" x14ac:dyDescent="0.2">
      <c r="A4494" t="str">
        <f>"4493"</f>
        <v>4493</v>
      </c>
      <c r="B4494" t="str">
        <f>"-0.04"</f>
        <v>-0.04</v>
      </c>
      <c r="C4494" t="str">
        <f>"44"</f>
        <v>44</v>
      </c>
      <c r="D4494" t="str">
        <f>"The Cassettes"</f>
        <v>The Cassettes</v>
      </c>
    </row>
    <row r="4495" spans="1:4" x14ac:dyDescent="0.2">
      <c r="A4495" t="str">
        <f>"4494"</f>
        <v>4494</v>
      </c>
      <c r="B4495" t="str">
        <f>"-0.3"</f>
        <v>-0.3</v>
      </c>
      <c r="C4495" t="str">
        <f>"53"</f>
        <v>53</v>
      </c>
      <c r="D4495" t="str">
        <f>"Monster Zero"</f>
        <v>Monster Zero</v>
      </c>
    </row>
    <row r="4496" spans="1:4" x14ac:dyDescent="0.2">
      <c r="A4496" t="str">
        <f>"4495"</f>
        <v>4495</v>
      </c>
      <c r="B4496" t="str">
        <f>"-0.52"</f>
        <v>-0.52</v>
      </c>
      <c r="C4496" t="str">
        <f>"68"</f>
        <v>68</v>
      </c>
      <c r="D4496" t="str">
        <f>"Lucid Interval"</f>
        <v>Lucid Interval</v>
      </c>
    </row>
    <row r="4497" spans="1:4" x14ac:dyDescent="0.2">
      <c r="A4497" t="str">
        <f>"4496"</f>
        <v>4496</v>
      </c>
      <c r="B4497" t="str">
        <f>"0.27"</f>
        <v>0.27</v>
      </c>
      <c r="C4497" t="str">
        <f>"81"</f>
        <v>81</v>
      </c>
      <c r="D4497" t="str">
        <f>"Hate"</f>
        <v>Hate</v>
      </c>
    </row>
    <row r="4498" spans="1:4" x14ac:dyDescent="0.2">
      <c r="A4498" t="str">
        <f>"4497"</f>
        <v>4497</v>
      </c>
      <c r="B4498" t="str">
        <f>"0.48"</f>
        <v>0.48</v>
      </c>
      <c r="C4498" t="str">
        <f>"71"</f>
        <v>71</v>
      </c>
      <c r="D4498" t="str">
        <f>"Equilibrium"</f>
        <v>Equilibrium</v>
      </c>
    </row>
    <row r="4499" spans="1:4" x14ac:dyDescent="0.2">
      <c r="A4499" t="str">
        <f>"4498"</f>
        <v>4498</v>
      </c>
      <c r="B4499" t="str">
        <f>"-0.18"</f>
        <v>-0.18</v>
      </c>
      <c r="C4499" t="str">
        <f>"78"</f>
        <v>78</v>
      </c>
      <c r="D4499" t="str">
        <f>"Under and In"</f>
        <v>Under and In</v>
      </c>
    </row>
    <row r="4500" spans="1:4" x14ac:dyDescent="0.2">
      <c r="A4500" t="str">
        <f>"4499"</f>
        <v>4499</v>
      </c>
      <c r="B4500" t="str">
        <f>"-0.72"</f>
        <v>-0.72</v>
      </c>
      <c r="C4500" t="str">
        <f>"70"</f>
        <v>70</v>
      </c>
      <c r="D4500" t="str">
        <f>"Spend the Night"</f>
        <v>Spend the Night</v>
      </c>
    </row>
    <row r="4501" spans="1:4" x14ac:dyDescent="0.2">
      <c r="A4501" t="str">
        <f>"4500"</f>
        <v>4500</v>
      </c>
      <c r="B4501" t="str">
        <f>"-0.09"</f>
        <v>-0.09</v>
      </c>
      <c r="C4501" t="str">
        <f>"93"</f>
        <v>93</v>
      </c>
      <c r="D4501" t="str">
        <f>"Loose Fur"</f>
        <v>Loose Fur</v>
      </c>
    </row>
    <row r="4502" spans="1:4" x14ac:dyDescent="0.2">
      <c r="A4502" t="str">
        <f>"4501"</f>
        <v>4501</v>
      </c>
      <c r="B4502" t="str">
        <f>"-0.39"</f>
        <v>-0.39</v>
      </c>
      <c r="C4502" t="str">
        <f>"55"</f>
        <v>55</v>
      </c>
      <c r="D4502" t="str">
        <f>"Forgotten Lovers"</f>
        <v>Forgotten Lovers</v>
      </c>
    </row>
    <row r="4503" spans="1:4" x14ac:dyDescent="0.2">
      <c r="A4503" t="str">
        <f>"4502"</f>
        <v>4502</v>
      </c>
      <c r="B4503" t="str">
        <f>"0.3"</f>
        <v>0.3</v>
      </c>
      <c r="C4503" t="str">
        <f>"61"</f>
        <v>61</v>
      </c>
      <c r="D4503" t="str">
        <f>"Chat and Business"</f>
        <v>Chat and Business</v>
      </c>
    </row>
    <row r="4504" spans="1:4" x14ac:dyDescent="0.2">
      <c r="A4504" t="str">
        <f>"4503"</f>
        <v>4503</v>
      </c>
      <c r="B4504" t="str">
        <f>"0.01"</f>
        <v>0.01</v>
      </c>
      <c r="C4504" t="str">
        <f>"76"</f>
        <v>76</v>
      </c>
      <c r="D4504" t="str">
        <f>"Touching Down"</f>
        <v>Touching Down</v>
      </c>
    </row>
    <row r="4505" spans="1:4" x14ac:dyDescent="0.2">
      <c r="A4505" t="str">
        <f>"4504"</f>
        <v>4504</v>
      </c>
      <c r="B4505" t="str">
        <f>"0.1"</f>
        <v>0.1</v>
      </c>
      <c r="C4505" t="str">
        <f>"129"</f>
        <v>129</v>
      </c>
      <c r="D4505" t="str">
        <f>"Live at Convocation Hall"</f>
        <v>Live at Convocation Hall</v>
      </c>
    </row>
    <row r="4506" spans="1:4" x14ac:dyDescent="0.2">
      <c r="A4506" t="str">
        <f>"4505"</f>
        <v>4505</v>
      </c>
      <c r="B4506" t="str">
        <f>"0.28"</f>
        <v>0.28</v>
      </c>
      <c r="C4506" t="str">
        <f>"49"</f>
        <v>49</v>
      </c>
      <c r="D4506" t="str">
        <f>"Extra Yard: The Bouncement Revolution"</f>
        <v>Extra Yard: The Bouncement Revolution</v>
      </c>
    </row>
    <row r="4507" spans="1:4" x14ac:dyDescent="0.2">
      <c r="A4507" t="str">
        <f>"4506"</f>
        <v>4506</v>
      </c>
      <c r="B4507" t="str">
        <f>"-0.3"</f>
        <v>-0.3</v>
      </c>
      <c r="C4507" t="str">
        <f>"73"</f>
        <v>73</v>
      </c>
      <c r="D4507" t="str">
        <f>"Cocadisco"</f>
        <v>Cocadisco</v>
      </c>
    </row>
    <row r="4508" spans="1:4" x14ac:dyDescent="0.2">
      <c r="A4508" t="str">
        <f>"4507"</f>
        <v>4507</v>
      </c>
      <c r="B4508" t="str">
        <f>"-0.48"</f>
        <v>-0.48</v>
      </c>
      <c r="C4508" t="str">
        <f>"49"</f>
        <v>49</v>
      </c>
      <c r="D4508" t="str">
        <f>"Xanaconversex"</f>
        <v>Xanaconversex</v>
      </c>
    </row>
    <row r="4509" spans="1:4" x14ac:dyDescent="0.2">
      <c r="A4509" t="str">
        <f>"4508"</f>
        <v>4508</v>
      </c>
      <c r="B4509" t="str">
        <f>"-0.32"</f>
        <v>-0.32</v>
      </c>
      <c r="C4509" t="str">
        <f>"52"</f>
        <v>52</v>
      </c>
      <c r="D4509" t="str">
        <f>"Relayer"</f>
        <v>Relayer</v>
      </c>
    </row>
    <row r="4510" spans="1:4" x14ac:dyDescent="0.2">
      <c r="A4510" t="str">
        <f>"4509"</f>
        <v>4509</v>
      </c>
      <c r="B4510" t="str">
        <f>"-0.39"</f>
        <v>-0.39</v>
      </c>
      <c r="C4510" t="str">
        <f>"58"</f>
        <v>58</v>
      </c>
      <c r="D4510" t="str">
        <f>"Let Go"</f>
        <v>Let Go</v>
      </c>
    </row>
    <row r="4511" spans="1:4" x14ac:dyDescent="0.2">
      <c r="A4511" t="str">
        <f>"4510"</f>
        <v>4510</v>
      </c>
      <c r="B4511" t="str">
        <f>"-0.04"</f>
        <v>-0.04</v>
      </c>
      <c r="C4511" t="str">
        <f>"66"</f>
        <v>66</v>
      </c>
      <c r="D4511" t="str">
        <f>"Different Damage"</f>
        <v>Different Damage</v>
      </c>
    </row>
    <row r="4512" spans="1:4" x14ac:dyDescent="0.2">
      <c r="A4512" t="str">
        <f>"4511"</f>
        <v>4511</v>
      </c>
      <c r="B4512" t="str">
        <f>"-0.69"</f>
        <v>-0.69</v>
      </c>
      <c r="C4512" t="str">
        <f>"75"</f>
        <v>75</v>
      </c>
      <c r="D4512" t="str">
        <f>"A Giant Alien Force More Violent &amp; Sick Than Anything You Can Imagine EP"</f>
        <v>A Giant Alien Force More Violent &amp; Sick Than Anything You Can Imagine EP</v>
      </c>
    </row>
    <row r="4513" spans="1:4" x14ac:dyDescent="0.2">
      <c r="A4513" t="str">
        <f>"4512"</f>
        <v>4512</v>
      </c>
      <c r="B4513" t="str">
        <f>"-0.39"</f>
        <v>-0.39</v>
      </c>
      <c r="C4513" t="str">
        <f>"107"</f>
        <v>107</v>
      </c>
      <c r="D4513" t="str">
        <f>"The Wonderman Years"</f>
        <v>The Wonderman Years</v>
      </c>
    </row>
    <row r="4514" spans="1:4" x14ac:dyDescent="0.2">
      <c r="A4514" t="str">
        <f>"4513"</f>
        <v>4513</v>
      </c>
      <c r="B4514" t="str">
        <f>"-0.25"</f>
        <v>-0.25</v>
      </c>
      <c r="C4514" t="str">
        <f>"57"</f>
        <v>57</v>
      </c>
      <c r="D4514" t="str">
        <f>"Satan's Kickin' Yr Dick In"</f>
        <v>Satan's Kickin' Yr Dick In</v>
      </c>
    </row>
    <row r="4515" spans="1:4" x14ac:dyDescent="0.2">
      <c r="A4515" t="str">
        <f>"4514"</f>
        <v>4514</v>
      </c>
      <c r="B4515" t="str">
        <f>"-0.33"</f>
        <v>-0.33</v>
      </c>
      <c r="C4515" t="str">
        <f>"42"</f>
        <v>42</v>
      </c>
      <c r="D4515" t="str">
        <f>"Riffin'"</f>
        <v>Riffin'</v>
      </c>
    </row>
    <row r="4516" spans="1:4" x14ac:dyDescent="0.2">
      <c r="A4516" t="str">
        <f>"4515"</f>
        <v>4515</v>
      </c>
      <c r="B4516" t="str">
        <f>"-0.09"</f>
        <v>-0.09</v>
      </c>
      <c r="C4516" t="str">
        <f>"107"</f>
        <v>107</v>
      </c>
      <c r="D4516" t="str">
        <f>"One Bedroom"</f>
        <v>One Bedroom</v>
      </c>
    </row>
    <row r="4517" spans="1:4" x14ac:dyDescent="0.2">
      <c r="A4517" t="str">
        <f>"4516"</f>
        <v>4516</v>
      </c>
      <c r="B4517" t="str">
        <f>"-1.12"</f>
        <v>-1.12</v>
      </c>
      <c r="C4517" t="str">
        <f>"68"</f>
        <v>68</v>
      </c>
      <c r="D4517" t="str">
        <f>"Homemade Drugs"</f>
        <v>Homemade Drugs</v>
      </c>
    </row>
    <row r="4518" spans="1:4" x14ac:dyDescent="0.2">
      <c r="A4518" t="str">
        <f>"4517"</f>
        <v>4517</v>
      </c>
      <c r="B4518" t="str">
        <f>"-0.19"</f>
        <v>-0.19</v>
      </c>
      <c r="C4518" t="str">
        <f>"113"</f>
        <v>113</v>
      </c>
      <c r="D4518" t="str">
        <f>"Mount Eerie"</f>
        <v>Mount Eerie</v>
      </c>
    </row>
    <row r="4519" spans="1:4" x14ac:dyDescent="0.2">
      <c r="A4519" t="str">
        <f>"4518"</f>
        <v>4518</v>
      </c>
      <c r="B4519" t="str">
        <f>"0.63"</f>
        <v>0.63</v>
      </c>
      <c r="C4519" t="str">
        <f>"83"</f>
        <v>83</v>
      </c>
      <c r="D4519" t="str">
        <f>"Introspection"</f>
        <v>Introspection</v>
      </c>
    </row>
    <row r="4520" spans="1:4" x14ac:dyDescent="0.2">
      <c r="A4520" t="str">
        <f>"4519"</f>
        <v>4519</v>
      </c>
      <c r="B4520" t="str">
        <f>"0.06"</f>
        <v>0.06</v>
      </c>
      <c r="C4520" t="str">
        <f>"71"</f>
        <v>71</v>
      </c>
      <c r="D4520" t="str">
        <f>"Gold Chains EP"</f>
        <v>Gold Chains EP</v>
      </c>
    </row>
    <row r="4521" spans="1:4" x14ac:dyDescent="0.2">
      <c r="A4521" t="str">
        <f>"4520"</f>
        <v>4520</v>
      </c>
      <c r="B4521" t="str">
        <f>"-0.26"</f>
        <v>-0.26</v>
      </c>
      <c r="C4521" t="str">
        <f>"85"</f>
        <v>85</v>
      </c>
      <c r="D4521" t="str">
        <f>"Everything Is Good Here/Please Come Home"</f>
        <v>Everything Is Good Here/Please Come Home</v>
      </c>
    </row>
    <row r="4522" spans="1:4" x14ac:dyDescent="0.2">
      <c r="A4522" t="str">
        <f>"4521"</f>
        <v>4521</v>
      </c>
      <c r="B4522" t="str">
        <f>"-0.28"</f>
        <v>-0.28</v>
      </c>
      <c r="C4522" t="str">
        <f>"70"</f>
        <v>70</v>
      </c>
      <c r="D4522" t="str">
        <f>"Behind the Music"</f>
        <v>Behind the Music</v>
      </c>
    </row>
    <row r="4523" spans="1:4" x14ac:dyDescent="0.2">
      <c r="A4523" t="str">
        <f>"4522"</f>
        <v>4522</v>
      </c>
      <c r="B4523" t="str">
        <f>"0.17"</f>
        <v>0.17</v>
      </c>
      <c r="C4523" t="str">
        <f>"130"</f>
        <v>130</v>
      </c>
      <c r="D4523" t="str">
        <f>"Wild Why"</f>
        <v>Wild Why</v>
      </c>
    </row>
    <row r="4524" spans="1:4" x14ac:dyDescent="0.2">
      <c r="A4524" t="str">
        <f>"4523"</f>
        <v>4523</v>
      </c>
      <c r="B4524" t="str">
        <f>"0.38"</f>
        <v>0.38</v>
      </c>
      <c r="C4524" t="str">
        <f>"56"</f>
        <v>56</v>
      </c>
      <c r="D4524" t="str">
        <f>"The War of The Bruces"</f>
        <v>The War of The Bruces</v>
      </c>
    </row>
    <row r="4525" spans="1:4" x14ac:dyDescent="0.2">
      <c r="A4525" t="str">
        <f>"4524"</f>
        <v>4524</v>
      </c>
      <c r="B4525" t="str">
        <f>"0.32"</f>
        <v>0.32</v>
      </c>
      <c r="C4525" t="str">
        <f>"109"</f>
        <v>109</v>
      </c>
      <c r="D4525" t="str">
        <f>"Master and Everyone"</f>
        <v>Master and Everyone</v>
      </c>
    </row>
    <row r="4526" spans="1:4" x14ac:dyDescent="0.2">
      <c r="A4526" t="str">
        <f>"4525"</f>
        <v>4525</v>
      </c>
      <c r="B4526" t="str">
        <f>"-0.16"</f>
        <v>-0.16</v>
      </c>
      <c r="C4526" t="str">
        <f>"60"</f>
        <v>60</v>
      </c>
      <c r="D4526" t="str">
        <f>"Each One Teach One"</f>
        <v>Each One Teach One</v>
      </c>
    </row>
    <row r="4527" spans="1:4" x14ac:dyDescent="0.2">
      <c r="A4527" t="str">
        <f>"4526"</f>
        <v>4526</v>
      </c>
      <c r="B4527" t="str">
        <f>"-0.21"</f>
        <v>-0.21</v>
      </c>
      <c r="C4527" t="str">
        <f>"89"</f>
        <v>89</v>
      </c>
      <c r="D4527" t="str">
        <f>"S.T.R.E.E.T. D.A.D."</f>
        <v>S.T.R.E.E.T. D.A.D.</v>
      </c>
    </row>
    <row r="4528" spans="1:4" x14ac:dyDescent="0.2">
      <c r="A4528" t="str">
        <f>"4527"</f>
        <v>4527</v>
      </c>
      <c r="B4528" t="str">
        <f>"-0.36"</f>
        <v>-0.36</v>
      </c>
      <c r="C4528" t="str">
        <f>"64"</f>
        <v>64</v>
      </c>
      <c r="D4528" t="str">
        <f>"Sean-Nós Nua"</f>
        <v>Sean-Nós Nua</v>
      </c>
    </row>
    <row r="4529" spans="1:4" x14ac:dyDescent="0.2">
      <c r="A4529" t="str">
        <f>"4528"</f>
        <v>4528</v>
      </c>
      <c r="B4529" t="str">
        <f>"-0.12"</f>
        <v>-0.12</v>
      </c>
      <c r="C4529" t="str">
        <f>"70"</f>
        <v>70</v>
      </c>
      <c r="D4529" t="str">
        <f>"Raunio"</f>
        <v>Raunio</v>
      </c>
    </row>
    <row r="4530" spans="1:4" x14ac:dyDescent="0.2">
      <c r="A4530" t="str">
        <f>"4529"</f>
        <v>4529</v>
      </c>
      <c r="B4530" t="str">
        <f>"-0.8"</f>
        <v>-0.8</v>
      </c>
      <c r="C4530" t="str">
        <f>"56"</f>
        <v>56</v>
      </c>
      <c r="D4530" t="str">
        <f>"Machine Says Yes"</f>
        <v>Machine Says Yes</v>
      </c>
    </row>
    <row r="4531" spans="1:4" x14ac:dyDescent="0.2">
      <c r="A4531" t="str">
        <f>"4530"</f>
        <v>4530</v>
      </c>
      <c r="B4531" t="str">
        <f>"-0.84"</f>
        <v>-0.84</v>
      </c>
      <c r="C4531" t="str">
        <f>"48"</f>
        <v>48</v>
      </c>
      <c r="D4531" t="str">
        <f>"Whole Numbers Play the Basics"</f>
        <v>Whole Numbers Play the Basics</v>
      </c>
    </row>
    <row r="4532" spans="1:4" x14ac:dyDescent="0.2">
      <c r="A4532" t="str">
        <f>"4531"</f>
        <v>4531</v>
      </c>
      <c r="B4532" t="str">
        <f>"-0.4"</f>
        <v>-0.4</v>
      </c>
      <c r="C4532" t="str">
        <f>"94"</f>
        <v>94</v>
      </c>
      <c r="D4532" t="str">
        <f>"The Headphone Masterpiece"</f>
        <v>The Headphone Masterpiece</v>
      </c>
    </row>
    <row r="4533" spans="1:4" x14ac:dyDescent="0.2">
      <c r="A4533" t="str">
        <f>"4532"</f>
        <v>4532</v>
      </c>
      <c r="B4533" t="str">
        <f>"-0.22"</f>
        <v>-0.22</v>
      </c>
      <c r="C4533" t="str">
        <f>"52"</f>
        <v>52</v>
      </c>
      <c r="D4533" t="str">
        <f>"Out of Key Harmony"</f>
        <v>Out of Key Harmony</v>
      </c>
    </row>
    <row r="4534" spans="1:4" x14ac:dyDescent="0.2">
      <c r="A4534" t="str">
        <f>"4533"</f>
        <v>4533</v>
      </c>
      <c r="B4534" t="str">
        <f>"-0.4"</f>
        <v>-0.4</v>
      </c>
      <c r="C4534" t="str">
        <f>"90"</f>
        <v>90</v>
      </c>
      <c r="D4534" t="str">
        <f>"Accumulation: None"</f>
        <v>Accumulation: None</v>
      </c>
    </row>
    <row r="4535" spans="1:4" x14ac:dyDescent="0.2">
      <c r="A4535" t="str">
        <f>"4534"</f>
        <v>4534</v>
      </c>
      <c r="B4535" t="str">
        <f>"-0.76"</f>
        <v>-0.76</v>
      </c>
      <c r="C4535" t="str">
        <f>"79"</f>
        <v>79</v>
      </c>
      <c r="D4535" t="str">
        <f>"The Music"</f>
        <v>The Music</v>
      </c>
    </row>
    <row r="4536" spans="1:4" x14ac:dyDescent="0.2">
      <c r="A4536" t="str">
        <f>"4535"</f>
        <v>4535</v>
      </c>
      <c r="B4536" t="str">
        <f>"-0.24"</f>
        <v>-0.24</v>
      </c>
      <c r="C4536" t="str">
        <f>"74"</f>
        <v>74</v>
      </c>
      <c r="D4536" t="str">
        <f>"Patchwork: 1971-2002"</f>
        <v>Patchwork: 1971-2002</v>
      </c>
    </row>
    <row r="4537" spans="1:4" x14ac:dyDescent="0.2">
      <c r="A4537" t="str">
        <f>"4536"</f>
        <v>4536</v>
      </c>
      <c r="B4537" t="str">
        <f>"-0.54"</f>
        <v>-0.54</v>
      </c>
      <c r="C4537" t="str">
        <f>"108"</f>
        <v>108</v>
      </c>
      <c r="D4537" t="str">
        <f>"God's Son"</f>
        <v>God's Son</v>
      </c>
    </row>
    <row r="4538" spans="1:4" x14ac:dyDescent="0.2">
      <c r="A4538" t="str">
        <f>"4537"</f>
        <v>4537</v>
      </c>
      <c r="B4538" t="str">
        <f>"-0.44"</f>
        <v>-0.44</v>
      </c>
      <c r="C4538" t="str">
        <f>"88"</f>
        <v>88</v>
      </c>
      <c r="D4538" t="str">
        <f>"A New Morning"</f>
        <v>A New Morning</v>
      </c>
    </row>
    <row r="4539" spans="1:4" x14ac:dyDescent="0.2">
      <c r="A4539" t="str">
        <f>"4538"</f>
        <v>4538</v>
      </c>
      <c r="B4539" t="str">
        <f>"0.32"</f>
        <v>0.32</v>
      </c>
      <c r="C4539" t="str">
        <f>"52"</f>
        <v>52</v>
      </c>
      <c r="D4539" t="str">
        <f>"The Execution of All Things"</f>
        <v>The Execution of All Things</v>
      </c>
    </row>
    <row r="4540" spans="1:4" x14ac:dyDescent="0.2">
      <c r="A4540" t="str">
        <f>"4539"</f>
        <v>4539</v>
      </c>
      <c r="B4540" t="str">
        <f>"-0.5"</f>
        <v>-0.5</v>
      </c>
      <c r="C4540" t="str">
        <f>"49"</f>
        <v>49</v>
      </c>
      <c r="D4540" t="str">
        <f>"Purely Evil"</f>
        <v>Purely Evil</v>
      </c>
    </row>
    <row r="4541" spans="1:4" x14ac:dyDescent="0.2">
      <c r="A4541" t="str">
        <f>"4540"</f>
        <v>4540</v>
      </c>
      <c r="B4541" t="str">
        <f>"0.56"</f>
        <v>0.56</v>
      </c>
      <c r="C4541" t="str">
        <f>"73"</f>
        <v>73</v>
      </c>
      <c r="D4541" t="str">
        <f>"Avec Laudenum"</f>
        <v>Avec Laudenum</v>
      </c>
    </row>
    <row r="4542" spans="1:4" x14ac:dyDescent="0.2">
      <c r="A4542" t="str">
        <f>"4541"</f>
        <v>4541</v>
      </c>
      <c r="B4542" t="str">
        <f>"0.37"</f>
        <v>0.37</v>
      </c>
      <c r="C4542" t="str">
        <f>"50"</f>
        <v>50</v>
      </c>
      <c r="D4542" t="str">
        <f>"Clicks &amp; Cuts 3"</f>
        <v>Clicks &amp; Cuts 3</v>
      </c>
    </row>
    <row r="4543" spans="1:4" x14ac:dyDescent="0.2">
      <c r="A4543" t="str">
        <f>"4542"</f>
        <v>4542</v>
      </c>
      <c r="B4543" t="str">
        <f>"-1.26"</f>
        <v>-1.26</v>
      </c>
      <c r="C4543" t="str">
        <f>"35"</f>
        <v>35</v>
      </c>
      <c r="D4543" t="str">
        <f>"Legends Bleed"</f>
        <v>Legends Bleed</v>
      </c>
    </row>
    <row r="4544" spans="1:4" x14ac:dyDescent="0.2">
      <c r="A4544" t="str">
        <f>"4543"</f>
        <v>4543</v>
      </c>
      <c r="B4544" t="str">
        <f>"-0.31"</f>
        <v>-0.31</v>
      </c>
      <c r="C4544" t="str">
        <f>"79"</f>
        <v>79</v>
      </c>
      <c r="D4544" t="str">
        <f>"Twoism"</f>
        <v>Twoism</v>
      </c>
    </row>
    <row r="4545" spans="1:4" x14ac:dyDescent="0.2">
      <c r="A4545" t="str">
        <f>"4544"</f>
        <v>4544</v>
      </c>
      <c r="B4545" t="str">
        <f>"1.02"</f>
        <v>1.02</v>
      </c>
      <c r="C4545" t="str">
        <f>"58"</f>
        <v>58</v>
      </c>
      <c r="D4545" t="str">
        <f>"Sacred System: Book of Exit: Dub Chamber 4"</f>
        <v>Sacred System: Book of Exit: Dub Chamber 4</v>
      </c>
    </row>
    <row r="4546" spans="1:4" x14ac:dyDescent="0.2">
      <c r="A4546" t="str">
        <f>"4545"</f>
        <v>4545</v>
      </c>
      <c r="B4546" t="str">
        <f>"-1.35"</f>
        <v>-1.35</v>
      </c>
      <c r="C4546" t="str">
        <f>"76"</f>
        <v>76</v>
      </c>
      <c r="D4546" t="str">
        <f>"Machine EP"</f>
        <v>Machine EP</v>
      </c>
    </row>
    <row r="4547" spans="1:4" x14ac:dyDescent="0.2">
      <c r="A4547" t="str">
        <f>"4546"</f>
        <v>4546</v>
      </c>
      <c r="B4547" t="str">
        <f>"0.16"</f>
        <v>0.16</v>
      </c>
      <c r="C4547" t="str">
        <f>"78"</f>
        <v>78</v>
      </c>
      <c r="D4547" t="str">
        <f>"Jun Ray Song Chang"</f>
        <v>Jun Ray Song Chang</v>
      </c>
    </row>
    <row r="4548" spans="1:4" x14ac:dyDescent="0.2">
      <c r="A4548" t="str">
        <f>"4547"</f>
        <v>4547</v>
      </c>
      <c r="B4548" t="str">
        <f>"-0.29"</f>
        <v>-0.29</v>
      </c>
      <c r="C4548" t="str">
        <f>"51"</f>
        <v>51</v>
      </c>
      <c r="D4548" t="str">
        <f>"Social Life"</f>
        <v>Social Life</v>
      </c>
    </row>
    <row r="4549" spans="1:4" x14ac:dyDescent="0.2">
      <c r="A4549" t="str">
        <f>"4548"</f>
        <v>4548</v>
      </c>
      <c r="B4549" t="str">
        <f>"-0.27"</f>
        <v>-0.27</v>
      </c>
      <c r="C4549" t="str">
        <f>"74"</f>
        <v>74</v>
      </c>
      <c r="D4549" t="str">
        <f>"Legend of the Liquid Sword"</f>
        <v>Legend of the Liquid Sword</v>
      </c>
    </row>
    <row r="4550" spans="1:4" x14ac:dyDescent="0.2">
      <c r="A4550" t="str">
        <f>"4549"</f>
        <v>4549</v>
      </c>
      <c r="B4550" t="str">
        <f>"0.54"</f>
        <v>0.54</v>
      </c>
      <c r="C4550" t="str">
        <f>"46"</f>
        <v>46</v>
      </c>
      <c r="D4550" t="str">
        <f>"Caught in Unknowing"</f>
        <v>Caught in Unknowing</v>
      </c>
    </row>
    <row r="4551" spans="1:4" x14ac:dyDescent="0.2">
      <c r="A4551" t="str">
        <f>"4550"</f>
        <v>4550</v>
      </c>
      <c r="B4551" t="str">
        <f>"-0.76"</f>
        <v>-0.76</v>
      </c>
      <c r="C4551" t="str">
        <f>"69"</f>
        <v>69</v>
      </c>
      <c r="D4551" t="str">
        <f>"Whip It On!"</f>
        <v>Whip It On!</v>
      </c>
    </row>
    <row r="4552" spans="1:4" x14ac:dyDescent="0.2">
      <c r="A4552" t="str">
        <f>"4551"</f>
        <v>4551</v>
      </c>
      <c r="B4552" t="str">
        <f>"0.08"</f>
        <v>0.08</v>
      </c>
      <c r="C4552" t="str">
        <f>"45"</f>
        <v>45</v>
      </c>
      <c r="D4552" t="str">
        <f>"Sadisfaction"</f>
        <v>Sadisfaction</v>
      </c>
    </row>
    <row r="4553" spans="1:4" x14ac:dyDescent="0.2">
      <c r="A4553" t="str">
        <f>"4552"</f>
        <v>4552</v>
      </c>
      <c r="B4553" t="str">
        <f>"0.87"</f>
        <v>0.87</v>
      </c>
      <c r="C4553" t="str">
        <f>"45"</f>
        <v>45</v>
      </c>
      <c r="D4553" t="str">
        <f>"No P. or D."</f>
        <v>No P. or D.</v>
      </c>
    </row>
    <row r="4554" spans="1:4" x14ac:dyDescent="0.2">
      <c r="A4554" t="str">
        <f>"4553"</f>
        <v>4553</v>
      </c>
      <c r="B4554" t="str">
        <f>"-0.51"</f>
        <v>-0.51</v>
      </c>
      <c r="C4554" t="str">
        <f>"88"</f>
        <v>88</v>
      </c>
      <c r="D4554" t="s">
        <v>160</v>
      </c>
    </row>
    <row r="4555" spans="1:4" x14ac:dyDescent="0.2">
      <c r="A4555" t="str">
        <f>"4554"</f>
        <v>4554</v>
      </c>
      <c r="B4555" t="str">
        <f>"0.17"</f>
        <v>0.17</v>
      </c>
      <c r="C4555" t="str">
        <f>"42"</f>
        <v>42</v>
      </c>
      <c r="D4555" t="str">
        <f>"Up the Bracket"</f>
        <v>Up the Bracket</v>
      </c>
    </row>
    <row r="4556" spans="1:4" x14ac:dyDescent="0.2">
      <c r="A4556" t="str">
        <f>"4555"</f>
        <v>4555</v>
      </c>
      <c r="B4556" t="str">
        <f>"-0.13"</f>
        <v>-0.13</v>
      </c>
      <c r="C4556" t="str">
        <f>"49"</f>
        <v>49</v>
      </c>
      <c r="D4556" t="str">
        <f>"The Beautician"</f>
        <v>The Beautician</v>
      </c>
    </row>
    <row r="4557" spans="1:4" x14ac:dyDescent="0.2">
      <c r="A4557" t="str">
        <f>"4556"</f>
        <v>4556</v>
      </c>
      <c r="B4557" t="str">
        <f>"-0.45"</f>
        <v>-0.45</v>
      </c>
      <c r="C4557" t="str">
        <f>"74"</f>
        <v>74</v>
      </c>
      <c r="D4557" t="str">
        <f>"Riot Act"</f>
        <v>Riot Act</v>
      </c>
    </row>
    <row r="4558" spans="1:4" x14ac:dyDescent="0.2">
      <c r="A4558" t="str">
        <f>"4557"</f>
        <v>4557</v>
      </c>
      <c r="B4558" t="str">
        <f>"0.5"</f>
        <v>0.5</v>
      </c>
      <c r="C4558" t="str">
        <f>"61"</f>
        <v>61</v>
      </c>
      <c r="D4558" t="str">
        <f>"Make Me Hard"</f>
        <v>Make Me Hard</v>
      </c>
    </row>
    <row r="4559" spans="1:4" x14ac:dyDescent="0.2">
      <c r="A4559" t="str">
        <f>"4558"</f>
        <v>4558</v>
      </c>
      <c r="B4559" t="str">
        <f>"-0.73"</f>
        <v>-0.73</v>
      </c>
      <c r="C4559" t="str">
        <f>"28"</f>
        <v>28</v>
      </c>
      <c r="D4559" t="str">
        <f>"Lichtgeschwindigkeit"</f>
        <v>Lichtgeschwindigkeit</v>
      </c>
    </row>
    <row r="4560" spans="1:4" x14ac:dyDescent="0.2">
      <c r="A4560" t="str">
        <f>"4559"</f>
        <v>4559</v>
      </c>
      <c r="B4560" t="str">
        <f>"-0.81"</f>
        <v>-0.81</v>
      </c>
      <c r="C4560" t="str">
        <f>"61"</f>
        <v>61</v>
      </c>
      <c r="D4560" t="str">
        <f>"Unholy Cult"</f>
        <v>Unholy Cult</v>
      </c>
    </row>
    <row r="4561" spans="1:4" x14ac:dyDescent="0.2">
      <c r="A4561" t="str">
        <f>"4560"</f>
        <v>4560</v>
      </c>
      <c r="B4561" t="str">
        <f>"-1.44"</f>
        <v>-1.44</v>
      </c>
      <c r="C4561" t="str">
        <f>"77"</f>
        <v>77</v>
      </c>
      <c r="D4561" t="str">
        <f>"L.I.F.E."</f>
        <v>L.I.F.E.</v>
      </c>
    </row>
    <row r="4562" spans="1:4" x14ac:dyDescent="0.2">
      <c r="A4562" t="str">
        <f>"4561"</f>
        <v>4561</v>
      </c>
      <c r="B4562" t="str">
        <f>"1.01"</f>
        <v>1.01</v>
      </c>
      <c r="C4562" t="str">
        <f>"50"</f>
        <v>50</v>
      </c>
      <c r="D4562" t="str">
        <f>"Let It Grow"</f>
        <v>Let It Grow</v>
      </c>
    </row>
    <row r="4563" spans="1:4" x14ac:dyDescent="0.2">
      <c r="A4563" t="str">
        <f>"4562"</f>
        <v>4562</v>
      </c>
      <c r="B4563" t="str">
        <f>"-0.16"</f>
        <v>-0.16</v>
      </c>
      <c r="C4563" t="str">
        <f>"106"</f>
        <v>106</v>
      </c>
      <c r="D4563" t="str">
        <f>"If the Twenty-First Century Didn't Exist It Would Be Necessary to Invent It"</f>
        <v>If the Twenty-First Century Didn't Exist It Would Be Necessary to Invent It</v>
      </c>
    </row>
    <row r="4564" spans="1:4" x14ac:dyDescent="0.2">
      <c r="A4564" t="str">
        <f>"4563"</f>
        <v>4563</v>
      </c>
      <c r="B4564" t="str">
        <f>"0.1"</f>
        <v>0.1</v>
      </c>
      <c r="C4564" t="str">
        <f>"41"</f>
        <v>41</v>
      </c>
      <c r="D4564" t="str">
        <f>"Visions of Blah"</f>
        <v>Visions of Blah</v>
      </c>
    </row>
    <row r="4565" spans="1:4" x14ac:dyDescent="0.2">
      <c r="A4565" t="str">
        <f>"4564"</f>
        <v>4564</v>
      </c>
      <c r="B4565" t="str">
        <f>"0.43"</f>
        <v>0.43</v>
      </c>
      <c r="C4565" t="str">
        <f>"43"</f>
        <v>43</v>
      </c>
      <c r="D4565" t="str">
        <f>"Jewelry Store EP"</f>
        <v>Jewelry Store EP</v>
      </c>
    </row>
    <row r="4566" spans="1:4" x14ac:dyDescent="0.2">
      <c r="A4566" t="str">
        <f>"4565"</f>
        <v>4565</v>
      </c>
      <c r="B4566" t="str">
        <f>"-0.01"</f>
        <v>-0.01</v>
      </c>
      <c r="C4566" t="str">
        <f>"70"</f>
        <v>70</v>
      </c>
      <c r="D4566" t="str">
        <f>"Deathsentences of the Polished and Structurally Weak"</f>
        <v>Deathsentences of the Polished and Structurally Weak</v>
      </c>
    </row>
    <row r="4567" spans="1:4" x14ac:dyDescent="0.2">
      <c r="A4567" t="str">
        <f>"4566"</f>
        <v>4566</v>
      </c>
      <c r="B4567" t="str">
        <f>"0.19"</f>
        <v>0.19</v>
      </c>
      <c r="C4567" t="str">
        <f>"72"</f>
        <v>72</v>
      </c>
      <c r="D4567" t="str">
        <f>"Tallahassee"</f>
        <v>Tallahassee</v>
      </c>
    </row>
    <row r="4568" spans="1:4" x14ac:dyDescent="0.2">
      <c r="A4568" t="str">
        <f>"4567"</f>
        <v>4567</v>
      </c>
      <c r="B4568" t="str">
        <f>"-1.08"</f>
        <v>-1.08</v>
      </c>
      <c r="C4568" t="str">
        <f>"81"</f>
        <v>81</v>
      </c>
      <c r="D4568" t="str">
        <f>"Sheer Hellish Miasma"</f>
        <v>Sheer Hellish Miasma</v>
      </c>
    </row>
    <row r="4569" spans="1:4" x14ac:dyDescent="0.2">
      <c r="A4569" t="str">
        <f>"4568"</f>
        <v>4568</v>
      </c>
      <c r="B4569" t="str">
        <f>"-0.18"</f>
        <v>-0.18</v>
      </c>
      <c r="C4569" t="str">
        <f>"51"</f>
        <v>51</v>
      </c>
      <c r="D4569" t="str">
        <f>"Creepy Little Noises"</f>
        <v>Creepy Little Noises</v>
      </c>
    </row>
    <row r="4570" spans="1:4" x14ac:dyDescent="0.2">
      <c r="A4570" t="str">
        <f>"4569"</f>
        <v>4569</v>
      </c>
      <c r="B4570" t="str">
        <f>"-0.67"</f>
        <v>-0.67</v>
      </c>
      <c r="C4570" t="str">
        <f>"65"</f>
        <v>65</v>
      </c>
      <c r="D4570" t="str">
        <f>"1957"</f>
        <v>1957</v>
      </c>
    </row>
    <row r="4571" spans="1:4" x14ac:dyDescent="0.2">
      <c r="A4571" t="str">
        <f>"4570"</f>
        <v>4570</v>
      </c>
      <c r="B4571" t="str">
        <f>"-0.1"</f>
        <v>-0.1</v>
      </c>
      <c r="C4571" t="str">
        <f>"70"</f>
        <v>70</v>
      </c>
      <c r="D4571" t="str">
        <f>"The Grace EPs"</f>
        <v>The Grace EPs</v>
      </c>
    </row>
    <row r="4572" spans="1:4" x14ac:dyDescent="0.2">
      <c r="A4572" t="str">
        <f>"4571"</f>
        <v>4571</v>
      </c>
      <c r="B4572" t="str">
        <f>"-0.21"</f>
        <v>-0.21</v>
      </c>
      <c r="C4572" t="str">
        <f>"81"</f>
        <v>81</v>
      </c>
      <c r="D4572" t="str">
        <f>"Resuscitation"</f>
        <v>Resuscitation</v>
      </c>
    </row>
    <row r="4573" spans="1:4" x14ac:dyDescent="0.2">
      <c r="A4573" t="str">
        <f>"4572"</f>
        <v>4572</v>
      </c>
      <c r="B4573" t="str">
        <f>"-0.83"</f>
        <v>-0.83</v>
      </c>
      <c r="C4573" t="str">
        <f>"46"</f>
        <v>46</v>
      </c>
      <c r="D4573" t="str">
        <f>"Outside the Dream Syndicate"</f>
        <v>Outside the Dream Syndicate</v>
      </c>
    </row>
    <row r="4574" spans="1:4" x14ac:dyDescent="0.2">
      <c r="A4574" t="str">
        <f>"4573"</f>
        <v>4573</v>
      </c>
      <c r="B4574" t="str">
        <f>"0.61"</f>
        <v>0.61</v>
      </c>
      <c r="C4574" t="str">
        <f>"69"</f>
        <v>69</v>
      </c>
      <c r="D4574" t="str">
        <f>"Metro Area"</f>
        <v>Metro Area</v>
      </c>
    </row>
    <row r="4575" spans="1:4" x14ac:dyDescent="0.2">
      <c r="A4575" t="str">
        <f>"4574"</f>
        <v>4574</v>
      </c>
      <c r="B4575" t="str">
        <f>"0.21"</f>
        <v>0.21</v>
      </c>
      <c r="C4575" t="str">
        <f>"53"</f>
        <v>53</v>
      </c>
      <c r="D4575" t="str">
        <f>"Gorilla Monsoon"</f>
        <v>Gorilla Monsoon</v>
      </c>
    </row>
    <row r="4576" spans="1:4" x14ac:dyDescent="0.2">
      <c r="A4576" t="str">
        <f>"4575"</f>
        <v>4575</v>
      </c>
      <c r="B4576" t="str">
        <f>"-1.18"</f>
        <v>-1.18</v>
      </c>
      <c r="C4576" t="str">
        <f>"57"</f>
        <v>57</v>
      </c>
      <c r="D4576" t="str">
        <f>"Lost Valley EP"</f>
        <v>Lost Valley EP</v>
      </c>
    </row>
    <row r="4577" spans="1:4" x14ac:dyDescent="0.2">
      <c r="A4577" t="str">
        <f>"4576"</f>
        <v>4576</v>
      </c>
      <c r="B4577" t="str">
        <f>"0.36"</f>
        <v>0.36</v>
      </c>
      <c r="C4577" t="str">
        <f>"49"</f>
        <v>49</v>
      </c>
      <c r="D4577" t="str">
        <f>"Faces Down"</f>
        <v>Faces Down</v>
      </c>
    </row>
    <row r="4578" spans="1:4" x14ac:dyDescent="0.2">
      <c r="A4578" t="str">
        <f>"4577"</f>
        <v>4577</v>
      </c>
      <c r="B4578" t="str">
        <f>"-0.75"</f>
        <v>-0.75</v>
      </c>
      <c r="C4578" t="str">
        <f>"91"</f>
        <v>91</v>
      </c>
      <c r="D4578" t="str">
        <f>"Earphoria"</f>
        <v>Earphoria</v>
      </c>
    </row>
    <row r="4579" spans="1:4" x14ac:dyDescent="0.2">
      <c r="A4579" t="str">
        <f>"4578"</f>
        <v>4578</v>
      </c>
      <c r="B4579" t="str">
        <f>"0.68"</f>
        <v>0.68</v>
      </c>
      <c r="C4579" t="str">
        <f>"26"</f>
        <v>26</v>
      </c>
      <c r="D4579" t="str">
        <f>"The Hands of Caravaggio"</f>
        <v>The Hands of Caravaggio</v>
      </c>
    </row>
    <row r="4580" spans="1:4" x14ac:dyDescent="0.2">
      <c r="A4580" t="str">
        <f>"4579"</f>
        <v>4579</v>
      </c>
      <c r="B4580" t="str">
        <f>"0.24"</f>
        <v>0.24</v>
      </c>
      <c r="C4580" t="str">
        <f>"40"</f>
        <v>40</v>
      </c>
      <c r="D4580" t="str">
        <f>"Sustain"</f>
        <v>Sustain</v>
      </c>
    </row>
    <row r="4581" spans="1:4" x14ac:dyDescent="0.2">
      <c r="A4581" t="str">
        <f>"4580"</f>
        <v>4580</v>
      </c>
      <c r="B4581" t="str">
        <f>"-0.04"</f>
        <v>-0.04</v>
      </c>
      <c r="C4581" t="str">
        <f>"29"</f>
        <v>29</v>
      </c>
      <c r="D4581" t="str">
        <f>"Something/Everything"</f>
        <v>Something/Everything</v>
      </c>
    </row>
    <row r="4582" spans="1:4" x14ac:dyDescent="0.2">
      <c r="A4582" t="str">
        <f>"4581"</f>
        <v>4581</v>
      </c>
      <c r="B4582" t="str">
        <f>"0.77"</f>
        <v>0.77</v>
      </c>
      <c r="C4582" t="str">
        <f>"43"</f>
        <v>43</v>
      </c>
      <c r="D4582" t="str">
        <f>"Quality"</f>
        <v>Quality</v>
      </c>
    </row>
    <row r="4583" spans="1:4" x14ac:dyDescent="0.2">
      <c r="A4583" t="str">
        <f>"4582"</f>
        <v>4582</v>
      </c>
      <c r="B4583" t="str">
        <f>"0.52"</f>
        <v>0.52</v>
      </c>
      <c r="C4583" t="str">
        <f>"40"</f>
        <v>40</v>
      </c>
      <c r="D4583" t="str">
        <f>"Peotone EP"</f>
        <v>Peotone EP</v>
      </c>
    </row>
    <row r="4584" spans="1:4" x14ac:dyDescent="0.2">
      <c r="A4584" t="str">
        <f>"4583"</f>
        <v>4583</v>
      </c>
      <c r="B4584" t="str">
        <f>"0.15"</f>
        <v>0.15</v>
      </c>
      <c r="C4584" t="str">
        <f>"49"</f>
        <v>49</v>
      </c>
      <c r="D4584" t="str">
        <f>"Happy You Near"</f>
        <v>Happy You Near</v>
      </c>
    </row>
    <row r="4585" spans="1:4" x14ac:dyDescent="0.2">
      <c r="A4585" t="str">
        <f>"4584"</f>
        <v>4584</v>
      </c>
      <c r="B4585" t="str">
        <f>"0.66"</f>
        <v>0.66</v>
      </c>
      <c r="C4585" t="str">
        <f>"66"</f>
        <v>66</v>
      </c>
      <c r="D4585" t="str">
        <f>"Tides of Tomorrow EP"</f>
        <v>Tides of Tomorrow EP</v>
      </c>
    </row>
    <row r="4586" spans="1:4" x14ac:dyDescent="0.2">
      <c r="A4586" t="str">
        <f>"4585"</f>
        <v>4585</v>
      </c>
      <c r="B4586" t="str">
        <f>"-0.07"</f>
        <v>-0.07</v>
      </c>
      <c r="C4586" t="str">
        <f>"43"</f>
        <v>43</v>
      </c>
      <c r="D4586" t="str">
        <f>"Situationist Comedy"</f>
        <v>Situationist Comedy</v>
      </c>
    </row>
    <row r="4587" spans="1:4" x14ac:dyDescent="0.2">
      <c r="A4587" t="str">
        <f>"4586"</f>
        <v>4586</v>
      </c>
      <c r="B4587" t="str">
        <f>"0.88"</f>
        <v>0.88</v>
      </c>
      <c r="C4587" t="str">
        <f>"53"</f>
        <v>53</v>
      </c>
      <c r="D4587" t="str">
        <f>"The Language of Cities"</f>
        <v>The Language of Cities</v>
      </c>
    </row>
    <row r="4588" spans="1:4" x14ac:dyDescent="0.2">
      <c r="A4588" t="str">
        <f>"4587"</f>
        <v>4587</v>
      </c>
      <c r="B4588" t="str">
        <f>"-1.12"</f>
        <v>-1.12</v>
      </c>
      <c r="C4588" t="str">
        <f>"49"</f>
        <v>49</v>
      </c>
      <c r="D4588" t="str">
        <f>"Rhythmix"</f>
        <v>Rhythmix</v>
      </c>
    </row>
    <row r="4589" spans="1:4" x14ac:dyDescent="0.2">
      <c r="A4589" t="str">
        <f>"4588"</f>
        <v>4588</v>
      </c>
      <c r="B4589" t="str">
        <f>"-0.7"</f>
        <v>-0.7</v>
      </c>
      <c r="C4589" t="str">
        <f>"91"</f>
        <v>91</v>
      </c>
      <c r="D4589" t="str">
        <f>"One by One"</f>
        <v>One by One</v>
      </c>
    </row>
    <row r="4590" spans="1:4" x14ac:dyDescent="0.2">
      <c r="A4590" t="str">
        <f>"4589"</f>
        <v>4589</v>
      </c>
      <c r="B4590" t="str">
        <f>"-0.74"</f>
        <v>-0.74</v>
      </c>
      <c r="C4590" t="str">
        <f>"97"</f>
        <v>97</v>
      </c>
      <c r="D4590" t="str">
        <f>"Infection and Decline"</f>
        <v>Infection and Decline</v>
      </c>
    </row>
    <row r="4591" spans="1:4" x14ac:dyDescent="0.2">
      <c r="A4591" t="str">
        <f>"4590"</f>
        <v>4590</v>
      </c>
      <c r="B4591" t="str">
        <f>"0.36"</f>
        <v>0.36</v>
      </c>
      <c r="C4591" t="str">
        <f>"50"</f>
        <v>50</v>
      </c>
      <c r="D4591" t="str">
        <f>"Two"</f>
        <v>Two</v>
      </c>
    </row>
    <row r="4592" spans="1:4" x14ac:dyDescent="0.2">
      <c r="A4592" t="str">
        <f>"4591"</f>
        <v>4591</v>
      </c>
      <c r="B4592" t="str">
        <f>"0.98"</f>
        <v>0.98</v>
      </c>
      <c r="C4592" t="str">
        <f>"27"</f>
        <v>27</v>
      </c>
      <c r="D4592" t="str">
        <f>"Total Lee!: The Songs of Lee Hazlewood"</f>
        <v>Total Lee!: The Songs of Lee Hazlewood</v>
      </c>
    </row>
    <row r="4593" spans="1:4" x14ac:dyDescent="0.2">
      <c r="A4593" t="str">
        <f>"4592"</f>
        <v>4592</v>
      </c>
      <c r="B4593" t="str">
        <f>"0.11"</f>
        <v>0.11</v>
      </c>
      <c r="C4593" t="str">
        <f>"77"</f>
        <v>77</v>
      </c>
      <c r="D4593" t="str">
        <f>"The Parker Tapes"</f>
        <v>The Parker Tapes</v>
      </c>
    </row>
    <row r="4594" spans="1:4" x14ac:dyDescent="0.2">
      <c r="A4594" t="str">
        <f>"4593"</f>
        <v>4593</v>
      </c>
      <c r="B4594" t="str">
        <f>"1.03"</f>
        <v>1.03</v>
      </c>
      <c r="C4594" t="str">
        <f>"27"</f>
        <v>27</v>
      </c>
      <c r="D4594" t="str">
        <f>"A Valentine for Fred Katz"</f>
        <v>A Valentine for Fred Katz</v>
      </c>
    </row>
    <row r="4595" spans="1:4" x14ac:dyDescent="0.2">
      <c r="A4595" t="str">
        <f>"4594"</f>
        <v>4594</v>
      </c>
      <c r="B4595" t="str">
        <f>"0.97"</f>
        <v>0.97</v>
      </c>
      <c r="C4595" t="str">
        <f>"83"</f>
        <v>83</v>
      </c>
      <c r="D4595" t="str">
        <f>"Alphabet Book"</f>
        <v>Alphabet Book</v>
      </c>
    </row>
    <row r="4596" spans="1:4" x14ac:dyDescent="0.2">
      <c r="A4596" t="str">
        <f>"4595"</f>
        <v>4595</v>
      </c>
      <c r="B4596" t="str">
        <f>"-0.33"</f>
        <v>-0.33</v>
      </c>
      <c r="C4596" t="str">
        <f>"72"</f>
        <v>72</v>
      </c>
      <c r="D4596" t="str">
        <f>"Surrounded by Thieves"</f>
        <v>Surrounded by Thieves</v>
      </c>
    </row>
    <row r="4597" spans="1:4" x14ac:dyDescent="0.2">
      <c r="A4597" t="str">
        <f>"4596"</f>
        <v>4596</v>
      </c>
      <c r="B4597" t="str">
        <f>"0.74"</f>
        <v>0.74</v>
      </c>
      <c r="C4597" t="str">
        <f>"25"</f>
        <v>25</v>
      </c>
      <c r="D4597" t="str">
        <f>"Improvisations and Edits: Tokyo 26.09.2001"</f>
        <v>Improvisations and Edits: Tokyo 26.09.2001</v>
      </c>
    </row>
    <row r="4598" spans="1:4" x14ac:dyDescent="0.2">
      <c r="A4598" t="str">
        <f>"4597"</f>
        <v>4597</v>
      </c>
      <c r="B4598" t="str">
        <f>"-0.2"</f>
        <v>-0.2</v>
      </c>
      <c r="C4598" t="str">
        <f>"43"</f>
        <v>43</v>
      </c>
      <c r="D4598" t="str">
        <f>"Blue Ramen"</f>
        <v>Blue Ramen</v>
      </c>
    </row>
    <row r="4599" spans="1:4" x14ac:dyDescent="0.2">
      <c r="A4599" t="str">
        <f>"4598"</f>
        <v>4598</v>
      </c>
      <c r="B4599" t="str">
        <f>"0.49"</f>
        <v>0.49</v>
      </c>
      <c r="C4599" t="str">
        <f>"53"</f>
        <v>53</v>
      </c>
      <c r="D4599" t="str">
        <f>"The Distance Between"</f>
        <v>The Distance Between</v>
      </c>
    </row>
    <row r="4600" spans="1:4" x14ac:dyDescent="0.2">
      <c r="A4600" t="str">
        <f>"4599"</f>
        <v>4599</v>
      </c>
      <c r="B4600" t="str">
        <f>"-0.9"</f>
        <v>-0.9</v>
      </c>
      <c r="C4600" t="str">
        <f>"142"</f>
        <v>142</v>
      </c>
      <c r="D4600" t="s">
        <v>161</v>
      </c>
    </row>
    <row r="4601" spans="1:4" x14ac:dyDescent="0.2">
      <c r="A4601" t="str">
        <f>"4600"</f>
        <v>4600</v>
      </c>
      <c r="B4601" t="str">
        <f>"-0.64"</f>
        <v>-0.64</v>
      </c>
      <c r="C4601" t="str">
        <f>"49"</f>
        <v>49</v>
      </c>
      <c r="D4601" t="str">
        <f>"I'm Coming Home"</f>
        <v>I'm Coming Home</v>
      </c>
    </row>
    <row r="4602" spans="1:4" x14ac:dyDescent="0.2">
      <c r="A4602" t="str">
        <f>"4601"</f>
        <v>4601</v>
      </c>
      <c r="B4602" t="str">
        <f>"-0.77"</f>
        <v>-0.77</v>
      </c>
      <c r="C4602" t="str">
        <f>"67"</f>
        <v>67</v>
      </c>
      <c r="D4602" t="str">
        <f>"Tzomborgha"</f>
        <v>Tzomborgha</v>
      </c>
    </row>
    <row r="4603" spans="1:4" x14ac:dyDescent="0.2">
      <c r="A4603" t="str">
        <f>"4602"</f>
        <v>4602</v>
      </c>
      <c r="B4603" t="str">
        <f>"0.56"</f>
        <v>0.56</v>
      </c>
      <c r="C4603" t="str">
        <f>"34"</f>
        <v>34</v>
      </c>
      <c r="D4603" t="str">
        <f>"Irony Is a Dead Scene EP"</f>
        <v>Irony Is a Dead Scene EP</v>
      </c>
    </row>
    <row r="4604" spans="1:4" x14ac:dyDescent="0.2">
      <c r="A4604" t="str">
        <f>"4603"</f>
        <v>4603</v>
      </c>
      <c r="B4604" t="str">
        <f>"0.48"</f>
        <v>0.48</v>
      </c>
      <c r="C4604" t="str">
        <f>"73"</f>
        <v>73</v>
      </c>
      <c r="D4604" t="str">
        <f>"Dirty Dancing"</f>
        <v>Dirty Dancing</v>
      </c>
    </row>
    <row r="4605" spans="1:4" x14ac:dyDescent="0.2">
      <c r="A4605" t="str">
        <f>"4604"</f>
        <v>4604</v>
      </c>
      <c r="B4605" t="str">
        <f>"-0.17"</f>
        <v>-0.17</v>
      </c>
      <c r="C4605" t="str">
        <f>"62"</f>
        <v>62</v>
      </c>
      <c r="D4605" t="str">
        <f>"Animals"</f>
        <v>Animals</v>
      </c>
    </row>
    <row r="4606" spans="1:4" x14ac:dyDescent="0.2">
      <c r="A4606" t="str">
        <f>"4605"</f>
        <v>4605</v>
      </c>
      <c r="B4606" t="str">
        <f>"-0.52"</f>
        <v>-0.52</v>
      </c>
      <c r="C4606" t="str">
        <f>"48"</f>
        <v>48</v>
      </c>
      <c r="D4606" t="str">
        <f>"Young People"</f>
        <v>Young People</v>
      </c>
    </row>
    <row r="4607" spans="1:4" x14ac:dyDescent="0.2">
      <c r="A4607" t="str">
        <f>"4606"</f>
        <v>4606</v>
      </c>
      <c r="B4607" t="str">
        <f>"-0.41"</f>
        <v>-0.41</v>
      </c>
      <c r="C4607" t="str">
        <f>"92"</f>
        <v>92</v>
      </c>
      <c r="D4607" t="str">
        <f>"The Teaches of Peaches"</f>
        <v>The Teaches of Peaches</v>
      </c>
    </row>
    <row r="4608" spans="1:4" x14ac:dyDescent="0.2">
      <c r="A4608" t="str">
        <f>"4607"</f>
        <v>4607</v>
      </c>
      <c r="B4608" t="str">
        <f>"-0.21"</f>
        <v>-0.21</v>
      </c>
      <c r="C4608" t="str">
        <f>"62"</f>
        <v>62</v>
      </c>
      <c r="D4608" t="str">
        <f>"Nuclear War EP"</f>
        <v>Nuclear War EP</v>
      </c>
    </row>
    <row r="4609" spans="1:4" x14ac:dyDescent="0.2">
      <c r="A4609" t="str">
        <f>"4608"</f>
        <v>4608</v>
      </c>
      <c r="B4609" t="str">
        <f>"0.26"</f>
        <v>0.26</v>
      </c>
      <c r="C4609" t="str">
        <f>"56"</f>
        <v>56</v>
      </c>
      <c r="D4609" t="str">
        <f>"Nothing Left to Lose: A Tribute to Kris Kristofferson"</f>
        <v>Nothing Left to Lose: A Tribute to Kris Kristofferson</v>
      </c>
    </row>
    <row r="4610" spans="1:4" x14ac:dyDescent="0.2">
      <c r="A4610" t="str">
        <f>"4609"</f>
        <v>4609</v>
      </c>
      <c r="B4610" t="str">
        <f>"-0.68"</f>
        <v>-0.68</v>
      </c>
      <c r="C4610" t="str">
        <f>"55"</f>
        <v>55</v>
      </c>
      <c r="D4610" t="str">
        <f>"Three EP"</f>
        <v>Three EP</v>
      </c>
    </row>
    <row r="4611" spans="1:4" x14ac:dyDescent="0.2">
      <c r="A4611" t="str">
        <f>"4610"</f>
        <v>4610</v>
      </c>
      <c r="B4611" t="str">
        <f>"-0.22"</f>
        <v>-0.22</v>
      </c>
      <c r="C4611" t="str">
        <f>"79"</f>
        <v>79</v>
      </c>
      <c r="D4611" t="str">
        <f>"Stoke"</f>
        <v>Stoke</v>
      </c>
    </row>
    <row r="4612" spans="1:4" x14ac:dyDescent="0.2">
      <c r="A4612" t="str">
        <f>"4611"</f>
        <v>4611</v>
      </c>
      <c r="B4612" t="str">
        <f>"-0.14"</f>
        <v>-0.14</v>
      </c>
      <c r="C4612" t="str">
        <f>"61"</f>
        <v>61</v>
      </c>
      <c r="D4612" t="str">
        <f>"Chimera"</f>
        <v>Chimera</v>
      </c>
    </row>
    <row r="4613" spans="1:4" x14ac:dyDescent="0.2">
      <c r="A4613" t="str">
        <f>"4612"</f>
        <v>4612</v>
      </c>
      <c r="B4613" t="str">
        <f>"-0.07"</f>
        <v>-0.07</v>
      </c>
      <c r="C4613" t="str">
        <f>"65"</f>
        <v>65</v>
      </c>
      <c r="D4613" t="str">
        <f>"Laughter Fills Our Hollow Dome"</f>
        <v>Laughter Fills Our Hollow Dome</v>
      </c>
    </row>
    <row r="4614" spans="1:4" x14ac:dyDescent="0.2">
      <c r="A4614" t="str">
        <f>"4613"</f>
        <v>4613</v>
      </c>
      <c r="B4614" t="str">
        <f>"0.36"</f>
        <v>0.36</v>
      </c>
      <c r="C4614" t="str">
        <f>"51"</f>
        <v>51</v>
      </c>
      <c r="D4614" t="str">
        <f>"Ephemera"</f>
        <v>Ephemera</v>
      </c>
    </row>
    <row r="4615" spans="1:4" x14ac:dyDescent="0.2">
      <c r="A4615" t="str">
        <f>"4614"</f>
        <v>4614</v>
      </c>
      <c r="B4615" t="str">
        <f>"-1.01"</f>
        <v>-1.01</v>
      </c>
      <c r="C4615" t="str">
        <f>"99"</f>
        <v>99</v>
      </c>
      <c r="D4615" t="str">
        <f>"Audioslave"</f>
        <v>Audioslave</v>
      </c>
    </row>
    <row r="4616" spans="1:4" x14ac:dyDescent="0.2">
      <c r="A4616" t="str">
        <f>"4615"</f>
        <v>4615</v>
      </c>
      <c r="B4616" t="str">
        <f>"-0.79"</f>
        <v>-0.79</v>
      </c>
      <c r="C4616" t="str">
        <f>"99"</f>
        <v>99</v>
      </c>
      <c r="D4616" t="str">
        <f>"An Anthology of Dead Ends EP"</f>
        <v>An Anthology of Dead Ends EP</v>
      </c>
    </row>
    <row r="4617" spans="1:4" x14ac:dyDescent="0.2">
      <c r="A4617" t="str">
        <f>"4616"</f>
        <v>4616</v>
      </c>
      <c r="B4617" t="str">
        <f>"0.75"</f>
        <v>0.75</v>
      </c>
      <c r="C4617" t="str">
        <f>"55"</f>
        <v>55</v>
      </c>
      <c r="D4617" t="str">
        <f>"You Can Play These Songs with Chords"</f>
        <v>You Can Play These Songs with Chords</v>
      </c>
    </row>
    <row r="4618" spans="1:4" x14ac:dyDescent="0.2">
      <c r="A4618" t="str">
        <f>"4617"</f>
        <v>4617</v>
      </c>
      <c r="B4618" t="str">
        <f>"0.34"</f>
        <v>0.34</v>
      </c>
      <c r="C4618" t="str">
        <f>"60"</f>
        <v>60</v>
      </c>
      <c r="D4618" t="str">
        <f>"We Are Your Friends"</f>
        <v>We Are Your Friends</v>
      </c>
    </row>
    <row r="4619" spans="1:4" x14ac:dyDescent="0.2">
      <c r="A4619" t="str">
        <f>"4618"</f>
        <v>4618</v>
      </c>
      <c r="B4619" t="str">
        <f>"-0.31"</f>
        <v>-0.31</v>
      </c>
      <c r="C4619" t="str">
        <f>"46"</f>
        <v>46</v>
      </c>
      <c r="D4619" t="str">
        <f>"Real Feelness"</f>
        <v>Real Feelness</v>
      </c>
    </row>
    <row r="4620" spans="1:4" x14ac:dyDescent="0.2">
      <c r="A4620" t="str">
        <f>"4619"</f>
        <v>4619</v>
      </c>
      <c r="B4620" t="str">
        <f>"0.22"</f>
        <v>0.22</v>
      </c>
      <c r="C4620" t="str">
        <f>"66"</f>
        <v>66</v>
      </c>
      <c r="D4620" t="str">
        <f>"Crown of Fuzzy Groove"</f>
        <v>Crown of Fuzzy Groove</v>
      </c>
    </row>
    <row r="4621" spans="1:4" x14ac:dyDescent="0.2">
      <c r="A4621" t="str">
        <f>"4620"</f>
        <v>4620</v>
      </c>
      <c r="B4621" t="str">
        <f>"-0.02"</f>
        <v>-0.02</v>
      </c>
      <c r="C4621" t="str">
        <f>"78"</f>
        <v>78</v>
      </c>
      <c r="D4621" t="str">
        <f>"Under Construction"</f>
        <v>Under Construction</v>
      </c>
    </row>
    <row r="4622" spans="1:4" x14ac:dyDescent="0.2">
      <c r="A4622" t="str">
        <f>"4621"</f>
        <v>4621</v>
      </c>
      <c r="B4622" t="str">
        <f>"1.06"</f>
        <v>1.06</v>
      </c>
      <c r="C4622" t="str">
        <f>"82"</f>
        <v>82</v>
      </c>
      <c r="D4622" t="str">
        <f>"Start Breaking My Heart"</f>
        <v>Start Breaking My Heart</v>
      </c>
    </row>
    <row r="4623" spans="1:4" x14ac:dyDescent="0.2">
      <c r="A4623" t="str">
        <f>"4622"</f>
        <v>4622</v>
      </c>
      <c r="B4623" t="str">
        <f>"-0.32"</f>
        <v>-0.32</v>
      </c>
      <c r="C4623" t="str">
        <f>"68"</f>
        <v>68</v>
      </c>
      <c r="D4623" t="str">
        <f>"Practical Wireless"</f>
        <v>Practical Wireless</v>
      </c>
    </row>
    <row r="4624" spans="1:4" x14ac:dyDescent="0.2">
      <c r="A4624" t="str">
        <f>"4623"</f>
        <v>4623</v>
      </c>
      <c r="B4624" t="str">
        <f>"-0.85"</f>
        <v>-0.85</v>
      </c>
      <c r="C4624" t="str">
        <f>"46"</f>
        <v>46</v>
      </c>
      <c r="D4624" t="str">
        <f>"Loud Like Nature"</f>
        <v>Loud Like Nature</v>
      </c>
    </row>
    <row r="4625" spans="1:4" x14ac:dyDescent="0.2">
      <c r="A4625" t="str">
        <f>"4624"</f>
        <v>4624</v>
      </c>
      <c r="B4625" t="str">
        <f>"-0.39"</f>
        <v>-0.39</v>
      </c>
      <c r="C4625" t="str">
        <f>"53"</f>
        <v>53</v>
      </c>
      <c r="D4625" t="str">
        <f>"White Star Line"</f>
        <v>White Star Line</v>
      </c>
    </row>
    <row r="4626" spans="1:4" x14ac:dyDescent="0.2">
      <c r="A4626" t="str">
        <f>"4625"</f>
        <v>4625</v>
      </c>
      <c r="B4626" t="str">
        <f>"0.8"</f>
        <v>0.8</v>
      </c>
      <c r="C4626" t="str">
        <f>"62"</f>
        <v>62</v>
      </c>
      <c r="D4626" t="str">
        <f>"Rolled Gold"</f>
        <v>Rolled Gold</v>
      </c>
    </row>
    <row r="4627" spans="1:4" x14ac:dyDescent="0.2">
      <c r="A4627" t="str">
        <f>"4626"</f>
        <v>4626</v>
      </c>
      <c r="B4627" t="str">
        <f>"-0.26"</f>
        <v>-0.26</v>
      </c>
      <c r="C4627" t="str">
        <f>"99"</f>
        <v>99</v>
      </c>
      <c r="D4627" t="str">
        <f>"Paullelujah!"</f>
        <v>Paullelujah!</v>
      </c>
    </row>
    <row r="4628" spans="1:4" x14ac:dyDescent="0.2">
      <c r="A4628" t="str">
        <f>"4627"</f>
        <v>4627</v>
      </c>
      <c r="B4628" t="str">
        <f>"-0.04"</f>
        <v>-0.04</v>
      </c>
      <c r="C4628" t="str">
        <f>"30"</f>
        <v>30</v>
      </c>
      <c r="D4628" t="str">
        <f>"Out of Season"</f>
        <v>Out of Season</v>
      </c>
    </row>
    <row r="4629" spans="1:4" x14ac:dyDescent="0.2">
      <c r="A4629" t="str">
        <f>"4628"</f>
        <v>4628</v>
      </c>
      <c r="B4629" t="str">
        <f>"0.44"</f>
        <v>0.44</v>
      </c>
      <c r="C4629" t="str">
        <f>"61"</f>
        <v>61</v>
      </c>
      <c r="D4629" t="str">
        <f>"Obscured by Clowns"</f>
        <v>Obscured by Clowns</v>
      </c>
    </row>
    <row r="4630" spans="1:4" x14ac:dyDescent="0.2">
      <c r="A4630" t="str">
        <f>"4629"</f>
        <v>4629</v>
      </c>
      <c r="B4630" t="str">
        <f>"-0.31"</f>
        <v>-0.31</v>
      </c>
      <c r="C4630" t="str">
        <f>"63"</f>
        <v>63</v>
      </c>
      <c r="D4630" t="str">
        <f>"Impasse"</f>
        <v>Impasse</v>
      </c>
    </row>
    <row r="4631" spans="1:4" x14ac:dyDescent="0.2">
      <c r="A4631" t="str">
        <f>"4630"</f>
        <v>4630</v>
      </c>
      <c r="B4631" t="str">
        <f>"-0.26"</f>
        <v>-0.26</v>
      </c>
      <c r="C4631" t="str">
        <f>"44"</f>
        <v>44</v>
      </c>
      <c r="D4631" t="str">
        <f>"Can't Hear Nothin'"</f>
        <v>Can't Hear Nothin'</v>
      </c>
    </row>
    <row r="4632" spans="1:4" x14ac:dyDescent="0.2">
      <c r="A4632" t="str">
        <f>"4631"</f>
        <v>4631</v>
      </c>
      <c r="B4632" t="str">
        <f>"1.59"</f>
        <v>1.59</v>
      </c>
      <c r="C4632" t="str">
        <f>"41"</f>
        <v>41</v>
      </c>
      <c r="D4632" t="str">
        <f>"The Wedding Mixer"</f>
        <v>The Wedding Mixer</v>
      </c>
    </row>
    <row r="4633" spans="1:4" x14ac:dyDescent="0.2">
      <c r="A4633" t="str">
        <f>"4632"</f>
        <v>4632</v>
      </c>
      <c r="B4633" t="str">
        <f>"0.59"</f>
        <v>0.59</v>
      </c>
      <c r="C4633" t="str">
        <f>"53"</f>
        <v>53</v>
      </c>
      <c r="D4633" t="str">
        <f>"The Book of Spectral Projections"</f>
        <v>The Book of Spectral Projections</v>
      </c>
    </row>
    <row r="4634" spans="1:4" x14ac:dyDescent="0.2">
      <c r="A4634" t="str">
        <f>"4633"</f>
        <v>4633</v>
      </c>
      <c r="B4634" t="str">
        <f>"0.04"</f>
        <v>0.04</v>
      </c>
      <c r="C4634" t="str">
        <f>"213"</f>
        <v>213</v>
      </c>
      <c r="D4634" t="str">
        <f>"Nirvana"</f>
        <v>Nirvana</v>
      </c>
    </row>
    <row r="4635" spans="1:4" x14ac:dyDescent="0.2">
      <c r="A4635" t="str">
        <f>"4634"</f>
        <v>4634</v>
      </c>
      <c r="B4635" t="str">
        <f>"-0.58"</f>
        <v>-0.58</v>
      </c>
      <c r="C4635" t="str">
        <f>"81"</f>
        <v>81</v>
      </c>
      <c r="D4635" t="str">
        <f>"A Cat May Look at a Queen"</f>
        <v>A Cat May Look at a Queen</v>
      </c>
    </row>
    <row r="4636" spans="1:4" x14ac:dyDescent="0.2">
      <c r="A4636" t="str">
        <f>"4635"</f>
        <v>4635</v>
      </c>
      <c r="B4636" t="str">
        <f>"-0.5"</f>
        <v>-0.5</v>
      </c>
      <c r="C4636" t="str">
        <f>"45"</f>
        <v>45</v>
      </c>
      <c r="D4636" t="str">
        <f>"The Datsuns"</f>
        <v>The Datsuns</v>
      </c>
    </row>
    <row r="4637" spans="1:4" x14ac:dyDescent="0.2">
      <c r="A4637" t="str">
        <f>"4636"</f>
        <v>4636</v>
      </c>
      <c r="B4637" t="str">
        <f>"-0.4"</f>
        <v>-0.4</v>
      </c>
      <c r="C4637" t="str">
        <f>"44"</f>
        <v>44</v>
      </c>
      <c r="D4637" t="str">
        <f>"Shenzhou"</f>
        <v>Shenzhou</v>
      </c>
    </row>
    <row r="4638" spans="1:4" x14ac:dyDescent="0.2">
      <c r="A4638" t="str">
        <f>"4637"</f>
        <v>4637</v>
      </c>
      <c r="B4638" t="str">
        <f>"-0.07"</f>
        <v>-0.07</v>
      </c>
      <c r="C4638" t="str">
        <f>"57"</f>
        <v>57</v>
      </c>
      <c r="D4638" t="str">
        <f>"Plus Minus Equals"</f>
        <v>Plus Minus Equals</v>
      </c>
    </row>
    <row r="4639" spans="1:4" x14ac:dyDescent="0.2">
      <c r="A4639" t="str">
        <f>"4638"</f>
        <v>4638</v>
      </c>
      <c r="B4639" t="str">
        <f>"0.13"</f>
        <v>0.13</v>
      </c>
      <c r="C4639" t="str">
        <f>"34"</f>
        <v>34</v>
      </c>
      <c r="D4639" t="str">
        <f>"Woodshedding"</f>
        <v>Woodshedding</v>
      </c>
    </row>
    <row r="4640" spans="1:4" x14ac:dyDescent="0.2">
      <c r="A4640" t="str">
        <f>"4639"</f>
        <v>4639</v>
      </c>
      <c r="B4640" t="str">
        <f>"-0.17"</f>
        <v>-0.17</v>
      </c>
      <c r="C4640" t="str">
        <f>"81"</f>
        <v>81</v>
      </c>
      <c r="D4640" t="str">
        <f>"'We No Longer Knew Who We Were' EP and 'Fins to Make Us More Fish-Like' EP"</f>
        <v>'We No Longer Knew Who We Were' EP and 'Fins to Make Us More Fish-Like' EP</v>
      </c>
    </row>
    <row r="4641" spans="1:4" x14ac:dyDescent="0.2">
      <c r="A4641" t="str">
        <f>"4640"</f>
        <v>4640</v>
      </c>
      <c r="B4641" t="str">
        <f>"0.51"</f>
        <v>0.51</v>
      </c>
      <c r="C4641" t="str">
        <f>"54"</f>
        <v>54</v>
      </c>
      <c r="D4641" t="str">
        <f>"Third Wave"</f>
        <v>Third Wave</v>
      </c>
    </row>
    <row r="4642" spans="1:4" x14ac:dyDescent="0.2">
      <c r="A4642" t="str">
        <f>"4641"</f>
        <v>4641</v>
      </c>
      <c r="B4642" t="str">
        <f>"0.8"</f>
        <v>0.8</v>
      </c>
      <c r="C4642" t="str">
        <f>"57"</f>
        <v>57</v>
      </c>
      <c r="D4642" t="str">
        <f>"The Coral"</f>
        <v>The Coral</v>
      </c>
    </row>
    <row r="4643" spans="1:4" x14ac:dyDescent="0.2">
      <c r="A4643" t="str">
        <f>"4642"</f>
        <v>4642</v>
      </c>
      <c r="B4643" t="str">
        <f>"-0.31"</f>
        <v>-0.31</v>
      </c>
      <c r="C4643" t="str">
        <f>"56"</f>
        <v>56</v>
      </c>
      <c r="D4643" t="str">
        <f>"Holes in the Wall"</f>
        <v>Holes in the Wall</v>
      </c>
    </row>
    <row r="4644" spans="1:4" x14ac:dyDescent="0.2">
      <c r="A4644" t="str">
        <f>"4643"</f>
        <v>4643</v>
      </c>
      <c r="B4644" t="str">
        <f>"-0.27"</f>
        <v>-0.27</v>
      </c>
      <c r="C4644" t="str">
        <f>"59"</f>
        <v>59</v>
      </c>
      <c r="D4644" t="str">
        <f>"The Science of Breath"</f>
        <v>The Science of Breath</v>
      </c>
    </row>
    <row r="4645" spans="1:4" x14ac:dyDescent="0.2">
      <c r="A4645" t="str">
        <f>"4644"</f>
        <v>4644</v>
      </c>
      <c r="B4645" t="str">
        <f>"0.01"</f>
        <v>0.01</v>
      </c>
      <c r="C4645" t="str">
        <f>"74"</f>
        <v>74</v>
      </c>
      <c r="D4645" t="str">
        <f>"Sound Event"</f>
        <v>Sound Event</v>
      </c>
    </row>
    <row r="4646" spans="1:4" x14ac:dyDescent="0.2">
      <c r="A4646" t="str">
        <f>"4645"</f>
        <v>4645</v>
      </c>
      <c r="B4646" t="str">
        <f>"-0.04"</f>
        <v>-0.04</v>
      </c>
      <c r="C4646" t="str">
        <f>"79"</f>
        <v>79</v>
      </c>
      <c r="D4646" t="str">
        <f>"Have You Fed the Fish?"</f>
        <v>Have You Fed the Fish?</v>
      </c>
    </row>
    <row r="4647" spans="1:4" x14ac:dyDescent="0.2">
      <c r="A4647" t="str">
        <f>"4646"</f>
        <v>4646</v>
      </c>
      <c r="B4647" t="str">
        <f>"-0.01"</f>
        <v>-0.01</v>
      </c>
      <c r="C4647" t="str">
        <f>"56"</f>
        <v>56</v>
      </c>
      <c r="D4647" t="str">
        <f>"What Would You Do"</f>
        <v>What Would You Do</v>
      </c>
    </row>
    <row r="4648" spans="1:4" x14ac:dyDescent="0.2">
      <c r="A4648" t="str">
        <f>"4647"</f>
        <v>4647</v>
      </c>
      <c r="B4648" t="str">
        <f>"-0.03"</f>
        <v>-0.03</v>
      </c>
      <c r="C4648" t="str">
        <f>"70"</f>
        <v>70</v>
      </c>
      <c r="D4648" t="str">
        <f>"The Liturgy of Ghosts"</f>
        <v>The Liturgy of Ghosts</v>
      </c>
    </row>
    <row r="4649" spans="1:4" x14ac:dyDescent="0.2">
      <c r="A4649" t="str">
        <f>"4648"</f>
        <v>4648</v>
      </c>
      <c r="B4649" t="str">
        <f>"-0.38"</f>
        <v>-0.38</v>
      </c>
      <c r="C4649" t="str">
        <f>"78"</f>
        <v>78</v>
      </c>
      <c r="D4649" t="str">
        <f>"Make Up the Breakdown"</f>
        <v>Make Up the Breakdown</v>
      </c>
    </row>
    <row r="4650" spans="1:4" x14ac:dyDescent="0.2">
      <c r="A4650" t="str">
        <f>"4649"</f>
        <v>4649</v>
      </c>
      <c r="B4650" t="str">
        <f>"-0.36"</f>
        <v>-0.36</v>
      </c>
      <c r="C4650" t="str">
        <f>"42"</f>
        <v>42</v>
      </c>
      <c r="D4650" t="str">
        <f>"Humpty Dumpty LSD"</f>
        <v>Humpty Dumpty LSD</v>
      </c>
    </row>
    <row r="4651" spans="1:4" x14ac:dyDescent="0.2">
      <c r="A4651" t="str">
        <f>"4650"</f>
        <v>4650</v>
      </c>
      <c r="B4651" t="str">
        <f>"-0.56"</f>
        <v>-0.56</v>
      </c>
      <c r="C4651" t="str">
        <f>"58"</f>
        <v>58</v>
      </c>
      <c r="D4651" t="str">
        <f>"The Fix"</f>
        <v>The Fix</v>
      </c>
    </row>
    <row r="4652" spans="1:4" x14ac:dyDescent="0.2">
      <c r="A4652" t="str">
        <f>"4651"</f>
        <v>4651</v>
      </c>
      <c r="B4652" t="str">
        <f>"0.99"</f>
        <v>0.99</v>
      </c>
      <c r="C4652" t="str">
        <f>"67"</f>
        <v>67</v>
      </c>
      <c r="D4652" t="str">
        <f>"Happyness"</f>
        <v>Happyness</v>
      </c>
    </row>
    <row r="4653" spans="1:4" x14ac:dyDescent="0.2">
      <c r="A4653" t="str">
        <f>"4652"</f>
        <v>4652</v>
      </c>
      <c r="B4653" t="str">
        <f>"-0.8"</f>
        <v>-0.8</v>
      </c>
      <c r="C4653" t="str">
        <f>"69"</f>
        <v>69</v>
      </c>
      <c r="D4653" t="str">
        <f>"Charango"</f>
        <v>Charango</v>
      </c>
    </row>
    <row r="4654" spans="1:4" x14ac:dyDescent="0.2">
      <c r="A4654" t="str">
        <f>"4653"</f>
        <v>4653</v>
      </c>
      <c r="B4654" t="str">
        <f>"0.41"</f>
        <v>0.41</v>
      </c>
      <c r="C4654" t="str">
        <f>"66"</f>
        <v>66</v>
      </c>
      <c r="D4654" t="str">
        <f>"American IV: The Man Comes Around"</f>
        <v>American IV: The Man Comes Around</v>
      </c>
    </row>
    <row r="4655" spans="1:4" x14ac:dyDescent="0.2">
      <c r="A4655" t="str">
        <f>"4654"</f>
        <v>4654</v>
      </c>
      <c r="B4655" t="str">
        <f>"0.43"</f>
        <v>0.43</v>
      </c>
      <c r="C4655" t="str">
        <f>"22"</f>
        <v>22</v>
      </c>
      <c r="D4655" t="str">
        <f>"Terrible Hostess"</f>
        <v>Terrible Hostess</v>
      </c>
    </row>
    <row r="4656" spans="1:4" x14ac:dyDescent="0.2">
      <c r="A4656" t="str">
        <f>"4655"</f>
        <v>4655</v>
      </c>
      <c r="B4656" t="str">
        <f>"0.62"</f>
        <v>0.62</v>
      </c>
      <c r="C4656" t="str">
        <f>"62"</f>
        <v>62</v>
      </c>
      <c r="D4656" t="str">
        <f>"Nextdoorland"</f>
        <v>Nextdoorland</v>
      </c>
    </row>
    <row r="4657" spans="1:4" x14ac:dyDescent="0.2">
      <c r="A4657" t="str">
        <f>"4656"</f>
        <v>4656</v>
      </c>
      <c r="B4657" t="str">
        <f>"-0.94"</f>
        <v>-0.94</v>
      </c>
      <c r="C4657" t="str">
        <f>"31"</f>
        <v>31</v>
      </c>
      <c r="D4657" t="str">
        <f>"Instrumentals"</f>
        <v>Instrumentals</v>
      </c>
    </row>
    <row r="4658" spans="1:4" x14ac:dyDescent="0.2">
      <c r="A4658" t="str">
        <f>"4657"</f>
        <v>4657</v>
      </c>
      <c r="B4658" t="str">
        <f>"0.04"</f>
        <v>0.04</v>
      </c>
      <c r="C4658" t="str">
        <f>"47"</f>
        <v>47</v>
      </c>
      <c r="D4658" t="str">
        <f>"Oh Me Oh My..."</f>
        <v>Oh Me Oh My...</v>
      </c>
    </row>
    <row r="4659" spans="1:4" x14ac:dyDescent="0.2">
      <c r="A4659" t="str">
        <f>"4658"</f>
        <v>4658</v>
      </c>
      <c r="B4659" t="str">
        <f>"0.83"</f>
        <v>0.83</v>
      </c>
      <c r="C4659" t="str">
        <f>"60"</f>
        <v>60</v>
      </c>
      <c r="D4659" t="str">
        <f>"Amalgamated Sons of Rest EP"</f>
        <v>Amalgamated Sons of Rest EP</v>
      </c>
    </row>
    <row r="4660" spans="1:4" x14ac:dyDescent="0.2">
      <c r="A4660" t="str">
        <f>"4659"</f>
        <v>4659</v>
      </c>
      <c r="B4660" t="str">
        <f>"0.25"</f>
        <v>0.25</v>
      </c>
      <c r="C4660" t="str">
        <f>"61"</f>
        <v>61</v>
      </c>
      <c r="D4660" t="str">
        <f>"1st Class"</f>
        <v>1st Class</v>
      </c>
    </row>
    <row r="4661" spans="1:4" x14ac:dyDescent="0.2">
      <c r="A4661" t="str">
        <f>"4660"</f>
        <v>4660</v>
      </c>
      <c r="B4661" t="str">
        <f>"0.45"</f>
        <v>0.45</v>
      </c>
      <c r="C4661" t="str">
        <f>"76"</f>
        <v>76</v>
      </c>
      <c r="D4661" t="str">
        <f>"What Does Good Luck Bring?"</f>
        <v>What Does Good Luck Bring?</v>
      </c>
    </row>
    <row r="4662" spans="1:4" x14ac:dyDescent="0.2">
      <c r="A4662" t="str">
        <f>"4661"</f>
        <v>4661</v>
      </c>
      <c r="B4662" t="str">
        <f>"1.08"</f>
        <v>1.08</v>
      </c>
      <c r="C4662" t="str">
        <f>"72"</f>
        <v>72</v>
      </c>
      <c r="D4662" t="str">
        <f>"The Joy of Sing-Sing"</f>
        <v>The Joy of Sing-Sing</v>
      </c>
    </row>
    <row r="4663" spans="1:4" x14ac:dyDescent="0.2">
      <c r="A4663" t="str">
        <f>"4662"</f>
        <v>4662</v>
      </c>
      <c r="B4663" t="str">
        <f>"0.35"</f>
        <v>0.35</v>
      </c>
      <c r="C4663" t="str">
        <f>"45"</f>
        <v>45</v>
      </c>
      <c r="D4663" t="str">
        <f>"Homesick and Happy to Be Here"</f>
        <v>Homesick and Happy to Be Here</v>
      </c>
    </row>
    <row r="4664" spans="1:4" x14ac:dyDescent="0.2">
      <c r="A4664" t="str">
        <f>"4663"</f>
        <v>4663</v>
      </c>
      <c r="B4664" t="str">
        <f>"0.58"</f>
        <v>0.58</v>
      </c>
      <c r="C4664" t="str">
        <f>"79"</f>
        <v>79</v>
      </c>
      <c r="D4664" t="str">
        <f>"Field Recordings 1995-2002"</f>
        <v>Field Recordings 1995-2002</v>
      </c>
    </row>
    <row r="4665" spans="1:4" x14ac:dyDescent="0.2">
      <c r="A4665" t="str">
        <f>"4664"</f>
        <v>4664</v>
      </c>
      <c r="B4665" t="str">
        <f>"1.01"</f>
        <v>1.01</v>
      </c>
      <c r="C4665" t="str">
        <f>"49"</f>
        <v>49</v>
      </c>
      <c r="D4665" t="str">
        <f>"You Were a Diamond"</f>
        <v>You Were a Diamond</v>
      </c>
    </row>
    <row r="4666" spans="1:4" x14ac:dyDescent="0.2">
      <c r="A4666" t="str">
        <f>"4665"</f>
        <v>4665</v>
      </c>
      <c r="B4666" t="str">
        <f>"-0.3"</f>
        <v>-0.3</v>
      </c>
      <c r="C4666" t="str">
        <f>"49"</f>
        <v>49</v>
      </c>
      <c r="D4666" t="str">
        <f>"The Natural Riot"</f>
        <v>The Natural Riot</v>
      </c>
    </row>
    <row r="4667" spans="1:4" x14ac:dyDescent="0.2">
      <c r="A4667" t="str">
        <f>"4666"</f>
        <v>4666</v>
      </c>
      <c r="B4667" t="str">
        <f>"0.42"</f>
        <v>0.42</v>
      </c>
      <c r="C4667" t="str">
        <f>"52"</f>
        <v>52</v>
      </c>
      <c r="D4667" t="str">
        <f>"Fugues &amp; Flowers"</f>
        <v>Fugues &amp; Flowers</v>
      </c>
    </row>
    <row r="4668" spans="1:4" x14ac:dyDescent="0.2">
      <c r="A4668" t="str">
        <f>"4667"</f>
        <v>4667</v>
      </c>
      <c r="B4668" t="str">
        <f>"-0.95"</f>
        <v>-0.95</v>
      </c>
      <c r="C4668" t="str">
        <f>"44"</f>
        <v>44</v>
      </c>
      <c r="D4668" t="str">
        <f>"Irreversible"</f>
        <v>Irreversible</v>
      </c>
    </row>
    <row r="4669" spans="1:4" x14ac:dyDescent="0.2">
      <c r="A4669" t="str">
        <f>"4668"</f>
        <v>4668</v>
      </c>
      <c r="B4669" t="str">
        <f>"-0.84"</f>
        <v>-0.84</v>
      </c>
      <c r="C4669" t="str">
        <f>"55"</f>
        <v>55</v>
      </c>
      <c r="D4669" t="str">
        <f>"Field Recordings from the Sun"</f>
        <v>Field Recordings from the Sun</v>
      </c>
    </row>
    <row r="4670" spans="1:4" x14ac:dyDescent="0.2">
      <c r="A4670" t="str">
        <f>"4669"</f>
        <v>4669</v>
      </c>
      <c r="B4670" t="str">
        <f>"-0.36"</f>
        <v>-0.36</v>
      </c>
      <c r="C4670" t="str">
        <f>"61"</f>
        <v>61</v>
      </c>
      <c r="D4670" t="str">
        <f>"Close Cover Before Striking EP"</f>
        <v>Close Cover Before Striking EP</v>
      </c>
    </row>
    <row r="4671" spans="1:4" x14ac:dyDescent="0.2">
      <c r="A4671" t="str">
        <f>"4670"</f>
        <v>4670</v>
      </c>
      <c r="B4671" t="str">
        <f>"-0.19"</f>
        <v>-0.19</v>
      </c>
      <c r="C4671" t="str">
        <f>"57"</f>
        <v>57</v>
      </c>
      <c r="D4671" t="str">
        <f>"This Night"</f>
        <v>This Night</v>
      </c>
    </row>
    <row r="4672" spans="1:4" x14ac:dyDescent="0.2">
      <c r="A4672" t="str">
        <f>"4671"</f>
        <v>4671</v>
      </c>
      <c r="B4672" t="str">
        <f>"0.63"</f>
        <v>0.63</v>
      </c>
      <c r="C4672" t="str">
        <f>"61"</f>
        <v>61</v>
      </c>
      <c r="D4672" t="str">
        <f>"That's My Beat"</f>
        <v>That's My Beat</v>
      </c>
    </row>
    <row r="4673" spans="1:4" x14ac:dyDescent="0.2">
      <c r="A4673" t="str">
        <f>"4672"</f>
        <v>4672</v>
      </c>
      <c r="B4673" t="str">
        <f>"0.63"</f>
        <v>0.63</v>
      </c>
      <c r="C4673" t="str">
        <f>"47"</f>
        <v>47</v>
      </c>
      <c r="D4673" t="str">
        <f>"Rickets &amp; Scurvy"</f>
        <v>Rickets &amp; Scurvy</v>
      </c>
    </row>
    <row r="4674" spans="1:4" x14ac:dyDescent="0.2">
      <c r="A4674" t="str">
        <f>"4673"</f>
        <v>4673</v>
      </c>
      <c r="B4674" t="str">
        <f>"-0.36"</f>
        <v>-0.36</v>
      </c>
      <c r="C4674" t="str">
        <f>"51"</f>
        <v>51</v>
      </c>
      <c r="D4674" t="str">
        <f>"Damage EP"</f>
        <v>Damage EP</v>
      </c>
    </row>
    <row r="4675" spans="1:4" x14ac:dyDescent="0.2">
      <c r="A4675" t="str">
        <f>"4674"</f>
        <v>4674</v>
      </c>
      <c r="B4675" t="str">
        <f>"-0.55"</f>
        <v>-0.55</v>
      </c>
      <c r="C4675" t="str">
        <f>"42"</f>
        <v>42</v>
      </c>
      <c r="D4675" t="str">
        <f>"Song to the Siren: Live"</f>
        <v>Song to the Siren: Live</v>
      </c>
    </row>
    <row r="4676" spans="1:4" x14ac:dyDescent="0.2">
      <c r="A4676" t="str">
        <f>"4675"</f>
        <v>4675</v>
      </c>
      <c r="B4676" t="str">
        <f>"0.84"</f>
        <v>0.84</v>
      </c>
      <c r="C4676" t="str">
        <f>"75"</f>
        <v>75</v>
      </c>
      <c r="D4676" t="str">
        <f>"Musique Automatique"</f>
        <v>Musique Automatique</v>
      </c>
    </row>
    <row r="4677" spans="1:4" x14ac:dyDescent="0.2">
      <c r="A4677" t="str">
        <f>"4676"</f>
        <v>4676</v>
      </c>
      <c r="B4677" t="str">
        <f>"0.14"</f>
        <v>0.14</v>
      </c>
      <c r="C4677" t="str">
        <f>"78"</f>
        <v>78</v>
      </c>
      <c r="D4677" t="str">
        <f>"Finisterre"</f>
        <v>Finisterre</v>
      </c>
    </row>
    <row r="4678" spans="1:4" x14ac:dyDescent="0.2">
      <c r="A4678" t="str">
        <f>"4677"</f>
        <v>4677</v>
      </c>
      <c r="B4678" t="str">
        <f>"-0.15"</f>
        <v>-0.15</v>
      </c>
      <c r="C4678" t="str">
        <f>"61"</f>
        <v>61</v>
      </c>
      <c r="D4678" t="str">
        <f>"Eternal Youth"</f>
        <v>Eternal Youth</v>
      </c>
    </row>
    <row r="4679" spans="1:4" x14ac:dyDescent="0.2">
      <c r="A4679" t="str">
        <f>"4678"</f>
        <v>4678</v>
      </c>
      <c r="B4679" t="str">
        <f>"-1"</f>
        <v>-1</v>
      </c>
      <c r="C4679" t="str">
        <f>"56"</f>
        <v>56</v>
      </c>
      <c r="D4679" t="str">
        <f>"August"</f>
        <v>August</v>
      </c>
    </row>
    <row r="4680" spans="1:4" x14ac:dyDescent="0.2">
      <c r="A4680" t="str">
        <f>"4679"</f>
        <v>4679</v>
      </c>
      <c r="B4680" t="str">
        <f>"-0.88"</f>
        <v>-0.88</v>
      </c>
      <c r="C4680" t="str">
        <f>"101"</f>
        <v>101</v>
      </c>
      <c r="D4680" t="str">
        <f>"Yanqui U.X.O."</f>
        <v>Yanqui U.X.O.</v>
      </c>
    </row>
    <row r="4681" spans="1:4" x14ac:dyDescent="0.2">
      <c r="A4681" t="str">
        <f>"4680"</f>
        <v>4680</v>
      </c>
      <c r="B4681" t="str">
        <f>"0.01"</f>
        <v>0.01</v>
      </c>
      <c r="C4681" t="str">
        <f>"62"</f>
        <v>62</v>
      </c>
      <c r="D4681" t="str">
        <f>"Ben Folds Live"</f>
        <v>Ben Folds Live</v>
      </c>
    </row>
    <row r="4682" spans="1:4" x14ac:dyDescent="0.2">
      <c r="A4682" t="str">
        <f>"4681"</f>
        <v>4681</v>
      </c>
      <c r="B4682" t="str">
        <f>"-0.65"</f>
        <v>-0.65</v>
      </c>
      <c r="C4682" t="str">
        <f>"55"</f>
        <v>55</v>
      </c>
      <c r="D4682" t="str">
        <f>"Welcome Black"</f>
        <v>Welcome Black</v>
      </c>
    </row>
    <row r="4683" spans="1:4" x14ac:dyDescent="0.2">
      <c r="A4683" t="str">
        <f>"4682"</f>
        <v>4682</v>
      </c>
      <c r="B4683" t="str">
        <f>"-0.31"</f>
        <v>-0.31</v>
      </c>
      <c r="C4683" t="str">
        <f>"54"</f>
        <v>54</v>
      </c>
      <c r="D4683" t="str">
        <f>"TJO TKO"</f>
        <v>TJO TKO</v>
      </c>
    </row>
    <row r="4684" spans="1:4" x14ac:dyDescent="0.2">
      <c r="A4684" t="str">
        <f>"4683"</f>
        <v>4683</v>
      </c>
      <c r="B4684" t="str">
        <f>"0.48"</f>
        <v>0.48</v>
      </c>
      <c r="C4684" t="str">
        <f>"85"</f>
        <v>85</v>
      </c>
      <c r="D4684" t="str">
        <f>"Songs to No One: 1991-1992"</f>
        <v>Songs to No One: 1991-1992</v>
      </c>
    </row>
    <row r="4685" spans="1:4" x14ac:dyDescent="0.2">
      <c r="A4685" t="str">
        <f>"4684"</f>
        <v>4684</v>
      </c>
      <c r="B4685" t="str">
        <f>"-0.45"</f>
        <v>-0.45</v>
      </c>
      <c r="C4685" t="str">
        <f>"59"</f>
        <v>59</v>
      </c>
      <c r="D4685" t="str">
        <f>"Showroom Dummies"</f>
        <v>Showroom Dummies</v>
      </c>
    </row>
    <row r="4686" spans="1:4" x14ac:dyDescent="0.2">
      <c r="A4686" t="str">
        <f>"4685"</f>
        <v>4685</v>
      </c>
      <c r="B4686" t="str">
        <f>"0.1"</f>
        <v>0.1</v>
      </c>
      <c r="C4686" t="str">
        <f>"50"</f>
        <v>50</v>
      </c>
      <c r="D4686" t="str">
        <f>"Unlimited EP"</f>
        <v>Unlimited EP</v>
      </c>
    </row>
    <row r="4687" spans="1:4" x14ac:dyDescent="0.2">
      <c r="A4687" t="str">
        <f>"4686"</f>
        <v>4686</v>
      </c>
      <c r="B4687" t="str">
        <f>"-0.41"</f>
        <v>-0.41</v>
      </c>
      <c r="C4687" t="str">
        <f>"67"</f>
        <v>67</v>
      </c>
      <c r="D4687" t="str">
        <f>"Rec.Extern"</f>
        <v>Rec.Extern</v>
      </c>
    </row>
    <row r="4688" spans="1:4" x14ac:dyDescent="0.2">
      <c r="A4688" t="str">
        <f>"4687"</f>
        <v>4687</v>
      </c>
      <c r="B4688" t="str">
        <f>"0.34"</f>
        <v>0.34</v>
      </c>
      <c r="C4688" t="str">
        <f>"62"</f>
        <v>62</v>
      </c>
      <c r="D4688" t="str">
        <f>"Out From Out Where"</f>
        <v>Out From Out Where</v>
      </c>
    </row>
    <row r="4689" spans="1:4" x14ac:dyDescent="0.2">
      <c r="A4689" t="str">
        <f>"4688"</f>
        <v>4688</v>
      </c>
      <c r="B4689" t="str">
        <f>"-0.93"</f>
        <v>-0.93</v>
      </c>
      <c r="C4689" t="str">
        <f>"65"</f>
        <v>65</v>
      </c>
      <c r="D4689" t="str">
        <f>"Going Down Swingin'"</f>
        <v>Going Down Swingin'</v>
      </c>
    </row>
    <row r="4690" spans="1:4" x14ac:dyDescent="0.2">
      <c r="A4690" t="str">
        <f>"4689"</f>
        <v>4689</v>
      </c>
      <c r="B4690" t="str">
        <f>"0.53"</f>
        <v>0.53</v>
      </c>
      <c r="C4690" t="str">
        <f>"73"</f>
        <v>73</v>
      </c>
      <c r="D4690" t="str">
        <f>"Playthroughs"</f>
        <v>Playthroughs</v>
      </c>
    </row>
    <row r="4691" spans="1:4" x14ac:dyDescent="0.2">
      <c r="A4691" t="str">
        <f>"4690"</f>
        <v>4690</v>
      </c>
      <c r="B4691" t="str">
        <f>"0.04"</f>
        <v>0.04</v>
      </c>
      <c r="C4691" t="str">
        <f>"71"</f>
        <v>71</v>
      </c>
      <c r="D4691" t="str">
        <f>"Is a Woman EP"</f>
        <v>Is a Woman EP</v>
      </c>
    </row>
    <row r="4692" spans="1:4" x14ac:dyDescent="0.2">
      <c r="A4692" t="str">
        <f>"4691"</f>
        <v>4691</v>
      </c>
      <c r="B4692" t="str">
        <f>"0.35"</f>
        <v>0.35</v>
      </c>
      <c r="C4692" t="str">
        <f>"68"</f>
        <v>68</v>
      </c>
      <c r="D4692" t="str">
        <f>"Etc."</f>
        <v>Etc.</v>
      </c>
    </row>
    <row r="4693" spans="1:4" x14ac:dyDescent="0.2">
      <c r="A4693" t="str">
        <f>"4692"</f>
        <v>4692</v>
      </c>
      <c r="B4693" t="str">
        <f>"-0.57"</f>
        <v>-0.57</v>
      </c>
      <c r="C4693" t="str">
        <f>"50"</f>
        <v>50</v>
      </c>
      <c r="D4693" t="s">
        <v>162</v>
      </c>
    </row>
    <row r="4694" spans="1:4" x14ac:dyDescent="0.2">
      <c r="A4694" t="str">
        <f>"4693"</f>
        <v>4693</v>
      </c>
      <c r="B4694" t="str">
        <f>"0.91"</f>
        <v>0.91</v>
      </c>
      <c r="C4694" t="str">
        <f>"45"</f>
        <v>45</v>
      </c>
      <c r="D4694" t="str">
        <f>"WACMusic"</f>
        <v>WACMusic</v>
      </c>
    </row>
    <row r="4695" spans="1:4" x14ac:dyDescent="0.2">
      <c r="A4695" t="str">
        <f>"4694"</f>
        <v>4694</v>
      </c>
      <c r="B4695" t="str">
        <f>"-0.01"</f>
        <v>-0.01</v>
      </c>
      <c r="C4695" t="str">
        <f>"80"</f>
        <v>80</v>
      </c>
      <c r="D4695" t="str">
        <f>"Read &amp; Burn 02 EP"</f>
        <v>Read &amp; Burn 02 EP</v>
      </c>
    </row>
    <row r="4696" spans="1:4" x14ac:dyDescent="0.2">
      <c r="A4696" t="str">
        <f>"4695"</f>
        <v>4695</v>
      </c>
      <c r="B4696" t="str">
        <f>"-0.11"</f>
        <v>-0.11</v>
      </c>
      <c r="C4696" t="str">
        <f>"66"</f>
        <v>66</v>
      </c>
      <c r="D4696" t="str">
        <f>"Concubine Rice"</f>
        <v>Concubine Rice</v>
      </c>
    </row>
    <row r="4697" spans="1:4" x14ac:dyDescent="0.2">
      <c r="A4697" t="str">
        <f>"4696"</f>
        <v>4696</v>
      </c>
      <c r="B4697" t="str">
        <f>"-0.07"</f>
        <v>-0.07</v>
      </c>
      <c r="C4697" t="str">
        <f>"87"</f>
        <v>87</v>
      </c>
      <c r="D4697" t="str">
        <f>"A Data Learn the Language"</f>
        <v>A Data Learn the Language</v>
      </c>
    </row>
    <row r="4698" spans="1:4" x14ac:dyDescent="0.2">
      <c r="A4698" t="str">
        <f>"4697"</f>
        <v>4697</v>
      </c>
      <c r="B4698" t="str">
        <f>"-0.32"</f>
        <v>-0.32</v>
      </c>
      <c r="C4698" t="str">
        <f>"51"</f>
        <v>51</v>
      </c>
      <c r="D4698" t="str">
        <f>"The Suntanama"</f>
        <v>The Suntanama</v>
      </c>
    </row>
    <row r="4699" spans="1:4" x14ac:dyDescent="0.2">
      <c r="A4699" t="str">
        <f>"4698"</f>
        <v>4698</v>
      </c>
      <c r="B4699" t="str">
        <f>"-0.23"</f>
        <v>-0.23</v>
      </c>
      <c r="C4699" t="str">
        <f>"64"</f>
        <v>64</v>
      </c>
      <c r="D4699" t="str">
        <f>"The King of Nothing Hill"</f>
        <v>The King of Nothing Hill</v>
      </c>
    </row>
    <row r="4700" spans="1:4" x14ac:dyDescent="0.2">
      <c r="A4700" t="str">
        <f>"4699"</f>
        <v>4699</v>
      </c>
      <c r="B4700" t="str">
        <f>"-0.16"</f>
        <v>-0.16</v>
      </c>
      <c r="C4700" t="str">
        <f>"75"</f>
        <v>75</v>
      </c>
      <c r="D4700" t="str">
        <f>"Live at Schuba's Tavern"</f>
        <v>Live at Schuba's Tavern</v>
      </c>
    </row>
    <row r="4701" spans="1:4" x14ac:dyDescent="0.2">
      <c r="A4701" t="str">
        <f>"4700"</f>
        <v>4700</v>
      </c>
      <c r="B4701" t="str">
        <f>"-0.96"</f>
        <v>-0.96</v>
      </c>
      <c r="C4701" t="str">
        <f>"75"</f>
        <v>75</v>
      </c>
      <c r="D4701" t="str">
        <f>"Electric Heavyland"</f>
        <v>Electric Heavyland</v>
      </c>
    </row>
    <row r="4702" spans="1:4" x14ac:dyDescent="0.2">
      <c r="A4702" t="str">
        <f>"4701"</f>
        <v>4701</v>
      </c>
      <c r="B4702" t="str">
        <f>"0.55"</f>
        <v>0.55</v>
      </c>
      <c r="C4702" t="str">
        <f>"57"</f>
        <v>57</v>
      </c>
      <c r="D4702" t="str">
        <f>"Plays"</f>
        <v>Plays</v>
      </c>
    </row>
    <row r="4703" spans="1:4" x14ac:dyDescent="0.2">
      <c r="A4703" t="str">
        <f>"4702"</f>
        <v>4702</v>
      </c>
      <c r="B4703" t="str">
        <f>"-0.88"</f>
        <v>-0.88</v>
      </c>
      <c r="C4703" t="str">
        <f>"59"</f>
        <v>59</v>
      </c>
      <c r="D4703" t="str">
        <f>"Broken Spindles"</f>
        <v>Broken Spindles</v>
      </c>
    </row>
    <row r="4704" spans="1:4" x14ac:dyDescent="0.2">
      <c r="A4704" t="str">
        <f>"4703"</f>
        <v>4703</v>
      </c>
      <c r="B4704" t="str">
        <f>"-0.31"</f>
        <v>-0.31</v>
      </c>
      <c r="C4704" t="str">
        <f>"58"</f>
        <v>58</v>
      </c>
      <c r="D4704" t="str">
        <f>"Bonus Album"</f>
        <v>Bonus Album</v>
      </c>
    </row>
    <row r="4705" spans="1:4" x14ac:dyDescent="0.2">
      <c r="A4705" t="str">
        <f>"4704"</f>
        <v>4704</v>
      </c>
      <c r="B4705" t="str">
        <f>"-0.33"</f>
        <v>-0.33</v>
      </c>
      <c r="C4705" t="str">
        <f>"49"</f>
        <v>49</v>
      </c>
      <c r="D4705" t="str">
        <f>"This is Motion"</f>
        <v>This is Motion</v>
      </c>
    </row>
    <row r="4706" spans="1:4" x14ac:dyDescent="0.2">
      <c r="A4706" t="str">
        <f>"4705"</f>
        <v>4705</v>
      </c>
      <c r="B4706" t="str">
        <f>"-0.22"</f>
        <v>-0.22</v>
      </c>
      <c r="C4706" t="str">
        <f>"62"</f>
        <v>62</v>
      </c>
      <c r="D4706" t="str">
        <f>"Perfecting Loneliness"</f>
        <v>Perfecting Loneliness</v>
      </c>
    </row>
    <row r="4707" spans="1:4" x14ac:dyDescent="0.2">
      <c r="A4707" t="str">
        <f>"4706"</f>
        <v>4706</v>
      </c>
      <c r="B4707" t="str">
        <f>"-0.45"</f>
        <v>-0.45</v>
      </c>
      <c r="C4707" t="str">
        <f>"63"</f>
        <v>63</v>
      </c>
      <c r="D4707" t="str">
        <f>"Man Am I Brad"</f>
        <v>Man Am I Brad</v>
      </c>
    </row>
    <row r="4708" spans="1:4" x14ac:dyDescent="0.2">
      <c r="A4708" t="str">
        <f>"4707"</f>
        <v>4707</v>
      </c>
      <c r="B4708" t="str">
        <f>"0.48"</f>
        <v>0.48</v>
      </c>
      <c r="C4708" t="str">
        <f>"41"</f>
        <v>41</v>
      </c>
      <c r="D4708" t="str">
        <f>"Exitheuxa"</f>
        <v>Exitheuxa</v>
      </c>
    </row>
    <row r="4709" spans="1:4" x14ac:dyDescent="0.2">
      <c r="A4709" t="str">
        <f>"4708"</f>
        <v>4708</v>
      </c>
      <c r="B4709" t="str">
        <f>"-0.76"</f>
        <v>-0.76</v>
      </c>
      <c r="C4709" t="str">
        <f>"54"</f>
        <v>54</v>
      </c>
      <c r="D4709" t="str">
        <f>"Sightings"</f>
        <v>Sightings</v>
      </c>
    </row>
    <row r="4710" spans="1:4" x14ac:dyDescent="0.2">
      <c r="A4710" t="str">
        <f>"4709"</f>
        <v>4709</v>
      </c>
      <c r="B4710" t="str">
        <f>"0.56"</f>
        <v>0.56</v>
      </c>
      <c r="C4710" t="str">
        <f>"73"</f>
        <v>73</v>
      </c>
      <c r="D4710" t="str">
        <f>"Pipe Dreams of Instant Prince Whippet EP"</f>
        <v>Pipe Dreams of Instant Prince Whippet EP</v>
      </c>
    </row>
    <row r="4711" spans="1:4" x14ac:dyDescent="0.2">
      <c r="A4711" t="str">
        <f>"4710"</f>
        <v>4710</v>
      </c>
      <c r="B4711" t="str">
        <f>"-0.61"</f>
        <v>-0.61</v>
      </c>
      <c r="C4711" t="str">
        <f>"97"</f>
        <v>97</v>
      </c>
      <c r="D4711" t="str">
        <f>"Nothing"</f>
        <v>Nothing</v>
      </c>
    </row>
    <row r="4712" spans="1:4" x14ac:dyDescent="0.2">
      <c r="A4712" t="str">
        <f>"4711"</f>
        <v>4711</v>
      </c>
      <c r="B4712" t="str">
        <f>"-0.65"</f>
        <v>-0.65</v>
      </c>
      <c r="C4712" t="str">
        <f>"65"</f>
        <v>65</v>
      </c>
      <c r="D4712" t="str">
        <f>"Chapel of the Chimes EP"</f>
        <v>Chapel of the Chimes EP</v>
      </c>
    </row>
    <row r="4713" spans="1:4" x14ac:dyDescent="0.2">
      <c r="A4713" t="str">
        <f>"4712"</f>
        <v>4712</v>
      </c>
      <c r="B4713" t="str">
        <f>"-0.66"</f>
        <v>-0.66</v>
      </c>
      <c r="C4713" t="str">
        <f>"95"</f>
        <v>95</v>
      </c>
      <c r="D4713" t="str">
        <f>"Swarm &amp; Dither"</f>
        <v>Swarm &amp; Dither</v>
      </c>
    </row>
    <row r="4714" spans="1:4" x14ac:dyDescent="0.2">
      <c r="A4714" t="str">
        <f>"4713"</f>
        <v>4713</v>
      </c>
      <c r="B4714" t="str">
        <f>"-0.18"</f>
        <v>-0.18</v>
      </c>
      <c r="C4714" t="str">
        <f>"70"</f>
        <v>70</v>
      </c>
      <c r="D4714" t="str">
        <f>"Further Nuggets: Luke Vibert's Selection"</f>
        <v>Further Nuggets: Luke Vibert's Selection</v>
      </c>
    </row>
    <row r="4715" spans="1:4" x14ac:dyDescent="0.2">
      <c r="A4715" t="str">
        <f>"4714"</f>
        <v>4714</v>
      </c>
      <c r="B4715" t="str">
        <f>"-0.66"</f>
        <v>-0.66</v>
      </c>
      <c r="C4715" t="str">
        <f>"62"</f>
        <v>62</v>
      </c>
      <c r="D4715" t="str">
        <f>"Enregistraur"</f>
        <v>Enregistraur</v>
      </c>
    </row>
    <row r="4716" spans="1:4" x14ac:dyDescent="0.2">
      <c r="A4716" t="str">
        <f>"4715"</f>
        <v>4715</v>
      </c>
      <c r="B4716" t="str">
        <f>"-0.83"</f>
        <v>-0.83</v>
      </c>
      <c r="C4716" t="str">
        <f>"62"</f>
        <v>62</v>
      </c>
      <c r="D4716" t="str">
        <f>"Aldhils Arboretum"</f>
        <v>Aldhils Arboretum</v>
      </c>
    </row>
    <row r="4717" spans="1:4" x14ac:dyDescent="0.2">
      <c r="A4717" t="str">
        <f>"4716"</f>
        <v>4716</v>
      </c>
      <c r="B4717" t="str">
        <f>"-0.19"</f>
        <v>-0.19</v>
      </c>
      <c r="C4717" t="str">
        <f>"84"</f>
        <v>84</v>
      </c>
      <c r="D4717" t="str">
        <f>"Snowing Sun"</f>
        <v>Snowing Sun</v>
      </c>
    </row>
    <row r="4718" spans="1:4" x14ac:dyDescent="0.2">
      <c r="A4718" t="str">
        <f>"4717"</f>
        <v>4717</v>
      </c>
      <c r="B4718" t="str">
        <f>"0.73"</f>
        <v>0.73</v>
      </c>
      <c r="C4718" t="str">
        <f>"73"</f>
        <v>73</v>
      </c>
      <c r="D4718" t="str">
        <f>"Power in Numbers"</f>
        <v>Power in Numbers</v>
      </c>
    </row>
    <row r="4719" spans="1:4" x14ac:dyDescent="0.2">
      <c r="A4719" t="str">
        <f>"4718"</f>
        <v>4718</v>
      </c>
      <c r="B4719" t="str">
        <f>"0"</f>
        <v>0</v>
      </c>
      <c r="C4719" t="str">
        <f>"55"</f>
        <v>55</v>
      </c>
      <c r="D4719" t="str">
        <f>"Hand of Glory"</f>
        <v>Hand of Glory</v>
      </c>
    </row>
    <row r="4720" spans="1:4" x14ac:dyDescent="0.2">
      <c r="A4720" t="str">
        <f>"4719"</f>
        <v>4719</v>
      </c>
      <c r="B4720" t="str">
        <f>"-0.21"</f>
        <v>-0.21</v>
      </c>
      <c r="C4720" t="str">
        <f>"80"</f>
        <v>80</v>
      </c>
      <c r="D4720" t="str">
        <f>"The Richest Man in Babylon"</f>
        <v>The Richest Man in Babylon</v>
      </c>
    </row>
    <row r="4721" spans="1:4" x14ac:dyDescent="0.2">
      <c r="A4721" t="str">
        <f>"4720"</f>
        <v>4720</v>
      </c>
      <c r="B4721" t="str">
        <f>"-0.88"</f>
        <v>-0.88</v>
      </c>
      <c r="C4721" t="str">
        <f>"49"</f>
        <v>49</v>
      </c>
      <c r="D4721" t="str">
        <f>"Fade In Fade Out EP"</f>
        <v>Fade In Fade Out EP</v>
      </c>
    </row>
    <row r="4722" spans="1:4" x14ac:dyDescent="0.2">
      <c r="A4722" t="str">
        <f>"4721"</f>
        <v>4721</v>
      </c>
      <c r="B4722" t="str">
        <f>"0.08"</f>
        <v>0.08</v>
      </c>
      <c r="C4722" t="str">
        <f>"51"</f>
        <v>51</v>
      </c>
      <c r="D4722" t="str">
        <f>"Bridges Worth Burning"</f>
        <v>Bridges Worth Burning</v>
      </c>
    </row>
    <row r="4723" spans="1:4" x14ac:dyDescent="0.2">
      <c r="A4723" t="str">
        <f>"4722"</f>
        <v>4722</v>
      </c>
      <c r="B4723" t="str">
        <f>"0.62"</f>
        <v>0.62</v>
      </c>
      <c r="C4723" t="str">
        <f>"80"</f>
        <v>80</v>
      </c>
      <c r="D4723" t="str">
        <f>"A Hundred Days Off"</f>
        <v>A Hundred Days Off</v>
      </c>
    </row>
    <row r="4724" spans="1:4" x14ac:dyDescent="0.2">
      <c r="A4724" t="str">
        <f>"4723"</f>
        <v>4723</v>
      </c>
      <c r="B4724" t="str">
        <f>"0.47"</f>
        <v>0.47</v>
      </c>
      <c r="C4724" t="str">
        <f>"72"</f>
        <v>72</v>
      </c>
      <c r="D4724" t="str">
        <f>"Totally Wired: The Rough Trade Anthology"</f>
        <v>Totally Wired: The Rough Trade Anthology</v>
      </c>
    </row>
    <row r="4725" spans="1:4" x14ac:dyDescent="0.2">
      <c r="A4725" t="str">
        <f>"4724"</f>
        <v>4724</v>
      </c>
      <c r="B4725" t="str">
        <f>"0.15"</f>
        <v>0.15</v>
      </c>
      <c r="C4725" t="str">
        <f>"70"</f>
        <v>70</v>
      </c>
      <c r="D4725" t="str">
        <f>"The Ligeti Project II"</f>
        <v>The Ligeti Project II</v>
      </c>
    </row>
    <row r="4726" spans="1:4" x14ac:dyDescent="0.2">
      <c r="A4726" t="str">
        <f>"4725"</f>
        <v>4725</v>
      </c>
      <c r="B4726" t="str">
        <f>"0.96"</f>
        <v>0.96</v>
      </c>
      <c r="C4726" t="str">
        <f>"48"</f>
        <v>48</v>
      </c>
      <c r="D4726" t="str">
        <f>"Extremixxx EP"</f>
        <v>Extremixxx EP</v>
      </c>
    </row>
    <row r="4727" spans="1:4" x14ac:dyDescent="0.2">
      <c r="A4727" t="str">
        <f>"4726"</f>
        <v>4726</v>
      </c>
      <c r="B4727" t="str">
        <f>"-1.13"</f>
        <v>-1.13</v>
      </c>
      <c r="C4727" t="str">
        <f>"84"</f>
        <v>84</v>
      </c>
      <c r="D4727" t="str">
        <f>"Light &amp; Magic"</f>
        <v>Light &amp; Magic</v>
      </c>
    </row>
    <row r="4728" spans="1:4" x14ac:dyDescent="0.2">
      <c r="A4728" t="str">
        <f>"4727"</f>
        <v>4727</v>
      </c>
      <c r="B4728" t="str">
        <f>"-0.58"</f>
        <v>-0.58</v>
      </c>
      <c r="C4728" t="str">
        <f>"52"</f>
        <v>52</v>
      </c>
      <c r="D4728" t="str">
        <f>"I Heart Presets EP"</f>
        <v>I Heart Presets EP</v>
      </c>
    </row>
    <row r="4729" spans="1:4" x14ac:dyDescent="0.2">
      <c r="A4729" t="str">
        <f>"4728"</f>
        <v>4728</v>
      </c>
      <c r="B4729" t="str">
        <f>"-0.51"</f>
        <v>-0.51</v>
      </c>
      <c r="C4729" t="str">
        <f>"64"</f>
        <v>64</v>
      </c>
      <c r="D4729" t="str">
        <f>"Folklore"</f>
        <v>Folklore</v>
      </c>
    </row>
    <row r="4730" spans="1:4" x14ac:dyDescent="0.2">
      <c r="A4730" t="str">
        <f>"4729"</f>
        <v>4729</v>
      </c>
      <c r="B4730" t="str">
        <f>"-0.51"</f>
        <v>-0.51</v>
      </c>
      <c r="C4730" t="str">
        <f>"83"</f>
        <v>83</v>
      </c>
      <c r="D4730" t="str">
        <f>"Deli Mood Spot"</f>
        <v>Deli Mood Spot</v>
      </c>
    </row>
    <row r="4731" spans="1:4" x14ac:dyDescent="0.2">
      <c r="A4731" t="str">
        <f>"4730"</f>
        <v>4730</v>
      </c>
      <c r="B4731" t="str">
        <f>"-0.48"</f>
        <v>-0.48</v>
      </c>
      <c r="C4731" t="str">
        <f>"73"</f>
        <v>73</v>
      </c>
      <c r="D4731" t="str">
        <f>"The Lost Tapes"</f>
        <v>The Lost Tapes</v>
      </c>
    </row>
    <row r="4732" spans="1:4" x14ac:dyDescent="0.2">
      <c r="A4732" t="str">
        <f>"4731"</f>
        <v>4731</v>
      </c>
      <c r="B4732" t="str">
        <f>"-0.64"</f>
        <v>-0.64</v>
      </c>
      <c r="C4732" t="str">
        <f>"55"</f>
        <v>55</v>
      </c>
      <c r="D4732" t="str">
        <f>"Reveille"</f>
        <v>Reveille</v>
      </c>
    </row>
    <row r="4733" spans="1:4" x14ac:dyDescent="0.2">
      <c r="A4733" t="str">
        <f>"4732"</f>
        <v>4732</v>
      </c>
      <c r="B4733" t="str">
        <f>"0.51"</f>
        <v>0.51</v>
      </c>
      <c r="C4733" t="str">
        <f>"76"</f>
        <v>76</v>
      </c>
      <c r="D4733" t="str">
        <f>"Amore del Tropico"</f>
        <v>Amore del Tropico</v>
      </c>
    </row>
    <row r="4734" spans="1:4" x14ac:dyDescent="0.2">
      <c r="A4734" t="str">
        <f>"4733"</f>
        <v>4733</v>
      </c>
      <c r="B4734" t="str">
        <f>"-0.75"</f>
        <v>-0.75</v>
      </c>
      <c r="C4734" t="str">
        <f>"61"</f>
        <v>61</v>
      </c>
      <c r="D4734" t="str">
        <f>"Jennie Bomb"</f>
        <v>Jennie Bomb</v>
      </c>
    </row>
    <row r="4735" spans="1:4" x14ac:dyDescent="0.2">
      <c r="A4735" t="str">
        <f>"4734"</f>
        <v>4734</v>
      </c>
      <c r="B4735" t="str">
        <f>"-0.12"</f>
        <v>-0.12</v>
      </c>
      <c r="C4735" t="str">
        <f>"89"</f>
        <v>89</v>
      </c>
      <c r="D4735" t="str">
        <f>"In Streams"</f>
        <v>In Streams</v>
      </c>
    </row>
    <row r="4736" spans="1:4" x14ac:dyDescent="0.2">
      <c r="A4736" t="str">
        <f>"4735"</f>
        <v>4735</v>
      </c>
      <c r="B4736" t="str">
        <f>"0.01"</f>
        <v>0.01</v>
      </c>
      <c r="C4736" t="str">
        <f>"60"</f>
        <v>60</v>
      </c>
      <c r="D4736" t="str">
        <f>"El Naval"</f>
        <v>El Naval</v>
      </c>
    </row>
    <row r="4737" spans="1:4" x14ac:dyDescent="0.2">
      <c r="A4737" t="str">
        <f>"4736"</f>
        <v>4736</v>
      </c>
      <c r="B4737" t="str">
        <f>"0.56"</f>
        <v>0.56</v>
      </c>
      <c r="C4737" t="str">
        <f>"78"</f>
        <v>78</v>
      </c>
      <c r="D4737" t="str">
        <f>"Demolition"</f>
        <v>Demolition</v>
      </c>
    </row>
    <row r="4738" spans="1:4" x14ac:dyDescent="0.2">
      <c r="A4738" t="str">
        <f>"4737"</f>
        <v>4737</v>
      </c>
      <c r="B4738" t="str">
        <f>"1.03"</f>
        <v>1.03</v>
      </c>
      <c r="C4738" t="str">
        <f>"80"</f>
        <v>80</v>
      </c>
      <c r="D4738" t="str">
        <f>"The Golden Vessyl of Sound"</f>
        <v>The Golden Vessyl of Sound</v>
      </c>
    </row>
    <row r="4739" spans="1:4" x14ac:dyDescent="0.2">
      <c r="A4739" t="str">
        <f>"4738"</f>
        <v>4738</v>
      </c>
      <c r="B4739" t="str">
        <f>"-0.57"</f>
        <v>-0.57</v>
      </c>
      <c r="C4739" t="str">
        <f>"72"</f>
        <v>72</v>
      </c>
      <c r="D4739" t="s">
        <v>163</v>
      </c>
    </row>
    <row r="4740" spans="1:4" x14ac:dyDescent="0.2">
      <c r="A4740" t="str">
        <f>"4739"</f>
        <v>4739</v>
      </c>
      <c r="B4740" t="str">
        <f>"-0.53"</f>
        <v>-0.53</v>
      </c>
      <c r="C4740" t="str">
        <f>"109"</f>
        <v>109</v>
      </c>
      <c r="D4740" t="str">
        <f>"Eyes Adrift"</f>
        <v>Eyes Adrift</v>
      </c>
    </row>
    <row r="4741" spans="1:4" x14ac:dyDescent="0.2">
      <c r="A4741" t="str">
        <f>"4740"</f>
        <v>4740</v>
      </c>
      <c r="B4741" t="str">
        <f>"-0.32"</f>
        <v>-0.32</v>
      </c>
      <c r="C4741" t="str">
        <f>"68"</f>
        <v>68</v>
      </c>
      <c r="D4741" t="str">
        <f>"Beaches and Canyons"</f>
        <v>Beaches and Canyons</v>
      </c>
    </row>
    <row r="4742" spans="1:4" x14ac:dyDescent="0.2">
      <c r="A4742" t="str">
        <f>"4741"</f>
        <v>4741</v>
      </c>
      <c r="B4742" t="str">
        <f>"0.09"</f>
        <v>0.09</v>
      </c>
      <c r="C4742" t="str">
        <f>"55"</f>
        <v>55</v>
      </c>
      <c r="D4742" t="str">
        <f>"Velocity of Sound"</f>
        <v>Velocity of Sound</v>
      </c>
    </row>
    <row r="4743" spans="1:4" x14ac:dyDescent="0.2">
      <c r="A4743" t="str">
        <f>"4742"</f>
        <v>4742</v>
      </c>
      <c r="B4743" t="str">
        <f>"0.84"</f>
        <v>0.84</v>
      </c>
      <c r="C4743" t="str">
        <f>"61"</f>
        <v>61</v>
      </c>
      <c r="D4743" t="str">
        <f>"My Love is Rotten to the Core"</f>
        <v>My Love is Rotten to the Core</v>
      </c>
    </row>
    <row r="4744" spans="1:4" x14ac:dyDescent="0.2">
      <c r="A4744" t="str">
        <f>"4743"</f>
        <v>4743</v>
      </c>
      <c r="B4744" t="str">
        <f>"-0.3"</f>
        <v>-0.3</v>
      </c>
      <c r="C4744" t="str">
        <f>"73"</f>
        <v>73</v>
      </c>
      <c r="D4744" t="str">
        <f>"Music for a Meteor Shower"</f>
        <v>Music for a Meteor Shower</v>
      </c>
    </row>
    <row r="4745" spans="1:4" x14ac:dyDescent="0.2">
      <c r="A4745" t="str">
        <f>"4744"</f>
        <v>4744</v>
      </c>
      <c r="B4745" t="str">
        <f>"-0.09"</f>
        <v>-0.09</v>
      </c>
      <c r="C4745" t="str">
        <f>"83"</f>
        <v>83</v>
      </c>
      <c r="D4745" t="str">
        <f>"A Taste of Merzbow"</f>
        <v>A Taste of Merzbow</v>
      </c>
    </row>
    <row r="4746" spans="1:4" x14ac:dyDescent="0.2">
      <c r="A4746" t="str">
        <f>"4745"</f>
        <v>4745</v>
      </c>
      <c r="B4746" t="str">
        <f>"-0.64"</f>
        <v>-0.64</v>
      </c>
      <c r="C4746" t="str">
        <f>"53"</f>
        <v>53</v>
      </c>
      <c r="D4746" t="str">
        <f>"The No Music"</f>
        <v>The No Music</v>
      </c>
    </row>
    <row r="4747" spans="1:4" x14ac:dyDescent="0.2">
      <c r="A4747" t="str">
        <f>"4746"</f>
        <v>4746</v>
      </c>
      <c r="B4747" t="str">
        <f>"0.55"</f>
        <v>0.55</v>
      </c>
      <c r="C4747" t="str">
        <f>"94"</f>
        <v>94</v>
      </c>
      <c r="D4747" t="str">
        <f>"The Creek Drank the Cradle"</f>
        <v>The Creek Drank the Cradle</v>
      </c>
    </row>
    <row r="4748" spans="1:4" x14ac:dyDescent="0.2">
      <c r="A4748" t="str">
        <f>"4747"</f>
        <v>4747</v>
      </c>
      <c r="B4748" t="str">
        <f>"-0.31"</f>
        <v>-0.31</v>
      </c>
      <c r="C4748" t="str">
        <f>"161"</f>
        <v>161</v>
      </c>
      <c r="D4748" t="s">
        <v>164</v>
      </c>
    </row>
    <row r="4749" spans="1:4" x14ac:dyDescent="0.2">
      <c r="A4749" t="str">
        <f>"4748"</f>
        <v>4748</v>
      </c>
      <c r="B4749" t="str">
        <f>"-0.84"</f>
        <v>-0.84</v>
      </c>
      <c r="C4749" t="str">
        <f>"68"</f>
        <v>68</v>
      </c>
      <c r="D4749" t="str">
        <f>"Tomorrow Never Comes"</f>
        <v>Tomorrow Never Comes</v>
      </c>
    </row>
    <row r="4750" spans="1:4" x14ac:dyDescent="0.2">
      <c r="A4750" t="str">
        <f>"4749"</f>
        <v>4749</v>
      </c>
      <c r="B4750" t="str">
        <f>"0.29"</f>
        <v>0.29</v>
      </c>
      <c r="C4750" t="str">
        <f>"115"</f>
        <v>115</v>
      </c>
      <c r="D4750" t="str">
        <f>"Do You Know Squarepusher"</f>
        <v>Do You Know Squarepusher</v>
      </c>
    </row>
    <row r="4751" spans="1:4" x14ac:dyDescent="0.2">
      <c r="A4751" t="str">
        <f>"4750"</f>
        <v>4750</v>
      </c>
      <c r="B4751" t="str">
        <f>"0.5"</f>
        <v>0.5</v>
      </c>
      <c r="C4751" t="str">
        <f>"44"</f>
        <v>44</v>
      </c>
      <c r="D4751" t="str">
        <f>"...And the Women Who Love Them: Special Addition"</f>
        <v>...And the Women Who Love Them: Special Addition</v>
      </c>
    </row>
    <row r="4752" spans="1:4" x14ac:dyDescent="0.2">
      <c r="A4752" t="str">
        <f>"4751"</f>
        <v>4751</v>
      </c>
      <c r="B4752" t="str">
        <f>"-0.64"</f>
        <v>-0.64</v>
      </c>
      <c r="C4752" t="str">
        <f>"48"</f>
        <v>48</v>
      </c>
      <c r="D4752" t="str">
        <f>"45 RPM: The Singles"</f>
        <v>45 RPM: The Singles</v>
      </c>
    </row>
    <row r="4753" spans="1:4" x14ac:dyDescent="0.2">
      <c r="A4753" t="str">
        <f>"4752"</f>
        <v>4752</v>
      </c>
      <c r="B4753" t="str">
        <f>"-0.08"</f>
        <v>-0.08</v>
      </c>
      <c r="C4753" t="str">
        <f>"77"</f>
        <v>77</v>
      </c>
      <c r="D4753" t="str">
        <f>"Trust"</f>
        <v>Trust</v>
      </c>
    </row>
    <row r="4754" spans="1:4" x14ac:dyDescent="0.2">
      <c r="A4754" t="str">
        <f>"4753"</f>
        <v>4753</v>
      </c>
      <c r="B4754" t="str">
        <f>"-0.94"</f>
        <v>-0.94</v>
      </c>
      <c r="C4754" t="str">
        <f>"110"</f>
        <v>110</v>
      </c>
      <c r="D4754" t="str">
        <f>"I Phantom"</f>
        <v>I Phantom</v>
      </c>
    </row>
    <row r="4755" spans="1:4" x14ac:dyDescent="0.2">
      <c r="A4755" t="str">
        <f>"4754"</f>
        <v>4754</v>
      </c>
      <c r="B4755" t="str">
        <f>"0.6"</f>
        <v>0.6</v>
      </c>
      <c r="C4755" t="str">
        <f>"33"</f>
        <v>33</v>
      </c>
      <c r="D4755" t="str">
        <f>"Geração Bendita"</f>
        <v>Geração Bendita</v>
      </c>
    </row>
    <row r="4756" spans="1:4" x14ac:dyDescent="0.2">
      <c r="A4756" t="str">
        <f>"4755"</f>
        <v>4755</v>
      </c>
      <c r="B4756" t="str">
        <f>"0.16"</f>
        <v>0.16</v>
      </c>
      <c r="C4756" t="str">
        <f>"53"</f>
        <v>53</v>
      </c>
      <c r="D4756" t="s">
        <v>165</v>
      </c>
    </row>
    <row r="4757" spans="1:4" x14ac:dyDescent="0.2">
      <c r="A4757" t="str">
        <f>"4756"</f>
        <v>4756</v>
      </c>
      <c r="B4757" t="str">
        <f>"-0.52"</f>
        <v>-0.52</v>
      </c>
      <c r="C4757" t="str">
        <f>"99"</f>
        <v>99</v>
      </c>
      <c r="D4757" t="str">
        <f>"Cut Yourself a Switch"</f>
        <v>Cut Yourself a Switch</v>
      </c>
    </row>
    <row r="4758" spans="1:4" x14ac:dyDescent="0.2">
      <c r="A4758" t="str">
        <f>"4757"</f>
        <v>4757</v>
      </c>
      <c r="B4758" t="str">
        <f>"-0.41"</f>
        <v>-0.41</v>
      </c>
      <c r="C4758" t="str">
        <f>"67"</f>
        <v>67</v>
      </c>
      <c r="D4758" t="str">
        <f>"III"</f>
        <v>III</v>
      </c>
    </row>
    <row r="4759" spans="1:4" x14ac:dyDescent="0.2">
      <c r="A4759" t="str">
        <f>"4758"</f>
        <v>4758</v>
      </c>
      <c r="B4759" t="str">
        <f>"-0.66"</f>
        <v>-0.66</v>
      </c>
      <c r="C4759" t="str">
        <f>"32"</f>
        <v>32</v>
      </c>
      <c r="D4759" t="str">
        <f>"EPH Reissue"</f>
        <v>EPH Reissue</v>
      </c>
    </row>
    <row r="4760" spans="1:4" x14ac:dyDescent="0.2">
      <c r="A4760" t="str">
        <f>"4759"</f>
        <v>4759</v>
      </c>
      <c r="B4760" t="str">
        <f>"1.24"</f>
        <v>1.24</v>
      </c>
      <c r="C4760" t="str">
        <f>"66"</f>
        <v>66</v>
      </c>
      <c r="D4760" t="str">
        <f>"Lucid Dreaming"</f>
        <v>Lucid Dreaming</v>
      </c>
    </row>
    <row r="4761" spans="1:4" x14ac:dyDescent="0.2">
      <c r="A4761" t="str">
        <f>"4760"</f>
        <v>4760</v>
      </c>
      <c r="B4761" t="str">
        <f>"0.05"</f>
        <v>0.05</v>
      </c>
      <c r="C4761" t="str">
        <f>"48"</f>
        <v>48</v>
      </c>
      <c r="D4761" t="str">
        <f>"Time and Tide Wait for No Man"</f>
        <v>Time and Tide Wait for No Man</v>
      </c>
    </row>
    <row r="4762" spans="1:4" x14ac:dyDescent="0.2">
      <c r="A4762" t="str">
        <f>"4761"</f>
        <v>4761</v>
      </c>
      <c r="B4762" t="str">
        <f>"-0.03"</f>
        <v>-0.03</v>
      </c>
      <c r="C4762" t="str">
        <f>"21"</f>
        <v>21</v>
      </c>
      <c r="D4762" t="str">
        <f>"The Return of Fenn O'Berg"</f>
        <v>The Return of Fenn O'Berg</v>
      </c>
    </row>
    <row r="4763" spans="1:4" x14ac:dyDescent="0.2">
      <c r="A4763" t="str">
        <f>"4762"</f>
        <v>4762</v>
      </c>
      <c r="B4763" t="str">
        <f>"0.13"</f>
        <v>0.13</v>
      </c>
      <c r="C4763" t="str">
        <f>"70"</f>
        <v>70</v>
      </c>
      <c r="D4763" t="str">
        <f>"The Golden State"</f>
        <v>The Golden State</v>
      </c>
    </row>
    <row r="4764" spans="1:4" x14ac:dyDescent="0.2">
      <c r="A4764" t="str">
        <f>"4763"</f>
        <v>4763</v>
      </c>
      <c r="B4764" t="str">
        <f>"0.5"</f>
        <v>0.5</v>
      </c>
      <c r="C4764" t="str">
        <f>"65"</f>
        <v>65</v>
      </c>
      <c r="D4764" t="str">
        <f>"Jetpack Blues"</f>
        <v>Jetpack Blues</v>
      </c>
    </row>
    <row r="4765" spans="1:4" x14ac:dyDescent="0.2">
      <c r="A4765" t="str">
        <f>"4764"</f>
        <v>4764</v>
      </c>
      <c r="B4765" t="str">
        <f>"-0.61"</f>
        <v>-0.61</v>
      </c>
      <c r="C4765" t="str">
        <f>"60"</f>
        <v>60</v>
      </c>
      <c r="D4765" t="str">
        <f>"The Big Bang"</f>
        <v>The Big Bang</v>
      </c>
    </row>
    <row r="4766" spans="1:4" x14ac:dyDescent="0.2">
      <c r="A4766" t="str">
        <f>"4765"</f>
        <v>4765</v>
      </c>
      <c r="B4766" t="str">
        <f>"-0.41"</f>
        <v>-0.41</v>
      </c>
      <c r="C4766" t="str">
        <f>"85"</f>
        <v>85</v>
      </c>
      <c r="D4766" t="str">
        <f>"Now You Know"</f>
        <v>Now You Know</v>
      </c>
    </row>
    <row r="4767" spans="1:4" x14ac:dyDescent="0.2">
      <c r="A4767" t="str">
        <f>"4766"</f>
        <v>4766</v>
      </c>
      <c r="B4767" t="str">
        <f>"-0.14"</f>
        <v>-0.14</v>
      </c>
      <c r="C4767" t="str">
        <f>"76"</f>
        <v>76</v>
      </c>
      <c r="D4767" t="str">
        <f>"Mistake"</f>
        <v>Mistake</v>
      </c>
    </row>
    <row r="4768" spans="1:4" x14ac:dyDescent="0.2">
      <c r="A4768" t="str">
        <f>"4767"</f>
        <v>4767</v>
      </c>
      <c r="B4768" t="str">
        <f>"-1.21"</f>
        <v>-1.21</v>
      </c>
      <c r="C4768" t="str">
        <f>"50"</f>
        <v>50</v>
      </c>
      <c r="D4768" t="str">
        <f>"'96 Drum N Bass Classixxx"</f>
        <v>'96 Drum N Bass Classixxx</v>
      </c>
    </row>
    <row r="4769" spans="1:4" x14ac:dyDescent="0.2">
      <c r="A4769" t="str">
        <f>"4768"</f>
        <v>4768</v>
      </c>
      <c r="B4769" t="str">
        <f>"-0.48"</f>
        <v>-0.48</v>
      </c>
      <c r="C4769" t="str">
        <f>"123"</f>
        <v>123</v>
      </c>
      <c r="D4769" t="str">
        <f>"Sea Change"</f>
        <v>Sea Change</v>
      </c>
    </row>
    <row r="4770" spans="1:4" x14ac:dyDescent="0.2">
      <c r="A4770" t="str">
        <f>"4769"</f>
        <v>4769</v>
      </c>
      <c r="B4770" t="str">
        <f>"0.15"</f>
        <v>0.15</v>
      </c>
      <c r="C4770" t="str">
        <f>"40"</f>
        <v>40</v>
      </c>
      <c r="D4770" t="str">
        <f>"Low Light Dreams"</f>
        <v>Low Light Dreams</v>
      </c>
    </row>
    <row r="4771" spans="1:4" x14ac:dyDescent="0.2">
      <c r="A4771" t="str">
        <f>"4770"</f>
        <v>4770</v>
      </c>
      <c r="B4771" t="str">
        <f>"-0.06"</f>
        <v>-0.06</v>
      </c>
      <c r="C4771" t="str">
        <f>"52"</f>
        <v>52</v>
      </c>
      <c r="D4771" t="str">
        <f>"Be Gentle with the Warm Turtle"</f>
        <v>Be Gentle with the Warm Turtle</v>
      </c>
    </row>
    <row r="4772" spans="1:4" x14ac:dyDescent="0.2">
      <c r="A4772" t="str">
        <f>"4771"</f>
        <v>4771</v>
      </c>
      <c r="B4772" t="str">
        <f>"-0.42"</f>
        <v>-0.42</v>
      </c>
      <c r="C4772" t="str">
        <f>"22"</f>
        <v>22</v>
      </c>
      <c r="D4772" t="str">
        <f>"1st + 2nd"</f>
        <v>1st + 2nd</v>
      </c>
    </row>
    <row r="4773" spans="1:4" x14ac:dyDescent="0.2">
      <c r="A4773" t="str">
        <f>"4772"</f>
        <v>4772</v>
      </c>
      <c r="B4773" t="str">
        <f>"0.38"</f>
        <v>0.38</v>
      </c>
      <c r="C4773" t="str">
        <f>"54"</f>
        <v>54</v>
      </c>
      <c r="D4773" t="str">
        <f>"The Lakewood"</f>
        <v>The Lakewood</v>
      </c>
    </row>
    <row r="4774" spans="1:4" x14ac:dyDescent="0.2">
      <c r="A4774" t="str">
        <f>"4773"</f>
        <v>4773</v>
      </c>
      <c r="B4774" t="str">
        <f>"-0.27"</f>
        <v>-0.27</v>
      </c>
      <c r="C4774" t="str">
        <f>"56"</f>
        <v>56</v>
      </c>
      <c r="D4774" t="str">
        <f>"Mclusky Do Dallas"</f>
        <v>Mclusky Do Dallas</v>
      </c>
    </row>
    <row r="4775" spans="1:4" x14ac:dyDescent="0.2">
      <c r="A4775" t="str">
        <f>"4774"</f>
        <v>4774</v>
      </c>
      <c r="B4775" t="str">
        <f>"0.08"</f>
        <v>0.08</v>
      </c>
      <c r="C4775" t="str">
        <f>"74"</f>
        <v>74</v>
      </c>
      <c r="D4775" t="str">
        <f>"Every Day"</f>
        <v>Every Day</v>
      </c>
    </row>
    <row r="4776" spans="1:4" x14ac:dyDescent="0.2">
      <c r="A4776" t="str">
        <f>"4775"</f>
        <v>4775</v>
      </c>
      <c r="B4776" t="str">
        <f>"-0.42"</f>
        <v>-0.42</v>
      </c>
      <c r="C4776" t="str">
        <f>"71"</f>
        <v>71</v>
      </c>
      <c r="D4776" t="str">
        <f>"Children of the Black Sun"</f>
        <v>Children of the Black Sun</v>
      </c>
    </row>
    <row r="4777" spans="1:4" x14ac:dyDescent="0.2">
      <c r="A4777" t="str">
        <f>"4776"</f>
        <v>4776</v>
      </c>
      <c r="B4777" t="str">
        <f>"0.73"</f>
        <v>0.73</v>
      </c>
      <c r="C4777" t="str">
        <f>"65"</f>
        <v>65</v>
      </c>
      <c r="D4777" t="str">
        <f>"Zoomer"</f>
        <v>Zoomer</v>
      </c>
    </row>
    <row r="4778" spans="1:4" x14ac:dyDescent="0.2">
      <c r="A4778" t="str">
        <f>"4777"</f>
        <v>4777</v>
      </c>
      <c r="B4778" t="str">
        <f>"0.39"</f>
        <v>0.39</v>
      </c>
      <c r="C4778" t="str">
        <f>"72"</f>
        <v>72</v>
      </c>
      <c r="D4778" t="str">
        <f>"Sha Sha"</f>
        <v>Sha Sha</v>
      </c>
    </row>
    <row r="4779" spans="1:4" x14ac:dyDescent="0.2">
      <c r="A4779" t="str">
        <f>"4778"</f>
        <v>4778</v>
      </c>
      <c r="B4779" t="str">
        <f>"-1.84"</f>
        <v>-1.84</v>
      </c>
      <c r="C4779" t="str">
        <f>"24"</f>
        <v>24</v>
      </c>
      <c r="D4779" t="str">
        <f>"Front End Lifter"</f>
        <v>Front End Lifter</v>
      </c>
    </row>
    <row r="4780" spans="1:4" x14ac:dyDescent="0.2">
      <c r="A4780" t="str">
        <f>"4779"</f>
        <v>4779</v>
      </c>
      <c r="B4780" t="str">
        <f>"-0.74"</f>
        <v>-0.74</v>
      </c>
      <c r="C4780" t="str">
        <f>"31"</f>
        <v>31</v>
      </c>
      <c r="D4780" t="str">
        <f>"2370894"</f>
        <v>2370894</v>
      </c>
    </row>
    <row r="4781" spans="1:4" x14ac:dyDescent="0.2">
      <c r="A4781" t="str">
        <f>"4780"</f>
        <v>4780</v>
      </c>
      <c r="B4781" t="str">
        <f>"-0.72"</f>
        <v>-0.72</v>
      </c>
      <c r="C4781" t="str">
        <f>"63"</f>
        <v>63</v>
      </c>
      <c r="D4781" t="str">
        <f>"Sprung"</f>
        <v>Sprung</v>
      </c>
    </row>
    <row r="4782" spans="1:4" x14ac:dyDescent="0.2">
      <c r="A4782" t="str">
        <f>"4781"</f>
        <v>4781</v>
      </c>
      <c r="B4782" t="str">
        <f>"-0.94"</f>
        <v>-0.94</v>
      </c>
      <c r="C4782" t="str">
        <f>"56"</f>
        <v>56</v>
      </c>
      <c r="D4782" t="str">
        <f>"Songs of Mac EP"</f>
        <v>Songs of Mac EP</v>
      </c>
    </row>
    <row r="4783" spans="1:4" x14ac:dyDescent="0.2">
      <c r="A4783" t="str">
        <f>"4782"</f>
        <v>4782</v>
      </c>
      <c r="B4783" t="str">
        <f>"0.56"</f>
        <v>0.56</v>
      </c>
      <c r="C4783" t="str">
        <f>"65"</f>
        <v>65</v>
      </c>
      <c r="D4783" t="str">
        <f>"Howard Hello"</f>
        <v>Howard Hello</v>
      </c>
    </row>
    <row r="4784" spans="1:4" x14ac:dyDescent="0.2">
      <c r="A4784" t="str">
        <f>"4783"</f>
        <v>4783</v>
      </c>
      <c r="B4784" t="str">
        <f>"-0.24"</f>
        <v>-0.24</v>
      </c>
      <c r="C4784" t="str">
        <f>"54"</f>
        <v>54</v>
      </c>
      <c r="D4784" t="str">
        <f>"Hostile Ambient Takeover"</f>
        <v>Hostile Ambient Takeover</v>
      </c>
    </row>
    <row r="4785" spans="1:4" x14ac:dyDescent="0.2">
      <c r="A4785" t="str">
        <f>"4784"</f>
        <v>4784</v>
      </c>
      <c r="B4785" t="str">
        <f>"0.11"</f>
        <v>0.11</v>
      </c>
      <c r="C4785" t="str">
        <f>"39"</f>
        <v>39</v>
      </c>
      <c r="D4785" t="str">
        <f>"The Bright Side"</f>
        <v>The Bright Side</v>
      </c>
    </row>
    <row r="4786" spans="1:4" x14ac:dyDescent="0.2">
      <c r="A4786" t="str">
        <f>"4785"</f>
        <v>4785</v>
      </c>
      <c r="B4786" t="str">
        <f>"-0.13"</f>
        <v>-0.13</v>
      </c>
      <c r="C4786" t="str">
        <f>"74"</f>
        <v>74</v>
      </c>
      <c r="D4786" t="str">
        <f>"Steal This Double Album"</f>
        <v>Steal This Double Album</v>
      </c>
    </row>
    <row r="4787" spans="1:4" x14ac:dyDescent="0.2">
      <c r="A4787" t="str">
        <f>"4786"</f>
        <v>4786</v>
      </c>
      <c r="B4787" t="str">
        <f>"-0.31"</f>
        <v>-0.31</v>
      </c>
      <c r="C4787" t="str">
        <f>"80"</f>
        <v>80</v>
      </c>
      <c r="D4787" t="str">
        <f>"Hitting the Ground"</f>
        <v>Hitting the Ground</v>
      </c>
    </row>
    <row r="4788" spans="1:4" x14ac:dyDescent="0.2">
      <c r="A4788" t="str">
        <f>"4787"</f>
        <v>4787</v>
      </c>
      <c r="B4788" t="str">
        <f>"-0.49"</f>
        <v>-0.49</v>
      </c>
      <c r="C4788" t="str">
        <f>"85"</f>
        <v>85</v>
      </c>
      <c r="D4788" t="str">
        <f>"'Black Letter Days' and 'Devil's Workshop'"</f>
        <v>'Black Letter Days' and 'Devil's Workshop'</v>
      </c>
    </row>
    <row r="4789" spans="1:4" x14ac:dyDescent="0.2">
      <c r="A4789" t="str">
        <f>"4788"</f>
        <v>4788</v>
      </c>
      <c r="B4789" t="str">
        <f>"0.19"</f>
        <v>0.19</v>
      </c>
      <c r="C4789" t="str">
        <f>"65"</f>
        <v>65</v>
      </c>
      <c r="D4789" t="str">
        <f>"Son of Evil Reindeer"</f>
        <v>Son of Evil Reindeer</v>
      </c>
    </row>
    <row r="4790" spans="1:4" x14ac:dyDescent="0.2">
      <c r="A4790" t="str">
        <f>"4789"</f>
        <v>4789</v>
      </c>
      <c r="B4790" t="str">
        <f>"0.39"</f>
        <v>0.39</v>
      </c>
      <c r="C4790" t="str">
        <f>"62"</f>
        <v>62</v>
      </c>
      <c r="D4790" t="str">
        <f>"Pajama Avenue"</f>
        <v>Pajama Avenue</v>
      </c>
    </row>
    <row r="4791" spans="1:4" x14ac:dyDescent="0.2">
      <c r="A4791" t="str">
        <f>"4790"</f>
        <v>4790</v>
      </c>
      <c r="B4791" t="str">
        <f>"0.28"</f>
        <v>0.28</v>
      </c>
      <c r="C4791" t="str">
        <f>"72"</f>
        <v>72</v>
      </c>
      <c r="D4791" t="str">
        <f>"O.S.T."</f>
        <v>O.S.T.</v>
      </c>
    </row>
    <row r="4792" spans="1:4" x14ac:dyDescent="0.2">
      <c r="A4792" t="str">
        <f>"4791"</f>
        <v>4791</v>
      </c>
      <c r="B4792" t="str">
        <f>"-1"</f>
        <v>-1</v>
      </c>
      <c r="C4792" t="str">
        <f>"65"</f>
        <v>65</v>
      </c>
      <c r="D4792" t="str">
        <f>"Denali"</f>
        <v>Denali</v>
      </c>
    </row>
    <row r="4793" spans="1:4" x14ac:dyDescent="0.2">
      <c r="A4793" t="str">
        <f>"4792"</f>
        <v>4792</v>
      </c>
      <c r="B4793" t="str">
        <f>"-0.28"</f>
        <v>-0.28</v>
      </c>
      <c r="C4793" t="str">
        <f>"59"</f>
        <v>59</v>
      </c>
      <c r="D4793" t="str">
        <f>"Weird War"</f>
        <v>Weird War</v>
      </c>
    </row>
    <row r="4794" spans="1:4" x14ac:dyDescent="0.2">
      <c r="A4794" t="str">
        <f>"4793"</f>
        <v>4793</v>
      </c>
      <c r="B4794" t="str">
        <f>"-0.55"</f>
        <v>-0.55</v>
      </c>
      <c r="C4794" t="str">
        <f>"57"</f>
        <v>57</v>
      </c>
      <c r="D4794" t="str">
        <f>"Apes of Wrath"</f>
        <v>Apes of Wrath</v>
      </c>
    </row>
    <row r="4795" spans="1:4" x14ac:dyDescent="0.2">
      <c r="A4795" t="str">
        <f>"4794"</f>
        <v>4794</v>
      </c>
      <c r="B4795" t="str">
        <f>"-0.17"</f>
        <v>-0.17</v>
      </c>
      <c r="C4795" t="str">
        <f>"70"</f>
        <v>70</v>
      </c>
      <c r="D4795" t="str">
        <f>"Remission"</f>
        <v>Remission</v>
      </c>
    </row>
    <row r="4796" spans="1:4" x14ac:dyDescent="0.2">
      <c r="A4796" t="str">
        <f>"4795"</f>
        <v>4795</v>
      </c>
      <c r="B4796" t="str">
        <f>"-1.4"</f>
        <v>-1.4</v>
      </c>
      <c r="C4796" t="str">
        <f>"24"</f>
        <v>24</v>
      </c>
      <c r="D4796" t="str">
        <f>"Millennium Monsterwork"</f>
        <v>Millennium Monsterwork</v>
      </c>
    </row>
    <row r="4797" spans="1:4" x14ac:dyDescent="0.2">
      <c r="A4797" t="str">
        <f>"4796"</f>
        <v>4796</v>
      </c>
      <c r="B4797" t="str">
        <f>"-0.44"</f>
        <v>-0.44</v>
      </c>
      <c r="C4797" t="str">
        <f>"70"</f>
        <v>70</v>
      </c>
      <c r="D4797" t="str">
        <f>"Your Majesty"</f>
        <v>Your Majesty</v>
      </c>
    </row>
    <row r="4798" spans="1:4" x14ac:dyDescent="0.2">
      <c r="A4798" t="str">
        <f>"4797"</f>
        <v>4797</v>
      </c>
      <c r="B4798" t="str">
        <f>"0.55"</f>
        <v>0.55</v>
      </c>
      <c r="C4798" t="str">
        <f>"85"</f>
        <v>85</v>
      </c>
      <c r="D4798" t="str">
        <f>"Urban Renewal Program"</f>
        <v>Urban Renewal Program</v>
      </c>
    </row>
    <row r="4799" spans="1:4" x14ac:dyDescent="0.2">
      <c r="A4799" t="str">
        <f>"4798"</f>
        <v>4798</v>
      </c>
      <c r="B4799" t="str">
        <f>"0.23"</f>
        <v>0.23</v>
      </c>
      <c r="C4799" t="str">
        <f>"66"</f>
        <v>66</v>
      </c>
      <c r="D4799" t="str">
        <f>"The Wigmaker in Eighteenth Century Williamsburg"</f>
        <v>The Wigmaker in Eighteenth Century Williamsburg</v>
      </c>
    </row>
    <row r="4800" spans="1:4" x14ac:dyDescent="0.2">
      <c r="A4800" t="str">
        <f>"4799"</f>
        <v>4799</v>
      </c>
      <c r="B4800" t="str">
        <f>"0.03"</f>
        <v>0.03</v>
      </c>
      <c r="C4800" t="str">
        <f>"59"</f>
        <v>59</v>
      </c>
      <c r="D4800" t="str">
        <f>"Avanti"</f>
        <v>Avanti</v>
      </c>
    </row>
    <row r="4801" spans="1:4" x14ac:dyDescent="0.2">
      <c r="A4801" t="str">
        <f>"4800"</f>
        <v>4800</v>
      </c>
      <c r="B4801" t="str">
        <f>"-1"</f>
        <v>-1</v>
      </c>
      <c r="C4801" t="str">
        <f>"65"</f>
        <v>65</v>
      </c>
      <c r="D4801" t="str">
        <f>"TKO from Tokyo 12"""</f>
        <v>TKO from Tokyo 12"</v>
      </c>
    </row>
    <row r="4802" spans="1:4" x14ac:dyDescent="0.2">
      <c r="A4802" t="str">
        <f>"4801"</f>
        <v>4801</v>
      </c>
      <c r="B4802" t="str">
        <f>"-0.22"</f>
        <v>-0.22</v>
      </c>
      <c r="C4802" t="str">
        <f>"87"</f>
        <v>87</v>
      </c>
      <c r="D4802" t="str">
        <f>"The Remote Part"</f>
        <v>The Remote Part</v>
      </c>
    </row>
    <row r="4803" spans="1:4" x14ac:dyDescent="0.2">
      <c r="A4803" t="str">
        <f>"4802"</f>
        <v>4802</v>
      </c>
      <c r="B4803" t="str">
        <f>"-0.6"</f>
        <v>-0.6</v>
      </c>
      <c r="C4803" t="str">
        <f>"55"</f>
        <v>55</v>
      </c>
      <c r="D4803" t="str">
        <f>"Hold Tight the Ropes"</f>
        <v>Hold Tight the Ropes</v>
      </c>
    </row>
    <row r="4804" spans="1:4" x14ac:dyDescent="0.2">
      <c r="A4804" t="str">
        <f>"4803"</f>
        <v>4803</v>
      </c>
      <c r="B4804" t="str">
        <f>"0.16"</f>
        <v>0.16</v>
      </c>
      <c r="C4804" t="str">
        <f>"59"</f>
        <v>59</v>
      </c>
      <c r="D4804" t="str">
        <f>"3fold"</f>
        <v>3fold</v>
      </c>
    </row>
    <row r="4805" spans="1:4" x14ac:dyDescent="0.2">
      <c r="A4805" t="str">
        <f>"4804"</f>
        <v>4804</v>
      </c>
      <c r="B4805" t="str">
        <f>"-0.55"</f>
        <v>-0.55</v>
      </c>
      <c r="C4805" t="str">
        <f>"69"</f>
        <v>69</v>
      </c>
      <c r="D4805" t="str">
        <f>"Songs for the Deaf"</f>
        <v>Songs for the Deaf</v>
      </c>
    </row>
    <row r="4806" spans="1:4" x14ac:dyDescent="0.2">
      <c r="A4806" t="str">
        <f>"4805"</f>
        <v>4805</v>
      </c>
      <c r="B4806" t="str">
        <f>"-0.02"</f>
        <v>-0.02</v>
      </c>
      <c r="C4806" t="str">
        <f>"48"</f>
        <v>48</v>
      </c>
      <c r="D4806" t="str">
        <f>"Scissorgun"</f>
        <v>Scissorgun</v>
      </c>
    </row>
    <row r="4807" spans="1:4" x14ac:dyDescent="0.2">
      <c r="A4807" t="str">
        <f>"4806"</f>
        <v>4806</v>
      </c>
      <c r="B4807" t="str">
        <f>"0.43"</f>
        <v>0.43</v>
      </c>
      <c r="C4807" t="str">
        <f>"50"</f>
        <v>50</v>
      </c>
      <c r="D4807" t="str">
        <f>"Restos de un Incendio"</f>
        <v>Restos de un Incendio</v>
      </c>
    </row>
    <row r="4808" spans="1:4" x14ac:dyDescent="0.2">
      <c r="A4808" t="str">
        <f>"4807"</f>
        <v>4807</v>
      </c>
      <c r="B4808" t="str">
        <f>"-0.44"</f>
        <v>-0.44</v>
      </c>
      <c r="C4808" t="str">
        <f>"51"</f>
        <v>51</v>
      </c>
      <c r="D4808" t="str">
        <f>"Attack of the Attacking Things"</f>
        <v>Attack of the Attacking Things</v>
      </c>
    </row>
    <row r="4809" spans="1:4" x14ac:dyDescent="0.2">
      <c r="A4809" t="str">
        <f>"4808"</f>
        <v>4808</v>
      </c>
      <c r="B4809" t="str">
        <f>"-0.2"</f>
        <v>-0.2</v>
      </c>
      <c r="C4809" t="str">
        <f>"43"</f>
        <v>43</v>
      </c>
      <c r="D4809" t="str">
        <f>"Updates EP"</f>
        <v>Updates EP</v>
      </c>
    </row>
    <row r="4810" spans="1:4" x14ac:dyDescent="0.2">
      <c r="A4810" t="str">
        <f>"4809"</f>
        <v>4809</v>
      </c>
      <c r="B4810" t="str">
        <f>"-0.9"</f>
        <v>-0.9</v>
      </c>
      <c r="C4810" t="str">
        <f>"68"</f>
        <v>68</v>
      </c>
      <c r="D4810" t="str">
        <f>"ThirdShiftGrottoSlack EP"</f>
        <v>ThirdShiftGrottoSlack EP</v>
      </c>
    </row>
    <row r="4811" spans="1:4" x14ac:dyDescent="0.2">
      <c r="A4811" t="str">
        <f>"4810"</f>
        <v>4810</v>
      </c>
      <c r="B4811" t="str">
        <f>"0.07"</f>
        <v>0.07</v>
      </c>
      <c r="C4811" t="str">
        <f>"84"</f>
        <v>84</v>
      </c>
      <c r="D4811" t="str">
        <f>"Opus Pia"</f>
        <v>Opus Pia</v>
      </c>
    </row>
    <row r="4812" spans="1:4" x14ac:dyDescent="0.2">
      <c r="A4812" t="str">
        <f>"4811"</f>
        <v>4811</v>
      </c>
      <c r="B4812" t="str">
        <f>"0.48"</f>
        <v>0.48</v>
      </c>
      <c r="C4812" t="str">
        <f>"40"</f>
        <v>40</v>
      </c>
      <c r="D4812" t="str">
        <f>"Mastered by Guy at the Exchange"</f>
        <v>Mastered by Guy at the Exchange</v>
      </c>
    </row>
    <row r="4813" spans="1:4" x14ac:dyDescent="0.2">
      <c r="A4813" t="str">
        <f>"4812"</f>
        <v>4812</v>
      </c>
      <c r="B4813" t="str">
        <f>"0.37"</f>
        <v>0.37</v>
      </c>
      <c r="C4813" t="str">
        <f>"53"</f>
        <v>53</v>
      </c>
      <c r="D4813" t="str">
        <f>"We Were Young and Needed the Money"</f>
        <v>We Were Young and Needed the Money</v>
      </c>
    </row>
    <row r="4814" spans="1:4" x14ac:dyDescent="0.2">
      <c r="A4814" t="str">
        <f>"4813"</f>
        <v>4813</v>
      </c>
      <c r="B4814" t="str">
        <f>"-1.2"</f>
        <v>-1.2</v>
      </c>
      <c r="C4814" t="str">
        <f>"53"</f>
        <v>53</v>
      </c>
      <c r="D4814" t="str">
        <f>"Low Pressure"</f>
        <v>Low Pressure</v>
      </c>
    </row>
    <row r="4815" spans="1:4" x14ac:dyDescent="0.2">
      <c r="A4815" t="str">
        <f>"4814"</f>
        <v>4814</v>
      </c>
      <c r="B4815" t="str">
        <f>"0.51"</f>
        <v>0.51</v>
      </c>
      <c r="C4815" t="str">
        <f>"34"</f>
        <v>34</v>
      </c>
      <c r="D4815" t="str">
        <f>"Dreams"</f>
        <v>Dreams</v>
      </c>
    </row>
    <row r="4816" spans="1:4" x14ac:dyDescent="0.2">
      <c r="A4816" t="str">
        <f>"4815"</f>
        <v>4815</v>
      </c>
      <c r="B4816" t="str">
        <f>"-0.07"</f>
        <v>-0.07</v>
      </c>
      <c r="C4816" t="str">
        <f>"85"</f>
        <v>85</v>
      </c>
      <c r="D4816" t="str">
        <f>"A Rush of Blood to the Head"</f>
        <v>A Rush of Blood to the Head</v>
      </c>
    </row>
    <row r="4817" spans="1:4" x14ac:dyDescent="0.2">
      <c r="A4817" t="str">
        <f>"4816"</f>
        <v>4816</v>
      </c>
      <c r="B4817" t="str">
        <f>"-1.4"</f>
        <v>-1.4</v>
      </c>
      <c r="C4817" t="str">
        <f>"76"</f>
        <v>76</v>
      </c>
      <c r="D4817" t="str">
        <f>"Ten Songs"</f>
        <v>Ten Songs</v>
      </c>
    </row>
    <row r="4818" spans="1:4" x14ac:dyDescent="0.2">
      <c r="A4818" t="str">
        <f>"4817"</f>
        <v>4817</v>
      </c>
      <c r="B4818" t="str">
        <f>"-0.7"</f>
        <v>-0.7</v>
      </c>
      <c r="C4818" t="str">
        <f>"83"</f>
        <v>83</v>
      </c>
      <c r="D4818" t="str">
        <f>"Out of the Woods"</f>
        <v>Out of the Woods</v>
      </c>
    </row>
    <row r="4819" spans="1:4" x14ac:dyDescent="0.2">
      <c r="A4819" t="str">
        <f>"4818"</f>
        <v>4818</v>
      </c>
      <c r="B4819" t="str">
        <f>"-0.4"</f>
        <v>-0.4</v>
      </c>
      <c r="C4819" t="str">
        <f>"85"</f>
        <v>85</v>
      </c>
      <c r="D4819" t="str">
        <f>"Cassia Fistula"</f>
        <v>Cassia Fistula</v>
      </c>
    </row>
    <row r="4820" spans="1:4" x14ac:dyDescent="0.2">
      <c r="A4820" t="str">
        <f>"4819"</f>
        <v>4819</v>
      </c>
      <c r="B4820" t="str">
        <f>"0.15"</f>
        <v>0.15</v>
      </c>
      <c r="C4820" t="str">
        <f>"99"</f>
        <v>99</v>
      </c>
      <c r="D4820" t="str">
        <f>"Blue Skied an' Clear"</f>
        <v>Blue Skied an' Clear</v>
      </c>
    </row>
    <row r="4821" spans="1:4" x14ac:dyDescent="0.2">
      <c r="A4821" t="str">
        <f>"4820"</f>
        <v>4820</v>
      </c>
      <c r="B4821" t="str">
        <f>"0.48"</f>
        <v>0.48</v>
      </c>
      <c r="C4821" t="str">
        <f>"57"</f>
        <v>57</v>
      </c>
      <c r="D4821" t="s">
        <v>166</v>
      </c>
    </row>
    <row r="4822" spans="1:4" x14ac:dyDescent="0.2">
      <c r="A4822" t="str">
        <f>"4821"</f>
        <v>4821</v>
      </c>
      <c r="B4822" t="str">
        <f>"0.05"</f>
        <v>0.05</v>
      </c>
      <c r="C4822" t="str">
        <f>"61"</f>
        <v>61</v>
      </c>
      <c r="D4822" t="str">
        <f>"Immortality Lessons"</f>
        <v>Immortality Lessons</v>
      </c>
    </row>
    <row r="4823" spans="1:4" x14ac:dyDescent="0.2">
      <c r="A4823" t="str">
        <f>"4822"</f>
        <v>4822</v>
      </c>
      <c r="B4823" t="str">
        <f>"-0.72"</f>
        <v>-0.72</v>
      </c>
      <c r="C4823" t="str">
        <f>"73"</f>
        <v>73</v>
      </c>
      <c r="D4823" t="str">
        <f>"Evil Heat"</f>
        <v>Evil Heat</v>
      </c>
    </row>
    <row r="4824" spans="1:4" x14ac:dyDescent="0.2">
      <c r="A4824" t="str">
        <f>"4823"</f>
        <v>4823</v>
      </c>
      <c r="B4824" t="str">
        <f>"-0.94"</f>
        <v>-0.94</v>
      </c>
      <c r="C4824" t="str">
        <f>"61"</f>
        <v>61</v>
      </c>
      <c r="D4824" t="str">
        <f>"C'mon"</f>
        <v>C'mon</v>
      </c>
    </row>
    <row r="4825" spans="1:4" x14ac:dyDescent="0.2">
      <c r="A4825" t="str">
        <f>"4824"</f>
        <v>4824</v>
      </c>
      <c r="B4825" t="str">
        <f>"0.63"</f>
        <v>0.63</v>
      </c>
      <c r="C4825" t="str">
        <f>"102"</f>
        <v>102</v>
      </c>
      <c r="D4825" t="str">
        <f>"Peanut Butter Wolf's Jukebox 45s"</f>
        <v>Peanut Butter Wolf's Jukebox 45s</v>
      </c>
    </row>
    <row r="4826" spans="1:4" x14ac:dyDescent="0.2">
      <c r="A4826" t="str">
        <f>"4825"</f>
        <v>4825</v>
      </c>
      <c r="B4826" t="str">
        <f>"0.11"</f>
        <v>0.11</v>
      </c>
      <c r="C4826" t="str">
        <f>"51"</f>
        <v>51</v>
      </c>
      <c r="D4826" t="str">
        <f>"How Animals Move"</f>
        <v>How Animals Move</v>
      </c>
    </row>
    <row r="4827" spans="1:4" x14ac:dyDescent="0.2">
      <c r="A4827" t="str">
        <f>"4826"</f>
        <v>4826</v>
      </c>
      <c r="B4827" t="str">
        <f>"-0.33"</f>
        <v>-0.33</v>
      </c>
      <c r="C4827" t="str">
        <f>"42"</f>
        <v>42</v>
      </c>
      <c r="D4827" t="str">
        <f>"Good Night Sleep"</f>
        <v>Good Night Sleep</v>
      </c>
    </row>
    <row r="4828" spans="1:4" x14ac:dyDescent="0.2">
      <c r="A4828" t="str">
        <f>"4827"</f>
        <v>4827</v>
      </c>
      <c r="B4828" t="str">
        <f>"-0.46"</f>
        <v>-0.46</v>
      </c>
      <c r="C4828" t="str">
        <f>"75"</f>
        <v>75</v>
      </c>
      <c r="D4828" t="str">
        <f>"Topsiders"</f>
        <v>Topsiders</v>
      </c>
    </row>
    <row r="4829" spans="1:4" x14ac:dyDescent="0.2">
      <c r="A4829" t="str">
        <f>"4828"</f>
        <v>4828</v>
      </c>
      <c r="B4829" t="str">
        <f>"-0.11"</f>
        <v>-0.11</v>
      </c>
      <c r="C4829" t="str">
        <f>"45"</f>
        <v>45</v>
      </c>
      <c r="D4829" t="str">
        <f>"This Is My Ampbuzz"</f>
        <v>This Is My Ampbuzz</v>
      </c>
    </row>
    <row r="4830" spans="1:4" x14ac:dyDescent="0.2">
      <c r="A4830" t="str">
        <f>"4829"</f>
        <v>4829</v>
      </c>
      <c r="B4830" t="str">
        <f>"0.39"</f>
        <v>0.39</v>
      </c>
      <c r="C4830" t="str">
        <f>"89"</f>
        <v>89</v>
      </c>
      <c r="D4830" t="s">
        <v>167</v>
      </c>
    </row>
    <row r="4831" spans="1:4" x14ac:dyDescent="0.2">
      <c r="A4831" t="str">
        <f>"4830"</f>
        <v>4830</v>
      </c>
      <c r="B4831" t="str">
        <f>"0.05"</f>
        <v>0.05</v>
      </c>
      <c r="C4831" t="str">
        <f>"80"</f>
        <v>80</v>
      </c>
      <c r="D4831" t="str">
        <f>"Wiretap Scars"</f>
        <v>Wiretap Scars</v>
      </c>
    </row>
    <row r="4832" spans="1:4" x14ac:dyDescent="0.2">
      <c r="A4832" t="str">
        <f>"4831"</f>
        <v>4831</v>
      </c>
      <c r="B4832" t="str">
        <f>"-0.52"</f>
        <v>-0.52</v>
      </c>
      <c r="C4832" t="str">
        <f>"57"</f>
        <v>57</v>
      </c>
      <c r="D4832" t="str">
        <f>"Recordings of Music for Film"</f>
        <v>Recordings of Music for Film</v>
      </c>
    </row>
    <row r="4833" spans="1:4" x14ac:dyDescent="0.2">
      <c r="A4833" t="str">
        <f>"4832"</f>
        <v>4832</v>
      </c>
      <c r="B4833" t="str">
        <f>"-0.31"</f>
        <v>-0.31</v>
      </c>
      <c r="C4833" t="str">
        <f>"58"</f>
        <v>58</v>
      </c>
      <c r="D4833" t="str">
        <f>"Missionless Days"</f>
        <v>Missionless Days</v>
      </c>
    </row>
    <row r="4834" spans="1:4" x14ac:dyDescent="0.2">
      <c r="A4834" t="str">
        <f>"4833"</f>
        <v>4833</v>
      </c>
      <c r="B4834" t="str">
        <f>"-0.07"</f>
        <v>-0.07</v>
      </c>
      <c r="C4834" t="str">
        <f>"62"</f>
        <v>62</v>
      </c>
      <c r="D4834" t="str">
        <f>"Lion Destroyed the Whole World"</f>
        <v>Lion Destroyed the Whole World</v>
      </c>
    </row>
    <row r="4835" spans="1:4" x14ac:dyDescent="0.2">
      <c r="A4835" t="str">
        <f>"4834"</f>
        <v>4834</v>
      </c>
      <c r="B4835" t="str">
        <f>"-1.08"</f>
        <v>-1.08</v>
      </c>
      <c r="C4835" t="str">
        <f>"77"</f>
        <v>77</v>
      </c>
      <c r="D4835" t="str">
        <f>"Under the Same Stars"</f>
        <v>Under the Same Stars</v>
      </c>
    </row>
    <row r="4836" spans="1:4" x14ac:dyDescent="0.2">
      <c r="A4836" t="str">
        <f>"4835"</f>
        <v>4835</v>
      </c>
      <c r="B4836" t="str">
        <f>"-0.86"</f>
        <v>-0.86</v>
      </c>
      <c r="C4836" t="str">
        <f>"130"</f>
        <v>130</v>
      </c>
      <c r="D4836" t="str">
        <f>"Optometry"</f>
        <v>Optometry</v>
      </c>
    </row>
    <row r="4837" spans="1:4" x14ac:dyDescent="0.2">
      <c r="A4837" t="str">
        <f>"4836"</f>
        <v>4836</v>
      </c>
      <c r="B4837" t="str">
        <f>"-0.46"</f>
        <v>-0.46</v>
      </c>
      <c r="C4837" t="str">
        <f>"88"</f>
        <v>88</v>
      </c>
      <c r="D4837" t="str">
        <f>"One Beat"</f>
        <v>One Beat</v>
      </c>
    </row>
    <row r="4838" spans="1:4" x14ac:dyDescent="0.2">
      <c r="A4838" t="str">
        <f>"4837"</f>
        <v>4837</v>
      </c>
      <c r="B4838" t="str">
        <f>"-0.02"</f>
        <v>-0.02</v>
      </c>
      <c r="C4838" t="str">
        <f>"76"</f>
        <v>76</v>
      </c>
      <c r="D4838" t="str">
        <f>"Guess Who This Is: A Tribute to Dom Leone"</f>
        <v>Guess Who This Is: A Tribute to Dom Leone</v>
      </c>
    </row>
    <row r="4839" spans="1:4" x14ac:dyDescent="0.2">
      <c r="A4839" t="str">
        <f>"4838"</f>
        <v>4838</v>
      </c>
      <c r="B4839" t="str">
        <f>"-0.53"</f>
        <v>-0.53</v>
      </c>
      <c r="C4839" t="str">
        <f>"68"</f>
        <v>68</v>
      </c>
      <c r="D4839" t="str">
        <f>"Water's Suite"</f>
        <v>Water's Suite</v>
      </c>
    </row>
    <row r="4840" spans="1:4" x14ac:dyDescent="0.2">
      <c r="A4840" t="str">
        <f>"4839"</f>
        <v>4839</v>
      </c>
      <c r="B4840" t="str">
        <f>"-0.38"</f>
        <v>-0.38</v>
      </c>
      <c r="C4840" t="str">
        <f>"54"</f>
        <v>54</v>
      </c>
      <c r="D4840" t="str">
        <f>"The High Exhaulted"</f>
        <v>The High Exhaulted</v>
      </c>
    </row>
    <row r="4841" spans="1:4" x14ac:dyDescent="0.2">
      <c r="A4841" t="str">
        <f>"4840"</f>
        <v>4840</v>
      </c>
      <c r="B4841" t="str">
        <f>"0.02"</f>
        <v>0.02</v>
      </c>
      <c r="C4841" t="str">
        <f>"71"</f>
        <v>71</v>
      </c>
      <c r="D4841" t="str">
        <f>"Short Careers: Original Score for the Film 'Ball of Wax'"</f>
        <v>Short Careers: Original Score for the Film 'Ball of Wax'</v>
      </c>
    </row>
    <row r="4842" spans="1:4" x14ac:dyDescent="0.2">
      <c r="A4842" t="str">
        <f>"4841"</f>
        <v>4841</v>
      </c>
      <c r="B4842" t="str">
        <f>"-0.14"</f>
        <v>-0.14</v>
      </c>
      <c r="C4842" t="str">
        <f>"79"</f>
        <v>79</v>
      </c>
      <c r="D4842" t="str">
        <f>"Blacklisted"</f>
        <v>Blacklisted</v>
      </c>
    </row>
    <row r="4843" spans="1:4" x14ac:dyDescent="0.2">
      <c r="A4843" t="str">
        <f>"4842"</f>
        <v>4842</v>
      </c>
      <c r="B4843" t="str">
        <f>"0.14"</f>
        <v>0.14</v>
      </c>
      <c r="C4843" t="str">
        <f>"85"</f>
        <v>85</v>
      </c>
      <c r="D4843" t="str">
        <f>"Straight From Your Radio EP"</f>
        <v>Straight From Your Radio EP</v>
      </c>
    </row>
    <row r="4844" spans="1:4" x14ac:dyDescent="0.2">
      <c r="A4844" t="str">
        <f>"4843"</f>
        <v>4843</v>
      </c>
      <c r="B4844" t="str">
        <f>"-0.25"</f>
        <v>-0.25</v>
      </c>
      <c r="C4844" t="str">
        <f>"51"</f>
        <v>51</v>
      </c>
      <c r="D4844" t="str">
        <f>"Lost in Space"</f>
        <v>Lost in Space</v>
      </c>
    </row>
    <row r="4845" spans="1:4" x14ac:dyDescent="0.2">
      <c r="A4845" t="str">
        <f>"4844"</f>
        <v>4844</v>
      </c>
      <c r="B4845" t="str">
        <f>"-0.04"</f>
        <v>-0.04</v>
      </c>
      <c r="C4845" t="str">
        <f>"52"</f>
        <v>52</v>
      </c>
      <c r="D4845" t="str">
        <f>"At Sixes and Sevens"</f>
        <v>At Sixes and Sevens</v>
      </c>
    </row>
    <row r="4846" spans="1:4" x14ac:dyDescent="0.2">
      <c r="A4846" t="str">
        <f>"4845"</f>
        <v>4845</v>
      </c>
      <c r="B4846" t="str">
        <f>"-1.52"</f>
        <v>-1.52</v>
      </c>
      <c r="C4846" t="str">
        <f>"95"</f>
        <v>95</v>
      </c>
      <c r="D4846" t="str">
        <f>"Airdrawndagger"</f>
        <v>Airdrawndagger</v>
      </c>
    </row>
    <row r="4847" spans="1:4" x14ac:dyDescent="0.2">
      <c r="A4847" t="str">
        <f>"4846"</f>
        <v>4846</v>
      </c>
      <c r="B4847" t="str">
        <f>"0.81"</f>
        <v>0.81</v>
      </c>
      <c r="C4847" t="str">
        <f>"77"</f>
        <v>77</v>
      </c>
      <c r="D4847" t="str">
        <f>"We Are Science"</f>
        <v>We Are Science</v>
      </c>
    </row>
    <row r="4848" spans="1:4" x14ac:dyDescent="0.2">
      <c r="A4848" t="str">
        <f>"4847"</f>
        <v>4847</v>
      </c>
      <c r="B4848" t="str">
        <f>"0.56"</f>
        <v>0.56</v>
      </c>
      <c r="C4848" t="str">
        <f>"96"</f>
        <v>96</v>
      </c>
      <c r="D4848" t="str">
        <f>"Pixies"</f>
        <v>Pixies</v>
      </c>
    </row>
    <row r="4849" spans="1:4" x14ac:dyDescent="0.2">
      <c r="A4849" t="str">
        <f>"4848"</f>
        <v>4848</v>
      </c>
      <c r="B4849" t="str">
        <f>"0"</f>
        <v>0</v>
      </c>
      <c r="C4849" t="str">
        <f>"68"</f>
        <v>68</v>
      </c>
      <c r="D4849" t="str">
        <f>"Original Pirate Material"</f>
        <v>Original Pirate Material</v>
      </c>
    </row>
    <row r="4850" spans="1:4" x14ac:dyDescent="0.2">
      <c r="A4850" t="str">
        <f>"4849"</f>
        <v>4849</v>
      </c>
      <c r="B4850" t="str">
        <f>"-0.41"</f>
        <v>-0.41</v>
      </c>
      <c r="C4850" t="str">
        <f>"82"</f>
        <v>82</v>
      </c>
      <c r="D4850" t="str">
        <f>"Everything After the Bomb Is Sci-Fi"</f>
        <v>Everything After the Bomb Is Sci-Fi</v>
      </c>
    </row>
    <row r="4851" spans="1:4" x14ac:dyDescent="0.2">
      <c r="A4851" t="str">
        <f>"4850"</f>
        <v>4850</v>
      </c>
      <c r="B4851" t="str">
        <f>"-0.45"</f>
        <v>-0.45</v>
      </c>
      <c r="C4851" t="str">
        <f>"52"</f>
        <v>52</v>
      </c>
      <c r="D4851" t="str">
        <f>"OOOH! (Out of Our Heads)"</f>
        <v>OOOH! (Out of Our Heads)</v>
      </c>
    </row>
    <row r="4852" spans="1:4" x14ac:dyDescent="0.2">
      <c r="A4852" t="str">
        <f>"4851"</f>
        <v>4851</v>
      </c>
      <c r="B4852" t="str">
        <f>"0.32"</f>
        <v>0.32</v>
      </c>
      <c r="C4852" t="str">
        <f>"47"</f>
        <v>47</v>
      </c>
      <c r="D4852" t="str">
        <f>"Millions of Brazilians"</f>
        <v>Millions of Brazilians</v>
      </c>
    </row>
    <row r="4853" spans="1:4" x14ac:dyDescent="0.2">
      <c r="A4853" t="str">
        <f>"4852"</f>
        <v>4852</v>
      </c>
      <c r="B4853" t="str">
        <f>"0.84"</f>
        <v>0.84</v>
      </c>
      <c r="C4853" t="str">
        <f>"68"</f>
        <v>68</v>
      </c>
      <c r="D4853" t="str">
        <f>"Gradations"</f>
        <v>Gradations</v>
      </c>
    </row>
    <row r="4854" spans="1:4" x14ac:dyDescent="0.2">
      <c r="A4854" t="str">
        <f>"4853"</f>
        <v>4853</v>
      </c>
      <c r="B4854" t="str">
        <f>"-0.2"</f>
        <v>-0.2</v>
      </c>
      <c r="C4854" t="str">
        <f>"45"</f>
        <v>45</v>
      </c>
      <c r="D4854" t="str">
        <f>"Arkansas Heat EP"</f>
        <v>Arkansas Heat EP</v>
      </c>
    </row>
    <row r="4855" spans="1:4" x14ac:dyDescent="0.2">
      <c r="A4855" t="str">
        <f>"4854"</f>
        <v>4854</v>
      </c>
      <c r="B4855" t="str">
        <f>"0.49"</f>
        <v>0.49</v>
      </c>
      <c r="C4855" t="str">
        <f>"69"</f>
        <v>69</v>
      </c>
      <c r="D4855" t="str">
        <f>"Sun Papa and the Fan Club Orchestra Vol. 1 and Vol. 2"</f>
        <v>Sun Papa and the Fan Club Orchestra Vol. 1 and Vol. 2</v>
      </c>
    </row>
    <row r="4856" spans="1:4" x14ac:dyDescent="0.2">
      <c r="A4856" t="str">
        <f>"4855"</f>
        <v>4855</v>
      </c>
      <c r="B4856" t="str">
        <f>"-0.87"</f>
        <v>-0.87</v>
      </c>
      <c r="C4856" t="str">
        <f>"83"</f>
        <v>83</v>
      </c>
      <c r="D4856" t="str">
        <f>"Since We've Become Translucent"</f>
        <v>Since We've Become Translucent</v>
      </c>
    </row>
    <row r="4857" spans="1:4" x14ac:dyDescent="0.2">
      <c r="A4857" t="str">
        <f>"4856"</f>
        <v>4856</v>
      </c>
      <c r="B4857" t="str">
        <f>"0.43"</f>
        <v>0.43</v>
      </c>
      <c r="C4857" t="str">
        <f>"60"</f>
        <v>60</v>
      </c>
      <c r="D4857" t="str">
        <f>"Raining on the Moon"</f>
        <v>Raining on the Moon</v>
      </c>
    </row>
    <row r="4858" spans="1:4" x14ac:dyDescent="0.2">
      <c r="A4858" t="str">
        <f>"4857"</f>
        <v>4857</v>
      </c>
      <c r="B4858" t="str">
        <f>"0.54"</f>
        <v>0.54</v>
      </c>
      <c r="C4858" t="str">
        <f>"74"</f>
        <v>74</v>
      </c>
      <c r="D4858" t="str">
        <f>"Home: Split EP Series Vol. IV"</f>
        <v>Home: Split EP Series Vol. IV</v>
      </c>
    </row>
    <row r="4859" spans="1:4" x14ac:dyDescent="0.2">
      <c r="A4859" t="str">
        <f>"4858"</f>
        <v>4858</v>
      </c>
      <c r="B4859" t="str">
        <f>"-0.78"</f>
        <v>-0.78</v>
      </c>
      <c r="C4859" t="str">
        <f>"90"</f>
        <v>90</v>
      </c>
      <c r="D4859" t="str">
        <f>"Revolverlution"</f>
        <v>Revolverlution</v>
      </c>
    </row>
    <row r="4860" spans="1:4" x14ac:dyDescent="0.2">
      <c r="A4860" t="str">
        <f>"4859"</f>
        <v>4859</v>
      </c>
      <c r="B4860" t="str">
        <f>"0.05"</f>
        <v>0.05</v>
      </c>
      <c r="C4860" t="str">
        <f>"53"</f>
        <v>53</v>
      </c>
      <c r="D4860" t="str">
        <f>"II"</f>
        <v>II</v>
      </c>
    </row>
    <row r="4861" spans="1:4" x14ac:dyDescent="0.2">
      <c r="A4861" t="str">
        <f>"4860"</f>
        <v>4860</v>
      </c>
      <c r="B4861" t="str">
        <f>"-0.59"</f>
        <v>-0.59</v>
      </c>
      <c r="C4861" t="str">
        <f>"86"</f>
        <v>86</v>
      </c>
      <c r="D4861" t="s">
        <v>168</v>
      </c>
    </row>
    <row r="4862" spans="1:4" x14ac:dyDescent="0.2">
      <c r="A4862" t="str">
        <f>"4861"</f>
        <v>4861</v>
      </c>
      <c r="B4862" t="str">
        <f>"-0.39"</f>
        <v>-0.39</v>
      </c>
      <c r="C4862" t="str">
        <f>"124"</f>
        <v>124</v>
      </c>
      <c r="D4862" t="str">
        <f>"24 Hour Party People"</f>
        <v>24 Hour Party People</v>
      </c>
    </row>
    <row r="4863" spans="1:4" x14ac:dyDescent="0.2">
      <c r="A4863" t="str">
        <f>"4862"</f>
        <v>4862</v>
      </c>
      <c r="B4863" t="str">
        <f>"0.29"</f>
        <v>0.29</v>
      </c>
      <c r="C4863" t="str">
        <f>"79"</f>
        <v>79</v>
      </c>
      <c r="D4863" t="str">
        <f>"Turn On the Bright Lights"</f>
        <v>Turn On the Bright Lights</v>
      </c>
    </row>
    <row r="4864" spans="1:4" x14ac:dyDescent="0.2">
      <c r="A4864" t="str">
        <f>"4863"</f>
        <v>4863</v>
      </c>
      <c r="B4864" t="str">
        <f>"-0.36"</f>
        <v>-0.36</v>
      </c>
      <c r="C4864" t="str">
        <f>"62"</f>
        <v>62</v>
      </c>
      <c r="D4864" t="str">
        <f>"To Spirit Back the Mews"</f>
        <v>To Spirit Back the Mews</v>
      </c>
    </row>
    <row r="4865" spans="1:4" x14ac:dyDescent="0.2">
      <c r="A4865" t="str">
        <f>"4864"</f>
        <v>4864</v>
      </c>
      <c r="B4865" t="str">
        <f>"0.11"</f>
        <v>0.11</v>
      </c>
      <c r="C4865" t="str">
        <f>"49"</f>
        <v>49</v>
      </c>
      <c r="D4865" t="str">
        <f>"Rad Zapping"</f>
        <v>Rad Zapping</v>
      </c>
    </row>
    <row r="4866" spans="1:4" x14ac:dyDescent="0.2">
      <c r="A4866" t="str">
        <f>"4865"</f>
        <v>4865</v>
      </c>
      <c r="B4866" t="str">
        <f>"0.24"</f>
        <v>0.24</v>
      </c>
      <c r="C4866" t="str">
        <f>"83"</f>
        <v>83</v>
      </c>
      <c r="D4866" t="str">
        <f>"Last Call for Vitriol"</f>
        <v>Last Call for Vitriol</v>
      </c>
    </row>
    <row r="4867" spans="1:4" x14ac:dyDescent="0.2">
      <c r="A4867" t="str">
        <f>"4866"</f>
        <v>4866</v>
      </c>
      <c r="B4867" t="str">
        <f>"0.16"</f>
        <v>0.16</v>
      </c>
      <c r="C4867" t="str">
        <f>"86"</f>
        <v>86</v>
      </c>
      <c r="D4867" t="str">
        <f>"Villa Claustrophobia"</f>
        <v>Villa Claustrophobia</v>
      </c>
    </row>
    <row r="4868" spans="1:4" x14ac:dyDescent="0.2">
      <c r="A4868" t="str">
        <f>"4867"</f>
        <v>4867</v>
      </c>
      <c r="B4868" t="str">
        <f>"-0.27"</f>
        <v>-0.27</v>
      </c>
      <c r="C4868" t="str">
        <f>"90"</f>
        <v>90</v>
      </c>
      <c r="D4868" t="str">
        <f>"Realistes"</f>
        <v>Realistes</v>
      </c>
    </row>
    <row r="4869" spans="1:4" x14ac:dyDescent="0.2">
      <c r="A4869" t="str">
        <f>"4868"</f>
        <v>4868</v>
      </c>
      <c r="B4869" t="str">
        <f>"-0.25"</f>
        <v>-0.25</v>
      </c>
      <c r="C4869" t="str">
        <f>"78"</f>
        <v>78</v>
      </c>
      <c r="D4869" t="str">
        <f>"Gantz Graf EP"</f>
        <v>Gantz Graf EP</v>
      </c>
    </row>
    <row r="4870" spans="1:4" x14ac:dyDescent="0.2">
      <c r="A4870" t="str">
        <f>"4869"</f>
        <v>4869</v>
      </c>
      <c r="B4870" t="str">
        <f>"0.14"</f>
        <v>0.14</v>
      </c>
      <c r="C4870" t="str">
        <f>"95"</f>
        <v>95</v>
      </c>
      <c r="D4870" t="str">
        <f>"Fat Beats Compilation Vol. 2"</f>
        <v>Fat Beats Compilation Vol. 2</v>
      </c>
    </row>
    <row r="4871" spans="1:4" x14ac:dyDescent="0.2">
      <c r="A4871" t="str">
        <f>"4870"</f>
        <v>4870</v>
      </c>
      <c r="B4871" t="str">
        <f>"-0.41"</f>
        <v>-0.41</v>
      </c>
      <c r="C4871" t="str">
        <f>"84"</f>
        <v>84</v>
      </c>
      <c r="D4871" t="str">
        <f>"Songs in a Northern Key"</f>
        <v>Songs in a Northern Key</v>
      </c>
    </row>
    <row r="4872" spans="1:4" x14ac:dyDescent="0.2">
      <c r="A4872" t="str">
        <f>"4871"</f>
        <v>4871</v>
      </c>
      <c r="B4872" t="str">
        <f>"0.5"</f>
        <v>0.5</v>
      </c>
      <c r="C4872" t="str">
        <f>"62"</f>
        <v>62</v>
      </c>
      <c r="D4872" t="str">
        <f>"Octopus Off-Broadway"</f>
        <v>Octopus Off-Broadway</v>
      </c>
    </row>
    <row r="4873" spans="1:4" x14ac:dyDescent="0.2">
      <c r="A4873" t="str">
        <f>"4872"</f>
        <v>4872</v>
      </c>
      <c r="B4873" t="str">
        <f>"-0.12"</f>
        <v>-0.12</v>
      </c>
      <c r="C4873" t="str">
        <f>"99"</f>
        <v>99</v>
      </c>
      <c r="D4873" t="str">
        <f>"Kill the Moonlight"</f>
        <v>Kill the Moonlight</v>
      </c>
    </row>
    <row r="4874" spans="1:4" x14ac:dyDescent="0.2">
      <c r="A4874" t="str">
        <f>"4873"</f>
        <v>4873</v>
      </c>
      <c r="B4874" t="str">
        <f>"-0.76"</f>
        <v>-0.76</v>
      </c>
      <c r="C4874" t="str">
        <f>"98"</f>
        <v>98</v>
      </c>
      <c r="D4874" t="str">
        <f>"Envoi Villon EP"</f>
        <v>Envoi Villon EP</v>
      </c>
    </row>
    <row r="4875" spans="1:4" x14ac:dyDescent="0.2">
      <c r="A4875" t="str">
        <f>"4874"</f>
        <v>4874</v>
      </c>
      <c r="B4875" t="str">
        <f>"-0.68"</f>
        <v>-0.68</v>
      </c>
      <c r="C4875" t="str">
        <f>"80"</f>
        <v>80</v>
      </c>
      <c r="D4875" t="str">
        <f>"The Snare"</f>
        <v>The Snare</v>
      </c>
    </row>
    <row r="4876" spans="1:4" x14ac:dyDescent="0.2">
      <c r="A4876" t="str">
        <f>"4875"</f>
        <v>4875</v>
      </c>
      <c r="B4876" t="str">
        <f>"-0.21"</f>
        <v>-0.21</v>
      </c>
      <c r="C4876" t="str">
        <f>"47"</f>
        <v>47</v>
      </c>
      <c r="D4876" t="str">
        <f>"Ming Star"</f>
        <v>Ming Star</v>
      </c>
    </row>
    <row r="4877" spans="1:4" x14ac:dyDescent="0.2">
      <c r="A4877" t="str">
        <f>"4876"</f>
        <v>4876</v>
      </c>
      <c r="B4877" t="str">
        <f>"1.14"</f>
        <v>1.14</v>
      </c>
      <c r="C4877" t="str">
        <f>"111"</f>
        <v>111</v>
      </c>
      <c r="D4877" t="str">
        <f>"Black Rio: Brazil Soul Power: 1971-1980"</f>
        <v>Black Rio: Brazil Soul Power: 1971-1980</v>
      </c>
    </row>
    <row r="4878" spans="1:4" x14ac:dyDescent="0.2">
      <c r="A4878" t="str">
        <f>"4877"</f>
        <v>4877</v>
      </c>
      <c r="B4878" t="str">
        <f>"-0.06"</f>
        <v>-0.06</v>
      </c>
      <c r="C4878" t="str">
        <f>"81"</f>
        <v>81</v>
      </c>
      <c r="D4878" t="str">
        <f>"About a Boy"</f>
        <v>About a Boy</v>
      </c>
    </row>
    <row r="4879" spans="1:4" x14ac:dyDescent="0.2">
      <c r="A4879" t="str">
        <f>"4878"</f>
        <v>4878</v>
      </c>
      <c r="B4879" t="str">
        <f>"0.9"</f>
        <v>0.9</v>
      </c>
      <c r="C4879" t="str">
        <f>"79"</f>
        <v>79</v>
      </c>
      <c r="D4879" t="str">
        <f>"The Californian"</f>
        <v>The Californian</v>
      </c>
    </row>
    <row r="4880" spans="1:4" x14ac:dyDescent="0.2">
      <c r="A4880" t="str">
        <f>"4879"</f>
        <v>4879</v>
      </c>
      <c r="B4880" t="str">
        <f>"-0.09"</f>
        <v>-0.09</v>
      </c>
      <c r="C4880" t="str">
        <f>"88"</f>
        <v>88</v>
      </c>
      <c r="D4880" t="s">
        <v>169</v>
      </c>
    </row>
    <row r="4881" spans="1:4" x14ac:dyDescent="0.2">
      <c r="A4881" t="str">
        <f>"4880"</f>
        <v>4880</v>
      </c>
      <c r="B4881" t="str">
        <f>"-0.54"</f>
        <v>-0.54</v>
      </c>
      <c r="C4881" t="str">
        <f>"100"</f>
        <v>100</v>
      </c>
      <c r="D4881" t="str">
        <f>"From Filthy Tongue of Gods and Griots"</f>
        <v>From Filthy Tongue of Gods and Griots</v>
      </c>
    </row>
    <row r="4882" spans="1:4" x14ac:dyDescent="0.2">
      <c r="A4882" t="str">
        <f>"4881"</f>
        <v>4881</v>
      </c>
      <c r="B4882" t="str">
        <f>"-0.16"</f>
        <v>-0.16</v>
      </c>
      <c r="C4882" t="str">
        <f>"87"</f>
        <v>87</v>
      </c>
      <c r="D4882" t="str">
        <f>"A Word in Your Ear"</f>
        <v>A Word in Your Ear</v>
      </c>
    </row>
    <row r="4883" spans="1:4" x14ac:dyDescent="0.2">
      <c r="A4883" t="str">
        <f>"4882"</f>
        <v>4882</v>
      </c>
      <c r="B4883" t="str">
        <f>"0.66"</f>
        <v>0.66</v>
      </c>
      <c r="C4883" t="str">
        <f>"57"</f>
        <v>57</v>
      </c>
      <c r="D4883" t="str">
        <f>"Song Islands"</f>
        <v>Song Islands</v>
      </c>
    </row>
    <row r="4884" spans="1:4" x14ac:dyDescent="0.2">
      <c r="A4884" t="str">
        <f>"4883"</f>
        <v>4883</v>
      </c>
      <c r="B4884" t="str">
        <f>"-0.8"</f>
        <v>-0.8</v>
      </c>
      <c r="C4884" t="str">
        <f>"54"</f>
        <v>54</v>
      </c>
      <c r="D4884" t="str">
        <f>"Immediately EP"</f>
        <v>Immediately EP</v>
      </c>
    </row>
    <row r="4885" spans="1:4" x14ac:dyDescent="0.2">
      <c r="A4885" t="str">
        <f>"4884"</f>
        <v>4884</v>
      </c>
      <c r="B4885" t="str">
        <f>"0.51"</f>
        <v>0.51</v>
      </c>
      <c r="C4885" t="str">
        <f>"150"</f>
        <v>150</v>
      </c>
      <c r="D4885" t="str">
        <f>"Here and You"</f>
        <v>Here and You</v>
      </c>
    </row>
    <row r="4886" spans="1:4" x14ac:dyDescent="0.2">
      <c r="A4886" t="str">
        <f>"4885"</f>
        <v>4885</v>
      </c>
      <c r="B4886" t="str">
        <f>"0.11"</f>
        <v>0.11</v>
      </c>
      <c r="C4886" t="str">
        <f>"59"</f>
        <v>59</v>
      </c>
      <c r="D4886" t="str">
        <f>"Film Molecules"</f>
        <v>Film Molecules</v>
      </c>
    </row>
    <row r="4887" spans="1:4" x14ac:dyDescent="0.2">
      <c r="A4887" t="str">
        <f>"4886"</f>
        <v>4886</v>
      </c>
      <c r="B4887" t="str">
        <f>"0.15"</f>
        <v>0.15</v>
      </c>
      <c r="C4887" t="str">
        <f>"89"</f>
        <v>89</v>
      </c>
      <c r="D4887" t="str">
        <f>"Whatever It Meant"</f>
        <v>Whatever It Meant</v>
      </c>
    </row>
    <row r="4888" spans="1:4" x14ac:dyDescent="0.2">
      <c r="A4888" t="str">
        <f>"4887"</f>
        <v>4887</v>
      </c>
      <c r="B4888" t="str">
        <f>"-0.51"</f>
        <v>-0.51</v>
      </c>
      <c r="C4888" t="str">
        <f>"60"</f>
        <v>60</v>
      </c>
      <c r="D4888" t="str">
        <f>"Twinemen"</f>
        <v>Twinemen</v>
      </c>
    </row>
    <row r="4889" spans="1:4" x14ac:dyDescent="0.2">
      <c r="A4889" t="str">
        <f>"4888"</f>
        <v>4888</v>
      </c>
      <c r="B4889" t="str">
        <f>"-1.68"</f>
        <v>-1.68</v>
      </c>
      <c r="C4889" t="str">
        <f>"58"</f>
        <v>58</v>
      </c>
      <c r="D4889" t="str">
        <f>"Boom Box 2000"</f>
        <v>Boom Box 2000</v>
      </c>
    </row>
    <row r="4890" spans="1:4" x14ac:dyDescent="0.2">
      <c r="A4890" t="str">
        <f>"4889"</f>
        <v>4889</v>
      </c>
      <c r="B4890" t="str">
        <f>"-0.45"</f>
        <v>-0.45</v>
      </c>
      <c r="C4890" t="str">
        <f>"79"</f>
        <v>79</v>
      </c>
      <c r="D4890" t="str">
        <f>"You Can't Fight What You Can't See"</f>
        <v>You Can't Fight What You Can't See</v>
      </c>
    </row>
    <row r="4891" spans="1:4" x14ac:dyDescent="0.2">
      <c r="A4891" t="str">
        <f>"4890"</f>
        <v>4890</v>
      </c>
      <c r="B4891" t="str">
        <f>"-0.65"</f>
        <v>-0.65</v>
      </c>
      <c r="C4891" t="str">
        <f>"152"</f>
        <v>152</v>
      </c>
      <c r="D4891" t="str">
        <f>"Torino"</f>
        <v>Torino</v>
      </c>
    </row>
    <row r="4892" spans="1:4" x14ac:dyDescent="0.2">
      <c r="A4892" t="str">
        <f>"4891"</f>
        <v>4891</v>
      </c>
      <c r="B4892" t="str">
        <f>"-0.23"</f>
        <v>-0.23</v>
      </c>
      <c r="C4892" t="str">
        <f>"83"</f>
        <v>83</v>
      </c>
      <c r="D4892" t="str">
        <f>"Knock Knock Knock EP"</f>
        <v>Knock Knock Knock EP</v>
      </c>
    </row>
    <row r="4893" spans="1:4" x14ac:dyDescent="0.2">
      <c r="A4893" t="str">
        <f>"4892"</f>
        <v>4892</v>
      </c>
      <c r="B4893" t="str">
        <f>"0.32"</f>
        <v>0.32</v>
      </c>
      <c r="C4893" t="str">
        <f>"75"</f>
        <v>75</v>
      </c>
      <c r="D4893" t="str">
        <f>"Given You Nothing"</f>
        <v>Given You Nothing</v>
      </c>
    </row>
    <row r="4894" spans="1:4" x14ac:dyDescent="0.2">
      <c r="A4894" t="str">
        <f>"4893"</f>
        <v>4893</v>
      </c>
      <c r="B4894" t="str">
        <f>"-0.85"</f>
        <v>-0.85</v>
      </c>
      <c r="C4894" t="str">
        <f>"87"</f>
        <v>87</v>
      </c>
      <c r="D4894" t="str">
        <f>"Saint the Fire Show"</f>
        <v>Saint the Fire Show</v>
      </c>
    </row>
    <row r="4895" spans="1:4" x14ac:dyDescent="0.2">
      <c r="A4895" t="str">
        <f>"4894"</f>
        <v>4894</v>
      </c>
      <c r="B4895" t="str">
        <f>"-0.16"</f>
        <v>-0.16</v>
      </c>
      <c r="C4895" t="str">
        <f>"68"</f>
        <v>68</v>
      </c>
      <c r="D4895" t="s">
        <v>170</v>
      </c>
    </row>
    <row r="4896" spans="1:4" x14ac:dyDescent="0.2">
      <c r="A4896" t="str">
        <f>"4895"</f>
        <v>4895</v>
      </c>
      <c r="B4896" t="str">
        <f>"1.04"</f>
        <v>1.04</v>
      </c>
      <c r="C4896" t="str">
        <f>"48"</f>
        <v>48</v>
      </c>
      <c r="D4896" t="str">
        <f>"Ascend"</f>
        <v>Ascend</v>
      </c>
    </row>
    <row r="4897" spans="1:4" x14ac:dyDescent="0.2">
      <c r="A4897" t="str">
        <f>"4896"</f>
        <v>4896</v>
      </c>
      <c r="B4897" t="str">
        <f>"-0.96"</f>
        <v>-0.96</v>
      </c>
      <c r="C4897" t="str">
        <f>"50"</f>
        <v>50</v>
      </c>
      <c r="D4897" t="str">
        <f>"Able Bodies"</f>
        <v>Able Bodies</v>
      </c>
    </row>
    <row r="4898" spans="1:4" x14ac:dyDescent="0.2">
      <c r="A4898" t="str">
        <f>"4897"</f>
        <v>4897</v>
      </c>
      <c r="B4898" t="str">
        <f>"0.12"</f>
        <v>0.12</v>
      </c>
      <c r="C4898" t="str">
        <f>"70"</f>
        <v>70</v>
      </c>
      <c r="D4898" t="str">
        <f>"Stars on My Ceiling"</f>
        <v>Stars on My Ceiling</v>
      </c>
    </row>
    <row r="4899" spans="1:4" x14ac:dyDescent="0.2">
      <c r="A4899" t="str">
        <f>"4898"</f>
        <v>4898</v>
      </c>
      <c r="B4899" t="str">
        <f>"-0.32"</f>
        <v>-0.32</v>
      </c>
      <c r="C4899" t="str">
        <f>"79"</f>
        <v>79</v>
      </c>
      <c r="D4899" t="str">
        <f>"Our Land Brains"</f>
        <v>Our Land Brains</v>
      </c>
    </row>
    <row r="4900" spans="1:4" x14ac:dyDescent="0.2">
      <c r="A4900" t="str">
        <f>"4899"</f>
        <v>4899</v>
      </c>
      <c r="B4900" t="str">
        <f>"0.06"</f>
        <v>0.06</v>
      </c>
      <c r="C4900" t="str">
        <f>"53"</f>
        <v>53</v>
      </c>
      <c r="D4900" t="str">
        <f>"Lovers Not Fighters"</f>
        <v>Lovers Not Fighters</v>
      </c>
    </row>
    <row r="4901" spans="1:4" x14ac:dyDescent="0.2">
      <c r="A4901" t="str">
        <f>"4900"</f>
        <v>4900</v>
      </c>
      <c r="B4901" t="str">
        <f>"-0.48"</f>
        <v>-0.48</v>
      </c>
      <c r="C4901" t="str">
        <f>"92"</f>
        <v>92</v>
      </c>
      <c r="D4901" t="str">
        <f>"Daybreaker"</f>
        <v>Daybreaker</v>
      </c>
    </row>
    <row r="4902" spans="1:4" x14ac:dyDescent="0.2">
      <c r="A4902" t="str">
        <f>"4901"</f>
        <v>4901</v>
      </c>
      <c r="B4902" t="str">
        <f>"-0.35"</f>
        <v>-0.35</v>
      </c>
      <c r="C4902" t="str">
        <f>"74"</f>
        <v>74</v>
      </c>
      <c r="D4902" t="str">
        <f>"Seasons"</f>
        <v>Seasons</v>
      </c>
    </row>
    <row r="4903" spans="1:4" x14ac:dyDescent="0.2">
      <c r="A4903" t="str">
        <f>"4902"</f>
        <v>4902</v>
      </c>
      <c r="B4903" t="str">
        <f>"0.36"</f>
        <v>0.36</v>
      </c>
      <c r="C4903" t="str">
        <f>"55"</f>
        <v>55</v>
      </c>
      <c r="D4903" t="str">
        <f>"Map Ends: 1995-2001"</f>
        <v>Map Ends: 1995-2001</v>
      </c>
    </row>
    <row r="4904" spans="1:4" x14ac:dyDescent="0.2">
      <c r="A4904" t="str">
        <f>"4903"</f>
        <v>4903</v>
      </c>
      <c r="B4904" t="str">
        <f>"-0.78"</f>
        <v>-0.78</v>
      </c>
      <c r="C4904" t="str">
        <f>"104"</f>
        <v>104</v>
      </c>
      <c r="D4904" t="str">
        <f>"IAO"</f>
        <v>IAO</v>
      </c>
    </row>
    <row r="4905" spans="1:4" x14ac:dyDescent="0.2">
      <c r="A4905" t="str">
        <f>"4904"</f>
        <v>4904</v>
      </c>
      <c r="B4905" t="str">
        <f>"-0.83"</f>
        <v>-0.83</v>
      </c>
      <c r="C4905" t="str">
        <f>"85"</f>
        <v>85</v>
      </c>
      <c r="D4905" t="str">
        <f>"Actors and Actresses"</f>
        <v>Actors and Actresses</v>
      </c>
    </row>
    <row r="4906" spans="1:4" x14ac:dyDescent="0.2">
      <c r="A4906" t="str">
        <f>"4905"</f>
        <v>4905</v>
      </c>
      <c r="B4906" t="str">
        <f>"0.29"</f>
        <v>0.29</v>
      </c>
      <c r="C4906" t="str">
        <f>"86"</f>
        <v>86</v>
      </c>
      <c r="D4906" t="str">
        <f>"The Sounds of the Sounds of Science"</f>
        <v>The Sounds of the Sounds of Science</v>
      </c>
    </row>
    <row r="4907" spans="1:4" x14ac:dyDescent="0.2">
      <c r="A4907" t="str">
        <f>"4906"</f>
        <v>4906</v>
      </c>
      <c r="B4907" t="str">
        <f>"0.67"</f>
        <v>0.67</v>
      </c>
      <c r="C4907" t="str">
        <f>"59"</f>
        <v>59</v>
      </c>
      <c r="D4907" t="str">
        <f>"Specifics"</f>
        <v>Specifics</v>
      </c>
    </row>
    <row r="4908" spans="1:4" x14ac:dyDescent="0.2">
      <c r="A4908" t="str">
        <f>"4907"</f>
        <v>4907</v>
      </c>
      <c r="B4908" t="str">
        <f>"-0.86"</f>
        <v>-0.86</v>
      </c>
      <c r="C4908" t="str">
        <f>"65"</f>
        <v>65</v>
      </c>
      <c r="D4908" t="str">
        <f>"In the Fishtank (with Telefunk)"</f>
        <v>In the Fishtank (with Telefunk)</v>
      </c>
    </row>
    <row r="4909" spans="1:4" x14ac:dyDescent="0.2">
      <c r="A4909" t="str">
        <f>"4908"</f>
        <v>4908</v>
      </c>
      <c r="B4909" t="str">
        <f>"0.43"</f>
        <v>0.43</v>
      </c>
      <c r="C4909" t="str">
        <f>"69"</f>
        <v>69</v>
      </c>
      <c r="D4909" t="str">
        <f>"I'm Lonely (And I Love It) EP"</f>
        <v>I'm Lonely (And I Love It) EP</v>
      </c>
    </row>
    <row r="4910" spans="1:4" x14ac:dyDescent="0.2">
      <c r="A4910" t="str">
        <f>"4909"</f>
        <v>4909</v>
      </c>
      <c r="B4910" t="str">
        <f>"-1.17"</f>
        <v>-1.17</v>
      </c>
      <c r="C4910" t="str">
        <f>"48"</f>
        <v>48</v>
      </c>
      <c r="D4910" t="str">
        <f>"After Mathematics"</f>
        <v>After Mathematics</v>
      </c>
    </row>
    <row r="4911" spans="1:4" x14ac:dyDescent="0.2">
      <c r="A4911" t="str">
        <f>"4910"</f>
        <v>4910</v>
      </c>
      <c r="B4911" t="str">
        <f>"-0.03"</f>
        <v>-0.03</v>
      </c>
      <c r="C4911" t="str">
        <f>"105"</f>
        <v>105</v>
      </c>
      <c r="D4911" t="str">
        <f>"What Was Me"</f>
        <v>What Was Me</v>
      </c>
    </row>
    <row r="4912" spans="1:4" x14ac:dyDescent="0.2">
      <c r="A4912" t="str">
        <f>"4911"</f>
        <v>4911</v>
      </c>
      <c r="B4912" t="str">
        <f>"-1.05"</f>
        <v>-1.05</v>
      </c>
      <c r="C4912" t="str">
        <f>"55"</f>
        <v>55</v>
      </c>
      <c r="D4912" t="str">
        <f>"The Pupils"</f>
        <v>The Pupils</v>
      </c>
    </row>
    <row r="4913" spans="1:4" x14ac:dyDescent="0.2">
      <c r="A4913" t="str">
        <f>"4912"</f>
        <v>4912</v>
      </c>
      <c r="B4913" t="str">
        <f>"-0.23"</f>
        <v>-0.23</v>
      </c>
      <c r="C4913" t="str">
        <f>"65"</f>
        <v>65</v>
      </c>
      <c r="D4913" t="str">
        <f>"Slumber"</f>
        <v>Slumber</v>
      </c>
    </row>
    <row r="4914" spans="1:4" x14ac:dyDescent="0.2">
      <c r="A4914" t="str">
        <f>"4913"</f>
        <v>4913</v>
      </c>
      <c r="B4914" t="str">
        <f>"-0.56"</f>
        <v>-0.56</v>
      </c>
      <c r="C4914" t="str">
        <f>"66"</f>
        <v>66</v>
      </c>
      <c r="D4914" t="str">
        <f>"Seed to Sun"</f>
        <v>Seed to Sun</v>
      </c>
    </row>
    <row r="4915" spans="1:4" x14ac:dyDescent="0.2">
      <c r="A4915" t="str">
        <f>"4914"</f>
        <v>4914</v>
      </c>
      <c r="B4915" t="str">
        <f>"-1.3"</f>
        <v>-1.3</v>
      </c>
      <c r="C4915" t="str">
        <f>"58"</f>
        <v>58</v>
      </c>
      <c r="D4915" t="str">
        <f>"The Tight Connection"</f>
        <v>The Tight Connection</v>
      </c>
    </row>
    <row r="4916" spans="1:4" x14ac:dyDescent="0.2">
      <c r="A4916" t="str">
        <f>"4915"</f>
        <v>4915</v>
      </c>
      <c r="B4916" t="str">
        <f>"-0.13"</f>
        <v>-0.13</v>
      </c>
      <c r="C4916" t="str">
        <f>"79"</f>
        <v>79</v>
      </c>
      <c r="D4916" t="str">
        <f>"My Way"</f>
        <v>My Way</v>
      </c>
    </row>
    <row r="4917" spans="1:4" x14ac:dyDescent="0.2">
      <c r="A4917" t="str">
        <f>"4916"</f>
        <v>4916</v>
      </c>
      <c r="B4917" t="str">
        <f>"-0.05"</f>
        <v>-0.05</v>
      </c>
      <c r="C4917" t="str">
        <f>"83"</f>
        <v>83</v>
      </c>
      <c r="D4917" t="str">
        <f>"Highly Evolved"</f>
        <v>Highly Evolved</v>
      </c>
    </row>
    <row r="4918" spans="1:4" x14ac:dyDescent="0.2">
      <c r="A4918" t="str">
        <f>"4917"</f>
        <v>4917</v>
      </c>
      <c r="B4918" t="str">
        <f>"0.37"</f>
        <v>0.37</v>
      </c>
      <c r="C4918" t="str">
        <f>"80"</f>
        <v>80</v>
      </c>
      <c r="D4918" t="str">
        <f>"Alone I Admire"</f>
        <v>Alone I Admire</v>
      </c>
    </row>
    <row r="4919" spans="1:4" x14ac:dyDescent="0.2">
      <c r="A4919" t="str">
        <f>"4918"</f>
        <v>4918</v>
      </c>
      <c r="B4919" t="str">
        <f>"0.17"</f>
        <v>0.17</v>
      </c>
      <c r="C4919" t="str">
        <f>"71"</f>
        <v>71</v>
      </c>
      <c r="D4919" t="str">
        <f>"The Way I Feel Today"</f>
        <v>The Way I Feel Today</v>
      </c>
    </row>
    <row r="4920" spans="1:4" x14ac:dyDescent="0.2">
      <c r="A4920" t="str">
        <f>"4919"</f>
        <v>4919</v>
      </c>
      <c r="B4920" t="str">
        <f>"-0.81"</f>
        <v>-0.81</v>
      </c>
      <c r="C4920" t="str">
        <f>"34"</f>
        <v>34</v>
      </c>
      <c r="D4920" t="str">
        <f>"The Palace at 4am (Part I)"</f>
        <v>The Palace at 4am (Part I)</v>
      </c>
    </row>
    <row r="4921" spans="1:4" x14ac:dyDescent="0.2">
      <c r="A4921" t="str">
        <f>"4920"</f>
        <v>4920</v>
      </c>
      <c r="B4921" t="str">
        <f>"0.1"</f>
        <v>0.1</v>
      </c>
      <c r="C4921" t="str">
        <f>"88"</f>
        <v>88</v>
      </c>
      <c r="D4921" t="str">
        <f>"Lucky 7"</f>
        <v>Lucky 7</v>
      </c>
    </row>
    <row r="4922" spans="1:4" x14ac:dyDescent="0.2">
      <c r="A4922" t="str">
        <f>"4921"</f>
        <v>4921</v>
      </c>
      <c r="B4922" t="str">
        <f>"0.51"</f>
        <v>0.51</v>
      </c>
      <c r="C4922" t="str">
        <f>"57"</f>
        <v>57</v>
      </c>
      <c r="D4922" t="str">
        <f>"Daydreams in Cold Weather"</f>
        <v>Daydreams in Cold Weather</v>
      </c>
    </row>
    <row r="4923" spans="1:4" x14ac:dyDescent="0.2">
      <c r="A4923" t="str">
        <f>"4922"</f>
        <v>4922</v>
      </c>
      <c r="B4923" t="str">
        <f>"-0.79"</f>
        <v>-0.79</v>
      </c>
      <c r="C4923" t="str">
        <f>"64"</f>
        <v>64</v>
      </c>
      <c r="D4923" t="str">
        <f>"Strangest Parade"</f>
        <v>Strangest Parade</v>
      </c>
    </row>
    <row r="4924" spans="1:4" x14ac:dyDescent="0.2">
      <c r="A4924" t="str">
        <f>"4923"</f>
        <v>4923</v>
      </c>
      <c r="B4924" t="str">
        <f>"-0.44"</f>
        <v>-0.44</v>
      </c>
      <c r="C4924" t="str">
        <f>"81"</f>
        <v>81</v>
      </c>
      <c r="D4924" t="str">
        <f>"Stab the Unstoppable Hero"</f>
        <v>Stab the Unstoppable Hero</v>
      </c>
    </row>
    <row r="4925" spans="1:4" x14ac:dyDescent="0.2">
      <c r="A4925" t="str">
        <f>"4924"</f>
        <v>4924</v>
      </c>
      <c r="B4925" t="str">
        <f>"1"</f>
        <v>1</v>
      </c>
      <c r="C4925" t="str">
        <f>"84"</f>
        <v>84</v>
      </c>
      <c r="D4925" t="str">
        <f>"In C"</f>
        <v>In C</v>
      </c>
    </row>
    <row r="4926" spans="1:4" x14ac:dyDescent="0.2">
      <c r="A4926" t="str">
        <f>"4925"</f>
        <v>4925</v>
      </c>
      <c r="B4926" t="str">
        <f>"0.19"</f>
        <v>0.19</v>
      </c>
      <c r="C4926" t="str">
        <f>"82"</f>
        <v>82</v>
      </c>
      <c r="D4926" t="str">
        <f>"Deadringer"</f>
        <v>Deadringer</v>
      </c>
    </row>
    <row r="4927" spans="1:4" x14ac:dyDescent="0.2">
      <c r="A4927" t="str">
        <f>"4926"</f>
        <v>4926</v>
      </c>
      <c r="B4927" t="str">
        <f>"0.33"</f>
        <v>0.33</v>
      </c>
      <c r="C4927" t="str">
        <f>"74"</f>
        <v>74</v>
      </c>
      <c r="D4927" t="str">
        <f>"V"</f>
        <v>V</v>
      </c>
    </row>
    <row r="4928" spans="1:4" x14ac:dyDescent="0.2">
      <c r="A4928" t="str">
        <f>"4927"</f>
        <v>4927</v>
      </c>
      <c r="B4928" t="str">
        <f>"0.58"</f>
        <v>0.58</v>
      </c>
      <c r="C4928" t="str">
        <f>"75"</f>
        <v>75</v>
      </c>
      <c r="D4928" t="str">
        <f>"(This Is) The Dream of Evan and Chan EP"</f>
        <v>(This Is) The Dream of Evan and Chan EP</v>
      </c>
    </row>
    <row r="4929" spans="1:4" x14ac:dyDescent="0.2">
      <c r="A4929" t="str">
        <f>"4928"</f>
        <v>4928</v>
      </c>
      <c r="B4929" t="str">
        <f>"-0.78"</f>
        <v>-0.78</v>
      </c>
      <c r="C4929" t="str">
        <f>"84"</f>
        <v>84</v>
      </c>
      <c r="D4929" t="str">
        <f>"The Sepultura EP"</f>
        <v>The Sepultura EP</v>
      </c>
    </row>
    <row r="4930" spans="1:4" x14ac:dyDescent="0.2">
      <c r="A4930" t="str">
        <f>"4929"</f>
        <v>4929</v>
      </c>
      <c r="B4930" t="str">
        <f>"-0.59"</f>
        <v>-0.59</v>
      </c>
      <c r="C4930" t="str">
        <f>"83"</f>
        <v>83</v>
      </c>
      <c r="D4930" t="str">
        <f>"Solaris: Live in Concert"</f>
        <v>Solaris: Live in Concert</v>
      </c>
    </row>
    <row r="4931" spans="1:4" x14ac:dyDescent="0.2">
      <c r="A4931" t="str">
        <f>"4930"</f>
        <v>4930</v>
      </c>
      <c r="B4931" t="str">
        <f>"-0.28"</f>
        <v>-0.28</v>
      </c>
      <c r="C4931" t="str">
        <f>"98"</f>
        <v>98</v>
      </c>
      <c r="D4931" t="str">
        <f>"Thought for Food"</f>
        <v>Thought for Food</v>
      </c>
    </row>
    <row r="4932" spans="1:4" x14ac:dyDescent="0.2">
      <c r="A4932" t="str">
        <f>"4931"</f>
        <v>4931</v>
      </c>
      <c r="B4932" t="str">
        <f>"0.75"</f>
        <v>0.75</v>
      </c>
      <c r="C4932" t="str">
        <f>"49"</f>
        <v>49</v>
      </c>
      <c r="D4932" t="str">
        <f>"Pocket Symphonies for Lonesome Subway Cars"</f>
        <v>Pocket Symphonies for Lonesome Subway Cars</v>
      </c>
    </row>
    <row r="4933" spans="1:4" x14ac:dyDescent="0.2">
      <c r="A4933" t="str">
        <f>"4932"</f>
        <v>4932</v>
      </c>
      <c r="B4933" t="str">
        <f>"0.53"</f>
        <v>0.53</v>
      </c>
      <c r="C4933" t="str">
        <f>"111"</f>
        <v>111</v>
      </c>
      <c r="D4933" t="s">
        <v>171</v>
      </c>
    </row>
    <row r="4934" spans="1:4" x14ac:dyDescent="0.2">
      <c r="A4934" t="str">
        <f>"4933"</f>
        <v>4933</v>
      </c>
      <c r="B4934" t="str">
        <f>"-0.72"</f>
        <v>-0.72</v>
      </c>
      <c r="C4934" t="str">
        <f>"81"</f>
        <v>81</v>
      </c>
      <c r="D4934" t="str">
        <f>"Helene"</f>
        <v>Helene</v>
      </c>
    </row>
    <row r="4935" spans="1:4" x14ac:dyDescent="0.2">
      <c r="A4935" t="str">
        <f>"4934"</f>
        <v>4934</v>
      </c>
      <c r="B4935" t="str">
        <f>"-0.6"</f>
        <v>-0.6</v>
      </c>
      <c r="C4935" t="str">
        <f>"58"</f>
        <v>58</v>
      </c>
      <c r="D4935" t="str">
        <f>"Winter's Kill"</f>
        <v>Winter's Kill</v>
      </c>
    </row>
    <row r="4936" spans="1:4" x14ac:dyDescent="0.2">
      <c r="A4936" t="str">
        <f>"4935"</f>
        <v>4935</v>
      </c>
      <c r="B4936" t="str">
        <f>"-0.32"</f>
        <v>-0.32</v>
      </c>
      <c r="C4936" t="str">
        <f>"67"</f>
        <v>67</v>
      </c>
      <c r="D4936" t="str">
        <f>"This Flag Signals Goodbye"</f>
        <v>This Flag Signals Goodbye</v>
      </c>
    </row>
    <row r="4937" spans="1:4" x14ac:dyDescent="0.2">
      <c r="A4937" t="str">
        <f>"4936"</f>
        <v>4936</v>
      </c>
      <c r="B4937" t="str">
        <f>"0.42"</f>
        <v>0.42</v>
      </c>
      <c r="C4937" t="str">
        <f>"70"</f>
        <v>70</v>
      </c>
      <c r="D4937" t="str">
        <f>"Nobody Knows"</f>
        <v>Nobody Knows</v>
      </c>
    </row>
    <row r="4938" spans="1:4" x14ac:dyDescent="0.2">
      <c r="A4938" t="str">
        <f>"4937"</f>
        <v>4937</v>
      </c>
      <c r="B4938" t="str">
        <f>"-0.57"</f>
        <v>-0.57</v>
      </c>
      <c r="C4938" t="str">
        <f>"81"</f>
        <v>81</v>
      </c>
      <c r="D4938" t="str">
        <f>"Black City"</f>
        <v>Black City</v>
      </c>
    </row>
    <row r="4939" spans="1:4" x14ac:dyDescent="0.2">
      <c r="A4939" t="str">
        <f>"4938"</f>
        <v>4938</v>
      </c>
      <c r="B4939" t="str">
        <f>"0.38"</f>
        <v>0.38</v>
      </c>
      <c r="C4939" t="str">
        <f>"73"</f>
        <v>73</v>
      </c>
      <c r="D4939" t="str">
        <f>"The Golden Dove"</f>
        <v>The Golden Dove</v>
      </c>
    </row>
    <row r="4940" spans="1:4" x14ac:dyDescent="0.2">
      <c r="A4940" t="str">
        <f>"4939"</f>
        <v>4939</v>
      </c>
      <c r="B4940" t="str">
        <f>"-0.17"</f>
        <v>-0.17</v>
      </c>
      <c r="C4940" t="str">
        <f>"51"</f>
        <v>51</v>
      </c>
      <c r="D4940" t="str">
        <f>"Light Green Leaves"</f>
        <v>Light Green Leaves</v>
      </c>
    </row>
    <row r="4941" spans="1:4" x14ac:dyDescent="0.2">
      <c r="A4941" t="str">
        <f>"4940"</f>
        <v>4940</v>
      </c>
      <c r="B4941" t="str">
        <f>"-0.13"</f>
        <v>-0.13</v>
      </c>
      <c r="C4941" t="str">
        <f>"63"</f>
        <v>63</v>
      </c>
      <c r="D4941" t="str">
        <f>"And the Surrounding Mountains"</f>
        <v>And the Surrounding Mountains</v>
      </c>
    </row>
    <row r="4942" spans="1:4" x14ac:dyDescent="0.2">
      <c r="A4942" t="str">
        <f>"4941"</f>
        <v>4941</v>
      </c>
      <c r="B4942" t="str">
        <f>"-0.16"</f>
        <v>-0.16</v>
      </c>
      <c r="C4942" t="str">
        <f>"64"</f>
        <v>64</v>
      </c>
      <c r="D4942" t="str">
        <f>"Three"</f>
        <v>Three</v>
      </c>
    </row>
    <row r="4943" spans="1:4" x14ac:dyDescent="0.2">
      <c r="A4943" t="str">
        <f>"4942"</f>
        <v>4942</v>
      </c>
      <c r="B4943" t="str">
        <f>"-1.01"</f>
        <v>-1.01</v>
      </c>
      <c r="C4943" t="str">
        <f>"52"</f>
        <v>52</v>
      </c>
      <c r="D4943" t="str">
        <f>"The Future Is Now"</f>
        <v>The Future Is Now</v>
      </c>
    </row>
    <row r="4944" spans="1:4" x14ac:dyDescent="0.2">
      <c r="A4944" t="str">
        <f>"4943"</f>
        <v>4943</v>
      </c>
      <c r="B4944" t="str">
        <f>"0.09"</f>
        <v>0.09</v>
      </c>
      <c r="C4944" t="str">
        <f>"103"</f>
        <v>103</v>
      </c>
      <c r="D4944" t="str">
        <f>"Brain in the Wire"</f>
        <v>Brain in the Wire</v>
      </c>
    </row>
    <row r="4945" spans="1:4" x14ac:dyDescent="0.2">
      <c r="A4945" t="str">
        <f>"4944"</f>
        <v>4944</v>
      </c>
      <c r="B4945" t="str">
        <f>"0.92"</f>
        <v>0.92</v>
      </c>
      <c r="C4945" t="str">
        <f>"50"</f>
        <v>50</v>
      </c>
      <c r="D4945" t="str">
        <f>"All Roads Lead to Salzburg"</f>
        <v>All Roads Lead to Salzburg</v>
      </c>
    </row>
    <row r="4946" spans="1:4" x14ac:dyDescent="0.2">
      <c r="A4946" t="str">
        <f>"4945"</f>
        <v>4945</v>
      </c>
      <c r="B4946" t="str">
        <f>"0.66"</f>
        <v>0.66</v>
      </c>
      <c r="C4946" t="str">
        <f>"53"</f>
        <v>53</v>
      </c>
      <c r="D4946" t="str">
        <f>"With Fingers Crossed EP"</f>
        <v>With Fingers Crossed EP</v>
      </c>
    </row>
    <row r="4947" spans="1:4" x14ac:dyDescent="0.2">
      <c r="A4947" t="str">
        <f>"4946"</f>
        <v>4946</v>
      </c>
      <c r="B4947" t="str">
        <f>"-0.14"</f>
        <v>-0.14</v>
      </c>
      <c r="C4947" t="str">
        <f>"181"</f>
        <v>181</v>
      </c>
      <c r="D4947" t="str">
        <f>"This Is Tech-Pop"</f>
        <v>This Is Tech-Pop</v>
      </c>
    </row>
    <row r="4948" spans="1:4" x14ac:dyDescent="0.2">
      <c r="A4948" t="str">
        <f>"4947"</f>
        <v>4947</v>
      </c>
      <c r="B4948" t="str">
        <f>"-1.4"</f>
        <v>-1.4</v>
      </c>
      <c r="C4948" t="str">
        <f>"70"</f>
        <v>70</v>
      </c>
      <c r="D4948" t="str">
        <f>"They Threw Us All in a Trench and Stuck a Monument on Top"</f>
        <v>They Threw Us All in a Trench and Stuck a Monument on Top</v>
      </c>
    </row>
    <row r="4949" spans="1:4" x14ac:dyDescent="0.2">
      <c r="A4949" t="str">
        <f>"4948"</f>
        <v>4948</v>
      </c>
      <c r="B4949" t="str">
        <f>"-0.2"</f>
        <v>-0.2</v>
      </c>
      <c r="C4949" t="str">
        <f>"109"</f>
        <v>109</v>
      </c>
      <c r="D4949" t="str">
        <f>"As If to Nothing"</f>
        <v>As If to Nothing</v>
      </c>
    </row>
    <row r="4950" spans="1:4" x14ac:dyDescent="0.2">
      <c r="A4950" t="str">
        <f>"4949"</f>
        <v>4949</v>
      </c>
      <c r="B4950" t="str">
        <f>"-0.28"</f>
        <v>-0.28</v>
      </c>
      <c r="C4950" t="str">
        <f>"95"</f>
        <v>95</v>
      </c>
      <c r="D4950" t="str">
        <f>"Mortal Mirror"</f>
        <v>Mortal Mirror</v>
      </c>
    </row>
    <row r="4951" spans="1:4" x14ac:dyDescent="0.2">
      <c r="A4951" t="str">
        <f>"4950"</f>
        <v>4950</v>
      </c>
      <c r="B4951" t="str">
        <f>"0.12"</f>
        <v>0.12</v>
      </c>
      <c r="C4951" t="str">
        <f>"46"</f>
        <v>46</v>
      </c>
      <c r="D4951" t="str">
        <f>"Mason Jennings"</f>
        <v>Mason Jennings</v>
      </c>
    </row>
    <row r="4952" spans="1:4" x14ac:dyDescent="0.2">
      <c r="A4952" t="str">
        <f>"4951"</f>
        <v>4951</v>
      </c>
      <c r="B4952" t="str">
        <f>"-0.16"</f>
        <v>-0.16</v>
      </c>
      <c r="C4952" t="str">
        <f>"74"</f>
        <v>74</v>
      </c>
      <c r="D4952" t="str">
        <f>"Interpol EP"</f>
        <v>Interpol EP</v>
      </c>
    </row>
    <row r="4953" spans="1:4" x14ac:dyDescent="0.2">
      <c r="A4953" t="str">
        <f>"4952"</f>
        <v>4952</v>
      </c>
      <c r="B4953" t="str">
        <f>"0.9"</f>
        <v>0.9</v>
      </c>
      <c r="C4953" t="str">
        <f>"94"</f>
        <v>94</v>
      </c>
      <c r="D4953" t="str">
        <f>"All-Time Quarterback"</f>
        <v>All-Time Quarterback</v>
      </c>
    </row>
    <row r="4954" spans="1:4" x14ac:dyDescent="0.2">
      <c r="A4954" t="str">
        <f>"4953"</f>
        <v>4953</v>
      </c>
      <c r="B4954" t="str">
        <f>"-0.12"</f>
        <v>-0.12</v>
      </c>
      <c r="C4954" t="str">
        <f>"162"</f>
        <v>162</v>
      </c>
      <c r="D4954" t="str">
        <f>"Yoshimi Battles The Pink Robots"</f>
        <v>Yoshimi Battles The Pink Robots</v>
      </c>
    </row>
    <row r="4955" spans="1:4" x14ac:dyDescent="0.2">
      <c r="A4955" t="str">
        <f>"4954"</f>
        <v>4954</v>
      </c>
      <c r="B4955" t="str">
        <f>"-0.49"</f>
        <v>-0.49</v>
      </c>
      <c r="C4955" t="str">
        <f>"85"</f>
        <v>85</v>
      </c>
      <c r="D4955" t="str">
        <f>"Understanding"</f>
        <v>Understanding</v>
      </c>
    </row>
    <row r="4956" spans="1:4" x14ac:dyDescent="0.2">
      <c r="A4956" t="str">
        <f>"4955"</f>
        <v>4955</v>
      </c>
      <c r="B4956" t="str">
        <f>"1.39"</f>
        <v>1.39</v>
      </c>
      <c r="C4956" t="str">
        <f>"60"</f>
        <v>60</v>
      </c>
      <c r="D4956" t="str">
        <f>"Narc Beacon"</f>
        <v>Narc Beacon</v>
      </c>
    </row>
    <row r="4957" spans="1:4" x14ac:dyDescent="0.2">
      <c r="A4957" t="str">
        <f>"4956"</f>
        <v>4956</v>
      </c>
      <c r="B4957" t="str">
        <f>"0.11"</f>
        <v>0.11</v>
      </c>
      <c r="C4957" t="str">
        <f>"58"</f>
        <v>58</v>
      </c>
      <c r="D4957" t="str">
        <f>"Afternoon Tales the Morning Never Knew"</f>
        <v>Afternoon Tales the Morning Never Knew</v>
      </c>
    </row>
    <row r="4958" spans="1:4" x14ac:dyDescent="0.2">
      <c r="A4958" t="str">
        <f>"4957"</f>
        <v>4957</v>
      </c>
      <c r="B4958" t="str">
        <f>"-0.22"</f>
        <v>-0.22</v>
      </c>
      <c r="C4958" t="str">
        <f>"89"</f>
        <v>89</v>
      </c>
      <c r="D4958" t="str">
        <f>"Shockadoom"</f>
        <v>Shockadoom</v>
      </c>
    </row>
    <row r="4959" spans="1:4" x14ac:dyDescent="0.2">
      <c r="A4959" t="str">
        <f>"4958"</f>
        <v>4958</v>
      </c>
      <c r="B4959" t="str">
        <f>"-0.34"</f>
        <v>-0.34</v>
      </c>
      <c r="C4959" t="str">
        <f>"74"</f>
        <v>74</v>
      </c>
      <c r="D4959" t="str">
        <f>"Read &amp; Burn 01 EP"</f>
        <v>Read &amp; Burn 01 EP</v>
      </c>
    </row>
    <row r="4960" spans="1:4" x14ac:dyDescent="0.2">
      <c r="A4960" t="str">
        <f>"4959"</f>
        <v>4959</v>
      </c>
      <c r="B4960" t="str">
        <f>"-0.62"</f>
        <v>-0.62</v>
      </c>
      <c r="C4960" t="str">
        <f>"75"</f>
        <v>75</v>
      </c>
      <c r="D4960" t="str">
        <f>"Oxxxes"</f>
        <v>Oxxxes</v>
      </c>
    </row>
    <row r="4961" spans="1:4" x14ac:dyDescent="0.2">
      <c r="A4961" t="str">
        <f>"4960"</f>
        <v>4960</v>
      </c>
      <c r="B4961" t="str">
        <f>"-1.05"</f>
        <v>-1.05</v>
      </c>
      <c r="C4961" t="str">
        <f>"113"</f>
        <v>113</v>
      </c>
      <c r="D4961" t="str">
        <f>"History That Has No Effect"</f>
        <v>History That Has No Effect</v>
      </c>
    </row>
    <row r="4962" spans="1:4" x14ac:dyDescent="0.2">
      <c r="A4962" t="str">
        <f>"4961"</f>
        <v>4961</v>
      </c>
      <c r="B4962" t="str">
        <f>"-0.62"</f>
        <v>-0.62</v>
      </c>
      <c r="C4962" t="str">
        <f>"83"</f>
        <v>83</v>
      </c>
      <c r="D4962" t="str">
        <f>"Soundbombing III"</f>
        <v>Soundbombing III</v>
      </c>
    </row>
    <row r="4963" spans="1:4" x14ac:dyDescent="0.2">
      <c r="A4963" t="str">
        <f>"4962"</f>
        <v>4962</v>
      </c>
      <c r="B4963" t="str">
        <f>"0.1"</f>
        <v>0.1</v>
      </c>
      <c r="C4963" t="str">
        <f>"161"</f>
        <v>161</v>
      </c>
      <c r="D4963" t="str">
        <f>"Heathen Chemistry"</f>
        <v>Heathen Chemistry</v>
      </c>
    </row>
    <row r="4964" spans="1:4" x14ac:dyDescent="0.2">
      <c r="A4964" t="str">
        <f>"4963"</f>
        <v>4963</v>
      </c>
      <c r="B4964" t="str">
        <f>"-0.51"</f>
        <v>-0.51</v>
      </c>
      <c r="C4964" t="str">
        <f>"111"</f>
        <v>111</v>
      </c>
      <c r="D4964" t="str">
        <f>"Extreme Bukake"</f>
        <v>Extreme Bukake</v>
      </c>
    </row>
    <row r="4965" spans="1:4" x14ac:dyDescent="0.2">
      <c r="A4965" t="str">
        <f>"4964"</f>
        <v>4964</v>
      </c>
      <c r="B4965" t="str">
        <f>"0.25"</f>
        <v>0.25</v>
      </c>
      <c r="C4965" t="str">
        <f>"95"</f>
        <v>95</v>
      </c>
      <c r="D4965" t="str">
        <f>"A Different Kind of Listening"</f>
        <v>A Different Kind of Listening</v>
      </c>
    </row>
    <row r="4966" spans="1:4" x14ac:dyDescent="0.2">
      <c r="A4966" t="str">
        <f>"4965"</f>
        <v>4965</v>
      </c>
      <c r="B4966" t="str">
        <f>"1.19"</f>
        <v>1.19</v>
      </c>
      <c r="C4966" t="str">
        <f>"75"</f>
        <v>75</v>
      </c>
      <c r="D4966" t="s">
        <v>172</v>
      </c>
    </row>
    <row r="4967" spans="1:4" x14ac:dyDescent="0.2">
      <c r="A4967" t="str">
        <f>"4966"</f>
        <v>4966</v>
      </c>
      <c r="B4967" t="str">
        <f>"-0.27"</f>
        <v>-0.27</v>
      </c>
      <c r="C4967" t="str">
        <f>"72"</f>
        <v>72</v>
      </c>
      <c r="D4967" t="str">
        <f>"Go 2"</f>
        <v>Go 2</v>
      </c>
    </row>
    <row r="4968" spans="1:4" x14ac:dyDescent="0.2">
      <c r="A4968" t="str">
        <f>"4967"</f>
        <v>4967</v>
      </c>
      <c r="B4968" t="str">
        <f>"-0.36"</f>
        <v>-0.36</v>
      </c>
      <c r="C4968" t="str">
        <f>"64"</f>
        <v>64</v>
      </c>
      <c r="D4968" t="str">
        <f>"Astronaut EP"</f>
        <v>Astronaut EP</v>
      </c>
    </row>
    <row r="4969" spans="1:4" x14ac:dyDescent="0.2">
      <c r="A4969" t="str">
        <f>"4968"</f>
        <v>4968</v>
      </c>
      <c r="B4969" t="str">
        <f>"0.44"</f>
        <v>0.44</v>
      </c>
      <c r="C4969" t="str">
        <f>"83"</f>
        <v>83</v>
      </c>
      <c r="D4969" t="str">
        <f>"The '92 vs. '02 Collection EP"</f>
        <v>The '92 vs. '02 Collection EP</v>
      </c>
    </row>
    <row r="4970" spans="1:4" x14ac:dyDescent="0.2">
      <c r="A4970" t="str">
        <f>"4969"</f>
        <v>4969</v>
      </c>
      <c r="B4970" t="str">
        <f>"0.03"</f>
        <v>0.03</v>
      </c>
      <c r="C4970" t="str">
        <f>"101"</f>
        <v>101</v>
      </c>
      <c r="D4970" t="str">
        <f>"Obtainium"</f>
        <v>Obtainium</v>
      </c>
    </row>
    <row r="4971" spans="1:4" x14ac:dyDescent="0.2">
      <c r="A4971" t="str">
        <f>"4970"</f>
        <v>4970</v>
      </c>
      <c r="B4971" t="str">
        <f>"0.66"</f>
        <v>0.66</v>
      </c>
      <c r="C4971" t="str">
        <f>"71"</f>
        <v>71</v>
      </c>
      <c r="D4971" t="str">
        <f>"Last Night Something Happened"</f>
        <v>Last Night Something Happened</v>
      </c>
    </row>
    <row r="4972" spans="1:4" x14ac:dyDescent="0.2">
      <c r="A4972" t="str">
        <f>"4971"</f>
        <v>4971</v>
      </c>
      <c r="B4972" t="str">
        <f>"-1.06"</f>
        <v>-1.06</v>
      </c>
      <c r="C4972" t="str">
        <f>"73"</f>
        <v>73</v>
      </c>
      <c r="D4972" t="str">
        <f>"Dirty Vegas"</f>
        <v>Dirty Vegas</v>
      </c>
    </row>
    <row r="4973" spans="1:4" x14ac:dyDescent="0.2">
      <c r="A4973" t="str">
        <f>"4972"</f>
        <v>4972</v>
      </c>
      <c r="B4973" t="str">
        <f>"-0.42"</f>
        <v>-0.42</v>
      </c>
      <c r="C4973" t="str">
        <f>"87"</f>
        <v>87</v>
      </c>
      <c r="D4973" t="str">
        <f>"Show Your Face"</f>
        <v>Show Your Face</v>
      </c>
    </row>
    <row r="4974" spans="1:4" x14ac:dyDescent="0.2">
      <c r="A4974" t="str">
        <f>"4973"</f>
        <v>4973</v>
      </c>
      <c r="B4974" t="str">
        <f>"-0.87"</f>
        <v>-0.87</v>
      </c>
      <c r="C4974" t="str">
        <f>"107"</f>
        <v>107</v>
      </c>
      <c r="D4974" t="str">
        <f>"No!"</f>
        <v>No!</v>
      </c>
    </row>
    <row r="4975" spans="1:4" x14ac:dyDescent="0.2">
      <c r="A4975" t="str">
        <f>"4974"</f>
        <v>4974</v>
      </c>
      <c r="B4975" t="str">
        <f>"-0.7"</f>
        <v>-0.7</v>
      </c>
      <c r="C4975" t="str">
        <f>"203"</f>
        <v>203</v>
      </c>
      <c r="D4975" t="str">
        <f>"I Get Wet"</f>
        <v>I Get Wet</v>
      </c>
    </row>
    <row r="4976" spans="1:4" x14ac:dyDescent="0.2">
      <c r="A4976" t="str">
        <f>"4975"</f>
        <v>4975</v>
      </c>
      <c r="B4976" t="str">
        <f>"-0.22"</f>
        <v>-0.22</v>
      </c>
      <c r="C4976" t="str">
        <f>"81"</f>
        <v>81</v>
      </c>
      <c r="D4976" t="str">
        <f>"Cinemathique"</f>
        <v>Cinemathique</v>
      </c>
    </row>
    <row r="4977" spans="1:4" x14ac:dyDescent="0.2">
      <c r="A4977" t="str">
        <f>"4976"</f>
        <v>4976</v>
      </c>
      <c r="B4977" t="str">
        <f>"-0.03"</f>
        <v>-0.03</v>
      </c>
      <c r="C4977" t="str">
        <f>"102"</f>
        <v>102</v>
      </c>
      <c r="D4977" t="str">
        <f>"This Is Where I Belong: The Songs of Ray Davies and the Kinks"</f>
        <v>This Is Where I Belong: The Songs of Ray Davies and the Kinks</v>
      </c>
    </row>
    <row r="4978" spans="1:4" x14ac:dyDescent="0.2">
      <c r="A4978" t="str">
        <f>"4977"</f>
        <v>4977</v>
      </c>
      <c r="B4978" t="str">
        <f>"-0.14"</f>
        <v>-0.14</v>
      </c>
      <c r="C4978" t="str">
        <f>"76"</f>
        <v>76</v>
      </c>
      <c r="D4978" t="str">
        <f>"River Walk Riots"</f>
        <v>River Walk Riots</v>
      </c>
    </row>
    <row r="4979" spans="1:4" x14ac:dyDescent="0.2">
      <c r="A4979" t="str">
        <f>"4978"</f>
        <v>4978</v>
      </c>
      <c r="B4979" t="str">
        <f>"-0.22"</f>
        <v>-0.22</v>
      </c>
      <c r="C4979" t="str">
        <f>"125"</f>
        <v>125</v>
      </c>
      <c r="D4979" t="str">
        <f>"Good Health"</f>
        <v>Good Health</v>
      </c>
    </row>
    <row r="4980" spans="1:4" x14ac:dyDescent="0.2">
      <c r="A4980" t="str">
        <f>"4979"</f>
        <v>4979</v>
      </c>
      <c r="B4980" t="str">
        <f>"-0.28"</f>
        <v>-0.28</v>
      </c>
      <c r="C4980" t="str">
        <f>"88"</f>
        <v>88</v>
      </c>
      <c r="D4980" t="str">
        <f>"God Loves Ugly"</f>
        <v>God Loves Ugly</v>
      </c>
    </row>
    <row r="4981" spans="1:4" x14ac:dyDescent="0.2">
      <c r="A4981" t="str">
        <f>"4980"</f>
        <v>4980</v>
      </c>
      <c r="B4981" t="str">
        <f>"-0.42"</f>
        <v>-0.42</v>
      </c>
      <c r="C4981" t="str">
        <f>"84"</f>
        <v>84</v>
      </c>
      <c r="D4981" t="str">
        <f>"Yeah Yeah Yeahs EP"</f>
        <v>Yeah Yeah Yeahs EP</v>
      </c>
    </row>
    <row r="4982" spans="1:4" x14ac:dyDescent="0.2">
      <c r="A4982" t="str">
        <f>"4981"</f>
        <v>4981</v>
      </c>
      <c r="B4982" t="str">
        <f>"-0.24"</f>
        <v>-0.24</v>
      </c>
      <c r="C4982" t="str">
        <f>"71"</f>
        <v>71</v>
      </c>
      <c r="D4982" t="str">
        <f>"Jane Doe"</f>
        <v>Jane Doe</v>
      </c>
    </row>
    <row r="4983" spans="1:4" x14ac:dyDescent="0.2">
      <c r="A4983" t="str">
        <f>"4982"</f>
        <v>4982</v>
      </c>
      <c r="B4983" t="str">
        <f>"0.85"</f>
        <v>0.85</v>
      </c>
      <c r="C4983" t="str">
        <f>"63"</f>
        <v>63</v>
      </c>
      <c r="D4983" t="str">
        <f>"Consonant"</f>
        <v>Consonant</v>
      </c>
    </row>
    <row r="4984" spans="1:4" x14ac:dyDescent="0.2">
      <c r="A4984" t="str">
        <f>"4983"</f>
        <v>4983</v>
      </c>
      <c r="B4984" t="str">
        <f>"-0.22"</f>
        <v>-0.22</v>
      </c>
      <c r="C4984" t="str">
        <f>"85"</f>
        <v>85</v>
      </c>
      <c r="D4984" t="str">
        <f>"You Don't Need Darkness to Do What You Think Is Right"</f>
        <v>You Don't Need Darkness to Do What You Think Is Right</v>
      </c>
    </row>
    <row r="4985" spans="1:4" x14ac:dyDescent="0.2">
      <c r="A4985" t="str">
        <f>"4984"</f>
        <v>4984</v>
      </c>
      <c r="B4985" t="str">
        <f>"0"</f>
        <v>0</v>
      </c>
      <c r="C4985" t="str">
        <f>"60"</f>
        <v>60</v>
      </c>
      <c r="D4985" t="str">
        <f>"Suicide Invoice"</f>
        <v>Suicide Invoice</v>
      </c>
    </row>
    <row r="4986" spans="1:4" x14ac:dyDescent="0.2">
      <c r="A4986" t="str">
        <f>"4985"</f>
        <v>4985</v>
      </c>
      <c r="B4986" t="str">
        <f>"0.27"</f>
        <v>0.27</v>
      </c>
      <c r="C4986" t="str">
        <f>"69"</f>
        <v>69</v>
      </c>
      <c r="D4986" t="str">
        <f>"Recorder"</f>
        <v>Recorder</v>
      </c>
    </row>
    <row r="4987" spans="1:4" x14ac:dyDescent="0.2">
      <c r="A4987" t="str">
        <f>"4986"</f>
        <v>4986</v>
      </c>
      <c r="B4987" t="str">
        <f>"0.21"</f>
        <v>0.21</v>
      </c>
      <c r="C4987" t="str">
        <f>"81"</f>
        <v>81</v>
      </c>
      <c r="D4987" t="str">
        <f>"Duck Season"</f>
        <v>Duck Season</v>
      </c>
    </row>
    <row r="4988" spans="1:4" x14ac:dyDescent="0.2">
      <c r="A4988" t="str">
        <f>"4987"</f>
        <v>4987</v>
      </c>
      <c r="B4988" t="str">
        <f>"-0.5"</f>
        <v>-0.5</v>
      </c>
      <c r="C4988" t="str">
        <f>"77"</f>
        <v>77</v>
      </c>
      <c r="D4988" t="str">
        <f>"Mong Hang"</f>
        <v>Mong Hang</v>
      </c>
    </row>
    <row r="4989" spans="1:4" x14ac:dyDescent="0.2">
      <c r="A4989" t="str">
        <f>"4988"</f>
        <v>4988</v>
      </c>
      <c r="B4989" t="str">
        <f>"-0.7"</f>
        <v>-0.7</v>
      </c>
      <c r="C4989" t="str">
        <f>"85"</f>
        <v>85</v>
      </c>
      <c r="D4989" t="str">
        <f>"Martial Arts Weekend"</f>
        <v>Martial Arts Weekend</v>
      </c>
    </row>
    <row r="4990" spans="1:4" x14ac:dyDescent="0.2">
      <c r="A4990" t="str">
        <f>"4989"</f>
        <v>4989</v>
      </c>
      <c r="B4990" t="str">
        <f>"-0.2"</f>
        <v>-0.2</v>
      </c>
      <c r="C4990" t="str">
        <f>"69"</f>
        <v>69</v>
      </c>
      <c r="D4990" t="str">
        <f>"Emergency Rations EP"</f>
        <v>Emergency Rations EP</v>
      </c>
    </row>
    <row r="4991" spans="1:4" x14ac:dyDescent="0.2">
      <c r="A4991" t="str">
        <f>"4990"</f>
        <v>4990</v>
      </c>
      <c r="B4991" t="str">
        <f>"0.01"</f>
        <v>0.01</v>
      </c>
      <c r="C4991" t="str">
        <f>"95"</f>
        <v>95</v>
      </c>
      <c r="D4991" t="str">
        <f>"Dekkagar"</f>
        <v>Dekkagar</v>
      </c>
    </row>
    <row r="4992" spans="1:4" x14ac:dyDescent="0.2">
      <c r="A4992" t="str">
        <f>"4991"</f>
        <v>4991</v>
      </c>
      <c r="B4992" t="str">
        <f>"0.27"</f>
        <v>0.27</v>
      </c>
      <c r="C4992" t="str">
        <f>"87"</f>
        <v>87</v>
      </c>
      <c r="D4992" t="str">
        <f>"St. Arkansas"</f>
        <v>St. Arkansas</v>
      </c>
    </row>
    <row r="4993" spans="1:4" x14ac:dyDescent="0.2">
      <c r="A4993" t="str">
        <f>"4992"</f>
        <v>4992</v>
      </c>
      <c r="B4993" t="str">
        <f>"0.22"</f>
        <v>0.22</v>
      </c>
      <c r="C4993" t="str">
        <f>"58"</f>
        <v>58</v>
      </c>
      <c r="D4993" t="str">
        <f>"Loudboxer"</f>
        <v>Loudboxer</v>
      </c>
    </row>
    <row r="4994" spans="1:4" x14ac:dyDescent="0.2">
      <c r="A4994" t="str">
        <f>"4993"</f>
        <v>4993</v>
      </c>
      <c r="B4994" t="str">
        <f>"0.21"</f>
        <v>0.21</v>
      </c>
      <c r="C4994" t="str">
        <f>"80"</f>
        <v>80</v>
      </c>
      <c r="D4994" t="str">
        <f>"CBGB's and the Birth of U.S. Punk"</f>
        <v>CBGB's and the Birth of U.S. Punk</v>
      </c>
    </row>
    <row r="4995" spans="1:4" x14ac:dyDescent="0.2">
      <c r="A4995" t="str">
        <f>"4994"</f>
        <v>4994</v>
      </c>
      <c r="B4995" t="str">
        <f>"0.26"</f>
        <v>0.26</v>
      </c>
      <c r="C4995" t="str">
        <f>"109"</f>
        <v>109</v>
      </c>
      <c r="D4995" t="str">
        <f>"Camphor"</f>
        <v>Camphor</v>
      </c>
    </row>
    <row r="4996" spans="1:4" x14ac:dyDescent="0.2">
      <c r="A4996" t="str">
        <f>"4995"</f>
        <v>4995</v>
      </c>
      <c r="B4996" t="str">
        <f>"-0.09"</f>
        <v>-0.09</v>
      </c>
      <c r="C4996" t="str">
        <f>"99"</f>
        <v>99</v>
      </c>
      <c r="D4996" t="str">
        <f>"The Egg"</f>
        <v>The Egg</v>
      </c>
    </row>
    <row r="4997" spans="1:4" x14ac:dyDescent="0.2">
      <c r="A4997" t="str">
        <f>"4996"</f>
        <v>4996</v>
      </c>
      <c r="B4997" t="str">
        <f>"-0.12"</f>
        <v>-0.12</v>
      </c>
      <c r="C4997" t="str">
        <f>"72"</f>
        <v>72</v>
      </c>
      <c r="D4997" t="s">
        <v>173</v>
      </c>
    </row>
    <row r="4998" spans="1:4" x14ac:dyDescent="0.2">
      <c r="A4998" t="str">
        <f>"4997"</f>
        <v>4997</v>
      </c>
      <c r="B4998" t="str">
        <f>"0.17"</f>
        <v>0.17</v>
      </c>
      <c r="C4998" t="str">
        <f>"102"</f>
        <v>102</v>
      </c>
      <c r="D4998" t="str">
        <f>"Ballads"</f>
        <v>Ballads</v>
      </c>
    </row>
    <row r="4999" spans="1:4" x14ac:dyDescent="0.2">
      <c r="A4999" t="str">
        <f>"4998"</f>
        <v>4998</v>
      </c>
      <c r="B4999" t="str">
        <f>"-0.36"</f>
        <v>-0.36</v>
      </c>
      <c r="C4999" t="str">
        <f>"117"</f>
        <v>117</v>
      </c>
      <c r="D4999" t="str">
        <f>"A Prayer for Every Hour"</f>
        <v>A Prayer for Every Hour</v>
      </c>
    </row>
    <row r="5000" spans="1:4" x14ac:dyDescent="0.2">
      <c r="A5000" t="str">
        <f>"4999"</f>
        <v>4999</v>
      </c>
      <c r="B5000" t="str">
        <f>"1.41"</f>
        <v>1.41</v>
      </c>
      <c r="C5000" t="str">
        <f>"93"</f>
        <v>93</v>
      </c>
      <c r="D5000" t="str">
        <f>"Nashville"</f>
        <v>Nashville</v>
      </c>
    </row>
    <row r="5001" spans="1:4" x14ac:dyDescent="0.2">
      <c r="A5001" t="str">
        <f>"5000"</f>
        <v>5000</v>
      </c>
      <c r="B5001" t="str">
        <f>"0.21"</f>
        <v>0.21</v>
      </c>
      <c r="C5001" t="str">
        <f>"125"</f>
        <v>125</v>
      </c>
      <c r="D5001" t="str">
        <f>"Murray Street"</f>
        <v>Murray Street</v>
      </c>
    </row>
    <row r="5002" spans="1:4" x14ac:dyDescent="0.2">
      <c r="A5002" t="str">
        <f>"5001"</f>
        <v>5001</v>
      </c>
      <c r="B5002" t="str">
        <f>"0"</f>
        <v>0</v>
      </c>
      <c r="C5002" t="str">
        <f>"96"</f>
        <v>96</v>
      </c>
      <c r="D5002" t="str">
        <f>"Last Clouds"</f>
        <v>Last Clouds</v>
      </c>
    </row>
    <row r="5003" spans="1:4" x14ac:dyDescent="0.2">
      <c r="A5003" t="str">
        <f>"5002"</f>
        <v>5002</v>
      </c>
      <c r="B5003" t="str">
        <f>"-0.1"</f>
        <v>-0.1</v>
      </c>
      <c r="C5003" t="str">
        <f>"104"</f>
        <v>104</v>
      </c>
      <c r="D5003" t="str">
        <f>"Tremulant EP"</f>
        <v>Tremulant EP</v>
      </c>
    </row>
    <row r="5004" spans="1:4" x14ac:dyDescent="0.2">
      <c r="A5004" t="str">
        <f>"5003"</f>
        <v>5003</v>
      </c>
      <c r="B5004" t="str">
        <f>"0.64"</f>
        <v>0.64</v>
      </c>
      <c r="C5004" t="str">
        <f>"94"</f>
        <v>94</v>
      </c>
      <c r="D5004" t="str">
        <f>"Textstar"</f>
        <v>Textstar</v>
      </c>
    </row>
    <row r="5005" spans="1:4" x14ac:dyDescent="0.2">
      <c r="A5005" t="str">
        <f>"5004"</f>
        <v>5004</v>
      </c>
      <c r="B5005" t="str">
        <f>"0.05"</f>
        <v>0.05</v>
      </c>
      <c r="C5005" t="str">
        <f>"103"</f>
        <v>103</v>
      </c>
      <c r="D5005" t="str">
        <f>"On"</f>
        <v>On</v>
      </c>
    </row>
    <row r="5006" spans="1:4" x14ac:dyDescent="0.2">
      <c r="A5006" t="str">
        <f>"5005"</f>
        <v>5005</v>
      </c>
      <c r="B5006" t="str">
        <f>"1.13"</f>
        <v>1.13</v>
      </c>
      <c r="C5006" t="str">
        <f>"95"</f>
        <v>95</v>
      </c>
      <c r="D5006" t="str">
        <f>"Feel"</f>
        <v>Feel</v>
      </c>
    </row>
    <row r="5007" spans="1:4" x14ac:dyDescent="0.2">
      <c r="A5007" t="str">
        <f>"5006"</f>
        <v>5006</v>
      </c>
      <c r="B5007" t="str">
        <f>"-0.41"</f>
        <v>-0.41</v>
      </c>
      <c r="C5007" t="str">
        <f>"64"</f>
        <v>64</v>
      </c>
      <c r="D5007" t="str">
        <f>"Dyed in the Wool"</f>
        <v>Dyed in the Wool</v>
      </c>
    </row>
    <row r="5008" spans="1:4" x14ac:dyDescent="0.2">
      <c r="A5008" t="str">
        <f>"5007"</f>
        <v>5007</v>
      </c>
      <c r="B5008" t="str">
        <f>"0.77"</f>
        <v>0.77</v>
      </c>
      <c r="C5008" t="str">
        <f>"106"</f>
        <v>106</v>
      </c>
      <c r="D5008" t="str">
        <f>"Universal Truths and Cycles"</f>
        <v>Universal Truths and Cycles</v>
      </c>
    </row>
    <row r="5009" spans="1:4" x14ac:dyDescent="0.2">
      <c r="A5009" t="str">
        <f>"5008"</f>
        <v>5008</v>
      </c>
      <c r="B5009" t="str">
        <f>"0.98"</f>
        <v>0.98</v>
      </c>
      <c r="C5009" t="str">
        <f>"100"</f>
        <v>100</v>
      </c>
      <c r="D5009" t="str">
        <f>"Static Delusions and Stone-Still Days"</f>
        <v>Static Delusions and Stone-Still Days</v>
      </c>
    </row>
    <row r="5010" spans="1:4" x14ac:dyDescent="0.2">
      <c r="A5010" t="str">
        <f>"5009"</f>
        <v>5009</v>
      </c>
      <c r="B5010" t="str">
        <f>"0.64"</f>
        <v>0.64</v>
      </c>
      <c r="C5010" t="str">
        <f>"81"</f>
        <v>81</v>
      </c>
      <c r="D5010" t="str">
        <f>"Future Songs"</f>
        <v>Future Songs</v>
      </c>
    </row>
    <row r="5011" spans="1:4" x14ac:dyDescent="0.2">
      <c r="A5011" t="str">
        <f>"5010"</f>
        <v>5010</v>
      </c>
      <c r="B5011" t="str">
        <f>"1.05"</f>
        <v>1.05</v>
      </c>
      <c r="C5011" t="str">
        <f>"99"</f>
        <v>99</v>
      </c>
      <c r="D5011" t="str">
        <f>"Buzzkunst"</f>
        <v>Buzzkunst</v>
      </c>
    </row>
    <row r="5012" spans="1:4" x14ac:dyDescent="0.2">
      <c r="A5012" t="str">
        <f>"5011"</f>
        <v>5011</v>
      </c>
      <c r="B5012" t="str">
        <f>"1.13"</f>
        <v>1.13</v>
      </c>
      <c r="C5012" t="str">
        <f>"59"</f>
        <v>59</v>
      </c>
      <c r="D5012" t="str">
        <f>"Things Shaped in Passing"</f>
        <v>Things Shaped in Passing</v>
      </c>
    </row>
    <row r="5013" spans="1:4" x14ac:dyDescent="0.2">
      <c r="A5013" t="str">
        <f>"5012"</f>
        <v>5012</v>
      </c>
      <c r="B5013" t="str">
        <f>"-0.64"</f>
        <v>-0.64</v>
      </c>
      <c r="C5013" t="str">
        <f>"27"</f>
        <v>27</v>
      </c>
      <c r="D5013" t="str">
        <f>"The Departing of a Dream"</f>
        <v>The Departing of a Dream</v>
      </c>
    </row>
    <row r="5014" spans="1:4" x14ac:dyDescent="0.2">
      <c r="A5014" t="str">
        <f>"5013"</f>
        <v>5013</v>
      </c>
      <c r="B5014" t="str">
        <f>"0.37"</f>
        <v>0.37</v>
      </c>
      <c r="C5014" t="str">
        <f>"82"</f>
        <v>82</v>
      </c>
      <c r="D5014" t="str">
        <f>"September 000"</f>
        <v>September 000</v>
      </c>
    </row>
    <row r="5015" spans="1:4" x14ac:dyDescent="0.2">
      <c r="A5015" t="str">
        <f>"5014"</f>
        <v>5014</v>
      </c>
      <c r="B5015" t="str">
        <f>"-0.21"</f>
        <v>-0.21</v>
      </c>
      <c r="C5015" t="str">
        <f>"92"</f>
        <v>92</v>
      </c>
      <c r="D5015" t="str">
        <f>"Old Blood"</f>
        <v>Old Blood</v>
      </c>
    </row>
    <row r="5016" spans="1:4" x14ac:dyDescent="0.2">
      <c r="A5016" t="str">
        <f>"5015"</f>
        <v>5015</v>
      </c>
      <c r="B5016" t="str">
        <f>"-0.49"</f>
        <v>-0.49</v>
      </c>
      <c r="C5016" t="str">
        <f>"87"</f>
        <v>87</v>
      </c>
      <c r="D5016" t="str">
        <f>"Unsavoury Products"</f>
        <v>Unsavoury Products</v>
      </c>
    </row>
    <row r="5017" spans="1:4" x14ac:dyDescent="0.2">
      <c r="A5017" t="str">
        <f>"5016"</f>
        <v>5016</v>
      </c>
      <c r="B5017" t="str">
        <f>"0.08"</f>
        <v>0.08</v>
      </c>
      <c r="C5017" t="str">
        <f>"81"</f>
        <v>81</v>
      </c>
      <c r="D5017" t="str">
        <f>"Where Were We?"</f>
        <v>Where Were We?</v>
      </c>
    </row>
    <row r="5018" spans="1:4" x14ac:dyDescent="0.2">
      <c r="A5018" t="str">
        <f>"5017"</f>
        <v>5017</v>
      </c>
      <c r="B5018" t="str">
        <f>"0.12"</f>
        <v>0.12</v>
      </c>
      <c r="C5018" t="str">
        <f>"52"</f>
        <v>52</v>
      </c>
      <c r="D5018" t="str">
        <f>"Too Late to Die Young"</f>
        <v>Too Late to Die Young</v>
      </c>
    </row>
    <row r="5019" spans="1:4" x14ac:dyDescent="0.2">
      <c r="A5019" t="str">
        <f>"5018"</f>
        <v>5018</v>
      </c>
      <c r="B5019" t="str">
        <f>"1.18"</f>
        <v>1.18</v>
      </c>
      <c r="C5019" t="str">
        <f>"90"</f>
        <v>90</v>
      </c>
      <c r="D5019" t="str">
        <f>"SOLA"</f>
        <v>SOLA</v>
      </c>
    </row>
    <row r="5020" spans="1:4" x14ac:dyDescent="0.2">
      <c r="A5020" t="str">
        <f>"5019"</f>
        <v>5019</v>
      </c>
      <c r="B5020" t="str">
        <f>"-0.29"</f>
        <v>-0.29</v>
      </c>
      <c r="C5020" t="str">
        <f>"76"</f>
        <v>76</v>
      </c>
      <c r="D5020" t="str">
        <f>"Fantastic Damage"</f>
        <v>Fantastic Damage</v>
      </c>
    </row>
    <row r="5021" spans="1:4" x14ac:dyDescent="0.2">
      <c r="A5021" t="str">
        <f>"5020"</f>
        <v>5020</v>
      </c>
      <c r="B5021" t="str">
        <f>"0.03"</f>
        <v>0.03</v>
      </c>
      <c r="C5021" t="str">
        <f>"132"</f>
        <v>132</v>
      </c>
      <c r="D5021" t="str">
        <f>"'The White Stripes' and 'De Stijl'"</f>
        <v>'The White Stripes' and 'De Stijl'</v>
      </c>
    </row>
    <row r="5022" spans="1:4" x14ac:dyDescent="0.2">
      <c r="A5022" t="str">
        <f>"5021"</f>
        <v>5021</v>
      </c>
      <c r="B5022" t="str">
        <f>"-0.71"</f>
        <v>-0.71</v>
      </c>
      <c r="C5022" t="str">
        <f>"121"</f>
        <v>121</v>
      </c>
      <c r="D5022" t="str">
        <f>"The Skull Mailbox and Other Horrors"</f>
        <v>The Skull Mailbox and Other Horrors</v>
      </c>
    </row>
    <row r="5023" spans="1:4" x14ac:dyDescent="0.2">
      <c r="A5023" t="str">
        <f>"5022"</f>
        <v>5022</v>
      </c>
      <c r="B5023" t="str">
        <f>"-1.74"</f>
        <v>-1.74</v>
      </c>
      <c r="C5023" t="str">
        <f>"66"</f>
        <v>66</v>
      </c>
      <c r="D5023" t="str">
        <f>"Are You Down?"</f>
        <v>Are You Down?</v>
      </c>
    </row>
    <row r="5024" spans="1:4" x14ac:dyDescent="0.2">
      <c r="A5024" t="str">
        <f>"5023"</f>
        <v>5023</v>
      </c>
      <c r="B5024" t="str">
        <f>"0.7"</f>
        <v>0.7</v>
      </c>
      <c r="C5024" t="str">
        <f>"81"</f>
        <v>81</v>
      </c>
      <c r="D5024" t="str">
        <f>"All That Glitters"</f>
        <v>All That Glitters</v>
      </c>
    </row>
    <row r="5025" spans="1:4" x14ac:dyDescent="0.2">
      <c r="A5025" t="str">
        <f>"5024"</f>
        <v>5024</v>
      </c>
      <c r="B5025" t="str">
        <f>"-0.24"</f>
        <v>-0.24</v>
      </c>
      <c r="C5025" t="str">
        <f>"67"</f>
        <v>67</v>
      </c>
      <c r="D5025" t="str">
        <f>"Witchcraft Rebellion"</f>
        <v>Witchcraft Rebellion</v>
      </c>
    </row>
    <row r="5026" spans="1:4" x14ac:dyDescent="0.2">
      <c r="A5026" t="str">
        <f>"5025"</f>
        <v>5025</v>
      </c>
      <c r="B5026" t="str">
        <f>"0.35"</f>
        <v>0.35</v>
      </c>
      <c r="C5026" t="str">
        <f>"91"</f>
        <v>91</v>
      </c>
      <c r="D5026" t="str">
        <f>"The Big Ka-Boom"</f>
        <v>The Big Ka-Boom</v>
      </c>
    </row>
    <row r="5027" spans="1:4" x14ac:dyDescent="0.2">
      <c r="A5027" t="str">
        <f>"5026"</f>
        <v>5026</v>
      </c>
      <c r="B5027" t="str">
        <f>"-0.25"</f>
        <v>-0.25</v>
      </c>
      <c r="C5027" t="str">
        <f>"91"</f>
        <v>91</v>
      </c>
      <c r="D5027" t="str">
        <f>"Loss"</f>
        <v>Loss</v>
      </c>
    </row>
    <row r="5028" spans="1:4" x14ac:dyDescent="0.2">
      <c r="A5028" t="str">
        <f>"5027"</f>
        <v>5027</v>
      </c>
      <c r="B5028" t="str">
        <f>"0.17"</f>
        <v>0.17</v>
      </c>
      <c r="C5028" t="str">
        <f>"128"</f>
        <v>128</v>
      </c>
      <c r="D5028" t="str">
        <f>"Heathen"</f>
        <v>Heathen</v>
      </c>
    </row>
    <row r="5029" spans="1:4" x14ac:dyDescent="0.2">
      <c r="A5029" t="str">
        <f>"5028"</f>
        <v>5028</v>
      </c>
      <c r="B5029" t="str">
        <f>"0.48"</f>
        <v>0.48</v>
      </c>
      <c r="C5029" t="str">
        <f>"68"</f>
        <v>68</v>
      </c>
      <c r="D5029" t="str">
        <f>"Lifestyles of the Laptop Cafe"</f>
        <v>Lifestyles of the Laptop Cafe</v>
      </c>
    </row>
    <row r="5030" spans="1:4" x14ac:dyDescent="0.2">
      <c r="A5030" t="str">
        <f>"5029"</f>
        <v>5029</v>
      </c>
      <c r="B5030" t="str">
        <f>"-0.26"</f>
        <v>-0.26</v>
      </c>
      <c r="C5030" t="str">
        <f>"58"</f>
        <v>58</v>
      </c>
      <c r="D5030" t="str">
        <f>"The Curse of..."</f>
        <v>The Curse of...</v>
      </c>
    </row>
    <row r="5031" spans="1:4" x14ac:dyDescent="0.2">
      <c r="A5031" t="str">
        <f>"5030"</f>
        <v>5030</v>
      </c>
      <c r="B5031" t="str">
        <f>"0.03"</f>
        <v>0.03</v>
      </c>
      <c r="C5031" t="str">
        <f>"80"</f>
        <v>80</v>
      </c>
      <c r="D5031" t="str">
        <f>"Something Wicked This Way Comes"</f>
        <v>Something Wicked This Way Comes</v>
      </c>
    </row>
    <row r="5032" spans="1:4" x14ac:dyDescent="0.2">
      <c r="A5032" t="str">
        <f>"5031"</f>
        <v>5031</v>
      </c>
      <c r="B5032" t="str">
        <f>"0.29"</f>
        <v>0.29</v>
      </c>
      <c r="C5032" t="str">
        <f>"87"</f>
        <v>87</v>
      </c>
      <c r="D5032" t="str">
        <f>"Italian Platinum"</f>
        <v>Italian Platinum</v>
      </c>
    </row>
    <row r="5033" spans="1:4" x14ac:dyDescent="0.2">
      <c r="A5033" t="str">
        <f>"5032"</f>
        <v>5032</v>
      </c>
      <c r="B5033" t="str">
        <f>"0.43"</f>
        <v>0.43</v>
      </c>
      <c r="C5033" t="str">
        <f>"93"</f>
        <v>93</v>
      </c>
      <c r="D5033" t="str">
        <f>"What Passed Between Us"</f>
        <v>What Passed Between Us</v>
      </c>
    </row>
    <row r="5034" spans="1:4" x14ac:dyDescent="0.2">
      <c r="A5034" t="str">
        <f>"5033"</f>
        <v>5033</v>
      </c>
      <c r="B5034" t="str">
        <f>"-0.87"</f>
        <v>-0.87</v>
      </c>
      <c r="C5034" t="str">
        <f>"113"</f>
        <v>113</v>
      </c>
      <c r="D5034" t="str">
        <f>"The Action Packed Mentallist Brings You the Fucking Jams"</f>
        <v>The Action Packed Mentallist Brings You the Fucking Jams</v>
      </c>
    </row>
    <row r="5035" spans="1:4" x14ac:dyDescent="0.2">
      <c r="A5035" t="str">
        <f>"5034"</f>
        <v>5034</v>
      </c>
      <c r="B5035" t="str">
        <f>"-0.69"</f>
        <v>-0.69</v>
      </c>
      <c r="C5035" t="str">
        <f>"81"</f>
        <v>81</v>
      </c>
      <c r="D5035" t="str">
        <f>"No News Is Good News"</f>
        <v>No News Is Good News</v>
      </c>
    </row>
    <row r="5036" spans="1:4" x14ac:dyDescent="0.2">
      <c r="A5036" t="str">
        <f>"5035"</f>
        <v>5035</v>
      </c>
      <c r="B5036" t="str">
        <f>"0.41"</f>
        <v>0.41</v>
      </c>
      <c r="C5036" t="str">
        <f>"102"</f>
        <v>102</v>
      </c>
      <c r="D5036" t="str">
        <f>"Free All Angels"</f>
        <v>Free All Angels</v>
      </c>
    </row>
    <row r="5037" spans="1:4" x14ac:dyDescent="0.2">
      <c r="A5037" t="str">
        <f>"5036"</f>
        <v>5036</v>
      </c>
      <c r="B5037" t="str">
        <f>"0.22"</f>
        <v>0.22</v>
      </c>
      <c r="C5037" t="str">
        <f>"104"</f>
        <v>104</v>
      </c>
      <c r="D5037" t="str">
        <f>"Splay"</f>
        <v>Splay</v>
      </c>
    </row>
    <row r="5038" spans="1:4" x14ac:dyDescent="0.2">
      <c r="A5038" t="str">
        <f>"5037"</f>
        <v>5037</v>
      </c>
      <c r="B5038" t="str">
        <f>"-0.23"</f>
        <v>-0.23</v>
      </c>
      <c r="C5038" t="str">
        <f>"91"</f>
        <v>91</v>
      </c>
      <c r="D5038" t="str">
        <f>"Make The Cowboy Robots Cry EP"</f>
        <v>Make The Cowboy Robots Cry EP</v>
      </c>
    </row>
    <row r="5039" spans="1:4" x14ac:dyDescent="0.2">
      <c r="A5039" t="str">
        <f>"5038"</f>
        <v>5038</v>
      </c>
      <c r="B5039" t="str">
        <f>"0.65"</f>
        <v>0.65</v>
      </c>
      <c r="C5039" t="str">
        <f>"64"</f>
        <v>64</v>
      </c>
      <c r="D5039" t="str">
        <f>"Latitude"</f>
        <v>Latitude</v>
      </c>
    </row>
    <row r="5040" spans="1:4" x14ac:dyDescent="0.2">
      <c r="A5040" t="str">
        <f>"5039"</f>
        <v>5039</v>
      </c>
      <c r="B5040" t="str">
        <f>"0.39"</f>
        <v>0.39</v>
      </c>
      <c r="C5040" t="str">
        <f>"80"</f>
        <v>80</v>
      </c>
      <c r="D5040" t="str">
        <f>"This Is a Hospital"</f>
        <v>This Is a Hospital</v>
      </c>
    </row>
    <row r="5041" spans="1:4" x14ac:dyDescent="0.2">
      <c r="A5041" t="str">
        <f>"5040"</f>
        <v>5040</v>
      </c>
      <c r="B5041" t="str">
        <f>"-0.57"</f>
        <v>-0.57</v>
      </c>
      <c r="C5041" t="str">
        <f>"78"</f>
        <v>78</v>
      </c>
      <c r="D5041" t="str">
        <f>"System 2"</f>
        <v>System 2</v>
      </c>
    </row>
    <row r="5042" spans="1:4" x14ac:dyDescent="0.2">
      <c r="A5042" t="str">
        <f>"5041"</f>
        <v>5041</v>
      </c>
      <c r="B5042" t="str">
        <f>"-1.05"</f>
        <v>-1.05</v>
      </c>
      <c r="C5042" t="str">
        <f>"85"</f>
        <v>85</v>
      </c>
      <c r="D5042" t="str">
        <f>"On a Wire"</f>
        <v>On a Wire</v>
      </c>
    </row>
    <row r="5043" spans="1:4" x14ac:dyDescent="0.2">
      <c r="A5043" t="str">
        <f>"5042"</f>
        <v>5042</v>
      </c>
      <c r="B5043" t="str">
        <f>"-1.1"</f>
        <v>-1.1</v>
      </c>
      <c r="C5043" t="str">
        <f>"90"</f>
        <v>90</v>
      </c>
      <c r="D5043" t="str">
        <f>"Full Collapse"</f>
        <v>Full Collapse</v>
      </c>
    </row>
    <row r="5044" spans="1:4" x14ac:dyDescent="0.2">
      <c r="A5044" t="str">
        <f>"5043"</f>
        <v>5043</v>
      </c>
      <c r="B5044" t="str">
        <f>"0.71"</f>
        <v>0.71</v>
      </c>
      <c r="C5044" t="str">
        <f>"102"</f>
        <v>102</v>
      </c>
      <c r="D5044" t="str">
        <f>"The Willies"</f>
        <v>The Willies</v>
      </c>
    </row>
    <row r="5045" spans="1:4" x14ac:dyDescent="0.2">
      <c r="A5045" t="str">
        <f>"5044"</f>
        <v>5044</v>
      </c>
      <c r="B5045" t="str">
        <f>"-0.57"</f>
        <v>-0.57</v>
      </c>
      <c r="C5045" t="str">
        <f>"86"</f>
        <v>86</v>
      </c>
      <c r="D5045" t="str">
        <f>"L'eclat du Ciel Était Insoutenable"</f>
        <v>L'eclat du Ciel Était Insoutenable</v>
      </c>
    </row>
    <row r="5046" spans="1:4" x14ac:dyDescent="0.2">
      <c r="A5046" t="str">
        <f>"5045"</f>
        <v>5045</v>
      </c>
      <c r="B5046" t="str">
        <f>"0.15"</f>
        <v>0.15</v>
      </c>
      <c r="C5046" t="str">
        <f>"95"</f>
        <v>95</v>
      </c>
      <c r="D5046" t="str">
        <f>"High Society"</f>
        <v>High Society</v>
      </c>
    </row>
    <row r="5047" spans="1:4" x14ac:dyDescent="0.2">
      <c r="A5047" t="str">
        <f>"5046"</f>
        <v>5046</v>
      </c>
      <c r="B5047" t="str">
        <f>"-0.38"</f>
        <v>-0.38</v>
      </c>
      <c r="C5047" t="str">
        <f>"52"</f>
        <v>52</v>
      </c>
      <c r="D5047" t="str">
        <f>"Felt Cover"</f>
        <v>Felt Cover</v>
      </c>
    </row>
    <row r="5048" spans="1:4" x14ac:dyDescent="0.2">
      <c r="A5048" t="str">
        <f>"5047"</f>
        <v>5047</v>
      </c>
      <c r="B5048" t="str">
        <f>"-0.16"</f>
        <v>-0.16</v>
      </c>
      <c r="C5048" t="str">
        <f>"59"</f>
        <v>59</v>
      </c>
      <c r="D5048" t="str">
        <f>"Viewfinder"</f>
        <v>Viewfinder</v>
      </c>
    </row>
    <row r="5049" spans="1:4" x14ac:dyDescent="0.2">
      <c r="A5049" t="str">
        <f>"5048"</f>
        <v>5048</v>
      </c>
      <c r="B5049" t="str">
        <f>"0.35"</f>
        <v>0.35</v>
      </c>
      <c r="C5049" t="str">
        <f>"101"</f>
        <v>101</v>
      </c>
      <c r="D5049" t="str">
        <f>"The Last Broadcast"</f>
        <v>The Last Broadcast</v>
      </c>
    </row>
    <row r="5050" spans="1:4" x14ac:dyDescent="0.2">
      <c r="A5050" t="str">
        <f>"5049"</f>
        <v>5049</v>
      </c>
      <c r="B5050" t="str">
        <f>"-0.65"</f>
        <v>-0.65</v>
      </c>
      <c r="C5050" t="str">
        <f>"60"</f>
        <v>60</v>
      </c>
      <c r="D5050" t="str">
        <f>"Ceux Qui Inventent N'ont Jamais Vecu"</f>
        <v>Ceux Qui Inventent N'ont Jamais Vecu</v>
      </c>
    </row>
    <row r="5051" spans="1:4" x14ac:dyDescent="0.2">
      <c r="A5051" t="str">
        <f>"5050"</f>
        <v>5050</v>
      </c>
      <c r="B5051" t="str">
        <f>"-0.81"</f>
        <v>-0.81</v>
      </c>
      <c r="C5051" t="str">
        <f>"121"</f>
        <v>121</v>
      </c>
      <c r="D5051" t="str">
        <f>"1986-1992"</f>
        <v>1986-1992</v>
      </c>
    </row>
    <row r="5052" spans="1:4" x14ac:dyDescent="0.2">
      <c r="A5052" t="str">
        <f>"5051"</f>
        <v>5051</v>
      </c>
      <c r="B5052" t="str">
        <f>"-0.48"</f>
        <v>-0.48</v>
      </c>
      <c r="C5052" t="str">
        <f>"121"</f>
        <v>121</v>
      </c>
      <c r="D5052" t="str">
        <f>"The Private Press"</f>
        <v>The Private Press</v>
      </c>
    </row>
    <row r="5053" spans="1:4" x14ac:dyDescent="0.2">
      <c r="A5053" t="str">
        <f>"5052"</f>
        <v>5052</v>
      </c>
      <c r="B5053" t="str">
        <f>"0.32"</f>
        <v>0.32</v>
      </c>
      <c r="C5053" t="str">
        <f>"65"</f>
        <v>65</v>
      </c>
      <c r="D5053" t="str">
        <f>"Some Things Plural"</f>
        <v>Some Things Plural</v>
      </c>
    </row>
    <row r="5054" spans="1:4" x14ac:dyDescent="0.2">
      <c r="A5054" t="str">
        <f>"5053"</f>
        <v>5053</v>
      </c>
      <c r="B5054" t="str">
        <f>"-0.55"</f>
        <v>-0.55</v>
      </c>
      <c r="C5054" t="str">
        <f>"95"</f>
        <v>95</v>
      </c>
      <c r="D5054" t="str">
        <f>"Remix"</f>
        <v>Remix</v>
      </c>
    </row>
    <row r="5055" spans="1:4" x14ac:dyDescent="0.2">
      <c r="A5055" t="str">
        <f>"5054"</f>
        <v>5054</v>
      </c>
      <c r="B5055" t="str">
        <f>"-0.63"</f>
        <v>-0.63</v>
      </c>
      <c r="C5055" t="str">
        <f>"104"</f>
        <v>104</v>
      </c>
      <c r="D5055" t="str">
        <f>"Co-Balt"</f>
        <v>Co-Balt</v>
      </c>
    </row>
    <row r="5056" spans="1:4" x14ac:dyDescent="0.2">
      <c r="A5056" t="str">
        <f>"5055"</f>
        <v>5055</v>
      </c>
      <c r="B5056" t="str">
        <f>"-0.82"</f>
        <v>-0.82</v>
      </c>
      <c r="C5056" t="str">
        <f>"65"</f>
        <v>65</v>
      </c>
      <c r="D5056" t="str">
        <f>"Pixeltan EP"</f>
        <v>Pixeltan EP</v>
      </c>
    </row>
    <row r="5057" spans="1:4" x14ac:dyDescent="0.2">
      <c r="A5057" t="str">
        <f>"5056"</f>
        <v>5056</v>
      </c>
      <c r="B5057" t="str">
        <f>"0.87"</f>
        <v>0.87</v>
      </c>
      <c r="C5057" t="str">
        <f>"103"</f>
        <v>103</v>
      </c>
      <c r="D5057" t="str">
        <f>"Music for Courage &amp; Confidence"</f>
        <v>Music for Courage &amp; Confidence</v>
      </c>
    </row>
    <row r="5058" spans="1:4" x14ac:dyDescent="0.2">
      <c r="A5058" t="str">
        <f>"5057"</f>
        <v>5057</v>
      </c>
      <c r="B5058" t="str">
        <f>"-1.14"</f>
        <v>-1.14</v>
      </c>
      <c r="C5058" t="str">
        <f>"105"</f>
        <v>105</v>
      </c>
      <c r="D5058" t="str">
        <f>"Knife Play"</f>
        <v>Knife Play</v>
      </c>
    </row>
    <row r="5059" spans="1:4" x14ac:dyDescent="0.2">
      <c r="A5059" t="str">
        <f>"5058"</f>
        <v>5058</v>
      </c>
      <c r="B5059" t="str">
        <f>"-0.09"</f>
        <v>-0.09</v>
      </c>
      <c r="C5059" t="str">
        <f>"83"</f>
        <v>83</v>
      </c>
      <c r="D5059" t="str">
        <f>"Interiors"</f>
        <v>Interiors</v>
      </c>
    </row>
    <row r="5060" spans="1:4" x14ac:dyDescent="0.2">
      <c r="A5060" t="str">
        <f>"5059"</f>
        <v>5059</v>
      </c>
      <c r="B5060" t="str">
        <f>"-0.42"</f>
        <v>-0.42</v>
      </c>
      <c r="C5060" t="str">
        <f>"118"</f>
        <v>118</v>
      </c>
      <c r="D5060" t="str">
        <f>"The Eminem Show"</f>
        <v>The Eminem Show</v>
      </c>
    </row>
    <row r="5061" spans="1:4" x14ac:dyDescent="0.2">
      <c r="A5061" t="str">
        <f>"5060"</f>
        <v>5060</v>
      </c>
      <c r="B5061" t="str">
        <f>"-0.7"</f>
        <v>-0.7</v>
      </c>
      <c r="C5061" t="str">
        <f>"90"</f>
        <v>90</v>
      </c>
      <c r="D5061" t="str">
        <f>"Low Kick and Hard Bop"</f>
        <v>Low Kick and Hard Bop</v>
      </c>
    </row>
    <row r="5062" spans="1:4" x14ac:dyDescent="0.2">
      <c r="A5062" t="str">
        <f>"5061"</f>
        <v>5061</v>
      </c>
      <c r="B5062" t="str">
        <f>"0.08"</f>
        <v>0.08</v>
      </c>
      <c r="C5062" t="str">
        <f>"55"</f>
        <v>55</v>
      </c>
      <c r="D5062" t="str">
        <f>"I"</f>
        <v>I</v>
      </c>
    </row>
    <row r="5063" spans="1:4" x14ac:dyDescent="0.2">
      <c r="A5063" t="str">
        <f>"5062"</f>
        <v>5062</v>
      </c>
      <c r="B5063" t="str">
        <f>"-0.06"</f>
        <v>-0.06</v>
      </c>
      <c r="C5063" t="str">
        <f>"73"</f>
        <v>73</v>
      </c>
      <c r="D5063" t="str">
        <f>"Blobscape"</f>
        <v>Blobscape</v>
      </c>
    </row>
    <row r="5064" spans="1:4" x14ac:dyDescent="0.2">
      <c r="A5064" t="str">
        <f>"5063"</f>
        <v>5063</v>
      </c>
      <c r="B5064" t="str">
        <f>"-0.31"</f>
        <v>-0.31</v>
      </c>
      <c r="C5064" t="str">
        <f>"66"</f>
        <v>66</v>
      </c>
      <c r="D5064" t="str">
        <f>"Out of the Fierce Parade"</f>
        <v>Out of the Fierce Parade</v>
      </c>
    </row>
    <row r="5065" spans="1:4" x14ac:dyDescent="0.2">
      <c r="A5065" t="str">
        <f>"5064"</f>
        <v>5064</v>
      </c>
      <c r="B5065" t="str">
        <f>"-0.9"</f>
        <v>-0.9</v>
      </c>
      <c r="C5065" t="str">
        <f>"72"</f>
        <v>72</v>
      </c>
      <c r="D5065" t="str">
        <f>"My Majesty"</f>
        <v>My Majesty</v>
      </c>
    </row>
    <row r="5066" spans="1:4" x14ac:dyDescent="0.2">
      <c r="A5066" t="str">
        <f>"5065"</f>
        <v>5065</v>
      </c>
      <c r="B5066" t="str">
        <f>"0.2"</f>
        <v>0.2</v>
      </c>
      <c r="C5066" t="str">
        <f>"104"</f>
        <v>104</v>
      </c>
      <c r="D5066" t="str">
        <f>"Invention"</f>
        <v>Invention</v>
      </c>
    </row>
    <row r="5067" spans="1:4" x14ac:dyDescent="0.2">
      <c r="A5067" t="str">
        <f>"5066"</f>
        <v>5066</v>
      </c>
      <c r="B5067" t="str">
        <f>"0.09"</f>
        <v>0.09</v>
      </c>
      <c r="C5067" t="str">
        <f>"107"</f>
        <v>107</v>
      </c>
      <c r="D5067" t="str">
        <f>"Chelsea Walls"</f>
        <v>Chelsea Walls</v>
      </c>
    </row>
    <row r="5068" spans="1:4" x14ac:dyDescent="0.2">
      <c r="A5068" t="str">
        <f>"5067"</f>
        <v>5067</v>
      </c>
      <c r="B5068" t="str">
        <f>"-0.32"</f>
        <v>-0.32</v>
      </c>
      <c r="C5068" t="str">
        <f>"166"</f>
        <v>166</v>
      </c>
      <c r="D5068" t="str">
        <f>"You Think You Really Know Me"</f>
        <v>You Think You Really Know Me</v>
      </c>
    </row>
    <row r="5069" spans="1:4" x14ac:dyDescent="0.2">
      <c r="A5069" t="str">
        <f>"5068"</f>
        <v>5068</v>
      </c>
      <c r="B5069" t="str">
        <f>"-0.59"</f>
        <v>-0.59</v>
      </c>
      <c r="C5069" t="str">
        <f>"87"</f>
        <v>87</v>
      </c>
      <c r="D5069" t="str">
        <f>"Uninvisible"</f>
        <v>Uninvisible</v>
      </c>
    </row>
    <row r="5070" spans="1:4" x14ac:dyDescent="0.2">
      <c r="A5070" t="str">
        <f>"5069"</f>
        <v>5069</v>
      </c>
      <c r="B5070" t="str">
        <f>"-0.59"</f>
        <v>-0.59</v>
      </c>
      <c r="C5070" t="str">
        <f>"119"</f>
        <v>119</v>
      </c>
      <c r="D5070" t="str">
        <f>"Title TK"</f>
        <v>Title TK</v>
      </c>
    </row>
    <row r="5071" spans="1:4" x14ac:dyDescent="0.2">
      <c r="A5071" t="str">
        <f>"5070"</f>
        <v>5070</v>
      </c>
      <c r="B5071" t="str">
        <f>"-0.09"</f>
        <v>-0.09</v>
      </c>
      <c r="C5071" t="str">
        <f>"60"</f>
        <v>60</v>
      </c>
      <c r="D5071" t="str">
        <f>"Reagent Specs"</f>
        <v>Reagent Specs</v>
      </c>
    </row>
    <row r="5072" spans="1:4" x14ac:dyDescent="0.2">
      <c r="A5072" t="str">
        <f>"5071"</f>
        <v>5071</v>
      </c>
      <c r="B5072" t="str">
        <f>"0.06"</f>
        <v>0.06</v>
      </c>
      <c r="C5072" t="str">
        <f>"92"</f>
        <v>92</v>
      </c>
      <c r="D5072" t="str">
        <f>"Here Be Monsters"</f>
        <v>Here Be Monsters</v>
      </c>
    </row>
    <row r="5073" spans="1:4" x14ac:dyDescent="0.2">
      <c r="A5073" t="str">
        <f>"5072"</f>
        <v>5072</v>
      </c>
      <c r="B5073" t="str">
        <f>"0.42"</f>
        <v>0.42</v>
      </c>
      <c r="C5073" t="str">
        <f>"82"</f>
        <v>82</v>
      </c>
      <c r="D5073" t="str">
        <f>"Secondhand Sounds"</f>
        <v>Secondhand Sounds</v>
      </c>
    </row>
    <row r="5074" spans="1:4" x14ac:dyDescent="0.2">
      <c r="A5074" t="str">
        <f>"5073"</f>
        <v>5073</v>
      </c>
      <c r="B5074" t="str">
        <f>"-0.05"</f>
        <v>-0.05</v>
      </c>
      <c r="C5074" t="str">
        <f>"85"</f>
        <v>85</v>
      </c>
      <c r="D5074" t="str">
        <f>"It Isn't The Fall EP"</f>
        <v>It Isn't The Fall EP</v>
      </c>
    </row>
    <row r="5075" spans="1:4" x14ac:dyDescent="0.2">
      <c r="A5075" t="str">
        <f>"5074"</f>
        <v>5074</v>
      </c>
      <c r="B5075" t="str">
        <f>"0.66"</f>
        <v>0.66</v>
      </c>
      <c r="C5075" t="str">
        <f>"71"</f>
        <v>71</v>
      </c>
      <c r="D5075" t="str">
        <f>"Infinite Love Songs"</f>
        <v>Infinite Love Songs</v>
      </c>
    </row>
    <row r="5076" spans="1:4" x14ac:dyDescent="0.2">
      <c r="A5076" t="str">
        <f>"5075"</f>
        <v>5075</v>
      </c>
      <c r="B5076" t="str">
        <f>"0.59"</f>
        <v>0.59</v>
      </c>
      <c r="C5076" t="str">
        <f>"76"</f>
        <v>76</v>
      </c>
      <c r="D5076" t="str">
        <f>"Blazing Arrow"</f>
        <v>Blazing Arrow</v>
      </c>
    </row>
    <row r="5077" spans="1:4" x14ac:dyDescent="0.2">
      <c r="A5077" t="str">
        <f>"5076"</f>
        <v>5076</v>
      </c>
      <c r="B5077" t="str">
        <f>"-0.16"</f>
        <v>-0.16</v>
      </c>
      <c r="C5077" t="str">
        <f>"79"</f>
        <v>79</v>
      </c>
      <c r="D5077" t="str">
        <f>"The Illusion of Safety"</f>
        <v>The Illusion of Safety</v>
      </c>
    </row>
    <row r="5078" spans="1:4" x14ac:dyDescent="0.2">
      <c r="A5078" t="str">
        <f>"5077"</f>
        <v>5077</v>
      </c>
      <c r="B5078" t="str">
        <f>"-0.08"</f>
        <v>-0.08</v>
      </c>
      <c r="C5078" t="str">
        <f>"88"</f>
        <v>88</v>
      </c>
      <c r="D5078" t="str">
        <f>"One More in the Cabin"</f>
        <v>One More in the Cabin</v>
      </c>
    </row>
    <row r="5079" spans="1:4" x14ac:dyDescent="0.2">
      <c r="A5079" t="str">
        <f>"5078"</f>
        <v>5078</v>
      </c>
      <c r="B5079" t="str">
        <f>"0.03"</f>
        <v>0.03</v>
      </c>
      <c r="C5079" t="str">
        <f>"58"</f>
        <v>58</v>
      </c>
      <c r="D5079" t="str">
        <f>"Burn and Shiver"</f>
        <v>Burn and Shiver</v>
      </c>
    </row>
    <row r="5080" spans="1:4" x14ac:dyDescent="0.2">
      <c r="A5080" t="str">
        <f>"5079"</f>
        <v>5079</v>
      </c>
      <c r="B5080" t="str">
        <f>"0.54"</f>
        <v>0.54</v>
      </c>
      <c r="C5080" t="str">
        <f>"107"</f>
        <v>107</v>
      </c>
      <c r="D5080" t="str">
        <f>"All Tomorrow's Parties v2.0"</f>
        <v>All Tomorrow's Parties v2.0</v>
      </c>
    </row>
    <row r="5081" spans="1:4" x14ac:dyDescent="0.2">
      <c r="A5081" t="str">
        <f>"5080"</f>
        <v>5080</v>
      </c>
      <c r="B5081" t="str">
        <f>"0.24"</f>
        <v>0.24</v>
      </c>
      <c r="C5081" t="str">
        <f>"60"</f>
        <v>60</v>
      </c>
      <c r="D5081" t="str">
        <f>"The Guest"</f>
        <v>The Guest</v>
      </c>
    </row>
    <row r="5082" spans="1:4" x14ac:dyDescent="0.2">
      <c r="A5082" t="str">
        <f>"5081"</f>
        <v>5081</v>
      </c>
      <c r="B5082" t="str">
        <f>"0.57"</f>
        <v>0.57</v>
      </c>
      <c r="C5082" t="str">
        <f>"78"</f>
        <v>78</v>
      </c>
      <c r="D5082" t="str">
        <f>"Super/System"</f>
        <v>Super/System</v>
      </c>
    </row>
    <row r="5083" spans="1:4" x14ac:dyDescent="0.2">
      <c r="A5083" t="str">
        <f>"5082"</f>
        <v>5082</v>
      </c>
      <c r="B5083" t="str">
        <f>"0.29"</f>
        <v>0.29</v>
      </c>
      <c r="C5083" t="str">
        <f>"67"</f>
        <v>67</v>
      </c>
      <c r="D5083" t="str">
        <f>"Para Toda Vida"</f>
        <v>Para Toda Vida</v>
      </c>
    </row>
    <row r="5084" spans="1:4" x14ac:dyDescent="0.2">
      <c r="A5084" t="str">
        <f>"5083"</f>
        <v>5083</v>
      </c>
      <c r="B5084" t="str">
        <f>"-0.14"</f>
        <v>-0.14</v>
      </c>
      <c r="C5084" t="str">
        <f>"121"</f>
        <v>121</v>
      </c>
      <c r="D5084" t="str">
        <f>"Maladroit"</f>
        <v>Maladroit</v>
      </c>
    </row>
    <row r="5085" spans="1:4" x14ac:dyDescent="0.2">
      <c r="A5085" t="str">
        <f>"5084"</f>
        <v>5084</v>
      </c>
      <c r="B5085" t="str">
        <f>"0.13"</f>
        <v>0.13</v>
      </c>
      <c r="C5085" t="str">
        <f>"56"</f>
        <v>56</v>
      </c>
      <c r="D5085" t="str">
        <f>"Stereo"</f>
        <v>Stereo</v>
      </c>
    </row>
    <row r="5086" spans="1:4" x14ac:dyDescent="0.2">
      <c r="A5086" t="str">
        <f>"5085"</f>
        <v>5085</v>
      </c>
      <c r="B5086" t="str">
        <f>"-0.48"</f>
        <v>-0.48</v>
      </c>
      <c r="C5086" t="str">
        <f>"84"</f>
        <v>84</v>
      </c>
      <c r="D5086" t="str">
        <f>"In Our Gun"</f>
        <v>In Our Gun</v>
      </c>
    </row>
    <row r="5087" spans="1:4" x14ac:dyDescent="0.2">
      <c r="A5087" t="str">
        <f>"5086"</f>
        <v>5086</v>
      </c>
      <c r="B5087" t="str">
        <f>"-0.1"</f>
        <v>-0.1</v>
      </c>
      <c r="C5087" t="str">
        <f>"85"</f>
        <v>85</v>
      </c>
      <c r="D5087" t="str">
        <f>"Demure"</f>
        <v>Demure</v>
      </c>
    </row>
    <row r="5088" spans="1:4" x14ac:dyDescent="0.2">
      <c r="A5088" t="str">
        <f>"5087"</f>
        <v>5087</v>
      </c>
      <c r="B5088" t="str">
        <f>"-0.22"</f>
        <v>-0.22</v>
      </c>
      <c r="C5088" t="str">
        <f>"87"</f>
        <v>87</v>
      </c>
      <c r="D5088" t="str">
        <f>"Above the Volcano of Flowers"</f>
        <v>Above the Volcano of Flowers</v>
      </c>
    </row>
    <row r="5089" spans="1:4" x14ac:dyDescent="0.2">
      <c r="A5089" t="str">
        <f>"5088"</f>
        <v>5088</v>
      </c>
      <c r="B5089" t="str">
        <f>"0.09"</f>
        <v>0.09</v>
      </c>
      <c r="C5089" t="str">
        <f>"90"</f>
        <v>90</v>
      </c>
      <c r="D5089" t="str">
        <f>"There Is No Beginning to the Story EP"</f>
        <v>There Is No Beginning to the Story EP</v>
      </c>
    </row>
    <row r="5090" spans="1:4" x14ac:dyDescent="0.2">
      <c r="A5090" t="str">
        <f>"5089"</f>
        <v>5089</v>
      </c>
      <c r="B5090" t="str">
        <f>"-0.97"</f>
        <v>-0.97</v>
      </c>
      <c r="C5090" t="str">
        <f>"128"</f>
        <v>128</v>
      </c>
      <c r="D5090" t="str">
        <f>"Reservoir Songs EP"</f>
        <v>Reservoir Songs EP</v>
      </c>
    </row>
    <row r="5091" spans="1:4" x14ac:dyDescent="0.2">
      <c r="A5091" t="str">
        <f>"5090"</f>
        <v>5090</v>
      </c>
      <c r="B5091" t="str">
        <f>"0.25"</f>
        <v>0.25</v>
      </c>
      <c r="C5091" t="str">
        <f>"53"</f>
        <v>53</v>
      </c>
      <c r="D5091" t="str">
        <f>"Live at the Holiday Sin"</f>
        <v>Live at the Holiday Sin</v>
      </c>
    </row>
    <row r="5092" spans="1:4" x14ac:dyDescent="0.2">
      <c r="A5092" t="str">
        <f>"5091"</f>
        <v>5091</v>
      </c>
      <c r="B5092" t="str">
        <f>"0.59"</f>
        <v>0.59</v>
      </c>
      <c r="C5092" t="str">
        <f>"75"</f>
        <v>75</v>
      </c>
      <c r="D5092" t="str">
        <f>"Animal Magic"</f>
        <v>Animal Magic</v>
      </c>
    </row>
    <row r="5093" spans="1:4" x14ac:dyDescent="0.2">
      <c r="A5093" t="str">
        <f>"5092"</f>
        <v>5092</v>
      </c>
      <c r="B5093" t="str">
        <f>"-0.13"</f>
        <v>-0.13</v>
      </c>
      <c r="C5093" t="str">
        <f>"91"</f>
        <v>91</v>
      </c>
      <c r="D5093" t="str">
        <f>"Souljacker"</f>
        <v>Souljacker</v>
      </c>
    </row>
    <row r="5094" spans="1:4" x14ac:dyDescent="0.2">
      <c r="A5094" t="str">
        <f>"5093"</f>
        <v>5093</v>
      </c>
      <c r="B5094" t="str">
        <f>"-0.61"</f>
        <v>-0.61</v>
      </c>
      <c r="C5094" t="str">
        <f>"109"</f>
        <v>109</v>
      </c>
      <c r="D5094" t="str">
        <f>"Music Kills Me"</f>
        <v>Music Kills Me</v>
      </c>
    </row>
    <row r="5095" spans="1:4" x14ac:dyDescent="0.2">
      <c r="A5095" t="str">
        <f>"5094"</f>
        <v>5094</v>
      </c>
      <c r="B5095" t="str">
        <f>"-0.52"</f>
        <v>-0.52</v>
      </c>
      <c r="C5095" t="str">
        <f>"106"</f>
        <v>106</v>
      </c>
      <c r="D5095" t="str">
        <f>"Handcream for a Generation"</f>
        <v>Handcream for a Generation</v>
      </c>
    </row>
    <row r="5096" spans="1:4" x14ac:dyDescent="0.2">
      <c r="A5096" t="str">
        <f>"5095"</f>
        <v>5095</v>
      </c>
      <c r="B5096" t="str">
        <f>"0.52"</f>
        <v>0.52</v>
      </c>
      <c r="C5096" t="str">
        <f>"92"</f>
        <v>92</v>
      </c>
      <c r="D5096" t="str">
        <f>"Ceci N'Est Pas un Disque"</f>
        <v>Ceci N'Est Pas un Disque</v>
      </c>
    </row>
    <row r="5097" spans="1:4" x14ac:dyDescent="0.2">
      <c r="A5097" t="str">
        <f>"5096"</f>
        <v>5096</v>
      </c>
      <c r="B5097" t="str">
        <f>"0.61"</f>
        <v>0.61</v>
      </c>
      <c r="C5097" t="str">
        <f>"74"</f>
        <v>74</v>
      </c>
      <c r="D5097" t="str">
        <f>"Placement Issues"</f>
        <v>Placement Issues</v>
      </c>
    </row>
    <row r="5098" spans="1:4" x14ac:dyDescent="0.2">
      <c r="A5098" t="str">
        <f>"5097"</f>
        <v>5097</v>
      </c>
      <c r="B5098" t="str">
        <f>"1.01"</f>
        <v>1.01</v>
      </c>
      <c r="C5098" t="str">
        <f>"75"</f>
        <v>75</v>
      </c>
      <c r="D5098" t="str">
        <f>"In The Afternoon"</f>
        <v>In The Afternoon</v>
      </c>
    </row>
    <row r="5099" spans="1:4" x14ac:dyDescent="0.2">
      <c r="A5099" t="str">
        <f>"5098"</f>
        <v>5098</v>
      </c>
      <c r="B5099" t="str">
        <f>"1.12"</f>
        <v>1.12</v>
      </c>
      <c r="C5099" t="str">
        <f>"84"</f>
        <v>84</v>
      </c>
      <c r="D5099" t="str">
        <f>"Finally We Are No One"</f>
        <v>Finally We Are No One</v>
      </c>
    </row>
    <row r="5100" spans="1:4" x14ac:dyDescent="0.2">
      <c r="A5100" t="str">
        <f>"5099"</f>
        <v>5099</v>
      </c>
      <c r="B5100" t="str">
        <f>"-0.97"</f>
        <v>-0.97</v>
      </c>
      <c r="C5100" t="str">
        <f>"80"</f>
        <v>80</v>
      </c>
      <c r="D5100" t="str">
        <f>"Creatures"</f>
        <v>Creatures</v>
      </c>
    </row>
    <row r="5101" spans="1:4" x14ac:dyDescent="0.2">
      <c r="A5101" t="str">
        <f>"5100"</f>
        <v>5100</v>
      </c>
      <c r="B5101" t="str">
        <f>"0.02"</f>
        <v>0.02</v>
      </c>
      <c r="C5101" t="str">
        <f>"63"</f>
        <v>63</v>
      </c>
      <c r="D5101" t="str">
        <f>"The Oak in the Ashes"</f>
        <v>The Oak in the Ashes</v>
      </c>
    </row>
    <row r="5102" spans="1:4" x14ac:dyDescent="0.2">
      <c r="A5102" t="str">
        <f>"5101"</f>
        <v>5101</v>
      </c>
      <c r="B5102" t="str">
        <f>"0.72"</f>
        <v>0.72</v>
      </c>
      <c r="C5102" t="str">
        <f>"106"</f>
        <v>106</v>
      </c>
      <c r="D5102" t="str">
        <f>"Sarah Shannon"</f>
        <v>Sarah Shannon</v>
      </c>
    </row>
    <row r="5103" spans="1:4" x14ac:dyDescent="0.2">
      <c r="A5103" t="str">
        <f>"5102"</f>
        <v>5102</v>
      </c>
      <c r="B5103" t="str">
        <f>"-0.34"</f>
        <v>-0.34</v>
      </c>
      <c r="C5103" t="str">
        <f>"50"</f>
        <v>50</v>
      </c>
      <c r="D5103" t="str">
        <f>"Moon Money Moon EP"</f>
        <v>Moon Money Moon EP</v>
      </c>
    </row>
    <row r="5104" spans="1:4" x14ac:dyDescent="0.2">
      <c r="A5104" t="str">
        <f>"5103"</f>
        <v>5103</v>
      </c>
      <c r="B5104" t="str">
        <f>"-0.81"</f>
        <v>-0.81</v>
      </c>
      <c r="C5104" t="str">
        <f>"110"</f>
        <v>110</v>
      </c>
      <c r="D5104" t="str">
        <f>"18"</f>
        <v>18</v>
      </c>
    </row>
    <row r="5105" spans="1:4" x14ac:dyDescent="0.2">
      <c r="A5105" t="str">
        <f>"5104"</f>
        <v>5104</v>
      </c>
      <c r="B5105" t="str">
        <f>"-0.1"</f>
        <v>-0.1</v>
      </c>
      <c r="C5105" t="str">
        <f>"108"</f>
        <v>108</v>
      </c>
      <c r="D5105" t="str">
        <f>"Storytelling"</f>
        <v>Storytelling</v>
      </c>
    </row>
    <row r="5106" spans="1:4" x14ac:dyDescent="0.2">
      <c r="A5106" t="str">
        <f>"5105"</f>
        <v>5105</v>
      </c>
      <c r="B5106" t="str">
        <f>"0.14"</f>
        <v>0.14</v>
      </c>
      <c r="C5106" t="str">
        <f>"77"</f>
        <v>77</v>
      </c>
      <c r="D5106" t="str">
        <f>"Protest a Dark Anniversary"</f>
        <v>Protest a Dark Anniversary</v>
      </c>
    </row>
    <row r="5107" spans="1:4" x14ac:dyDescent="0.2">
      <c r="A5107" t="str">
        <f>"5106"</f>
        <v>5106</v>
      </c>
      <c r="B5107" t="str">
        <f>"0.07"</f>
        <v>0.07</v>
      </c>
      <c r="C5107" t="str">
        <f>"84"</f>
        <v>84</v>
      </c>
      <c r="D5107" t="str">
        <f>"Or You Could Just Go Through Your Whole Life and Be Happy Anyway"</f>
        <v>Or You Could Just Go Through Your Whole Life and Be Happy Anyway</v>
      </c>
    </row>
    <row r="5108" spans="1:4" x14ac:dyDescent="0.2">
      <c r="A5108" t="str">
        <f>"5107"</f>
        <v>5107</v>
      </c>
      <c r="B5108" t="str">
        <f>"0.18"</f>
        <v>0.18</v>
      </c>
      <c r="C5108" t="str">
        <f>"63"</f>
        <v>63</v>
      </c>
      <c r="D5108" t="str">
        <f>"10 Seconds"</f>
        <v>10 Seconds</v>
      </c>
    </row>
    <row r="5109" spans="1:4" x14ac:dyDescent="0.2">
      <c r="A5109" t="str">
        <f>"5108"</f>
        <v>5108</v>
      </c>
      <c r="B5109" t="str">
        <f>"0.25"</f>
        <v>0.25</v>
      </c>
      <c r="C5109" t="str">
        <f>"78"</f>
        <v>78</v>
      </c>
      <c r="D5109" t="str">
        <f>"Talkatif"</f>
        <v>Talkatif</v>
      </c>
    </row>
    <row r="5110" spans="1:4" x14ac:dyDescent="0.2">
      <c r="A5110" t="str">
        <f>"5109"</f>
        <v>5109</v>
      </c>
      <c r="B5110" t="str">
        <f>"0.23"</f>
        <v>0.23</v>
      </c>
      <c r="C5110" t="str">
        <f>"58"</f>
        <v>58</v>
      </c>
      <c r="D5110" t="str">
        <f>"Self-Titled Long-Playing Debut Album"</f>
        <v>Self-Titled Long-Playing Debut Album</v>
      </c>
    </row>
    <row r="5111" spans="1:4" x14ac:dyDescent="0.2">
      <c r="A5111" t="str">
        <f>"5110"</f>
        <v>5110</v>
      </c>
      <c r="B5111" t="str">
        <f>"-0.4"</f>
        <v>-0.4</v>
      </c>
      <c r="C5111" t="str">
        <f>"154"</f>
        <v>154</v>
      </c>
      <c r="D5111" t="str">
        <f>"Robyn Sings"</f>
        <v>Robyn Sings</v>
      </c>
    </row>
    <row r="5112" spans="1:4" x14ac:dyDescent="0.2">
      <c r="A5112" t="str">
        <f>"5111"</f>
        <v>5111</v>
      </c>
      <c r="B5112" t="str">
        <f>"0.44"</f>
        <v>0.44</v>
      </c>
      <c r="C5112" t="str">
        <f>"85"</f>
        <v>85</v>
      </c>
      <c r="D5112" t="str">
        <f>"Anniversary"</f>
        <v>Anniversary</v>
      </c>
    </row>
    <row r="5113" spans="1:4" x14ac:dyDescent="0.2">
      <c r="A5113" t="str">
        <f>"5112"</f>
        <v>5112</v>
      </c>
      <c r="B5113" t="str">
        <f>"-0.62"</f>
        <v>-0.62</v>
      </c>
      <c r="C5113" t="str">
        <f>"72"</f>
        <v>72</v>
      </c>
      <c r="D5113" t="str">
        <f>"Sugar"</f>
        <v>Sugar</v>
      </c>
    </row>
    <row r="5114" spans="1:4" x14ac:dyDescent="0.2">
      <c r="A5114" t="str">
        <f>"5113"</f>
        <v>5113</v>
      </c>
      <c r="B5114" t="str">
        <f>"0.1"</f>
        <v>0.1</v>
      </c>
      <c r="C5114" t="str">
        <f>"77"</f>
        <v>77</v>
      </c>
      <c r="D5114" t="str">
        <f>"Notes Left Out"</f>
        <v>Notes Left Out</v>
      </c>
    </row>
    <row r="5115" spans="1:4" x14ac:dyDescent="0.2">
      <c r="A5115" t="str">
        <f>"5114"</f>
        <v>5114</v>
      </c>
      <c r="B5115" t="str">
        <f>"-1.51"</f>
        <v>-1.51</v>
      </c>
      <c r="C5115" t="str">
        <f>"94"</f>
        <v>94</v>
      </c>
      <c r="D5115" t="str">
        <f>"29092000"</f>
        <v>29092000</v>
      </c>
    </row>
    <row r="5116" spans="1:4" x14ac:dyDescent="0.2">
      <c r="A5116" t="str">
        <f>"5115"</f>
        <v>5115</v>
      </c>
      <c r="B5116" t="str">
        <f>"0.27"</f>
        <v>0.27</v>
      </c>
      <c r="C5116" t="str">
        <f>"56"</f>
        <v>56</v>
      </c>
      <c r="D5116" t="str">
        <f>"Sprain Your Tapedeck"</f>
        <v>Sprain Your Tapedeck</v>
      </c>
    </row>
    <row r="5117" spans="1:4" x14ac:dyDescent="0.2">
      <c r="A5117" t="str">
        <f>"5116"</f>
        <v>5116</v>
      </c>
      <c r="B5117" t="str">
        <f>"0.37"</f>
        <v>0.37</v>
      </c>
      <c r="C5117" t="str">
        <f>"57"</f>
        <v>57</v>
      </c>
      <c r="D5117" t="str">
        <f>"Our Noise"</f>
        <v>Our Noise</v>
      </c>
    </row>
    <row r="5118" spans="1:4" x14ac:dyDescent="0.2">
      <c r="A5118" t="str">
        <f>"5117"</f>
        <v>5117</v>
      </c>
      <c r="B5118" t="str">
        <f>"0.13"</f>
        <v>0.13</v>
      </c>
      <c r="C5118" t="str">
        <f>"73"</f>
        <v>73</v>
      </c>
      <c r="D5118" t="str">
        <f>"Lend You a Hand"</f>
        <v>Lend You a Hand</v>
      </c>
    </row>
    <row r="5119" spans="1:4" x14ac:dyDescent="0.2">
      <c r="A5119" t="str">
        <f>"5118"</f>
        <v>5118</v>
      </c>
      <c r="B5119" t="str">
        <f>"-1.02"</f>
        <v>-1.02</v>
      </c>
      <c r="C5119" t="str">
        <f>"132"</f>
        <v>132</v>
      </c>
      <c r="D5119" t="str">
        <f>"'Alice' and 'Blood Money'"</f>
        <v>'Alice' and 'Blood Money'</v>
      </c>
    </row>
    <row r="5120" spans="1:4" x14ac:dyDescent="0.2">
      <c r="A5120" t="str">
        <f>"5119"</f>
        <v>5119</v>
      </c>
      <c r="B5120" t="str">
        <f>"0.49"</f>
        <v>0.49</v>
      </c>
      <c r="C5120" t="str">
        <f>"86"</f>
        <v>86</v>
      </c>
      <c r="D5120" t="str">
        <f>"Acuarela Songs"</f>
        <v>Acuarela Songs</v>
      </c>
    </row>
    <row r="5121" spans="1:4" x14ac:dyDescent="0.2">
      <c r="A5121" t="str">
        <f>"5120"</f>
        <v>5120</v>
      </c>
      <c r="B5121" t="str">
        <f>"-0.34"</f>
        <v>-0.34</v>
      </c>
      <c r="C5121" t="str">
        <f>"92"</f>
        <v>92</v>
      </c>
      <c r="D5121" t="str">
        <f>"We Ain't Fessin' (Double Quotes) EP"</f>
        <v>We Ain't Fessin' (Double Quotes) EP</v>
      </c>
    </row>
    <row r="5122" spans="1:4" x14ac:dyDescent="0.2">
      <c r="A5122" t="str">
        <f>"5121"</f>
        <v>5121</v>
      </c>
      <c r="B5122" t="str">
        <f>"-0.46"</f>
        <v>-0.46</v>
      </c>
      <c r="C5122" t="str">
        <f>"141"</f>
        <v>141</v>
      </c>
      <c r="D5122" t="str">
        <f>"Sharpen Your Teeth"</f>
        <v>Sharpen Your Teeth</v>
      </c>
    </row>
    <row r="5123" spans="1:4" x14ac:dyDescent="0.2">
      <c r="A5123" t="str">
        <f>"5122"</f>
        <v>5122</v>
      </c>
      <c r="B5123" t="str">
        <f>"0.65"</f>
        <v>0.65</v>
      </c>
      <c r="C5123" t="str">
        <f>"75"</f>
        <v>75</v>
      </c>
      <c r="D5123" t="str">
        <f>"Move"</f>
        <v>Move</v>
      </c>
    </row>
    <row r="5124" spans="1:4" x14ac:dyDescent="0.2">
      <c r="A5124" t="str">
        <f>"5123"</f>
        <v>5123</v>
      </c>
      <c r="B5124" t="str">
        <f>"-0.99"</f>
        <v>-0.99</v>
      </c>
      <c r="C5124" t="str">
        <f>"119"</f>
        <v>119</v>
      </c>
      <c r="D5124" t="str">
        <f>"Adaptation and Survival: The Insect Project"</f>
        <v>Adaptation and Survival: The Insect Project</v>
      </c>
    </row>
    <row r="5125" spans="1:4" x14ac:dyDescent="0.2">
      <c r="A5125" t="str">
        <f>"5124"</f>
        <v>5124</v>
      </c>
      <c r="B5125" t="str">
        <f>"0.57"</f>
        <v>0.57</v>
      </c>
      <c r="C5125" t="str">
        <f>"71"</f>
        <v>71</v>
      </c>
      <c r="D5125" t="str">
        <f>"We Are The Boggs We Are"</f>
        <v>We Are The Boggs We Are</v>
      </c>
    </row>
    <row r="5126" spans="1:4" x14ac:dyDescent="0.2">
      <c r="A5126" t="str">
        <f>"5125"</f>
        <v>5125</v>
      </c>
      <c r="B5126" t="str">
        <f>"0.3"</f>
        <v>0.3</v>
      </c>
      <c r="C5126" t="str">
        <f>"37"</f>
        <v>37</v>
      </c>
      <c r="D5126" t="str">
        <f>"This Year's Model"</f>
        <v>This Year's Model</v>
      </c>
    </row>
    <row r="5127" spans="1:4" x14ac:dyDescent="0.2">
      <c r="A5127" t="str">
        <f>"5126"</f>
        <v>5126</v>
      </c>
      <c r="B5127" t="str">
        <f>"0.16"</f>
        <v>0.16</v>
      </c>
      <c r="C5127" t="str">
        <f>"73"</f>
        <v>73</v>
      </c>
      <c r="D5127" t="str">
        <f>"The Blackened Air"</f>
        <v>The Blackened Air</v>
      </c>
    </row>
    <row r="5128" spans="1:4" x14ac:dyDescent="0.2">
      <c r="A5128" t="str">
        <f>"5127"</f>
        <v>5127</v>
      </c>
      <c r="B5128" t="str">
        <f>"0.91"</f>
        <v>0.91</v>
      </c>
      <c r="C5128" t="str">
        <f>"92"</f>
        <v>92</v>
      </c>
      <c r="D5128" t="str">
        <f>"Oregon"</f>
        <v>Oregon</v>
      </c>
    </row>
    <row r="5129" spans="1:4" x14ac:dyDescent="0.2">
      <c r="A5129" t="str">
        <f>"5128"</f>
        <v>5128</v>
      </c>
      <c r="B5129" t="str">
        <f>"0.13"</f>
        <v>0.13</v>
      </c>
      <c r="C5129" t="str">
        <f>"88"</f>
        <v>88</v>
      </c>
      <c r="D5129" t="s">
        <v>174</v>
      </c>
    </row>
    <row r="5130" spans="1:4" x14ac:dyDescent="0.2">
      <c r="A5130" t="str">
        <f>"5129"</f>
        <v>5129</v>
      </c>
      <c r="B5130" t="str">
        <f>"-0.61"</f>
        <v>-0.61</v>
      </c>
      <c r="C5130" t="str">
        <f>"102"</f>
        <v>102</v>
      </c>
      <c r="D5130" t="str">
        <f>"The Evil One (Plus One)"</f>
        <v>The Evil One (Plus One)</v>
      </c>
    </row>
    <row r="5131" spans="1:4" x14ac:dyDescent="0.2">
      <c r="A5131" t="str">
        <f>"5130"</f>
        <v>5130</v>
      </c>
      <c r="B5131" t="str">
        <f>"0.17"</f>
        <v>0.17</v>
      </c>
      <c r="C5131" t="str">
        <f>"71"</f>
        <v>71</v>
      </c>
      <c r="D5131" t="str">
        <f>"A Warm and Yeasty Corner EP"</f>
        <v>A Warm and Yeasty Corner EP</v>
      </c>
    </row>
    <row r="5132" spans="1:4" x14ac:dyDescent="0.2">
      <c r="A5132" t="str">
        <f>"5131"</f>
        <v>5131</v>
      </c>
      <c r="B5132" t="str">
        <f>"-0.06"</f>
        <v>-0.06</v>
      </c>
      <c r="C5132" t="str">
        <f>"134"</f>
        <v>134</v>
      </c>
      <c r="D5132" t="str">
        <f>"Alright on Top"</f>
        <v>Alright on Top</v>
      </c>
    </row>
    <row r="5133" spans="1:4" x14ac:dyDescent="0.2">
      <c r="A5133" t="str">
        <f>"5132"</f>
        <v>5132</v>
      </c>
      <c r="B5133" t="str">
        <f>"0.06"</f>
        <v>0.06</v>
      </c>
      <c r="C5133" t="str">
        <f>"83"</f>
        <v>83</v>
      </c>
      <c r="D5133" t="str">
        <f>"A Kind of Closure"</f>
        <v>A Kind of Closure</v>
      </c>
    </row>
    <row r="5134" spans="1:4" x14ac:dyDescent="0.2">
      <c r="A5134" t="str">
        <f>"5133"</f>
        <v>5133</v>
      </c>
      <c r="B5134" t="str">
        <f>"-0.19"</f>
        <v>-0.19</v>
      </c>
      <c r="C5134" t="str">
        <f>"107"</f>
        <v>107</v>
      </c>
      <c r="D5134" t="str">
        <f>"Waters in Azure"</f>
        <v>Waters in Azure</v>
      </c>
    </row>
    <row r="5135" spans="1:4" x14ac:dyDescent="0.2">
      <c r="A5135" t="str">
        <f>"5134"</f>
        <v>5134</v>
      </c>
      <c r="B5135" t="str">
        <f>"0.45"</f>
        <v>0.45</v>
      </c>
      <c r="C5135" t="str">
        <f>"90"</f>
        <v>90</v>
      </c>
      <c r="D5135" t="str">
        <f>"The River Made No Sound"</f>
        <v>The River Made No Sound</v>
      </c>
    </row>
    <row r="5136" spans="1:4" x14ac:dyDescent="0.2">
      <c r="A5136" t="str">
        <f>"5135"</f>
        <v>5135</v>
      </c>
      <c r="B5136" t="str">
        <f>"-0.24"</f>
        <v>-0.24</v>
      </c>
      <c r="C5136" t="str">
        <f>"70"</f>
        <v>70</v>
      </c>
      <c r="D5136" t="str">
        <f>"On Top"</f>
        <v>On Top</v>
      </c>
    </row>
    <row r="5137" spans="1:4" x14ac:dyDescent="0.2">
      <c r="A5137" t="str">
        <f>"5136"</f>
        <v>5136</v>
      </c>
      <c r="B5137" t="str">
        <f>"-0.07"</f>
        <v>-0.07</v>
      </c>
      <c r="C5137" t="str">
        <f>"42"</f>
        <v>42</v>
      </c>
      <c r="D5137" t="str">
        <f>"ABCS"</f>
        <v>ABCS</v>
      </c>
    </row>
    <row r="5138" spans="1:4" x14ac:dyDescent="0.2">
      <c r="A5138" t="str">
        <f>"5137"</f>
        <v>5137</v>
      </c>
      <c r="B5138" t="str">
        <f>"0.49"</f>
        <v>0.49</v>
      </c>
      <c r="C5138" t="str">
        <f>"87"</f>
        <v>87</v>
      </c>
      <c r="D5138" t="str">
        <f>"Mimic Robot EP"</f>
        <v>Mimic Robot EP</v>
      </c>
    </row>
    <row r="5139" spans="1:4" x14ac:dyDescent="0.2">
      <c r="A5139" t="str">
        <f>"5138"</f>
        <v>5138</v>
      </c>
      <c r="B5139" t="str">
        <f>"-0.3"</f>
        <v>-0.3</v>
      </c>
      <c r="C5139" t="str">
        <f>"92"</f>
        <v>92</v>
      </c>
      <c r="D5139" t="str">
        <f>"Maybe We Should Take Some More?"</f>
        <v>Maybe We Should Take Some More?</v>
      </c>
    </row>
    <row r="5140" spans="1:4" x14ac:dyDescent="0.2">
      <c r="A5140" t="str">
        <f>"5139"</f>
        <v>5139</v>
      </c>
      <c r="B5140" t="str">
        <f>"-0.8"</f>
        <v>-0.8</v>
      </c>
      <c r="C5140" t="str">
        <f>"101"</f>
        <v>101</v>
      </c>
      <c r="D5140" t="str">
        <f>"Life and Death of an American Fourtracker"</f>
        <v>Life and Death of an American Fourtracker</v>
      </c>
    </row>
    <row r="5141" spans="1:4" x14ac:dyDescent="0.2">
      <c r="A5141" t="str">
        <f>"5140"</f>
        <v>5140</v>
      </c>
      <c r="B5141" t="str">
        <f>"0.43"</f>
        <v>0.43</v>
      </c>
      <c r="C5141" t="str">
        <f>"88"</f>
        <v>88</v>
      </c>
      <c r="D5141" t="str">
        <f>"Amorphic Winged"</f>
        <v>Amorphic Winged</v>
      </c>
    </row>
    <row r="5142" spans="1:4" x14ac:dyDescent="0.2">
      <c r="A5142" t="str">
        <f>"5141"</f>
        <v>5141</v>
      </c>
      <c r="B5142" t="str">
        <f>"0.31"</f>
        <v>0.31</v>
      </c>
      <c r="C5142" t="str">
        <f>"84"</f>
        <v>84</v>
      </c>
      <c r="D5142" t="str">
        <f>"When I Was Cruel"</f>
        <v>When I Was Cruel</v>
      </c>
    </row>
    <row r="5143" spans="1:4" x14ac:dyDescent="0.2">
      <c r="A5143" t="str">
        <f>"5142"</f>
        <v>5142</v>
      </c>
      <c r="B5143" t="str">
        <f>"-0.41"</f>
        <v>-0.41</v>
      </c>
      <c r="C5143" t="str">
        <f>"102"</f>
        <v>102</v>
      </c>
      <c r="D5143" t="str">
        <f>"Rock Creek"</f>
        <v>Rock Creek</v>
      </c>
    </row>
    <row r="5144" spans="1:4" x14ac:dyDescent="0.2">
      <c r="A5144" t="str">
        <f>"5143"</f>
        <v>5143</v>
      </c>
      <c r="B5144" t="str">
        <f>"0.17"</f>
        <v>0.17</v>
      </c>
      <c r="C5144" t="str">
        <f>"111"</f>
        <v>111</v>
      </c>
      <c r="D5144" t="str">
        <f>"My Aim Is True"</f>
        <v>My Aim Is True</v>
      </c>
    </row>
    <row r="5145" spans="1:4" x14ac:dyDescent="0.2">
      <c r="A5145" t="str">
        <f>"5144"</f>
        <v>5144</v>
      </c>
      <c r="B5145" t="str">
        <f>"0.73"</f>
        <v>0.73</v>
      </c>
      <c r="C5145" t="str">
        <f>"51"</f>
        <v>51</v>
      </c>
      <c r="D5145" t="str">
        <f>"Green Grass of Tunnel"</f>
        <v>Green Grass of Tunnel</v>
      </c>
    </row>
    <row r="5146" spans="1:4" x14ac:dyDescent="0.2">
      <c r="A5146" t="str">
        <f>"5145"</f>
        <v>5145</v>
      </c>
      <c r="B5146" t="str">
        <f>"0.39"</f>
        <v>0.39</v>
      </c>
      <c r="C5146" t="str">
        <f>"64"</f>
        <v>64</v>
      </c>
      <c r="D5146" t="str">
        <f>"A History of Sport Fishing"</f>
        <v>A History of Sport Fishing</v>
      </c>
    </row>
    <row r="5147" spans="1:4" x14ac:dyDescent="0.2">
      <c r="A5147" t="str">
        <f>"5146"</f>
        <v>5146</v>
      </c>
      <c r="B5147" t="str">
        <f>"-0.71"</f>
        <v>-0.71</v>
      </c>
      <c r="C5147" t="str">
        <f>"101"</f>
        <v>101</v>
      </c>
      <c r="D5147" t="str">
        <f>"Three Songs EP"</f>
        <v>Three Songs EP</v>
      </c>
    </row>
    <row r="5148" spans="1:4" x14ac:dyDescent="0.2">
      <c r="A5148" t="str">
        <f>"5147"</f>
        <v>5147</v>
      </c>
      <c r="B5148" t="str">
        <f>"0.72"</f>
        <v>0.72</v>
      </c>
      <c r="C5148" t="str">
        <f>"96"</f>
        <v>96</v>
      </c>
      <c r="D5148" t="str">
        <f>"May"</f>
        <v>May</v>
      </c>
    </row>
    <row r="5149" spans="1:4" x14ac:dyDescent="0.2">
      <c r="A5149" t="str">
        <f>"5148"</f>
        <v>5148</v>
      </c>
      <c r="B5149" t="str">
        <f>"0.18"</f>
        <v>0.18</v>
      </c>
      <c r="C5149" t="str">
        <f>"99"</f>
        <v>99</v>
      </c>
      <c r="D5149" t="str">
        <f>"Believe It Mammals"</f>
        <v>Believe It Mammals</v>
      </c>
    </row>
    <row r="5150" spans="1:4" x14ac:dyDescent="0.2">
      <c r="A5150" t="str">
        <f>"5149"</f>
        <v>5149</v>
      </c>
      <c r="B5150" t="str">
        <f>"0"</f>
        <v>0</v>
      </c>
      <c r="C5150" t="str">
        <f>"72"</f>
        <v>72</v>
      </c>
      <c r="D5150" t="str">
        <f>"Arrhythmia"</f>
        <v>Arrhythmia</v>
      </c>
    </row>
    <row r="5151" spans="1:4" x14ac:dyDescent="0.2">
      <c r="A5151" t="str">
        <f>"5150"</f>
        <v>5150</v>
      </c>
      <c r="B5151" t="str">
        <f>"-0.03"</f>
        <v>-0.03</v>
      </c>
      <c r="C5151" t="str">
        <f>"95"</f>
        <v>95</v>
      </c>
      <c r="D5151" t="str">
        <f>"Plugs Plus"</f>
        <v>Plugs Plus</v>
      </c>
    </row>
    <row r="5152" spans="1:4" x14ac:dyDescent="0.2">
      <c r="A5152" t="str">
        <f>"5151"</f>
        <v>5151</v>
      </c>
      <c r="B5152" t="str">
        <f>"-0.15"</f>
        <v>-0.15</v>
      </c>
      <c r="C5152" t="str">
        <f>"77"</f>
        <v>77</v>
      </c>
      <c r="D5152" t="str">
        <f>"Nobody Knows This Is Everywhere"</f>
        <v>Nobody Knows This Is Everywhere</v>
      </c>
    </row>
    <row r="5153" spans="1:4" x14ac:dyDescent="0.2">
      <c r="A5153" t="str">
        <f>"5152"</f>
        <v>5152</v>
      </c>
      <c r="B5153" t="str">
        <f>"-0.28"</f>
        <v>-0.28</v>
      </c>
      <c r="C5153" t="str">
        <f>"101"</f>
        <v>101</v>
      </c>
      <c r="D5153" t="str">
        <f>"Lugubrious"</f>
        <v>Lugubrious</v>
      </c>
    </row>
    <row r="5154" spans="1:4" x14ac:dyDescent="0.2">
      <c r="A5154" t="str">
        <f>"5153"</f>
        <v>5153</v>
      </c>
      <c r="B5154" t="str">
        <f>"-0.08"</f>
        <v>-0.08</v>
      </c>
      <c r="C5154" t="str">
        <f>"83"</f>
        <v>83</v>
      </c>
      <c r="D5154" t="str">
        <f>"Alone at the Microphone"</f>
        <v>Alone at the Microphone</v>
      </c>
    </row>
    <row r="5155" spans="1:4" x14ac:dyDescent="0.2">
      <c r="A5155" t="str">
        <f>"5154"</f>
        <v>5154</v>
      </c>
      <c r="B5155" t="str">
        <f>"0.1"</f>
        <v>0.1</v>
      </c>
      <c r="C5155" t="str">
        <f>"64"</f>
        <v>64</v>
      </c>
      <c r="D5155" t="str">
        <f>"TA"</f>
        <v>TA</v>
      </c>
    </row>
    <row r="5156" spans="1:4" x14ac:dyDescent="0.2">
      <c r="A5156" t="str">
        <f>"5155"</f>
        <v>5155</v>
      </c>
      <c r="B5156" t="str">
        <f>"-0.53"</f>
        <v>-0.53</v>
      </c>
      <c r="C5156" t="str">
        <f>"92"</f>
        <v>92</v>
      </c>
      <c r="D5156" t="str">
        <f>"Personal Journals"</f>
        <v>Personal Journals</v>
      </c>
    </row>
    <row r="5157" spans="1:4" x14ac:dyDescent="0.2">
      <c r="A5157" t="str">
        <f>"5156"</f>
        <v>5156</v>
      </c>
      <c r="B5157" t="str">
        <f>"-0.84"</f>
        <v>-0.84</v>
      </c>
      <c r="C5157" t="str">
        <f>"118"</f>
        <v>118</v>
      </c>
      <c r="D5157" t="str">
        <f>"Girls Get Busy"</f>
        <v>Girls Get Busy</v>
      </c>
    </row>
    <row r="5158" spans="1:4" x14ac:dyDescent="0.2">
      <c r="A5158" t="str">
        <f>"5157"</f>
        <v>5157</v>
      </c>
      <c r="B5158" t="str">
        <f>"-0.14"</f>
        <v>-0.14</v>
      </c>
      <c r="C5158" t="str">
        <f>"55"</f>
        <v>55</v>
      </c>
      <c r="D5158" t="str">
        <f>"Building a Building"</f>
        <v>Building a Building</v>
      </c>
    </row>
    <row r="5159" spans="1:4" x14ac:dyDescent="0.2">
      <c r="A5159" t="str">
        <f>"5158"</f>
        <v>5158</v>
      </c>
      <c r="B5159" t="str">
        <f>"0.43"</f>
        <v>0.43</v>
      </c>
      <c r="C5159" t="str">
        <f>"66"</f>
        <v>66</v>
      </c>
      <c r="D5159" t="str">
        <f>"Posthuman EP"</f>
        <v>Posthuman EP</v>
      </c>
    </row>
    <row r="5160" spans="1:4" x14ac:dyDescent="0.2">
      <c r="A5160" t="str">
        <f>"5159"</f>
        <v>5159</v>
      </c>
      <c r="B5160" t="str">
        <f>"0.17"</f>
        <v>0.17</v>
      </c>
      <c r="C5160" t="str">
        <f>"58"</f>
        <v>58</v>
      </c>
      <c r="D5160" t="s">
        <v>175</v>
      </c>
    </row>
    <row r="5161" spans="1:4" x14ac:dyDescent="0.2">
      <c r="A5161" t="str">
        <f>"5160"</f>
        <v>5160</v>
      </c>
      <c r="B5161" t="str">
        <f>"0.03"</f>
        <v>0.03</v>
      </c>
      <c r="C5161" t="str">
        <f>"97"</f>
        <v>97</v>
      </c>
      <c r="D5161" t="str">
        <f>"Jump Leeds"</f>
        <v>Jump Leeds</v>
      </c>
    </row>
    <row r="5162" spans="1:4" x14ac:dyDescent="0.2">
      <c r="A5162" t="str">
        <f>"5161"</f>
        <v>5161</v>
      </c>
      <c r="B5162" t="str">
        <f>"-0.5"</f>
        <v>-0.5</v>
      </c>
      <c r="C5162" t="str">
        <f>"90"</f>
        <v>90</v>
      </c>
      <c r="D5162" t="str">
        <f>"All Hail West Texas"</f>
        <v>All Hail West Texas</v>
      </c>
    </row>
    <row r="5163" spans="1:4" x14ac:dyDescent="0.2">
      <c r="A5163" t="str">
        <f>"5162"</f>
        <v>5162</v>
      </c>
      <c r="B5163" t="str">
        <f>"0.01"</f>
        <v>0.01</v>
      </c>
      <c r="C5163" t="str">
        <f>"83"</f>
        <v>83</v>
      </c>
      <c r="D5163" t="str">
        <f>"(This Is) What We Call Progress"</f>
        <v>(This Is) What We Call Progress</v>
      </c>
    </row>
    <row r="5164" spans="1:4" x14ac:dyDescent="0.2">
      <c r="A5164" t="str">
        <f>"5163"</f>
        <v>5163</v>
      </c>
      <c r="B5164" t="str">
        <f>"-0.01"</f>
        <v>-0.01</v>
      </c>
      <c r="C5164" t="str">
        <f>"92"</f>
        <v>92</v>
      </c>
      <c r="D5164" t="s">
        <v>176</v>
      </c>
    </row>
    <row r="5165" spans="1:4" x14ac:dyDescent="0.2">
      <c r="A5165" t="str">
        <f>"5164"</f>
        <v>5164</v>
      </c>
      <c r="B5165" t="str">
        <f>"0.23"</f>
        <v>0.23</v>
      </c>
      <c r="C5165" t="str">
        <f>"111"</f>
        <v>111</v>
      </c>
      <c r="D5165" t="str">
        <f>"Playgroup"</f>
        <v>Playgroup</v>
      </c>
    </row>
    <row r="5166" spans="1:4" x14ac:dyDescent="0.2">
      <c r="A5166" t="str">
        <f>"5165"</f>
        <v>5165</v>
      </c>
      <c r="B5166" t="str">
        <f>"0.38"</f>
        <v>0.38</v>
      </c>
      <c r="C5166" t="str">
        <f>"53"</f>
        <v>53</v>
      </c>
      <c r="D5166" t="str">
        <f>"Orion"</f>
        <v>Orion</v>
      </c>
    </row>
    <row r="5167" spans="1:4" x14ac:dyDescent="0.2">
      <c r="A5167" t="str">
        <f>"5166"</f>
        <v>5166</v>
      </c>
      <c r="B5167" t="str">
        <f>"0.37"</f>
        <v>0.37</v>
      </c>
      <c r="C5167" t="str">
        <f>"99"</f>
        <v>99</v>
      </c>
      <c r="D5167" t="str">
        <f>"One Time Bells"</f>
        <v>One Time Bells</v>
      </c>
    </row>
    <row r="5168" spans="1:4" x14ac:dyDescent="0.2">
      <c r="A5168" t="str">
        <f>"5167"</f>
        <v>5167</v>
      </c>
      <c r="B5168" t="str">
        <f>"0.45"</f>
        <v>0.45</v>
      </c>
      <c r="C5168" t="str">
        <f>"58"</f>
        <v>58</v>
      </c>
      <c r="D5168" t="str">
        <f>"Thriller"</f>
        <v>Thriller</v>
      </c>
    </row>
    <row r="5169" spans="1:4" x14ac:dyDescent="0.2">
      <c r="A5169" t="str">
        <f>"5168"</f>
        <v>5168</v>
      </c>
      <c r="B5169" t="str">
        <f>"-1.35"</f>
        <v>-1.35</v>
      </c>
      <c r="C5169" t="str">
        <f>"124"</f>
        <v>124</v>
      </c>
      <c r="D5169" t="str">
        <f>"The Eye Popping Sounds of..."</f>
        <v>The Eye Popping Sounds of...</v>
      </c>
    </row>
    <row r="5170" spans="1:4" x14ac:dyDescent="0.2">
      <c r="A5170" t="str">
        <f>"5169"</f>
        <v>5169</v>
      </c>
      <c r="B5170" t="str">
        <f>"-0.11"</f>
        <v>-0.11</v>
      </c>
      <c r="C5170" t="str">
        <f>"88"</f>
        <v>88</v>
      </c>
      <c r="D5170" t="str">
        <f>"Postmodern Platos EP"</f>
        <v>Postmodern Platos EP</v>
      </c>
    </row>
    <row r="5171" spans="1:4" x14ac:dyDescent="0.2">
      <c r="A5171" t="str">
        <f>"5170"</f>
        <v>5170</v>
      </c>
      <c r="B5171" t="str">
        <f>"-0.16"</f>
        <v>-0.16</v>
      </c>
      <c r="C5171" t="str">
        <f>"87"</f>
        <v>87</v>
      </c>
      <c r="D5171" t="str">
        <f>"Nanoloop 1.0"</f>
        <v>Nanoloop 1.0</v>
      </c>
    </row>
    <row r="5172" spans="1:4" x14ac:dyDescent="0.2">
      <c r="A5172" t="str">
        <f>"5171"</f>
        <v>5171</v>
      </c>
      <c r="B5172" t="str">
        <f>"-0.5"</f>
        <v>-0.5</v>
      </c>
      <c r="C5172" t="str">
        <f>"79"</f>
        <v>79</v>
      </c>
      <c r="D5172" t="str">
        <f>"Veni Vidi Vicious"</f>
        <v>Veni Vidi Vicious</v>
      </c>
    </row>
    <row r="5173" spans="1:4" x14ac:dyDescent="0.2">
      <c r="A5173" t="str">
        <f>"5172"</f>
        <v>5172</v>
      </c>
      <c r="B5173" t="str">
        <f>"-0.03"</f>
        <v>-0.03</v>
      </c>
      <c r="C5173" t="str">
        <f>"98"</f>
        <v>98</v>
      </c>
      <c r="D5173" t="str">
        <f>"Sonic Bullets: 13 from the Hip"</f>
        <v>Sonic Bullets: 13 from the Hip</v>
      </c>
    </row>
    <row r="5174" spans="1:4" x14ac:dyDescent="0.2">
      <c r="A5174" t="str">
        <f>"5173"</f>
        <v>5173</v>
      </c>
      <c r="B5174" t="str">
        <f>"-0.32"</f>
        <v>-0.32</v>
      </c>
      <c r="C5174" t="str">
        <f>"102"</f>
        <v>102</v>
      </c>
      <c r="D5174" t="str">
        <f>"Original Instrument"</f>
        <v>Original Instrument</v>
      </c>
    </row>
    <row r="5175" spans="1:4" x14ac:dyDescent="0.2">
      <c r="A5175" t="str">
        <f>"5174"</f>
        <v>5174</v>
      </c>
      <c r="B5175" t="str">
        <f>"-0.93"</f>
        <v>-0.93</v>
      </c>
      <c r="C5175" t="str">
        <f>"63"</f>
        <v>63</v>
      </c>
      <c r="D5175" t="str">
        <f>"Live"</f>
        <v>Live</v>
      </c>
    </row>
    <row r="5176" spans="1:4" x14ac:dyDescent="0.2">
      <c r="A5176" t="str">
        <f>"5175"</f>
        <v>5175</v>
      </c>
      <c r="B5176" t="str">
        <f>"-0.41"</f>
        <v>-0.41</v>
      </c>
      <c r="C5176" t="str">
        <f>"41"</f>
        <v>41</v>
      </c>
      <c r="D5176" t="str">
        <f>"Wild Love: The Detroit Rehearsals and More"</f>
        <v>Wild Love: The Detroit Rehearsals and More</v>
      </c>
    </row>
    <row r="5177" spans="1:4" x14ac:dyDescent="0.2">
      <c r="A5177" t="str">
        <f>"5176"</f>
        <v>5176</v>
      </c>
      <c r="B5177" t="str">
        <f>"-0.61"</f>
        <v>-0.61</v>
      </c>
      <c r="C5177" t="str">
        <f>"77"</f>
        <v>77</v>
      </c>
      <c r="D5177" t="str">
        <f>"TaaPetSounds"</f>
        <v>TaaPetSounds</v>
      </c>
    </row>
    <row r="5178" spans="1:4" x14ac:dyDescent="0.2">
      <c r="A5178" t="str">
        <f>"5177"</f>
        <v>5177</v>
      </c>
      <c r="B5178" t="str">
        <f>"-0.24"</f>
        <v>-0.24</v>
      </c>
      <c r="C5178" t="str">
        <f>"65"</f>
        <v>65</v>
      </c>
      <c r="D5178" t="str">
        <f>"Protein Source of the Future... Now!"</f>
        <v>Protein Source of the Future... Now!</v>
      </c>
    </row>
    <row r="5179" spans="1:4" x14ac:dyDescent="0.2">
      <c r="A5179" t="str">
        <f>"5178"</f>
        <v>5178</v>
      </c>
      <c r="B5179" t="str">
        <f>"-0.1"</f>
        <v>-0.1</v>
      </c>
      <c r="C5179" t="str">
        <f>"100"</f>
        <v>100</v>
      </c>
      <c r="D5179" t="str">
        <f>"Island Row"</f>
        <v>Island Row</v>
      </c>
    </row>
    <row r="5180" spans="1:4" x14ac:dyDescent="0.2">
      <c r="A5180" t="str">
        <f>"5179"</f>
        <v>5179</v>
      </c>
      <c r="B5180" t="str">
        <f>"-0.02"</f>
        <v>-0.02</v>
      </c>
      <c r="C5180" t="str">
        <f>"60"</f>
        <v>60</v>
      </c>
      <c r="D5180" t="str">
        <f>"Gotham!"</f>
        <v>Gotham!</v>
      </c>
    </row>
    <row r="5181" spans="1:4" x14ac:dyDescent="0.2">
      <c r="A5181" t="str">
        <f>"5180"</f>
        <v>5180</v>
      </c>
      <c r="B5181" t="str">
        <f>"0.84"</f>
        <v>0.84</v>
      </c>
      <c r="C5181" t="str">
        <f>"88"</f>
        <v>88</v>
      </c>
      <c r="D5181" t="str">
        <f>"Romantica"</f>
        <v>Romantica</v>
      </c>
    </row>
    <row r="5182" spans="1:4" x14ac:dyDescent="0.2">
      <c r="A5182" t="str">
        <f>"5181"</f>
        <v>5181</v>
      </c>
      <c r="B5182" t="str">
        <f>"-0.09"</f>
        <v>-0.09</v>
      </c>
      <c r="C5182" t="str">
        <f>"54"</f>
        <v>54</v>
      </c>
      <c r="D5182" t="str">
        <f>"Chocolate and Ice EP"</f>
        <v>Chocolate and Ice EP</v>
      </c>
    </row>
    <row r="5183" spans="1:4" x14ac:dyDescent="0.2">
      <c r="A5183" t="str">
        <f>"5182"</f>
        <v>5182</v>
      </c>
      <c r="B5183" t="str">
        <f>"0.33"</f>
        <v>0.33</v>
      </c>
      <c r="C5183" t="str">
        <f>"177"</f>
        <v>177</v>
      </c>
      <c r="D5183" t="str">
        <f>"Yankee Hotel Foxtrot"</f>
        <v>Yankee Hotel Foxtrot</v>
      </c>
    </row>
    <row r="5184" spans="1:4" x14ac:dyDescent="0.2">
      <c r="A5184" t="str">
        <f>"5183"</f>
        <v>5183</v>
      </c>
      <c r="B5184" t="str">
        <f>"0.13"</f>
        <v>0.13</v>
      </c>
      <c r="C5184" t="str">
        <f>"108"</f>
        <v>108</v>
      </c>
      <c r="D5184" t="str">
        <f>"Let Your Shadow Out"</f>
        <v>Let Your Shadow Out</v>
      </c>
    </row>
    <row r="5185" spans="1:4" x14ac:dyDescent="0.2">
      <c r="A5185" t="str">
        <f>"5184"</f>
        <v>5184</v>
      </c>
      <c r="B5185" t="str">
        <f>"1.43"</f>
        <v>1.43</v>
      </c>
      <c r="C5185" t="str">
        <f>"62"</f>
        <v>62</v>
      </c>
      <c r="D5185" t="str">
        <f>"Le Funk"</f>
        <v>Le Funk</v>
      </c>
    </row>
    <row r="5186" spans="1:4" x14ac:dyDescent="0.2">
      <c r="A5186" t="str">
        <f>"5185"</f>
        <v>5185</v>
      </c>
      <c r="B5186" t="str">
        <f>"-0.98"</f>
        <v>-0.98</v>
      </c>
      <c r="C5186" t="str">
        <f>"75"</f>
        <v>75</v>
      </c>
      <c r="D5186" t="str">
        <f>"Kind of Like Spitting"</f>
        <v>Kind of Like Spitting</v>
      </c>
    </row>
    <row r="5187" spans="1:4" x14ac:dyDescent="0.2">
      <c r="A5187" t="str">
        <f>"5186"</f>
        <v>5186</v>
      </c>
      <c r="B5187" t="str">
        <f>"-0.03"</f>
        <v>-0.03</v>
      </c>
      <c r="C5187" t="str">
        <f>"53"</f>
        <v>53</v>
      </c>
      <c r="D5187" t="str">
        <f>"Pyramid Technology"</f>
        <v>Pyramid Technology</v>
      </c>
    </row>
    <row r="5188" spans="1:4" x14ac:dyDescent="0.2">
      <c r="A5188" t="str">
        <f>"5187"</f>
        <v>5187</v>
      </c>
      <c r="B5188" t="str">
        <f>"-0.02"</f>
        <v>-0.02</v>
      </c>
      <c r="C5188" t="str">
        <f>"65"</f>
        <v>65</v>
      </c>
      <c r="D5188" t="str">
        <f>"In Moll"</f>
        <v>In Moll</v>
      </c>
    </row>
    <row r="5189" spans="1:4" x14ac:dyDescent="0.2">
      <c r="A5189" t="str">
        <f>"5188"</f>
        <v>5188</v>
      </c>
      <c r="B5189" t="str">
        <f>"-0.3"</f>
        <v>-0.3</v>
      </c>
      <c r="C5189" t="str">
        <f>"91"</f>
        <v>91</v>
      </c>
      <c r="D5189" t="str">
        <f>"Control"</f>
        <v>Control</v>
      </c>
    </row>
    <row r="5190" spans="1:4" x14ac:dyDescent="0.2">
      <c r="A5190" t="str">
        <f>"5189"</f>
        <v>5189</v>
      </c>
      <c r="B5190" t="str">
        <f>"0.59"</f>
        <v>0.59</v>
      </c>
      <c r="C5190" t="str">
        <f>"83"</f>
        <v>83</v>
      </c>
      <c r="D5190" t="str">
        <f>"All of the Above"</f>
        <v>All of the Above</v>
      </c>
    </row>
    <row r="5191" spans="1:4" x14ac:dyDescent="0.2">
      <c r="A5191" t="str">
        <f>"5190"</f>
        <v>5190</v>
      </c>
      <c r="B5191" t="str">
        <f>"-0.57"</f>
        <v>-0.57</v>
      </c>
      <c r="C5191" t="str">
        <f>"79"</f>
        <v>79</v>
      </c>
      <c r="D5191" t="str">
        <f>"The Unknown Label"</f>
        <v>The Unknown Label</v>
      </c>
    </row>
    <row r="5192" spans="1:4" x14ac:dyDescent="0.2">
      <c r="A5192" t="str">
        <f>"5191"</f>
        <v>5191</v>
      </c>
      <c r="B5192" t="str">
        <f>"-1.03"</f>
        <v>-1.03</v>
      </c>
      <c r="C5192" t="str">
        <f>"68"</f>
        <v>68</v>
      </c>
      <c r="D5192" t="str">
        <f>"Skiptrace EP"</f>
        <v>Skiptrace EP</v>
      </c>
    </row>
    <row r="5193" spans="1:4" x14ac:dyDescent="0.2">
      <c r="A5193" t="str">
        <f>"5192"</f>
        <v>5192</v>
      </c>
      <c r="B5193" t="str">
        <f>"-0.31"</f>
        <v>-0.31</v>
      </c>
      <c r="C5193" t="str">
        <f>"64"</f>
        <v>64</v>
      </c>
      <c r="D5193" t="str">
        <f>"Put Your Phazers On Stun Throw Your Health Food Skyward"</f>
        <v>Put Your Phazers On Stun Throw Your Health Food Skyward</v>
      </c>
    </row>
    <row r="5194" spans="1:4" x14ac:dyDescent="0.2">
      <c r="A5194" t="str">
        <f>"5193"</f>
        <v>5193</v>
      </c>
      <c r="B5194" t="str">
        <f>"-0.61"</f>
        <v>-0.61</v>
      </c>
      <c r="C5194" t="str">
        <f>"97"</f>
        <v>97</v>
      </c>
      <c r="D5194" t="str">
        <f>"Plastic Fang"</f>
        <v>Plastic Fang</v>
      </c>
    </row>
    <row r="5195" spans="1:4" x14ac:dyDescent="0.2">
      <c r="A5195" t="str">
        <f>"5194"</f>
        <v>5194</v>
      </c>
      <c r="B5195" t="str">
        <f>"-1.2"</f>
        <v>-1.2</v>
      </c>
      <c r="C5195" t="str">
        <f>"88"</f>
        <v>88</v>
      </c>
      <c r="D5195" t="str">
        <f>"Pump"</f>
        <v>Pump</v>
      </c>
    </row>
    <row r="5196" spans="1:4" x14ac:dyDescent="0.2">
      <c r="A5196" t="str">
        <f>"5195"</f>
        <v>5195</v>
      </c>
      <c r="B5196" t="str">
        <f>"0.08"</f>
        <v>0.08</v>
      </c>
      <c r="C5196" t="str">
        <f>"92"</f>
        <v>92</v>
      </c>
      <c r="D5196" t="str">
        <f>"Kissin Time"</f>
        <v>Kissin Time</v>
      </c>
    </row>
    <row r="5197" spans="1:4" x14ac:dyDescent="0.2">
      <c r="A5197" t="str">
        <f>"5196"</f>
        <v>5196</v>
      </c>
      <c r="B5197" t="str">
        <f>"0.22"</f>
        <v>0.22</v>
      </c>
      <c r="C5197" t="str">
        <f>"59"</f>
        <v>59</v>
      </c>
      <c r="D5197" t="str">
        <f>"Electric Sweat"</f>
        <v>Electric Sweat</v>
      </c>
    </row>
    <row r="5198" spans="1:4" x14ac:dyDescent="0.2">
      <c r="A5198" t="str">
        <f>"5197"</f>
        <v>5197</v>
      </c>
      <c r="B5198" t="str">
        <f>"0.9"</f>
        <v>0.9</v>
      </c>
      <c r="C5198" t="str">
        <f>"92"</f>
        <v>92</v>
      </c>
      <c r="D5198" t="str">
        <f>"89/93: An Anthology"</f>
        <v>89/93: An Anthology</v>
      </c>
    </row>
    <row r="5199" spans="1:4" x14ac:dyDescent="0.2">
      <c r="A5199" t="str">
        <f>"5198"</f>
        <v>5198</v>
      </c>
      <c r="B5199" t="str">
        <f>"-0.1"</f>
        <v>-0.1</v>
      </c>
      <c r="C5199" t="str">
        <f>"86"</f>
        <v>86</v>
      </c>
      <c r="D5199" t="str">
        <f>"Simple Things"</f>
        <v>Simple Things</v>
      </c>
    </row>
    <row r="5200" spans="1:4" x14ac:dyDescent="0.2">
      <c r="A5200" t="str">
        <f>"5199"</f>
        <v>5199</v>
      </c>
      <c r="B5200" t="str">
        <f>"0.19"</f>
        <v>0.19</v>
      </c>
      <c r="C5200" t="str">
        <f>"104"</f>
        <v>104</v>
      </c>
      <c r="D5200" t="str">
        <f>"Meteosound"</f>
        <v>Meteosound</v>
      </c>
    </row>
    <row r="5201" spans="1:4" x14ac:dyDescent="0.2">
      <c r="A5201" t="str">
        <f>"5200"</f>
        <v>5200</v>
      </c>
      <c r="B5201" t="str">
        <f>"-0.33"</f>
        <v>-0.33</v>
      </c>
      <c r="C5201" t="str">
        <f>"67"</f>
        <v>67</v>
      </c>
      <c r="D5201" t="str">
        <f>"Downtown"</f>
        <v>Downtown</v>
      </c>
    </row>
    <row r="5202" spans="1:4" x14ac:dyDescent="0.2">
      <c r="A5202" t="str">
        <f>"5201"</f>
        <v>5201</v>
      </c>
      <c r="B5202" t="str">
        <f>"-0.83"</f>
        <v>-0.83</v>
      </c>
      <c r="C5202" t="str">
        <f>"129"</f>
        <v>129</v>
      </c>
      <c r="D5202" t="str">
        <f>"Wood/Water"</f>
        <v>Wood/Water</v>
      </c>
    </row>
    <row r="5203" spans="1:4" x14ac:dyDescent="0.2">
      <c r="A5203" t="str">
        <f>"5202"</f>
        <v>5202</v>
      </c>
      <c r="B5203" t="str">
        <f>"-0.5"</f>
        <v>-0.5</v>
      </c>
      <c r="C5203" t="str">
        <f>"80"</f>
        <v>80</v>
      </c>
      <c r="D5203" t="str">
        <f>"Streams of Whiskey"</f>
        <v>Streams of Whiskey</v>
      </c>
    </row>
    <row r="5204" spans="1:4" x14ac:dyDescent="0.2">
      <c r="A5204" t="str">
        <f>"5203"</f>
        <v>5203</v>
      </c>
      <c r="B5204" t="str">
        <f>"0.28"</f>
        <v>0.28</v>
      </c>
      <c r="C5204" t="str">
        <f>"83"</f>
        <v>83</v>
      </c>
      <c r="D5204" t="str">
        <f>"Loess"</f>
        <v>Loess</v>
      </c>
    </row>
    <row r="5205" spans="1:4" x14ac:dyDescent="0.2">
      <c r="A5205" t="str">
        <f>"5204"</f>
        <v>5204</v>
      </c>
      <c r="B5205" t="str">
        <f>"0.04"</f>
        <v>0.04</v>
      </c>
      <c r="C5205" t="str">
        <f>"83"</f>
        <v>83</v>
      </c>
      <c r="D5205" t="str">
        <f>"Albert Marcoeur"</f>
        <v>Albert Marcoeur</v>
      </c>
    </row>
    <row r="5206" spans="1:4" x14ac:dyDescent="0.2">
      <c r="A5206" t="str">
        <f>"5205"</f>
        <v>5205</v>
      </c>
      <c r="B5206" t="str">
        <f>"-0.17"</f>
        <v>-0.17</v>
      </c>
      <c r="C5206" t="str">
        <f>"72"</f>
        <v>72</v>
      </c>
      <c r="D5206" t="str">
        <f>"Sometimes Good Weather Follows Bad People"</f>
        <v>Sometimes Good Weather Follows Bad People</v>
      </c>
    </row>
    <row r="5207" spans="1:4" x14ac:dyDescent="0.2">
      <c r="A5207" t="str">
        <f>"5206"</f>
        <v>5206</v>
      </c>
      <c r="B5207" t="str">
        <f>"0.09"</f>
        <v>0.09</v>
      </c>
      <c r="C5207" t="str">
        <f>"85"</f>
        <v>85</v>
      </c>
      <c r="D5207" t="str">
        <f>"Ghost Plants"</f>
        <v>Ghost Plants</v>
      </c>
    </row>
    <row r="5208" spans="1:4" x14ac:dyDescent="0.2">
      <c r="A5208" t="str">
        <f>"5207"</f>
        <v>5207</v>
      </c>
      <c r="B5208" t="str">
        <f>"0.17"</f>
        <v>0.17</v>
      </c>
      <c r="C5208" t="str">
        <f>"82"</f>
        <v>82</v>
      </c>
      <c r="D5208" t="str">
        <f>"Disco Nouveau"</f>
        <v>Disco Nouveau</v>
      </c>
    </row>
    <row r="5209" spans="1:4" x14ac:dyDescent="0.2">
      <c r="A5209" t="str">
        <f>"5208"</f>
        <v>5208</v>
      </c>
      <c r="B5209" t="str">
        <f>"-1.16"</f>
        <v>-1.16</v>
      </c>
      <c r="C5209" t="str">
        <f>"108"</f>
        <v>108</v>
      </c>
      <c r="D5209" t="str">
        <f>"Anode"</f>
        <v>Anode</v>
      </c>
    </row>
    <row r="5210" spans="1:4" x14ac:dyDescent="0.2">
      <c r="A5210" t="str">
        <f>"5209"</f>
        <v>5209</v>
      </c>
      <c r="B5210" t="str">
        <f>"-0.12"</f>
        <v>-0.12</v>
      </c>
      <c r="C5210" t="str">
        <f>"61"</f>
        <v>61</v>
      </c>
      <c r="D5210" t="str">
        <f>"Vice Versa"</f>
        <v>Vice Versa</v>
      </c>
    </row>
    <row r="5211" spans="1:4" x14ac:dyDescent="0.2">
      <c r="A5211" t="str">
        <f>"5210"</f>
        <v>5210</v>
      </c>
      <c r="B5211" t="str">
        <f>"-0.57"</f>
        <v>-0.57</v>
      </c>
      <c r="C5211" t="str">
        <f>"92"</f>
        <v>92</v>
      </c>
      <c r="D5211" t="str">
        <f>"Mr. Boy Dog"</f>
        <v>Mr. Boy Dog</v>
      </c>
    </row>
    <row r="5212" spans="1:4" x14ac:dyDescent="0.2">
      <c r="A5212" t="str">
        <f>"5211"</f>
        <v>5211</v>
      </c>
      <c r="B5212" t="str">
        <f>"-0.24"</f>
        <v>-0.24</v>
      </c>
      <c r="C5212" t="str">
        <f>"111"</f>
        <v>111</v>
      </c>
      <c r="D5212" t="str">
        <f>"Kittenz and Thee Glitz"</f>
        <v>Kittenz and Thee Glitz</v>
      </c>
    </row>
    <row r="5213" spans="1:4" x14ac:dyDescent="0.2">
      <c r="A5213" t="str">
        <f>"5212"</f>
        <v>5212</v>
      </c>
      <c r="B5213" t="str">
        <f>"1.07"</f>
        <v>1.07</v>
      </c>
      <c r="C5213" t="str">
        <f>"93"</f>
        <v>93</v>
      </c>
      <c r="D5213" t="str">
        <f>"Essex"</f>
        <v>Essex</v>
      </c>
    </row>
    <row r="5214" spans="1:4" x14ac:dyDescent="0.2">
      <c r="A5214" t="str">
        <f>"5213"</f>
        <v>5213</v>
      </c>
      <c r="B5214" t="str">
        <f>"0.04"</f>
        <v>0.04</v>
      </c>
      <c r="C5214" t="str">
        <f>"49"</f>
        <v>49</v>
      </c>
      <c r="D5214" t="str">
        <f>"Walking in the Sunlight"</f>
        <v>Walking in the Sunlight</v>
      </c>
    </row>
    <row r="5215" spans="1:4" x14ac:dyDescent="0.2">
      <c r="A5215" t="str">
        <f>"5214"</f>
        <v>5214</v>
      </c>
      <c r="B5215" t="str">
        <f>"-0.57"</f>
        <v>-0.57</v>
      </c>
      <c r="C5215" t="str">
        <f>"70"</f>
        <v>70</v>
      </c>
      <c r="D5215" t="str">
        <f>"The Quiet Storm"</f>
        <v>The Quiet Storm</v>
      </c>
    </row>
    <row r="5216" spans="1:4" x14ac:dyDescent="0.2">
      <c r="A5216" t="str">
        <f>"5215"</f>
        <v>5215</v>
      </c>
      <c r="B5216" t="str">
        <f>"-0.02"</f>
        <v>-0.02</v>
      </c>
      <c r="C5216" t="str">
        <f>"69"</f>
        <v>69</v>
      </c>
      <c r="D5216" t="str">
        <f>"Advisory Committee"</f>
        <v>Advisory Committee</v>
      </c>
    </row>
    <row r="5217" spans="1:4" x14ac:dyDescent="0.2">
      <c r="A5217" t="str">
        <f>"5216"</f>
        <v>5216</v>
      </c>
      <c r="B5217" t="str">
        <f>"0.05"</f>
        <v>0.05</v>
      </c>
      <c r="C5217" t="str">
        <f>"76"</f>
        <v>76</v>
      </c>
      <c r="D5217" t="str">
        <f>"Moment in the Sun EP"</f>
        <v>Moment in the Sun EP</v>
      </c>
    </row>
    <row r="5218" spans="1:4" x14ac:dyDescent="0.2">
      <c r="A5218" t="str">
        <f>"5217"</f>
        <v>5217</v>
      </c>
      <c r="B5218" t="str">
        <f>"0.38"</f>
        <v>0.38</v>
      </c>
      <c r="C5218" t="str">
        <f>"71"</f>
        <v>71</v>
      </c>
      <c r="D5218" t="str">
        <f>"Everyone Who Pretended to Like Me Is Gone"</f>
        <v>Everyone Who Pretended to Like Me Is Gone</v>
      </c>
    </row>
    <row r="5219" spans="1:4" x14ac:dyDescent="0.2">
      <c r="A5219" t="str">
        <f>"5218"</f>
        <v>5218</v>
      </c>
      <c r="B5219" t="str">
        <f>"-0.57"</f>
        <v>-0.57</v>
      </c>
      <c r="C5219" t="str">
        <f>"114"</f>
        <v>114</v>
      </c>
      <c r="D5219" t="str">
        <f>"Bright Yellow Moon"</f>
        <v>Bright Yellow Moon</v>
      </c>
    </row>
    <row r="5220" spans="1:4" x14ac:dyDescent="0.2">
      <c r="A5220" t="str">
        <f>"5219"</f>
        <v>5219</v>
      </c>
      <c r="B5220" t="str">
        <f>"0.18"</f>
        <v>0.18</v>
      </c>
      <c r="C5220" t="str">
        <f>"100"</f>
        <v>100</v>
      </c>
      <c r="D5220" t="str">
        <f>"Bar Torque"</f>
        <v>Bar Torque</v>
      </c>
    </row>
    <row r="5221" spans="1:4" x14ac:dyDescent="0.2">
      <c r="A5221" t="str">
        <f>"5220"</f>
        <v>5220</v>
      </c>
      <c r="B5221" t="str">
        <f>"0.16"</f>
        <v>0.16</v>
      </c>
      <c r="C5221" t="str">
        <f>"74"</f>
        <v>74</v>
      </c>
      <c r="D5221" t="str">
        <f>"&amp; Yet &amp; Yet"</f>
        <v>&amp; Yet &amp; Yet</v>
      </c>
    </row>
    <row r="5222" spans="1:4" x14ac:dyDescent="0.2">
      <c r="A5222" t="str">
        <f>"5221"</f>
        <v>5221</v>
      </c>
      <c r="B5222" t="str">
        <f>"0.5"</f>
        <v>0.5</v>
      </c>
      <c r="C5222" t="str">
        <f>"63"</f>
        <v>63</v>
      </c>
      <c r="D5222" t="str">
        <f>"Soul Rush"</f>
        <v>Soul Rush</v>
      </c>
    </row>
    <row r="5223" spans="1:4" x14ac:dyDescent="0.2">
      <c r="A5223" t="str">
        <f>"5222"</f>
        <v>5222</v>
      </c>
      <c r="B5223" t="str">
        <f>"0.16"</f>
        <v>0.16</v>
      </c>
      <c r="C5223" t="str">
        <f>"69"</f>
        <v>69</v>
      </c>
      <c r="D5223" t="str">
        <f>"Plays That Good Old Rock and Roll"</f>
        <v>Plays That Good Old Rock and Roll</v>
      </c>
    </row>
    <row r="5224" spans="1:4" x14ac:dyDescent="0.2">
      <c r="A5224" t="str">
        <f>"5223"</f>
        <v>5223</v>
      </c>
      <c r="B5224" t="str">
        <f>"-0.23"</f>
        <v>-0.23</v>
      </c>
      <c r="C5224" t="str">
        <f>"74"</f>
        <v>74</v>
      </c>
      <c r="D5224" t="str">
        <f>"A Wild Man Brandishing an Uprooted Tree"</f>
        <v>A Wild Man Brandishing an Uprooted Tree</v>
      </c>
    </row>
    <row r="5225" spans="1:4" x14ac:dyDescent="0.2">
      <c r="A5225" t="str">
        <f>"5224"</f>
        <v>5224</v>
      </c>
      <c r="B5225" t="str">
        <f>"-0.62"</f>
        <v>-0.62</v>
      </c>
      <c r="C5225" t="str">
        <f>"105"</f>
        <v>105</v>
      </c>
      <c r="D5225" t="str">
        <f>"Wave Motion"</f>
        <v>Wave Motion</v>
      </c>
    </row>
    <row r="5226" spans="1:4" x14ac:dyDescent="0.2">
      <c r="A5226" t="str">
        <f>"5225"</f>
        <v>5225</v>
      </c>
      <c r="B5226" t="str">
        <f>"-0.77"</f>
        <v>-0.77</v>
      </c>
      <c r="C5226" t="str">
        <f>"99"</f>
        <v>99</v>
      </c>
      <c r="D5226" t="str">
        <f>"Read Music - Speak Spanish"</f>
        <v>Read Music - Speak Spanish</v>
      </c>
    </row>
    <row r="5227" spans="1:4" x14ac:dyDescent="0.2">
      <c r="A5227" t="str">
        <f>"5226"</f>
        <v>5226</v>
      </c>
      <c r="B5227" t="str">
        <f>"-0.72"</f>
        <v>-0.72</v>
      </c>
      <c r="C5227" t="str">
        <f>"72"</f>
        <v>72</v>
      </c>
      <c r="D5227" t="str">
        <f>"On Hashish"</f>
        <v>On Hashish</v>
      </c>
    </row>
    <row r="5228" spans="1:4" x14ac:dyDescent="0.2">
      <c r="A5228" t="str">
        <f>"5227"</f>
        <v>5227</v>
      </c>
      <c r="B5228" t="str">
        <f>"0.36"</f>
        <v>0.36</v>
      </c>
      <c r="C5228" t="str">
        <f>"146"</f>
        <v>146</v>
      </c>
      <c r="D5228" t="str">
        <f>"Coat of Many Cupboards"</f>
        <v>Coat of Many Cupboards</v>
      </c>
    </row>
    <row r="5229" spans="1:4" x14ac:dyDescent="0.2">
      <c r="A5229" t="str">
        <f>"5228"</f>
        <v>5228</v>
      </c>
      <c r="B5229" t="str">
        <f>"-0.68"</f>
        <v>-0.68</v>
      </c>
      <c r="C5229" t="str">
        <f>"67"</f>
        <v>67</v>
      </c>
      <c r="D5229" t="str">
        <f>"Valis"</f>
        <v>Valis</v>
      </c>
    </row>
    <row r="5230" spans="1:4" x14ac:dyDescent="0.2">
      <c r="A5230" t="str">
        <f>"5229"</f>
        <v>5229</v>
      </c>
      <c r="B5230" t="str">
        <f>"0.5"</f>
        <v>0.5</v>
      </c>
      <c r="C5230" t="str">
        <f>"85"</f>
        <v>85</v>
      </c>
      <c r="D5230" t="str">
        <f>"Split EP"</f>
        <v>Split EP</v>
      </c>
    </row>
    <row r="5231" spans="1:4" x14ac:dyDescent="0.2">
      <c r="A5231" t="str">
        <f>"5230"</f>
        <v>5230</v>
      </c>
      <c r="B5231" t="str">
        <f>"-0.54"</f>
        <v>-0.54</v>
      </c>
      <c r="C5231" t="str">
        <f>"72"</f>
        <v>72</v>
      </c>
      <c r="D5231" t="str">
        <f>"Lapalco"</f>
        <v>Lapalco</v>
      </c>
    </row>
    <row r="5232" spans="1:4" x14ac:dyDescent="0.2">
      <c r="A5232" t="str">
        <f>"5231"</f>
        <v>5231</v>
      </c>
      <c r="B5232" t="str">
        <f>"-0.75"</f>
        <v>-0.75</v>
      </c>
      <c r="C5232" t="str">
        <f>"60"</f>
        <v>60</v>
      </c>
      <c r="D5232" t="str">
        <f>"Birds Fly EP"</f>
        <v>Birds Fly EP</v>
      </c>
    </row>
    <row r="5233" spans="1:4" x14ac:dyDescent="0.2">
      <c r="A5233" t="str">
        <f>"5232"</f>
        <v>5232</v>
      </c>
      <c r="B5233" t="str">
        <f>"-0.56"</f>
        <v>-0.56</v>
      </c>
      <c r="C5233" t="str">
        <f>"67"</f>
        <v>67</v>
      </c>
      <c r="D5233" t="str">
        <f>"Euphemystic"</f>
        <v>Euphemystic</v>
      </c>
    </row>
    <row r="5234" spans="1:4" x14ac:dyDescent="0.2">
      <c r="A5234" t="str">
        <f>"5233"</f>
        <v>5233</v>
      </c>
      <c r="B5234" t="str">
        <f>"-0.64"</f>
        <v>-0.64</v>
      </c>
      <c r="C5234" t="str">
        <f>"75"</f>
        <v>75</v>
      </c>
      <c r="D5234" t="str">
        <f>"Eudora"</f>
        <v>Eudora</v>
      </c>
    </row>
    <row r="5235" spans="1:4" x14ac:dyDescent="0.2">
      <c r="A5235" t="str">
        <f>"5234"</f>
        <v>5234</v>
      </c>
      <c r="B5235" t="str">
        <f>"-0.34"</f>
        <v>-0.34</v>
      </c>
      <c r="C5235" t="str">
        <f>"76"</f>
        <v>76</v>
      </c>
      <c r="D5235" t="str">
        <f>"Don't Fall in Love with Everyone You See"</f>
        <v>Don't Fall in Love with Everyone You See</v>
      </c>
    </row>
    <row r="5236" spans="1:4" x14ac:dyDescent="0.2">
      <c r="A5236" t="str">
        <f>"5235"</f>
        <v>5235</v>
      </c>
      <c r="B5236" t="str">
        <f>"0.26"</f>
        <v>0.26</v>
      </c>
      <c r="C5236" t="str">
        <f>"132"</f>
        <v>132</v>
      </c>
      <c r="D5236" t="str">
        <f>"Deceleration One"</f>
        <v>Deceleration One</v>
      </c>
    </row>
    <row r="5237" spans="1:4" x14ac:dyDescent="0.2">
      <c r="A5237" t="str">
        <f>"5236"</f>
        <v>5236</v>
      </c>
      <c r="B5237" t="str">
        <f>"-0.12"</f>
        <v>-0.12</v>
      </c>
      <c r="C5237" t="str">
        <f>"98"</f>
        <v>98</v>
      </c>
      <c r="D5237" t="str">
        <f>"Under Rug Swept"</f>
        <v>Under Rug Swept</v>
      </c>
    </row>
    <row r="5238" spans="1:4" x14ac:dyDescent="0.2">
      <c r="A5238" t="str">
        <f>"5237"</f>
        <v>5237</v>
      </c>
      <c r="B5238" t="str">
        <f>"0.13"</f>
        <v>0.13</v>
      </c>
      <c r="C5238" t="str">
        <f>"61"</f>
        <v>61</v>
      </c>
      <c r="D5238" t="str">
        <f>"The Eleventh Hour"</f>
        <v>The Eleventh Hour</v>
      </c>
    </row>
    <row r="5239" spans="1:4" x14ac:dyDescent="0.2">
      <c r="A5239" t="str">
        <f>"5238"</f>
        <v>5238</v>
      </c>
      <c r="B5239" t="str">
        <f>"-0.09"</f>
        <v>-0.09</v>
      </c>
      <c r="C5239" t="str">
        <f>"100"</f>
        <v>100</v>
      </c>
      <c r="D5239" t="str">
        <f>"Fever"</f>
        <v>Fever</v>
      </c>
    </row>
    <row r="5240" spans="1:4" x14ac:dyDescent="0.2">
      <c r="A5240" t="str">
        <f>"5239"</f>
        <v>5239</v>
      </c>
      <c r="B5240" t="str">
        <f>"-0.25"</f>
        <v>-0.25</v>
      </c>
      <c r="C5240" t="str">
        <f>"106"</f>
        <v>106</v>
      </c>
      <c r="D5240" t="s">
        <v>177</v>
      </c>
    </row>
    <row r="5241" spans="1:4" x14ac:dyDescent="0.2">
      <c r="A5241" t="str">
        <f>"5240"</f>
        <v>5240</v>
      </c>
      <c r="B5241" t="str">
        <f>"0.11"</f>
        <v>0.11</v>
      </c>
      <c r="C5241" t="str">
        <f>"51"</f>
        <v>51</v>
      </c>
      <c r="D5241" t="str">
        <f>"Edison Woods"</f>
        <v>Edison Woods</v>
      </c>
    </row>
    <row r="5242" spans="1:4" x14ac:dyDescent="0.2">
      <c r="A5242" t="str">
        <f>"5241"</f>
        <v>5241</v>
      </c>
      <c r="B5242" t="str">
        <f>"-0.18"</f>
        <v>-0.18</v>
      </c>
      <c r="C5242" t="str">
        <f>"107"</f>
        <v>107</v>
      </c>
      <c r="D5242" t="str">
        <f>"Clinical Imperfections"</f>
        <v>Clinical Imperfections</v>
      </c>
    </row>
    <row r="5243" spans="1:4" x14ac:dyDescent="0.2">
      <c r="A5243" t="str">
        <f>"5242"</f>
        <v>5242</v>
      </c>
      <c r="B5243" t="str">
        <f>"0.18"</f>
        <v>0.18</v>
      </c>
      <c r="C5243" t="str">
        <f>"62"</f>
        <v>62</v>
      </c>
      <c r="D5243" t="str">
        <f>"Claro"</f>
        <v>Claro</v>
      </c>
    </row>
    <row r="5244" spans="1:4" x14ac:dyDescent="0.2">
      <c r="A5244" t="str">
        <f>"5243"</f>
        <v>5243</v>
      </c>
      <c r="B5244" t="str">
        <f>"-0.96"</f>
        <v>-0.96</v>
      </c>
      <c r="C5244" t="str">
        <f>"63"</f>
        <v>63</v>
      </c>
      <c r="D5244" t="str">
        <f>"Arbor"</f>
        <v>Arbor</v>
      </c>
    </row>
    <row r="5245" spans="1:4" x14ac:dyDescent="0.2">
      <c r="A5245" t="str">
        <f>"5244"</f>
        <v>5244</v>
      </c>
      <c r="B5245" t="str">
        <f>"0.58"</f>
        <v>0.58</v>
      </c>
      <c r="C5245" t="str">
        <f>"122"</f>
        <v>122</v>
      </c>
      <c r="D5245" t="str">
        <f>"Words of Wisdom and Hope"</f>
        <v>Words of Wisdom and Hope</v>
      </c>
    </row>
    <row r="5246" spans="1:4" x14ac:dyDescent="0.2">
      <c r="A5246" t="str">
        <f>"5245"</f>
        <v>5245</v>
      </c>
      <c r="B5246" t="str">
        <f>"0.03"</f>
        <v>0.03</v>
      </c>
      <c r="C5246" t="str">
        <f>"94"</f>
        <v>94</v>
      </c>
      <c r="D5246" t="str">
        <f>"Heart and Crime"</f>
        <v>Heart and Crime</v>
      </c>
    </row>
    <row r="5247" spans="1:4" x14ac:dyDescent="0.2">
      <c r="A5247" t="str">
        <f>"5246"</f>
        <v>5246</v>
      </c>
      <c r="B5247" t="str">
        <f>"0.15"</f>
        <v>0.15</v>
      </c>
      <c r="C5247" t="str">
        <f>"65"</f>
        <v>65</v>
      </c>
      <c r="D5247" t="str">
        <f>"Further Reminders"</f>
        <v>Further Reminders</v>
      </c>
    </row>
    <row r="5248" spans="1:4" x14ac:dyDescent="0.2">
      <c r="A5248" t="str">
        <f>"5247"</f>
        <v>5247</v>
      </c>
      <c r="B5248" t="str">
        <f>"0.76"</f>
        <v>0.76</v>
      </c>
      <c r="C5248" t="str">
        <f>"66"</f>
        <v>66</v>
      </c>
      <c r="D5248" t="str">
        <f>"Beautysleep"</f>
        <v>Beautysleep</v>
      </c>
    </row>
    <row r="5249" spans="1:4" x14ac:dyDescent="0.2">
      <c r="A5249" t="str">
        <f>"5248"</f>
        <v>5248</v>
      </c>
      <c r="B5249" t="str">
        <f>"0.97"</f>
        <v>0.97</v>
      </c>
      <c r="C5249" t="str">
        <f>"72"</f>
        <v>72</v>
      </c>
      <c r="D5249" t="str">
        <f>"When We Were Small"</f>
        <v>When We Were Small</v>
      </c>
    </row>
    <row r="5250" spans="1:4" x14ac:dyDescent="0.2">
      <c r="A5250" t="str">
        <f>"5249"</f>
        <v>5249</v>
      </c>
      <c r="B5250" t="str">
        <f>"0.53"</f>
        <v>0.53</v>
      </c>
      <c r="C5250" t="str">
        <f>"60"</f>
        <v>60</v>
      </c>
      <c r="D5250" t="str">
        <f>"Rhythm of Snow"</f>
        <v>Rhythm of Snow</v>
      </c>
    </row>
    <row r="5251" spans="1:4" x14ac:dyDescent="0.2">
      <c r="A5251" t="str">
        <f>"5250"</f>
        <v>5250</v>
      </c>
      <c r="B5251" t="str">
        <f>"0.98"</f>
        <v>0.98</v>
      </c>
      <c r="C5251" t="str">
        <f>"113"</f>
        <v>113</v>
      </c>
      <c r="D5251" t="str">
        <f>"Live in Liverpool"</f>
        <v>Live in Liverpool</v>
      </c>
    </row>
    <row r="5252" spans="1:4" x14ac:dyDescent="0.2">
      <c r="A5252" t="str">
        <f>"5251"</f>
        <v>5251</v>
      </c>
      <c r="B5252" t="str">
        <f>"-0.9"</f>
        <v>-0.9</v>
      </c>
      <c r="C5252" t="str">
        <f>"93"</f>
        <v>93</v>
      </c>
      <c r="D5252" t="str">
        <f>"Iron Flag"</f>
        <v>Iron Flag</v>
      </c>
    </row>
    <row r="5253" spans="1:4" x14ac:dyDescent="0.2">
      <c r="A5253" t="str">
        <f>"5252"</f>
        <v>5252</v>
      </c>
      <c r="B5253" t="str">
        <f>"-0.07"</f>
        <v>-0.07</v>
      </c>
      <c r="C5253" t="str">
        <f>"73"</f>
        <v>73</v>
      </c>
      <c r="D5253" t="str">
        <f>"Tvi"</f>
        <v>Tvi</v>
      </c>
    </row>
    <row r="5254" spans="1:4" x14ac:dyDescent="0.2">
      <c r="A5254" t="str">
        <f>"5253"</f>
        <v>5253</v>
      </c>
      <c r="B5254" t="str">
        <f>"0.08"</f>
        <v>0.08</v>
      </c>
      <c r="C5254" t="str">
        <f>"37"</f>
        <v>37</v>
      </c>
      <c r="D5254" t="str">
        <f>"This Is Our Music"</f>
        <v>This Is Our Music</v>
      </c>
    </row>
    <row r="5255" spans="1:4" x14ac:dyDescent="0.2">
      <c r="A5255" t="str">
        <f>"5254"</f>
        <v>5254</v>
      </c>
      <c r="B5255" t="str">
        <f>"-0.6"</f>
        <v>-0.6</v>
      </c>
      <c r="C5255" t="str">
        <f>"101"</f>
        <v>101</v>
      </c>
      <c r="D5255" t="str">
        <f>"The Worst You Can Do Is Harm"</f>
        <v>The Worst You Can Do Is Harm</v>
      </c>
    </row>
    <row r="5256" spans="1:4" x14ac:dyDescent="0.2">
      <c r="A5256" t="str">
        <f>"5255"</f>
        <v>5255</v>
      </c>
      <c r="B5256" t="str">
        <f>"-0.02"</f>
        <v>-0.02</v>
      </c>
      <c r="C5256" t="str">
        <f>"84"</f>
        <v>84</v>
      </c>
      <c r="D5256" t="str">
        <f>"In Search of..."</f>
        <v>In Search of...</v>
      </c>
    </row>
    <row r="5257" spans="1:4" x14ac:dyDescent="0.2">
      <c r="A5257" t="str">
        <f>"5256"</f>
        <v>5256</v>
      </c>
      <c r="B5257" t="str">
        <f>"0.3"</f>
        <v>0.3</v>
      </c>
      <c r="C5257" t="str">
        <f>"48"</f>
        <v>48</v>
      </c>
      <c r="D5257" t="str">
        <f>"Single Crown Postcard"</f>
        <v>Single Crown Postcard</v>
      </c>
    </row>
    <row r="5258" spans="1:4" x14ac:dyDescent="0.2">
      <c r="A5258" t="str">
        <f>"5257"</f>
        <v>5257</v>
      </c>
      <c r="B5258" t="str">
        <f>"-0.68"</f>
        <v>-0.68</v>
      </c>
      <c r="C5258" t="str">
        <f>"101"</f>
        <v>101</v>
      </c>
      <c r="D5258" t="str">
        <f>"Rever"</f>
        <v>Rever</v>
      </c>
    </row>
    <row r="5259" spans="1:4" x14ac:dyDescent="0.2">
      <c r="A5259" t="str">
        <f>"5258"</f>
        <v>5258</v>
      </c>
      <c r="B5259" t="str">
        <f>"1.05"</f>
        <v>1.05</v>
      </c>
      <c r="C5259" t="str">
        <f>"69"</f>
        <v>69</v>
      </c>
      <c r="D5259" t="str">
        <f>"Mishawaka EP"</f>
        <v>Mishawaka EP</v>
      </c>
    </row>
    <row r="5260" spans="1:4" x14ac:dyDescent="0.2">
      <c r="A5260" t="str">
        <f>"5259"</f>
        <v>5259</v>
      </c>
      <c r="B5260" t="str">
        <f>"0.85"</f>
        <v>0.85</v>
      </c>
      <c r="C5260" t="str">
        <f>"74"</f>
        <v>74</v>
      </c>
      <c r="D5260" t="str">
        <f>"Inside Views"</f>
        <v>Inside Views</v>
      </c>
    </row>
    <row r="5261" spans="1:4" x14ac:dyDescent="0.2">
      <c r="A5261" t="str">
        <f>"5260"</f>
        <v>5260</v>
      </c>
      <c r="B5261" t="str">
        <f>"0.17"</f>
        <v>0.17</v>
      </c>
      <c r="C5261" t="str">
        <f>"142"</f>
        <v>142</v>
      </c>
      <c r="D5261" t="str">
        <f>"Western Culture"</f>
        <v>Western Culture</v>
      </c>
    </row>
    <row r="5262" spans="1:4" x14ac:dyDescent="0.2">
      <c r="A5262" t="str">
        <f>"5261"</f>
        <v>5261</v>
      </c>
      <c r="B5262" t="str">
        <f>"0.35"</f>
        <v>0.35</v>
      </c>
      <c r="C5262" t="str">
        <f>"63"</f>
        <v>63</v>
      </c>
      <c r="D5262" t="str">
        <f>"Now Thing"</f>
        <v>Now Thing</v>
      </c>
    </row>
    <row r="5263" spans="1:4" x14ac:dyDescent="0.2">
      <c r="A5263" t="str">
        <f>"5262"</f>
        <v>5262</v>
      </c>
      <c r="B5263" t="str">
        <f>"0.24"</f>
        <v>0.24</v>
      </c>
      <c r="C5263" t="str">
        <f>"116"</f>
        <v>116</v>
      </c>
      <c r="D5263" t="s">
        <v>178</v>
      </c>
    </row>
    <row r="5264" spans="1:4" x14ac:dyDescent="0.2">
      <c r="A5264" t="str">
        <f>"5263"</f>
        <v>5263</v>
      </c>
      <c r="B5264" t="str">
        <f>"-0.35"</f>
        <v>-0.35</v>
      </c>
      <c r="C5264" t="str">
        <f>"46"</f>
        <v>46</v>
      </c>
      <c r="D5264" t="str">
        <f>"1942 EP"</f>
        <v>1942 EP</v>
      </c>
    </row>
    <row r="5265" spans="1:4" x14ac:dyDescent="0.2">
      <c r="A5265" t="str">
        <f>"5264"</f>
        <v>5264</v>
      </c>
      <c r="B5265" t="str">
        <f>"0.43"</f>
        <v>0.43</v>
      </c>
      <c r="C5265" t="str">
        <f>"117"</f>
        <v>117</v>
      </c>
      <c r="D5265" t="str">
        <f>"Meet Yr Acres"</f>
        <v>Meet Yr Acres</v>
      </c>
    </row>
    <row r="5266" spans="1:4" x14ac:dyDescent="0.2">
      <c r="A5266" t="str">
        <f>"5265"</f>
        <v>5265</v>
      </c>
      <c r="B5266" t="str">
        <f>"0.16"</f>
        <v>0.16</v>
      </c>
      <c r="C5266" t="str">
        <f>"92"</f>
        <v>92</v>
      </c>
      <c r="D5266" t="str">
        <f>"Life Starts Here"</f>
        <v>Life Starts Here</v>
      </c>
    </row>
    <row r="5267" spans="1:4" x14ac:dyDescent="0.2">
      <c r="A5267" t="str">
        <f>"5266"</f>
        <v>5266</v>
      </c>
      <c r="B5267" t="str">
        <f>"0.32"</f>
        <v>0.32</v>
      </c>
      <c r="C5267" t="str">
        <f>"95"</f>
        <v>95</v>
      </c>
      <c r="D5267" t="str">
        <f>"I Break Chairs"</f>
        <v>I Break Chairs</v>
      </c>
    </row>
    <row r="5268" spans="1:4" x14ac:dyDescent="0.2">
      <c r="A5268" t="str">
        <f>"5267"</f>
        <v>5267</v>
      </c>
      <c r="B5268" t="str">
        <f>"0.33"</f>
        <v>0.33</v>
      </c>
      <c r="C5268" t="str">
        <f>"84"</f>
        <v>84</v>
      </c>
      <c r="D5268" t="str">
        <f>"Freedom in Fragments"</f>
        <v>Freedom in Fragments</v>
      </c>
    </row>
    <row r="5269" spans="1:4" x14ac:dyDescent="0.2">
      <c r="A5269" t="str">
        <f>"5268"</f>
        <v>5268</v>
      </c>
      <c r="B5269" t="str">
        <f>"0.05"</f>
        <v>0.05</v>
      </c>
      <c r="C5269" t="str">
        <f>"110"</f>
        <v>110</v>
      </c>
      <c r="D5269" t="str">
        <f>"Under Cold Blue Stars"</f>
        <v>Under Cold Blue Stars</v>
      </c>
    </row>
    <row r="5270" spans="1:4" x14ac:dyDescent="0.2">
      <c r="A5270" t="str">
        <f>"5269"</f>
        <v>5269</v>
      </c>
      <c r="B5270" t="str">
        <f>"0.1"</f>
        <v>0.1</v>
      </c>
      <c r="C5270" t="str">
        <f>"24"</f>
        <v>24</v>
      </c>
      <c r="D5270" t="str">
        <f>"Stateless"</f>
        <v>Stateless</v>
      </c>
    </row>
    <row r="5271" spans="1:4" x14ac:dyDescent="0.2">
      <c r="A5271" t="str">
        <f>"5270"</f>
        <v>5270</v>
      </c>
      <c r="B5271" t="str">
        <f>"-0.45"</f>
        <v>-0.45</v>
      </c>
      <c r="C5271" t="str">
        <f>"79"</f>
        <v>79</v>
      </c>
      <c r="D5271" t="str">
        <f>"Natural Born Chaos"</f>
        <v>Natural Born Chaos</v>
      </c>
    </row>
    <row r="5272" spans="1:4" x14ac:dyDescent="0.2">
      <c r="A5272" t="str">
        <f>"5271"</f>
        <v>5271</v>
      </c>
      <c r="B5272" t="str">
        <f>"-0.51"</f>
        <v>-0.51</v>
      </c>
      <c r="C5272" t="str">
        <f>"59"</f>
        <v>59</v>
      </c>
      <c r="D5272" t="str">
        <f>"I Blame the Scenery"</f>
        <v>I Blame the Scenery</v>
      </c>
    </row>
    <row r="5273" spans="1:4" x14ac:dyDescent="0.2">
      <c r="A5273" t="str">
        <f>"5272"</f>
        <v>5272</v>
      </c>
      <c r="B5273" t="str">
        <f>"-0.25"</f>
        <v>-0.25</v>
      </c>
      <c r="C5273" t="str">
        <f>"126"</f>
        <v>126</v>
      </c>
      <c r="D5273" t="str">
        <f>"12 (+1) Imaginary Views"</f>
        <v>12 (+1) Imaginary Views</v>
      </c>
    </row>
    <row r="5274" spans="1:4" x14ac:dyDescent="0.2">
      <c r="A5274" t="str">
        <f>"5273"</f>
        <v>5273</v>
      </c>
      <c r="B5274" t="str">
        <f>"0.45"</f>
        <v>0.45</v>
      </c>
      <c r="C5274" t="str">
        <f>"77"</f>
        <v>77</v>
      </c>
      <c r="D5274" t="str">
        <f>"Surfing on Sine Waves"</f>
        <v>Surfing on Sine Waves</v>
      </c>
    </row>
    <row r="5275" spans="1:4" x14ac:dyDescent="0.2">
      <c r="A5275" t="str">
        <f>"5274"</f>
        <v>5274</v>
      </c>
      <c r="B5275" t="str">
        <f>"0.15"</f>
        <v>0.15</v>
      </c>
      <c r="C5275" t="str">
        <f>"63"</f>
        <v>63</v>
      </c>
      <c r="D5275" t="str">
        <f>"Sleeping on Roads"</f>
        <v>Sleeping on Roads</v>
      </c>
    </row>
    <row r="5276" spans="1:4" x14ac:dyDescent="0.2">
      <c r="A5276" t="str">
        <f>"5275"</f>
        <v>5275</v>
      </c>
      <c r="B5276" t="str">
        <f>"1.03"</f>
        <v>1.03</v>
      </c>
      <c r="C5276" t="str">
        <f>"104"</f>
        <v>104</v>
      </c>
      <c r="D5276" t="str">
        <f>"Axis and Alignment"</f>
        <v>Axis and Alignment</v>
      </c>
    </row>
    <row r="5277" spans="1:4" x14ac:dyDescent="0.2">
      <c r="A5277" t="str">
        <f>"5276"</f>
        <v>5276</v>
      </c>
      <c r="B5277" t="str">
        <f>"0.53"</f>
        <v>0.53</v>
      </c>
      <c r="C5277" t="str">
        <f>"95"</f>
        <v>95</v>
      </c>
      <c r="D5277" t="str">
        <f>"Wanna Buy a Monkey?"</f>
        <v>Wanna Buy a Monkey?</v>
      </c>
    </row>
    <row r="5278" spans="1:4" x14ac:dyDescent="0.2">
      <c r="A5278" t="str">
        <f>"5277"</f>
        <v>5277</v>
      </c>
      <c r="B5278" t="str">
        <f>"-1.16"</f>
        <v>-1.16</v>
      </c>
      <c r="C5278" t="str">
        <f>"100"</f>
        <v>100</v>
      </c>
      <c r="D5278" t="str">
        <f>"Pimps Don't Pay Taxes"</f>
        <v>Pimps Don't Pay Taxes</v>
      </c>
    </row>
    <row r="5279" spans="1:4" x14ac:dyDescent="0.2">
      <c r="A5279" t="str">
        <f>"5278"</f>
        <v>5278</v>
      </c>
      <c r="B5279" t="str">
        <f>"-0.29"</f>
        <v>-0.29</v>
      </c>
      <c r="C5279" t="str">
        <f>"85"</f>
        <v>85</v>
      </c>
      <c r="D5279" t="str">
        <f>"Headless Heroes of the Apocalypse"</f>
        <v>Headless Heroes of the Apocalypse</v>
      </c>
    </row>
    <row r="5280" spans="1:4" x14ac:dyDescent="0.2">
      <c r="A5280" t="str">
        <f>"5279"</f>
        <v>5279</v>
      </c>
      <c r="B5280" t="str">
        <f>"0.61"</f>
        <v>0.61</v>
      </c>
      <c r="C5280" t="str">
        <f>"67"</f>
        <v>67</v>
      </c>
      <c r="D5280" t="str">
        <f>"Big Tobacco"</f>
        <v>Big Tobacco</v>
      </c>
    </row>
    <row r="5281" spans="1:4" x14ac:dyDescent="0.2">
      <c r="A5281" t="str">
        <f>"5280"</f>
        <v>5280</v>
      </c>
      <c r="B5281" t="str">
        <f>"0"</f>
        <v>0</v>
      </c>
      <c r="C5281" t="str">
        <f>"78"</f>
        <v>78</v>
      </c>
      <c r="D5281" t="str">
        <f>"Cover Magazine"</f>
        <v>Cover Magazine</v>
      </c>
    </row>
    <row r="5282" spans="1:4" x14ac:dyDescent="0.2">
      <c r="A5282" t="str">
        <f>"5281"</f>
        <v>5281</v>
      </c>
      <c r="B5282" t="str">
        <f>"-1.08"</f>
        <v>-1.08</v>
      </c>
      <c r="C5282" t="str">
        <f>"66"</f>
        <v>66</v>
      </c>
      <c r="D5282" t="str">
        <f>"Big Group Hug"</f>
        <v>Big Group Hug</v>
      </c>
    </row>
    <row r="5283" spans="1:4" x14ac:dyDescent="0.2">
      <c r="A5283" t="str">
        <f>"5282"</f>
        <v>5282</v>
      </c>
      <c r="B5283" t="str">
        <f>"0.81"</f>
        <v>0.81</v>
      </c>
      <c r="C5283" t="str">
        <f>"86"</f>
        <v>86</v>
      </c>
      <c r="D5283" t="str">
        <f>"Around the House"</f>
        <v>Around the House</v>
      </c>
    </row>
    <row r="5284" spans="1:4" x14ac:dyDescent="0.2">
      <c r="A5284" t="str">
        <f>"5283"</f>
        <v>5283</v>
      </c>
      <c r="B5284" t="str">
        <f>"0.81"</f>
        <v>0.81</v>
      </c>
      <c r="C5284" t="str">
        <f>"73"</f>
        <v>73</v>
      </c>
      <c r="D5284" t="str">
        <f>"All Girl Summer Fun Band"</f>
        <v>All Girl Summer Fun Band</v>
      </c>
    </row>
    <row r="5285" spans="1:4" x14ac:dyDescent="0.2">
      <c r="A5285" t="str">
        <f>"5284"</f>
        <v>5284</v>
      </c>
      <c r="B5285" t="str">
        <f>"-0.46"</f>
        <v>-0.46</v>
      </c>
      <c r="C5285" t="str">
        <f>"85"</f>
        <v>85</v>
      </c>
      <c r="D5285" t="str">
        <f>"Vatican Nitez"</f>
        <v>Vatican Nitez</v>
      </c>
    </row>
    <row r="5286" spans="1:4" x14ac:dyDescent="0.2">
      <c r="A5286" t="str">
        <f>"5285"</f>
        <v>5285</v>
      </c>
      <c r="B5286" t="str">
        <f>"0.72"</f>
        <v>0.72</v>
      </c>
      <c r="C5286" t="str">
        <f>"71"</f>
        <v>71</v>
      </c>
      <c r="D5286" t="str">
        <f>"Sketchbook"</f>
        <v>Sketchbook</v>
      </c>
    </row>
    <row r="5287" spans="1:4" x14ac:dyDescent="0.2">
      <c r="A5287" t="str">
        <f>"5286"</f>
        <v>5286</v>
      </c>
      <c r="B5287" t="str">
        <f>"0.1"</f>
        <v>0.1</v>
      </c>
      <c r="C5287" t="str">
        <f>"78"</f>
        <v>78</v>
      </c>
      <c r="D5287" t="str">
        <f>"Leels"</f>
        <v>Leels</v>
      </c>
    </row>
    <row r="5288" spans="1:4" x14ac:dyDescent="0.2">
      <c r="A5288" t="str">
        <f>"5287"</f>
        <v>5287</v>
      </c>
      <c r="B5288" t="str">
        <f>"0.85"</f>
        <v>0.85</v>
      </c>
      <c r="C5288" t="str">
        <f>"129"</f>
        <v>129</v>
      </c>
      <c r="D5288" t="str">
        <f>"A Feather in the Engine"</f>
        <v>A Feather in the Engine</v>
      </c>
    </row>
    <row r="5289" spans="1:4" x14ac:dyDescent="0.2">
      <c r="A5289" t="str">
        <f>"5288"</f>
        <v>5288</v>
      </c>
      <c r="B5289" t="str">
        <f>"-0.56"</f>
        <v>-0.56</v>
      </c>
      <c r="C5289" t="str">
        <f>"46"</f>
        <v>46</v>
      </c>
      <c r="D5289" t="str">
        <f>"Prepare to Die"</f>
        <v>Prepare to Die</v>
      </c>
    </row>
    <row r="5290" spans="1:4" x14ac:dyDescent="0.2">
      <c r="A5290" t="str">
        <f>"5289"</f>
        <v>5289</v>
      </c>
      <c r="B5290" t="str">
        <f>"-0.66"</f>
        <v>-0.66</v>
      </c>
      <c r="C5290" t="str">
        <f>"90"</f>
        <v>90</v>
      </c>
      <c r="D5290" t="str">
        <f>"Didn't It Rain"</f>
        <v>Didn't It Rain</v>
      </c>
    </row>
    <row r="5291" spans="1:4" x14ac:dyDescent="0.2">
      <c r="A5291" t="str">
        <f>"5290"</f>
        <v>5290</v>
      </c>
      <c r="B5291" t="str">
        <f>"0.49"</f>
        <v>0.49</v>
      </c>
      <c r="C5291" t="str">
        <f>"83"</f>
        <v>83</v>
      </c>
      <c r="D5291" t="str">
        <f>"Definitive Jux Presents II"</f>
        <v>Definitive Jux Presents II</v>
      </c>
    </row>
    <row r="5292" spans="1:4" x14ac:dyDescent="0.2">
      <c r="A5292" t="str">
        <f>"5291"</f>
        <v>5291</v>
      </c>
      <c r="B5292" t="str">
        <f>"0.2"</f>
        <v>0.2</v>
      </c>
      <c r="C5292" t="str">
        <f>"85"</f>
        <v>85</v>
      </c>
      <c r="D5292" t="s">
        <v>179</v>
      </c>
    </row>
    <row r="5293" spans="1:4" x14ac:dyDescent="0.2">
      <c r="A5293" t="str">
        <f>"5292"</f>
        <v>5292</v>
      </c>
      <c r="B5293" t="str">
        <f>"-0.2"</f>
        <v>-0.2</v>
      </c>
      <c r="C5293" t="str">
        <f>"89"</f>
        <v>89</v>
      </c>
      <c r="D5293" t="str">
        <f>"NIVRAYM"</f>
        <v>NIVRAYM</v>
      </c>
    </row>
    <row r="5294" spans="1:4" x14ac:dyDescent="0.2">
      <c r="A5294" t="str">
        <f>"5293"</f>
        <v>5293</v>
      </c>
      <c r="B5294" t="str">
        <f>"0.29"</f>
        <v>0.29</v>
      </c>
      <c r="C5294" t="str">
        <f>"116"</f>
        <v>116</v>
      </c>
      <c r="D5294" t="str">
        <f>"Combing the Clouds"</f>
        <v>Combing the Clouds</v>
      </c>
    </row>
    <row r="5295" spans="1:4" x14ac:dyDescent="0.2">
      <c r="A5295" t="str">
        <f>"5294"</f>
        <v>5294</v>
      </c>
      <c r="B5295" t="str">
        <f>"0.36"</f>
        <v>0.36</v>
      </c>
      <c r="C5295" t="str">
        <f>"109"</f>
        <v>109</v>
      </c>
      <c r="D5295" t="str">
        <f>"Chiff-Chaffs and Willow Warblers"</f>
        <v>Chiff-Chaffs and Willow Warblers</v>
      </c>
    </row>
    <row r="5296" spans="1:4" x14ac:dyDescent="0.2">
      <c r="A5296" t="str">
        <f>"5295"</f>
        <v>5295</v>
      </c>
      <c r="B5296" t="str">
        <f>"0.09"</f>
        <v>0.09</v>
      </c>
      <c r="C5296" t="str">
        <f>"74"</f>
        <v>74</v>
      </c>
      <c r="D5296" t="str">
        <f>"Calling Zero"</f>
        <v>Calling Zero</v>
      </c>
    </row>
    <row r="5297" spans="1:4" x14ac:dyDescent="0.2">
      <c r="A5297" t="str">
        <f>"5296"</f>
        <v>5296</v>
      </c>
      <c r="B5297" t="str">
        <f>"0.66"</f>
        <v>0.66</v>
      </c>
      <c r="C5297" t="str">
        <f>"93"</f>
        <v>93</v>
      </c>
      <c r="D5297" t="s">
        <v>180</v>
      </c>
    </row>
    <row r="5298" spans="1:4" x14ac:dyDescent="0.2">
      <c r="A5298" t="str">
        <f>"5297"</f>
        <v>5297</v>
      </c>
      <c r="B5298" t="str">
        <f>"-0.22"</f>
        <v>-0.22</v>
      </c>
      <c r="C5298" t="str">
        <f>"67"</f>
        <v>67</v>
      </c>
      <c r="D5298" t="str">
        <f>"Side Effects"</f>
        <v>Side Effects</v>
      </c>
    </row>
    <row r="5299" spans="1:4" x14ac:dyDescent="0.2">
      <c r="A5299" t="str">
        <f>"5298"</f>
        <v>5298</v>
      </c>
      <c r="B5299" t="str">
        <f>"-0.28"</f>
        <v>-0.28</v>
      </c>
      <c r="C5299" t="str">
        <f>"67"</f>
        <v>67</v>
      </c>
      <c r="D5299" t="str">
        <f>"Prickle EP"</f>
        <v>Prickle EP</v>
      </c>
    </row>
    <row r="5300" spans="1:4" x14ac:dyDescent="0.2">
      <c r="A5300" t="str">
        <f>"5299"</f>
        <v>5299</v>
      </c>
      <c r="B5300" t="str">
        <f>"-0.04"</f>
        <v>-0.04</v>
      </c>
      <c r="C5300" t="str">
        <f>"58"</f>
        <v>58</v>
      </c>
      <c r="D5300" t="str">
        <f>"Dark Noontide"</f>
        <v>Dark Noontide</v>
      </c>
    </row>
    <row r="5301" spans="1:4" x14ac:dyDescent="0.2">
      <c r="A5301" t="str">
        <f>"5300"</f>
        <v>5300</v>
      </c>
      <c r="B5301" t="str">
        <f>"-0.46"</f>
        <v>-0.46</v>
      </c>
      <c r="C5301" t="str">
        <f>"77"</f>
        <v>77</v>
      </c>
      <c r="D5301" t="str">
        <f>"The Only Reason I Feel Secure EP"</f>
        <v>The Only Reason I Feel Secure EP</v>
      </c>
    </row>
    <row r="5302" spans="1:4" x14ac:dyDescent="0.2">
      <c r="A5302" t="str">
        <f>"5301"</f>
        <v>5301</v>
      </c>
      <c r="B5302" t="str">
        <f>"0.18"</f>
        <v>0.18</v>
      </c>
      <c r="C5302" t="str">
        <f>"79"</f>
        <v>79</v>
      </c>
      <c r="D5302" t="str">
        <f>"Lost in Revelry"</f>
        <v>Lost in Revelry</v>
      </c>
    </row>
    <row r="5303" spans="1:4" x14ac:dyDescent="0.2">
      <c r="A5303" t="str">
        <f>"5302"</f>
        <v>5302</v>
      </c>
      <c r="B5303" t="str">
        <f>"-0.34"</f>
        <v>-0.34</v>
      </c>
      <c r="C5303" t="str">
        <f>"101"</f>
        <v>101</v>
      </c>
      <c r="D5303" t="str">
        <f>"Fear and Whiskey"</f>
        <v>Fear and Whiskey</v>
      </c>
    </row>
    <row r="5304" spans="1:4" x14ac:dyDescent="0.2">
      <c r="A5304" t="str">
        <f>"5303"</f>
        <v>5303</v>
      </c>
      <c r="B5304" t="str">
        <f>"-0.43"</f>
        <v>-0.43</v>
      </c>
      <c r="C5304" t="str">
        <f>"96"</f>
        <v>96</v>
      </c>
      <c r="D5304" t="str">
        <f>"Darkest Hour"</f>
        <v>Darkest Hour</v>
      </c>
    </row>
    <row r="5305" spans="1:4" x14ac:dyDescent="0.2">
      <c r="A5305" t="str">
        <f>"5304"</f>
        <v>5304</v>
      </c>
      <c r="B5305" t="str">
        <f>"-0.31"</f>
        <v>-0.31</v>
      </c>
      <c r="C5305" t="str">
        <f>"95"</f>
        <v>95</v>
      </c>
      <c r="D5305" t="str">
        <f>"The Process of Belief"</f>
        <v>The Process of Belief</v>
      </c>
    </row>
    <row r="5306" spans="1:4" x14ac:dyDescent="0.2">
      <c r="A5306" t="str">
        <f>"5305"</f>
        <v>5305</v>
      </c>
      <c r="B5306" t="str">
        <f>"0.17"</f>
        <v>0.17</v>
      </c>
      <c r="C5306" t="str">
        <f>"101"</f>
        <v>101</v>
      </c>
      <c r="D5306" t="str">
        <f>"Nuggets: Luke Vibert's Selection"</f>
        <v>Nuggets: Luke Vibert's Selection</v>
      </c>
    </row>
    <row r="5307" spans="1:4" x14ac:dyDescent="0.2">
      <c r="A5307" t="str">
        <f>"5306"</f>
        <v>5306</v>
      </c>
      <c r="B5307" t="str">
        <f>"-0.24"</f>
        <v>-0.24</v>
      </c>
      <c r="C5307" t="str">
        <f>"106"</f>
        <v>106</v>
      </c>
      <c r="D5307" t="str">
        <f>"Nothing Down-to-Earth"</f>
        <v>Nothing Down-to-Earth</v>
      </c>
    </row>
    <row r="5308" spans="1:4" x14ac:dyDescent="0.2">
      <c r="A5308" t="str">
        <f>"5307"</f>
        <v>5307</v>
      </c>
      <c r="B5308" t="str">
        <f>"-0.32"</f>
        <v>-0.32</v>
      </c>
      <c r="C5308" t="str">
        <f>"91"</f>
        <v>91</v>
      </c>
      <c r="D5308" t="str">
        <f>"TransHuman Revolution"</f>
        <v>TransHuman Revolution</v>
      </c>
    </row>
    <row r="5309" spans="1:4" x14ac:dyDescent="0.2">
      <c r="A5309" t="str">
        <f>"5308"</f>
        <v>5308</v>
      </c>
      <c r="B5309" t="str">
        <f>"0.57"</f>
        <v>0.57</v>
      </c>
      <c r="C5309" t="str">
        <f>"90"</f>
        <v>90</v>
      </c>
      <c r="D5309" t="str">
        <f>"There Are No New Clouds"</f>
        <v>There Are No New Clouds</v>
      </c>
    </row>
    <row r="5310" spans="1:4" x14ac:dyDescent="0.2">
      <c r="A5310" t="str">
        <f>"5309"</f>
        <v>5309</v>
      </c>
      <c r="B5310" t="str">
        <f>"-1.01"</f>
        <v>-1.01</v>
      </c>
      <c r="C5310" t="str">
        <f>"76"</f>
        <v>76</v>
      </c>
      <c r="D5310" t="str">
        <f>"Flight of the Behemoth"</f>
        <v>Flight of the Behemoth</v>
      </c>
    </row>
    <row r="5311" spans="1:4" x14ac:dyDescent="0.2">
      <c r="A5311" t="str">
        <f>"5310"</f>
        <v>5310</v>
      </c>
      <c r="B5311" t="str">
        <f>"1.02"</f>
        <v>1.02</v>
      </c>
      <c r="C5311" t="str">
        <f>"48"</f>
        <v>48</v>
      </c>
      <c r="D5311" t="str">
        <f>"3 Pieces for Violin EP"</f>
        <v>3 Pieces for Violin EP</v>
      </c>
    </row>
    <row r="5312" spans="1:4" x14ac:dyDescent="0.2">
      <c r="A5312" t="str">
        <f>"5311"</f>
        <v>5311</v>
      </c>
      <c r="B5312" t="str">
        <f>"-0.03"</f>
        <v>-0.03</v>
      </c>
      <c r="C5312" t="str">
        <f>"67"</f>
        <v>67</v>
      </c>
      <c r="D5312" t="str">
        <f>"Scream the Sound"</f>
        <v>Scream the Sound</v>
      </c>
    </row>
    <row r="5313" spans="1:4" x14ac:dyDescent="0.2">
      <c r="A5313" t="str">
        <f>"5312"</f>
        <v>5312</v>
      </c>
      <c r="B5313" t="str">
        <f>"0.51"</f>
        <v>0.51</v>
      </c>
      <c r="C5313" t="str">
        <f>"81"</f>
        <v>81</v>
      </c>
      <c r="D5313" t="str">
        <f>"Is a Woman"</f>
        <v>Is a Woman</v>
      </c>
    </row>
    <row r="5314" spans="1:4" x14ac:dyDescent="0.2">
      <c r="A5314" t="str">
        <f>"5313"</f>
        <v>5313</v>
      </c>
      <c r="B5314" t="str">
        <f>"-0.82"</f>
        <v>-0.82</v>
      </c>
      <c r="C5314" t="str">
        <f>"70"</f>
        <v>70</v>
      </c>
      <c r="D5314" t="str">
        <f>"In the Grips of the Light"</f>
        <v>In the Grips of the Light</v>
      </c>
    </row>
    <row r="5315" spans="1:4" x14ac:dyDescent="0.2">
      <c r="A5315" t="str">
        <f>"5314"</f>
        <v>5314</v>
      </c>
      <c r="B5315" t="str">
        <f>"0.47"</f>
        <v>0.47</v>
      </c>
      <c r="C5315" t="str">
        <f>"72"</f>
        <v>72</v>
      </c>
      <c r="D5315" t="str">
        <f>"Andexelt"</f>
        <v>Andexelt</v>
      </c>
    </row>
    <row r="5316" spans="1:4" x14ac:dyDescent="0.2">
      <c r="A5316" t="str">
        <f>"5315"</f>
        <v>5315</v>
      </c>
      <c r="B5316" t="str">
        <f>"0.42"</f>
        <v>0.42</v>
      </c>
      <c r="C5316" t="str">
        <f>"127"</f>
        <v>127</v>
      </c>
      <c r="D5316" t="str">
        <f>"Source Tags and Codes"</f>
        <v>Source Tags and Codes</v>
      </c>
    </row>
    <row r="5317" spans="1:4" x14ac:dyDescent="0.2">
      <c r="A5317" t="str">
        <f>"5316"</f>
        <v>5316</v>
      </c>
      <c r="B5317" t="str">
        <f>"-0.12"</f>
        <v>-0.12</v>
      </c>
      <c r="C5317" t="str">
        <f>"164"</f>
        <v>164</v>
      </c>
      <c r="D5317" t="str">
        <f>"Sai"</f>
        <v>Sai</v>
      </c>
    </row>
    <row r="5318" spans="1:4" x14ac:dyDescent="0.2">
      <c r="A5318" t="str">
        <f>"5317"</f>
        <v>5317</v>
      </c>
      <c r="B5318" t="str">
        <f>"-0.35"</f>
        <v>-0.35</v>
      </c>
      <c r="C5318" t="str">
        <f>"129"</f>
        <v>129</v>
      </c>
      <c r="D5318" t="str">
        <f>"If I Was Prince"</f>
        <v>If I Was Prince</v>
      </c>
    </row>
    <row r="5319" spans="1:4" x14ac:dyDescent="0.2">
      <c r="A5319" t="str">
        <f>"5318"</f>
        <v>5318</v>
      </c>
      <c r="B5319" t="str">
        <f>"-0.33"</f>
        <v>-0.33</v>
      </c>
      <c r="C5319" t="str">
        <f>"69"</f>
        <v>69</v>
      </c>
      <c r="D5319" t="str">
        <f>"Getting into Sinking"</f>
        <v>Getting into Sinking</v>
      </c>
    </row>
    <row r="5320" spans="1:4" x14ac:dyDescent="0.2">
      <c r="A5320" t="str">
        <f>"5319"</f>
        <v>5319</v>
      </c>
      <c r="B5320" t="str">
        <f>"-0.13"</f>
        <v>-0.13</v>
      </c>
      <c r="C5320" t="str">
        <f>"108"</f>
        <v>108</v>
      </c>
      <c r="D5320" t="str">
        <f>"The Stability EP"</f>
        <v>The Stability EP</v>
      </c>
    </row>
    <row r="5321" spans="1:4" x14ac:dyDescent="0.2">
      <c r="A5321" t="str">
        <f>"5320"</f>
        <v>5320</v>
      </c>
      <c r="B5321" t="str">
        <f>"-0.1"</f>
        <v>-0.1</v>
      </c>
      <c r="C5321" t="str">
        <f>"128"</f>
        <v>128</v>
      </c>
      <c r="D5321" t="str">
        <f>"Peak of Nothingness"</f>
        <v>Peak of Nothingness</v>
      </c>
    </row>
    <row r="5322" spans="1:4" x14ac:dyDescent="0.2">
      <c r="A5322" t="str">
        <f>"5321"</f>
        <v>5321</v>
      </c>
      <c r="B5322" t="str">
        <f>"-0.51"</f>
        <v>-0.51</v>
      </c>
      <c r="C5322" t="str">
        <f>"106"</f>
        <v>106</v>
      </c>
      <c r="D5322" t="str">
        <f>"OSC-DIS (Oscillator in Distortion)"</f>
        <v>OSC-DIS (Oscillator in Distortion)</v>
      </c>
    </row>
    <row r="5323" spans="1:4" x14ac:dyDescent="0.2">
      <c r="A5323" t="str">
        <f>"5322"</f>
        <v>5322</v>
      </c>
      <c r="B5323" t="str">
        <f>"-0.45"</f>
        <v>-0.45</v>
      </c>
      <c r="C5323" t="str">
        <f>"84"</f>
        <v>84</v>
      </c>
      <c r="D5323" t="s">
        <v>181</v>
      </c>
    </row>
    <row r="5324" spans="1:4" x14ac:dyDescent="0.2">
      <c r="A5324" t="str">
        <f>"5323"</f>
        <v>5323</v>
      </c>
      <c r="B5324" t="str">
        <f>"-0.41"</f>
        <v>-0.41</v>
      </c>
      <c r="C5324" t="str">
        <f>"96"</f>
        <v>96</v>
      </c>
      <c r="D5324" t="str">
        <f>"To Everybody"</f>
        <v>To Everybody</v>
      </c>
    </row>
    <row r="5325" spans="1:4" x14ac:dyDescent="0.2">
      <c r="A5325" t="str">
        <f>"5324"</f>
        <v>5324</v>
      </c>
      <c r="B5325" t="str">
        <f>"-0.15"</f>
        <v>-0.15</v>
      </c>
      <c r="C5325" t="str">
        <f>"107"</f>
        <v>107</v>
      </c>
      <c r="D5325" t="str">
        <f>"The Trial of St-Orange"</f>
        <v>The Trial of St-Orange</v>
      </c>
    </row>
    <row r="5326" spans="1:4" x14ac:dyDescent="0.2">
      <c r="A5326" t="str">
        <f>"5325"</f>
        <v>5325</v>
      </c>
      <c r="B5326" t="str">
        <f>"1.24"</f>
        <v>1.24</v>
      </c>
      <c r="C5326" t="str">
        <f>"103"</f>
        <v>103</v>
      </c>
      <c r="D5326" t="str">
        <f>"The Day the Earth Met Rocket from the Tombs"</f>
        <v>The Day the Earth Met Rocket from the Tombs</v>
      </c>
    </row>
    <row r="5327" spans="1:4" x14ac:dyDescent="0.2">
      <c r="A5327" t="str">
        <f>"5326"</f>
        <v>5326</v>
      </c>
      <c r="B5327" t="str">
        <f>"-0.46"</f>
        <v>-0.46</v>
      </c>
      <c r="C5327" t="str">
        <f>"114"</f>
        <v>114</v>
      </c>
      <c r="D5327" t="str">
        <f>"Song of the Sovereign"</f>
        <v>Song of the Sovereign</v>
      </c>
    </row>
    <row r="5328" spans="1:4" x14ac:dyDescent="0.2">
      <c r="A5328" t="str">
        <f>"5327"</f>
        <v>5327</v>
      </c>
      <c r="B5328" t="str">
        <f>"0.7"</f>
        <v>0.7</v>
      </c>
      <c r="C5328" t="str">
        <f>"115"</f>
        <v>115</v>
      </c>
      <c r="D5328" t="str">
        <f>"Walking with Thee"</f>
        <v>Walking with Thee</v>
      </c>
    </row>
    <row r="5329" spans="1:4" x14ac:dyDescent="0.2">
      <c r="A5329" t="str">
        <f>"5328"</f>
        <v>5328</v>
      </c>
      <c r="B5329" t="str">
        <f>"0.14"</f>
        <v>0.14</v>
      </c>
      <c r="C5329" t="str">
        <f>"98"</f>
        <v>98</v>
      </c>
      <c r="D5329" t="str">
        <f>"Versus"</f>
        <v>Versus</v>
      </c>
    </row>
    <row r="5330" spans="1:4" x14ac:dyDescent="0.2">
      <c r="A5330" t="str">
        <f>"5329"</f>
        <v>5329</v>
      </c>
      <c r="B5330" t="str">
        <f>"-0.04"</f>
        <v>-0.04</v>
      </c>
      <c r="C5330" t="str">
        <f>"40"</f>
        <v>40</v>
      </c>
      <c r="D5330" t="s">
        <v>182</v>
      </c>
    </row>
    <row r="5331" spans="1:4" x14ac:dyDescent="0.2">
      <c r="A5331" t="str">
        <f>"5330"</f>
        <v>5330</v>
      </c>
      <c r="B5331" t="str">
        <f>"-0.86"</f>
        <v>-0.86</v>
      </c>
      <c r="C5331" t="str">
        <f>"87"</f>
        <v>87</v>
      </c>
      <c r="D5331" t="s">
        <v>183</v>
      </c>
    </row>
    <row r="5332" spans="1:4" x14ac:dyDescent="0.2">
      <c r="A5332" t="str">
        <f>"5331"</f>
        <v>5331</v>
      </c>
      <c r="B5332" t="str">
        <f>"-0.34"</f>
        <v>-0.34</v>
      </c>
      <c r="C5332" t="str">
        <f>"51"</f>
        <v>51</v>
      </c>
      <c r="D5332" t="str">
        <f>"Tanz der Lemminge"</f>
        <v>Tanz der Lemminge</v>
      </c>
    </row>
    <row r="5333" spans="1:4" x14ac:dyDescent="0.2">
      <c r="A5333" t="str">
        <f>"5332"</f>
        <v>5332</v>
      </c>
      <c r="B5333" t="str">
        <f>"-0.21"</f>
        <v>-0.21</v>
      </c>
      <c r="C5333" t="str">
        <f>"89"</f>
        <v>89</v>
      </c>
      <c r="D5333" t="str">
        <f>"Native Lab"</f>
        <v>Native Lab</v>
      </c>
    </row>
    <row r="5334" spans="1:4" x14ac:dyDescent="0.2">
      <c r="A5334" t="str">
        <f>"5333"</f>
        <v>5333</v>
      </c>
      <c r="B5334" t="str">
        <f>"0.75"</f>
        <v>0.75</v>
      </c>
      <c r="C5334" t="str">
        <f>"48"</f>
        <v>48</v>
      </c>
      <c r="D5334" t="str">
        <f>"Kitchen U.S.A."</f>
        <v>Kitchen U.S.A.</v>
      </c>
    </row>
    <row r="5335" spans="1:4" x14ac:dyDescent="0.2">
      <c r="A5335" t="str">
        <f>"5334"</f>
        <v>5334</v>
      </c>
      <c r="B5335" t="str">
        <f>"-0.07"</f>
        <v>-0.07</v>
      </c>
      <c r="C5335" t="str">
        <f>"75"</f>
        <v>75</v>
      </c>
      <c r="D5335" t="str">
        <f>"AOI:Bionix"</f>
        <v>AOI:Bionix</v>
      </c>
    </row>
    <row r="5336" spans="1:4" x14ac:dyDescent="0.2">
      <c r="A5336" t="str">
        <f>"5335"</f>
        <v>5335</v>
      </c>
      <c r="B5336" t="str">
        <f>"-0.15"</f>
        <v>-0.15</v>
      </c>
      <c r="C5336" t="str">
        <f>"82"</f>
        <v>82</v>
      </c>
      <c r="D5336" t="s">
        <v>184</v>
      </c>
    </row>
    <row r="5337" spans="1:4" x14ac:dyDescent="0.2">
      <c r="A5337" t="str">
        <f>"5336"</f>
        <v>5336</v>
      </c>
      <c r="B5337" t="str">
        <f>"0.42"</f>
        <v>0.42</v>
      </c>
      <c r="C5337" t="str">
        <f>"64"</f>
        <v>64</v>
      </c>
      <c r="D5337" t="str">
        <f>"Straight from the Fridge"</f>
        <v>Straight from the Fridge</v>
      </c>
    </row>
    <row r="5338" spans="1:4" x14ac:dyDescent="0.2">
      <c r="A5338" t="str">
        <f>"5337"</f>
        <v>5337</v>
      </c>
      <c r="B5338" t="str">
        <f>"-0.02"</f>
        <v>-0.02</v>
      </c>
      <c r="C5338" t="str">
        <f>"84"</f>
        <v>84</v>
      </c>
      <c r="D5338" t="str">
        <f>"Geogaddi"</f>
        <v>Geogaddi</v>
      </c>
    </row>
    <row r="5339" spans="1:4" x14ac:dyDescent="0.2">
      <c r="A5339" t="str">
        <f>"5338"</f>
        <v>5338</v>
      </c>
      <c r="B5339" t="str">
        <f>"0.74"</f>
        <v>0.74</v>
      </c>
      <c r="C5339" t="str">
        <f>"59"</f>
        <v>59</v>
      </c>
      <c r="D5339" t="str">
        <f>"A Jackson in Your House"</f>
        <v>A Jackson in Your House</v>
      </c>
    </row>
    <row r="5340" spans="1:4" x14ac:dyDescent="0.2">
      <c r="A5340" t="str">
        <f>"5339"</f>
        <v>5339</v>
      </c>
      <c r="B5340" t="str">
        <f>"0.13"</f>
        <v>0.13</v>
      </c>
      <c r="C5340" t="str">
        <f>"114"</f>
        <v>114</v>
      </c>
      <c r="D5340" t="str">
        <f>"Regeneration"</f>
        <v>Regeneration</v>
      </c>
    </row>
    <row r="5341" spans="1:4" x14ac:dyDescent="0.2">
      <c r="A5341" t="str">
        <f>"5340"</f>
        <v>5340</v>
      </c>
      <c r="B5341" t="str">
        <f>"-0.24"</f>
        <v>-0.24</v>
      </c>
      <c r="C5341" t="str">
        <f>"77"</f>
        <v>77</v>
      </c>
      <c r="D5341" t="s">
        <v>185</v>
      </c>
    </row>
    <row r="5342" spans="1:4" x14ac:dyDescent="0.2">
      <c r="A5342" t="str">
        <f>"5341"</f>
        <v>5341</v>
      </c>
      <c r="B5342" t="str">
        <f>"-0.94"</f>
        <v>-0.94</v>
      </c>
      <c r="C5342" t="str">
        <f>"70"</f>
        <v>70</v>
      </c>
      <c r="D5342" t="str">
        <f>"Moth and Marriage"</f>
        <v>Moth and Marriage</v>
      </c>
    </row>
    <row r="5343" spans="1:4" x14ac:dyDescent="0.2">
      <c r="A5343" t="str">
        <f>"5342"</f>
        <v>5342</v>
      </c>
      <c r="B5343" t="str">
        <f>"0.31"</f>
        <v>0.31</v>
      </c>
      <c r="C5343" t="str">
        <f>"87"</f>
        <v>87</v>
      </c>
      <c r="D5343" t="str">
        <f>"From Here On In"</f>
        <v>From Here On In</v>
      </c>
    </row>
    <row r="5344" spans="1:4" x14ac:dyDescent="0.2">
      <c r="A5344" t="str">
        <f>"5343"</f>
        <v>5343</v>
      </c>
      <c r="B5344" t="str">
        <f>"0.21"</f>
        <v>0.21</v>
      </c>
      <c r="C5344" t="str">
        <f>"111"</f>
        <v>111</v>
      </c>
      <c r="D5344" t="str">
        <f>"Use with Headphones Late at Night: Best of 1990-2000"</f>
        <v>Use with Headphones Late at Night: Best of 1990-2000</v>
      </c>
    </row>
    <row r="5345" spans="1:4" x14ac:dyDescent="0.2">
      <c r="A5345" t="str">
        <f>"5344"</f>
        <v>5344</v>
      </c>
      <c r="B5345" t="str">
        <f>"-0.14"</f>
        <v>-0.14</v>
      </c>
      <c r="C5345" t="str">
        <f>"103"</f>
        <v>103</v>
      </c>
      <c r="D5345" t="str">
        <f>"Selected Ambient Works 85-92"</f>
        <v>Selected Ambient Works 85-92</v>
      </c>
    </row>
    <row r="5346" spans="1:4" x14ac:dyDescent="0.2">
      <c r="A5346" t="str">
        <f>"5345"</f>
        <v>5345</v>
      </c>
      <c r="B5346" t="str">
        <f>"-0.32"</f>
        <v>-0.32</v>
      </c>
      <c r="C5346" t="str">
        <f>"52"</f>
        <v>52</v>
      </c>
      <c r="D5346" t="str">
        <f>"Primordia"</f>
        <v>Primordia</v>
      </c>
    </row>
    <row r="5347" spans="1:4" x14ac:dyDescent="0.2">
      <c r="A5347" t="str">
        <f>"5346"</f>
        <v>5346</v>
      </c>
      <c r="B5347" t="str">
        <f>"0.23"</f>
        <v>0.23</v>
      </c>
      <c r="C5347" t="str">
        <f>"36"</f>
        <v>36</v>
      </c>
      <c r="D5347" t="str">
        <f>"I Am Sam OST"</f>
        <v>I Am Sam OST</v>
      </c>
    </row>
    <row r="5348" spans="1:4" x14ac:dyDescent="0.2">
      <c r="A5348" t="str">
        <f>"5347"</f>
        <v>5347</v>
      </c>
      <c r="B5348" t="str">
        <f>"-1.23"</f>
        <v>-1.23</v>
      </c>
      <c r="C5348" t="str">
        <f>"95"</f>
        <v>95</v>
      </c>
      <c r="D5348" t="str">
        <f>"Dancing in the Pockets of Thieves"</f>
        <v>Dancing in the Pockets of Thieves</v>
      </c>
    </row>
    <row r="5349" spans="1:4" x14ac:dyDescent="0.2">
      <c r="A5349" t="str">
        <f>"5348"</f>
        <v>5348</v>
      </c>
      <c r="B5349" t="str">
        <f>"-0.47"</f>
        <v>-0.47</v>
      </c>
      <c r="C5349" t="str">
        <f>"75"</f>
        <v>75</v>
      </c>
      <c r="D5349" t="str">
        <f>"Forever"</f>
        <v>Forever</v>
      </c>
    </row>
    <row r="5350" spans="1:4" x14ac:dyDescent="0.2">
      <c r="A5350" t="str">
        <f>"5349"</f>
        <v>5349</v>
      </c>
      <c r="B5350" t="str">
        <f>"0.08"</f>
        <v>0.08</v>
      </c>
      <c r="C5350" t="str">
        <f>"129"</f>
        <v>129</v>
      </c>
      <c r="D5350" t="str">
        <f>"Deceit"</f>
        <v>Deceit</v>
      </c>
    </row>
    <row r="5351" spans="1:4" x14ac:dyDescent="0.2">
      <c r="A5351" t="str">
        <f>"5350"</f>
        <v>5350</v>
      </c>
      <c r="B5351" t="str">
        <f>"0.49"</f>
        <v>0.49</v>
      </c>
      <c r="C5351" t="str">
        <f>"58"</f>
        <v>58</v>
      </c>
      <c r="D5351" t="str">
        <f>"A School of Secret Dangers"</f>
        <v>A School of Secret Dangers</v>
      </c>
    </row>
    <row r="5352" spans="1:4" x14ac:dyDescent="0.2">
      <c r="A5352" t="str">
        <f>"5351"</f>
        <v>5351</v>
      </c>
      <c r="B5352" t="str">
        <f>"0.2"</f>
        <v>0.2</v>
      </c>
      <c r="C5352" t="str">
        <f>"65"</f>
        <v>65</v>
      </c>
      <c r="D5352" t="str">
        <f>"Vernacular Homocide EP"</f>
        <v>Vernacular Homocide EP</v>
      </c>
    </row>
    <row r="5353" spans="1:4" x14ac:dyDescent="0.2">
      <c r="A5353" t="str">
        <f>"5352"</f>
        <v>5352</v>
      </c>
      <c r="B5353" t="str">
        <f>"0.21"</f>
        <v>0.21</v>
      </c>
      <c r="C5353" t="str">
        <f>"84"</f>
        <v>84</v>
      </c>
      <c r="D5353" t="str">
        <f>"The Beginning Stages of..."</f>
        <v>The Beginning Stages of...</v>
      </c>
    </row>
    <row r="5354" spans="1:4" x14ac:dyDescent="0.2">
      <c r="A5354" t="str">
        <f>"5353"</f>
        <v>5353</v>
      </c>
      <c r="B5354" t="str">
        <f>"0.05"</f>
        <v>0.05</v>
      </c>
      <c r="C5354" t="str">
        <f>"90"</f>
        <v>90</v>
      </c>
      <c r="D5354" t="str">
        <f>"In the Beginning There Was Rhythm"</f>
        <v>In the Beginning There Was Rhythm</v>
      </c>
    </row>
    <row r="5355" spans="1:4" x14ac:dyDescent="0.2">
      <c r="A5355" t="str">
        <f>"5354"</f>
        <v>5354</v>
      </c>
      <c r="B5355" t="str">
        <f>"-0.66"</f>
        <v>-0.66</v>
      </c>
      <c r="C5355" t="str">
        <f>"110"</f>
        <v>110</v>
      </c>
      <c r="D5355" t="str">
        <f>"Fog"</f>
        <v>Fog</v>
      </c>
    </row>
    <row r="5356" spans="1:4" x14ac:dyDescent="0.2">
      <c r="A5356" t="str">
        <f>"5355"</f>
        <v>5355</v>
      </c>
      <c r="B5356" t="str">
        <f>"-0.52"</f>
        <v>-0.52</v>
      </c>
      <c r="C5356" t="str">
        <f>"94"</f>
        <v>94</v>
      </c>
      <c r="D5356" t="str">
        <f>"The Green Fury"</f>
        <v>The Green Fury</v>
      </c>
    </row>
    <row r="5357" spans="1:4" x14ac:dyDescent="0.2">
      <c r="A5357" t="str">
        <f>"5356"</f>
        <v>5356</v>
      </c>
      <c r="B5357" t="str">
        <f>"-0.88"</f>
        <v>-0.88</v>
      </c>
      <c r="C5357" t="str">
        <f>"103"</f>
        <v>103</v>
      </c>
      <c r="D5357" t="str">
        <f>"Princess Superstar Is"</f>
        <v>Princess Superstar Is</v>
      </c>
    </row>
    <row r="5358" spans="1:4" x14ac:dyDescent="0.2">
      <c r="A5358" t="str">
        <f>"5357"</f>
        <v>5357</v>
      </c>
      <c r="B5358" t="str">
        <f>"0.41"</f>
        <v>0.41</v>
      </c>
      <c r="C5358" t="str">
        <f>"60"</f>
        <v>60</v>
      </c>
      <c r="D5358" t="str">
        <f>"Night Owls 01"</f>
        <v>Night Owls 01</v>
      </c>
    </row>
    <row r="5359" spans="1:4" x14ac:dyDescent="0.2">
      <c r="A5359" t="str">
        <f>"5358"</f>
        <v>5358</v>
      </c>
      <c r="B5359" t="str">
        <f>"0.3"</f>
        <v>0.3</v>
      </c>
      <c r="C5359" t="str">
        <f>"63"</f>
        <v>63</v>
      </c>
      <c r="D5359" t="str">
        <f>"Cold Cold Water EP"</f>
        <v>Cold Cold Water EP</v>
      </c>
    </row>
    <row r="5360" spans="1:4" x14ac:dyDescent="0.2">
      <c r="A5360" t="str">
        <f>"5359"</f>
        <v>5359</v>
      </c>
      <c r="B5360" t="str">
        <f>"0.76"</f>
        <v>0.76</v>
      </c>
      <c r="C5360" t="str">
        <f>"54"</f>
        <v>54</v>
      </c>
      <c r="D5360" t="str">
        <f>"Wouldn't You Miss Me: The Best of..."</f>
        <v>Wouldn't You Miss Me: The Best of...</v>
      </c>
    </row>
    <row r="5361" spans="1:4" x14ac:dyDescent="0.2">
      <c r="A5361" t="str">
        <f>"5360"</f>
        <v>5360</v>
      </c>
      <c r="B5361" t="str">
        <f>"0.2"</f>
        <v>0.2</v>
      </c>
      <c r="C5361" t="str">
        <f>"122"</f>
        <v>122</v>
      </c>
      <c r="D5361" t="str">
        <f>"Temptations"</f>
        <v>Temptations</v>
      </c>
    </row>
    <row r="5362" spans="1:4" x14ac:dyDescent="0.2">
      <c r="A5362" t="str">
        <f>"5361"</f>
        <v>5361</v>
      </c>
      <c r="B5362" t="str">
        <f>"-0.31"</f>
        <v>-0.31</v>
      </c>
      <c r="C5362" t="str">
        <f>"135"</f>
        <v>135</v>
      </c>
      <c r="D5362" t="str">
        <f>"Report from Iron Mountain"</f>
        <v>Report from Iron Mountain</v>
      </c>
    </row>
    <row r="5363" spans="1:4" x14ac:dyDescent="0.2">
      <c r="A5363" t="str">
        <f>"5362"</f>
        <v>5362</v>
      </c>
      <c r="B5363" t="str">
        <f>"-0.83"</f>
        <v>-0.83</v>
      </c>
      <c r="C5363" t="str">
        <f>"58"</f>
        <v>58</v>
      </c>
      <c r="D5363" t="str">
        <f>"Enemies"</f>
        <v>Enemies</v>
      </c>
    </row>
    <row r="5364" spans="1:4" x14ac:dyDescent="0.2">
      <c r="A5364" t="str">
        <f>"5363"</f>
        <v>5363</v>
      </c>
      <c r="B5364" t="str">
        <f>"0.68"</f>
        <v>0.68</v>
      </c>
      <c r="C5364" t="str">
        <f>"56"</f>
        <v>56</v>
      </c>
      <c r="D5364" t="str">
        <f>"Echolocation"</f>
        <v>Echolocation</v>
      </c>
    </row>
    <row r="5365" spans="1:4" x14ac:dyDescent="0.2">
      <c r="A5365" t="str">
        <f>"5364"</f>
        <v>5364</v>
      </c>
      <c r="B5365" t="str">
        <f>"0.8"</f>
        <v>0.8</v>
      </c>
      <c r="C5365" t="str">
        <f>"66"</f>
        <v>66</v>
      </c>
      <c r="D5365" t="str">
        <f>"Songbird Suite"</f>
        <v>Songbird Suite</v>
      </c>
    </row>
    <row r="5366" spans="1:4" x14ac:dyDescent="0.2">
      <c r="A5366" t="str">
        <f>"5365"</f>
        <v>5365</v>
      </c>
      <c r="B5366" t="str">
        <f>"0.36"</f>
        <v>0.36</v>
      </c>
      <c r="C5366" t="str">
        <f>"113"</f>
        <v>113</v>
      </c>
      <c r="D5366" t="str">
        <f>"Electric Ladyland: Clickhop Version 1.0"</f>
        <v>Electric Ladyland: Clickhop Version 1.0</v>
      </c>
    </row>
    <row r="5367" spans="1:4" x14ac:dyDescent="0.2">
      <c r="A5367" t="str">
        <f>"5366"</f>
        <v>5366</v>
      </c>
      <c r="B5367" t="str">
        <f>"-0.6"</f>
        <v>-0.6</v>
      </c>
      <c r="C5367" t="str">
        <f>"64"</f>
        <v>64</v>
      </c>
      <c r="D5367" t="str">
        <f>"Calling Albany"</f>
        <v>Calling Albany</v>
      </c>
    </row>
    <row r="5368" spans="1:4" x14ac:dyDescent="0.2">
      <c r="A5368" t="str">
        <f>"5367"</f>
        <v>5367</v>
      </c>
      <c r="B5368" t="str">
        <f>"-0.06"</f>
        <v>-0.06</v>
      </c>
      <c r="C5368" t="str">
        <f>"118"</f>
        <v>118</v>
      </c>
      <c r="D5368" t="str">
        <f>"Alive to Every Smile"</f>
        <v>Alive to Every Smile</v>
      </c>
    </row>
    <row r="5369" spans="1:4" x14ac:dyDescent="0.2">
      <c r="A5369" t="str">
        <f>"5368"</f>
        <v>5368</v>
      </c>
      <c r="B5369" t="str">
        <f>"0.55"</f>
        <v>0.55</v>
      </c>
      <c r="C5369" t="str">
        <f>"81"</f>
        <v>81</v>
      </c>
      <c r="D5369" t="str">
        <f>"Owen"</f>
        <v>Owen</v>
      </c>
    </row>
    <row r="5370" spans="1:4" x14ac:dyDescent="0.2">
      <c r="A5370" t="str">
        <f>"5369"</f>
        <v>5369</v>
      </c>
      <c r="B5370" t="str">
        <f>"-0.49"</f>
        <v>-0.49</v>
      </c>
      <c r="C5370" t="str">
        <f>"92"</f>
        <v>92</v>
      </c>
      <c r="D5370" t="str">
        <f>"Nu Bop"</f>
        <v>Nu Bop</v>
      </c>
    </row>
    <row r="5371" spans="1:4" x14ac:dyDescent="0.2">
      <c r="A5371" t="str">
        <f>"5370"</f>
        <v>5370</v>
      </c>
      <c r="B5371" t="str">
        <f>"-0.81"</f>
        <v>-0.81</v>
      </c>
      <c r="C5371" t="str">
        <f>"84"</f>
        <v>84</v>
      </c>
      <c r="D5371" t="str">
        <f>"Nice"</f>
        <v>Nice</v>
      </c>
    </row>
    <row r="5372" spans="1:4" x14ac:dyDescent="0.2">
      <c r="A5372" t="str">
        <f>"5371"</f>
        <v>5371</v>
      </c>
      <c r="B5372" t="str">
        <f>"0.1"</f>
        <v>0.1</v>
      </c>
      <c r="C5372" t="str">
        <f>"64"</f>
        <v>64</v>
      </c>
      <c r="D5372" t="str">
        <f>"First Born"</f>
        <v>First Born</v>
      </c>
    </row>
    <row r="5373" spans="1:4" x14ac:dyDescent="0.2">
      <c r="A5373" t="str">
        <f>"5372"</f>
        <v>5372</v>
      </c>
      <c r="B5373" t="str">
        <f>"1.23"</f>
        <v>1.23</v>
      </c>
      <c r="C5373" t="str">
        <f>"47"</f>
        <v>47</v>
      </c>
      <c r="D5373" t="str">
        <f>"Two Brothers"</f>
        <v>Two Brothers</v>
      </c>
    </row>
    <row r="5374" spans="1:4" x14ac:dyDescent="0.2">
      <c r="A5374" t="str">
        <f>"5373"</f>
        <v>5373</v>
      </c>
      <c r="B5374" t="str">
        <f>"-0.72"</f>
        <v>-0.72</v>
      </c>
      <c r="C5374" t="str">
        <f>"60"</f>
        <v>60</v>
      </c>
      <c r="D5374" t="str">
        <f>"Miighty Flashlight"</f>
        <v>Miighty Flashlight</v>
      </c>
    </row>
    <row r="5375" spans="1:4" x14ac:dyDescent="0.2">
      <c r="A5375" t="str">
        <f>"5374"</f>
        <v>5374</v>
      </c>
      <c r="B5375" t="str">
        <f>"0.06"</f>
        <v>0.06</v>
      </c>
      <c r="C5375" t="str">
        <f>"57"</f>
        <v>57</v>
      </c>
      <c r="D5375" t="str">
        <f>"Dead Media"</f>
        <v>Dead Media</v>
      </c>
    </row>
    <row r="5376" spans="1:4" x14ac:dyDescent="0.2">
      <c r="A5376" t="str">
        <f>"5375"</f>
        <v>5375</v>
      </c>
      <c r="B5376" t="str">
        <f>"0.12"</f>
        <v>0.12</v>
      </c>
      <c r="C5376" t="str">
        <f>"91"</f>
        <v>91</v>
      </c>
      <c r="D5376" t="str">
        <f>"Age of the Sun"</f>
        <v>Age of the Sun</v>
      </c>
    </row>
    <row r="5377" spans="1:4" x14ac:dyDescent="0.2">
      <c r="A5377" t="str">
        <f>"5376"</f>
        <v>5376</v>
      </c>
      <c r="B5377" t="str">
        <f>"1.12"</f>
        <v>1.12</v>
      </c>
      <c r="C5377" t="str">
        <f>"103"</f>
        <v>103</v>
      </c>
      <c r="D5377" t="str">
        <f>"Touched"</f>
        <v>Touched</v>
      </c>
    </row>
    <row r="5378" spans="1:4" x14ac:dyDescent="0.2">
      <c r="A5378" t="str">
        <f>"5377"</f>
        <v>5377</v>
      </c>
      <c r="B5378" t="str">
        <f>"0.02"</f>
        <v>0.02</v>
      </c>
      <c r="C5378" t="str">
        <f>"180"</f>
        <v>180</v>
      </c>
      <c r="D5378" t="str">
        <f>"Neon Golden"</f>
        <v>Neon Golden</v>
      </c>
    </row>
    <row r="5379" spans="1:4" x14ac:dyDescent="0.2">
      <c r="A5379" t="str">
        <f>"5378"</f>
        <v>5378</v>
      </c>
      <c r="B5379" t="str">
        <f>"-0.69"</f>
        <v>-0.69</v>
      </c>
      <c r="C5379" t="str">
        <f>"91"</f>
        <v>91</v>
      </c>
      <c r="D5379" t="str">
        <f>"Everynight Fire Works"</f>
        <v>Everynight Fire Works</v>
      </c>
    </row>
    <row r="5380" spans="1:4" x14ac:dyDescent="0.2">
      <c r="A5380" t="str">
        <f>"5379"</f>
        <v>5379</v>
      </c>
      <c r="B5380" t="str">
        <f>"0.32"</f>
        <v>0.32</v>
      </c>
      <c r="C5380" t="str">
        <f>"89"</f>
        <v>89</v>
      </c>
      <c r="D5380" t="str">
        <f>"Bliss"</f>
        <v>Bliss</v>
      </c>
    </row>
    <row r="5381" spans="1:4" x14ac:dyDescent="0.2">
      <c r="A5381" t="str">
        <f>"5380"</f>
        <v>5380</v>
      </c>
      <c r="B5381" t="str">
        <f>"-0.83"</f>
        <v>-0.83</v>
      </c>
      <c r="C5381" t="str">
        <f>"116"</f>
        <v>116</v>
      </c>
      <c r="D5381" t="s">
        <v>186</v>
      </c>
    </row>
    <row r="5382" spans="1:4" x14ac:dyDescent="0.2">
      <c r="A5382" t="str">
        <f>"5381"</f>
        <v>5381</v>
      </c>
      <c r="B5382" t="str">
        <f>"0.72"</f>
        <v>0.72</v>
      </c>
      <c r="C5382" t="str">
        <f>"107"</f>
        <v>107</v>
      </c>
      <c r="D5382" t="str">
        <f>"Encounters"</f>
        <v>Encounters</v>
      </c>
    </row>
    <row r="5383" spans="1:4" x14ac:dyDescent="0.2">
      <c r="A5383" t="str">
        <f>"5382"</f>
        <v>5382</v>
      </c>
      <c r="B5383" t="str">
        <f>"0.16"</f>
        <v>0.16</v>
      </c>
      <c r="C5383" t="str">
        <f>"86"</f>
        <v>86</v>
      </c>
      <c r="D5383" t="str">
        <f>"Dabbling with Gravity and Who You Are"</f>
        <v>Dabbling with Gravity and Who You Are</v>
      </c>
    </row>
    <row r="5384" spans="1:4" x14ac:dyDescent="0.2">
      <c r="A5384" t="str">
        <f>"5383"</f>
        <v>5383</v>
      </c>
      <c r="B5384" t="str">
        <f>"0.4"</f>
        <v>0.4</v>
      </c>
      <c r="C5384" t="str">
        <f>"103"</f>
        <v>103</v>
      </c>
      <c r="D5384" t="str">
        <f>"Asleep in the Back"</f>
        <v>Asleep in the Back</v>
      </c>
    </row>
    <row r="5385" spans="1:4" x14ac:dyDescent="0.2">
      <c r="A5385" t="str">
        <f>"5384"</f>
        <v>5384</v>
      </c>
      <c r="B5385" t="str">
        <f>"0.23"</f>
        <v>0.23</v>
      </c>
      <c r="C5385" t="str">
        <f>"112"</f>
        <v>112</v>
      </c>
      <c r="D5385" t="str">
        <f>"The Best of Phil Ochs: 20th Century Masters"</f>
        <v>The Best of Phil Ochs: 20th Century Masters</v>
      </c>
    </row>
    <row r="5386" spans="1:4" x14ac:dyDescent="0.2">
      <c r="A5386" t="str">
        <f>"5385"</f>
        <v>5385</v>
      </c>
      <c r="B5386" t="str">
        <f>"-0.7"</f>
        <v>-0.7</v>
      </c>
      <c r="C5386" t="str">
        <f>"96"</f>
        <v>96</v>
      </c>
      <c r="D5386" t="str">
        <f>"Family of Forces"</f>
        <v>Family of Forces</v>
      </c>
    </row>
    <row r="5387" spans="1:4" x14ac:dyDescent="0.2">
      <c r="A5387" t="str">
        <f>"5386"</f>
        <v>5386</v>
      </c>
      <c r="B5387" t="str">
        <f>"1.28"</f>
        <v>1.28</v>
      </c>
      <c r="C5387" t="str">
        <f>"77"</f>
        <v>77</v>
      </c>
      <c r="D5387" t="str">
        <f>"Eban and Charley"</f>
        <v>Eban and Charley</v>
      </c>
    </row>
    <row r="5388" spans="1:4" x14ac:dyDescent="0.2">
      <c r="A5388" t="str">
        <f>"5387"</f>
        <v>5387</v>
      </c>
      <c r="B5388" t="str">
        <f>"-0.1"</f>
        <v>-0.1</v>
      </c>
      <c r="C5388" t="str">
        <f>"71"</f>
        <v>71</v>
      </c>
      <c r="D5388" t="str">
        <f>"DJ Zeph"</f>
        <v>DJ Zeph</v>
      </c>
    </row>
    <row r="5389" spans="1:4" x14ac:dyDescent="0.2">
      <c r="A5389" t="str">
        <f>"5388"</f>
        <v>5388</v>
      </c>
      <c r="B5389" t="str">
        <f>"0.89"</f>
        <v>0.89</v>
      </c>
      <c r="C5389" t="str">
        <f>"56"</f>
        <v>56</v>
      </c>
      <c r="D5389" t="str">
        <f>"Where Psyche Meets Cupid"</f>
        <v>Where Psyche Meets Cupid</v>
      </c>
    </row>
    <row r="5390" spans="1:4" x14ac:dyDescent="0.2">
      <c r="A5390" t="str">
        <f>"5389"</f>
        <v>5389</v>
      </c>
      <c r="B5390" t="str">
        <f>"-0.22"</f>
        <v>-0.22</v>
      </c>
      <c r="C5390" t="str">
        <f>"82"</f>
        <v>82</v>
      </c>
      <c r="D5390" t="str">
        <f>"Titles and Idols"</f>
        <v>Titles and Idols</v>
      </c>
    </row>
    <row r="5391" spans="1:4" x14ac:dyDescent="0.2">
      <c r="A5391" t="str">
        <f>"5390"</f>
        <v>5390</v>
      </c>
      <c r="B5391" t="str">
        <f>"1.34"</f>
        <v>1.34</v>
      </c>
      <c r="C5391" t="str">
        <f>"103"</f>
        <v>103</v>
      </c>
      <c r="D5391" t="str">
        <f>"Space and Time: A Compendium of..."</f>
        <v>Space and Time: A Compendium of...</v>
      </c>
    </row>
    <row r="5392" spans="1:4" x14ac:dyDescent="0.2">
      <c r="A5392" t="str">
        <f>"5391"</f>
        <v>5391</v>
      </c>
      <c r="B5392" t="str">
        <f>"-0.52"</f>
        <v>-0.52</v>
      </c>
      <c r="C5392" t="str">
        <f>"99"</f>
        <v>99</v>
      </c>
      <c r="D5392" t="str">
        <f>"Product Placement"</f>
        <v>Product Placement</v>
      </c>
    </row>
    <row r="5393" spans="1:4" x14ac:dyDescent="0.2">
      <c r="A5393" t="str">
        <f>"5392"</f>
        <v>5392</v>
      </c>
      <c r="B5393" t="str">
        <f>"0.53"</f>
        <v>0.53</v>
      </c>
      <c r="C5393" t="str">
        <f>"51"</f>
        <v>51</v>
      </c>
      <c r="D5393" t="str">
        <f>"The King Beneath the Mountain"</f>
        <v>The King Beneath the Mountain</v>
      </c>
    </row>
    <row r="5394" spans="1:4" x14ac:dyDescent="0.2">
      <c r="A5394" t="str">
        <f>"5393"</f>
        <v>5393</v>
      </c>
      <c r="B5394" t="str">
        <f>"-0.8"</f>
        <v>-0.8</v>
      </c>
      <c r="C5394" t="str">
        <f>"57"</f>
        <v>57</v>
      </c>
      <c r="D5394" t="str">
        <f>"Rock It to the Moon"</f>
        <v>Rock It to the Moon</v>
      </c>
    </row>
    <row r="5395" spans="1:4" x14ac:dyDescent="0.2">
      <c r="A5395" t="str">
        <f>"5394"</f>
        <v>5394</v>
      </c>
      <c r="B5395" t="str">
        <f>"0.94"</f>
        <v>0.94</v>
      </c>
      <c r="C5395" t="str">
        <f>"92"</f>
        <v>92</v>
      </c>
      <c r="D5395" t="str">
        <f>"Point"</f>
        <v>Point</v>
      </c>
    </row>
    <row r="5396" spans="1:4" x14ac:dyDescent="0.2">
      <c r="A5396" t="str">
        <f>"5395"</f>
        <v>5395</v>
      </c>
      <c r="B5396" t="str">
        <f>"0.05"</f>
        <v>0.05</v>
      </c>
      <c r="C5396" t="str">
        <f>"100"</f>
        <v>100</v>
      </c>
      <c r="D5396" t="s">
        <v>187</v>
      </c>
    </row>
    <row r="5397" spans="1:4" x14ac:dyDescent="0.2">
      <c r="A5397" t="str">
        <f>"5396"</f>
        <v>5396</v>
      </c>
      <c r="B5397" t="str">
        <f>"0.16"</f>
        <v>0.16</v>
      </c>
      <c r="C5397" t="str">
        <f>"68"</f>
        <v>68</v>
      </c>
      <c r="D5397" t="str">
        <f>"The Eric's Trip Show"</f>
        <v>The Eric's Trip Show</v>
      </c>
    </row>
    <row r="5398" spans="1:4" x14ac:dyDescent="0.2">
      <c r="A5398" t="str">
        <f>"5397"</f>
        <v>5397</v>
      </c>
      <c r="B5398" t="str">
        <f>"-0.34"</f>
        <v>-0.34</v>
      </c>
      <c r="C5398" t="str">
        <f>"107"</f>
        <v>107</v>
      </c>
      <c r="D5398" t="str">
        <f>"Ten to Ten Past Ten"</f>
        <v>Ten to Ten Past Ten</v>
      </c>
    </row>
    <row r="5399" spans="1:4" x14ac:dyDescent="0.2">
      <c r="A5399" t="str">
        <f>"5398"</f>
        <v>5398</v>
      </c>
      <c r="B5399" t="str">
        <f>"0.17"</f>
        <v>0.17</v>
      </c>
      <c r="C5399" t="str">
        <f>"118"</f>
        <v>118</v>
      </c>
      <c r="D5399" t="str">
        <f>"I'd Be Lying If I Said I Wasn't Scared"</f>
        <v>I'd Be Lying If I Said I Wasn't Scared</v>
      </c>
    </row>
    <row r="5400" spans="1:4" x14ac:dyDescent="0.2">
      <c r="A5400" t="str">
        <f>"5399"</f>
        <v>5399</v>
      </c>
      <c r="B5400" t="str">
        <f>"-0.72"</f>
        <v>-0.72</v>
      </c>
      <c r="C5400" t="str">
        <f>"76"</f>
        <v>76</v>
      </c>
      <c r="D5400" t="str">
        <f>"Come with Us"</f>
        <v>Come with Us</v>
      </c>
    </row>
    <row r="5401" spans="1:4" x14ac:dyDescent="0.2">
      <c r="A5401" t="str">
        <f>"5400"</f>
        <v>5400</v>
      </c>
      <c r="B5401" t="str">
        <f>"0.9"</f>
        <v>0.9</v>
      </c>
      <c r="C5401" t="str">
        <f>"39"</f>
        <v>39</v>
      </c>
      <c r="D5401" t="str">
        <f>"The Royal Tenenbaums OST"</f>
        <v>The Royal Tenenbaums OST</v>
      </c>
    </row>
    <row r="5402" spans="1:4" x14ac:dyDescent="0.2">
      <c r="A5402" t="str">
        <f>"5401"</f>
        <v>5401</v>
      </c>
      <c r="B5402" t="str">
        <f>"0.16"</f>
        <v>0.16</v>
      </c>
      <c r="C5402" t="str">
        <f>"82"</f>
        <v>82</v>
      </c>
      <c r="D5402" t="str">
        <f>"Our Constant Concern"</f>
        <v>Our Constant Concern</v>
      </c>
    </row>
    <row r="5403" spans="1:4" x14ac:dyDescent="0.2">
      <c r="A5403" t="str">
        <f>"5402"</f>
        <v>5402</v>
      </c>
      <c r="B5403" t="str">
        <f>"0.21"</f>
        <v>0.21</v>
      </c>
      <c r="C5403" t="str">
        <f>"72"</f>
        <v>72</v>
      </c>
      <c r="D5403" t="str">
        <f>"No. 4 EP"</f>
        <v>No. 4 EP</v>
      </c>
    </row>
    <row r="5404" spans="1:4" x14ac:dyDescent="0.2">
      <c r="A5404" t="str">
        <f>"5403"</f>
        <v>5403</v>
      </c>
      <c r="B5404" t="str">
        <f>"-0.44"</f>
        <v>-0.44</v>
      </c>
      <c r="C5404" t="str">
        <f>"85"</f>
        <v>85</v>
      </c>
      <c r="D5404" t="s">
        <v>188</v>
      </c>
    </row>
    <row r="5405" spans="1:4" x14ac:dyDescent="0.2">
      <c r="A5405" t="str">
        <f>"5404"</f>
        <v>5404</v>
      </c>
      <c r="B5405" t="str">
        <f>"0.25"</f>
        <v>0.25</v>
      </c>
      <c r="C5405" t="str">
        <f>"94"</f>
        <v>94</v>
      </c>
      <c r="D5405" t="str">
        <f>"For the Birds"</f>
        <v>For the Birds</v>
      </c>
    </row>
    <row r="5406" spans="1:4" x14ac:dyDescent="0.2">
      <c r="A5406" t="str">
        <f>"5405"</f>
        <v>5405</v>
      </c>
      <c r="B5406" t="str">
        <f>"0.33"</f>
        <v>0.33</v>
      </c>
      <c r="C5406" t="str">
        <f>"116"</f>
        <v>116</v>
      </c>
      <c r="D5406" t="str">
        <f>"Welcoming Home the Astronauts"</f>
        <v>Welcoming Home the Astronauts</v>
      </c>
    </row>
    <row r="5407" spans="1:4" x14ac:dyDescent="0.2">
      <c r="A5407" t="str">
        <f>"5406"</f>
        <v>5406</v>
      </c>
      <c r="B5407" t="str">
        <f>"0.2"</f>
        <v>0.2</v>
      </c>
      <c r="C5407" t="str">
        <f>"61"</f>
        <v>61</v>
      </c>
      <c r="D5407" t="str">
        <f>"Time (The Revelator)"</f>
        <v>Time (The Revelator)</v>
      </c>
    </row>
    <row r="5408" spans="1:4" x14ac:dyDescent="0.2">
      <c r="A5408" t="str">
        <f>"5407"</f>
        <v>5407</v>
      </c>
      <c r="B5408" t="str">
        <f>"0.36"</f>
        <v>0.36</v>
      </c>
      <c r="C5408" t="str">
        <f>"89"</f>
        <v>89</v>
      </c>
      <c r="D5408" t="str">
        <f>"From the Belly of Abraham"</f>
        <v>From the Belly of Abraham</v>
      </c>
    </row>
    <row r="5409" spans="1:4" x14ac:dyDescent="0.2">
      <c r="A5409" t="str">
        <f>"5408"</f>
        <v>5408</v>
      </c>
      <c r="B5409" t="str">
        <f>"0.4"</f>
        <v>0.4</v>
      </c>
      <c r="C5409" t="str">
        <f>"86"</f>
        <v>86</v>
      </c>
      <c r="D5409" t="str">
        <f>"The Ride"</f>
        <v>The Ride</v>
      </c>
    </row>
    <row r="5410" spans="1:4" x14ac:dyDescent="0.2">
      <c r="A5410" t="str">
        <f>"5409"</f>
        <v>5409</v>
      </c>
      <c r="B5410" t="str">
        <f>"-0.08"</f>
        <v>-0.08</v>
      </c>
      <c r="C5410" t="str">
        <f>"50"</f>
        <v>50</v>
      </c>
      <c r="D5410" t="str">
        <f>"New Problems"</f>
        <v>New Problems</v>
      </c>
    </row>
    <row r="5411" spans="1:4" x14ac:dyDescent="0.2">
      <c r="A5411" t="str">
        <f>"5410"</f>
        <v>5410</v>
      </c>
      <c r="B5411" t="str">
        <f>"-0.07"</f>
        <v>-0.07</v>
      </c>
      <c r="C5411" t="str">
        <f>"98"</f>
        <v>98</v>
      </c>
      <c r="D5411" t="str">
        <f>"Mecanoid"</f>
        <v>Mecanoid</v>
      </c>
    </row>
    <row r="5412" spans="1:4" x14ac:dyDescent="0.2">
      <c r="A5412" t="str">
        <f>"5411"</f>
        <v>5411</v>
      </c>
      <c r="B5412" t="str">
        <f>"0.14"</f>
        <v>0.14</v>
      </c>
      <c r="C5412" t="str">
        <f>"91"</f>
        <v>91</v>
      </c>
      <c r="D5412" t="s">
        <v>189</v>
      </c>
    </row>
    <row r="5413" spans="1:4" x14ac:dyDescent="0.2">
      <c r="A5413" t="str">
        <f>"5412"</f>
        <v>5412</v>
      </c>
      <c r="B5413" t="str">
        <f>"0.54"</f>
        <v>0.54</v>
      </c>
      <c r="C5413" t="str">
        <f>"74"</f>
        <v>74</v>
      </c>
      <c r="D5413" t="str">
        <f>"The Funky 16 Corners"</f>
        <v>The Funky 16 Corners</v>
      </c>
    </row>
    <row r="5414" spans="1:4" x14ac:dyDescent="0.2">
      <c r="A5414" t="str">
        <f>"5413"</f>
        <v>5413</v>
      </c>
      <c r="B5414" t="str">
        <f>"-0.13"</f>
        <v>-0.13</v>
      </c>
      <c r="C5414" t="str">
        <f>"67"</f>
        <v>67</v>
      </c>
      <c r="D5414" t="str">
        <f>"Psychedelicate"</f>
        <v>Psychedelicate</v>
      </c>
    </row>
    <row r="5415" spans="1:4" x14ac:dyDescent="0.2">
      <c r="A5415" t="str">
        <f>"5414"</f>
        <v>5414</v>
      </c>
      <c r="B5415" t="str">
        <f>"-1.32"</f>
        <v>-1.32</v>
      </c>
      <c r="C5415" t="str">
        <f>"105"</f>
        <v>105</v>
      </c>
      <c r="D5415" t="str">
        <f>"Perdition City"</f>
        <v>Perdition City</v>
      </c>
    </row>
    <row r="5416" spans="1:4" x14ac:dyDescent="0.2">
      <c r="A5416" t="str">
        <f>"5415"</f>
        <v>5415</v>
      </c>
      <c r="B5416" t="str">
        <f>"0.59"</f>
        <v>0.59</v>
      </c>
      <c r="C5416" t="str">
        <f>"147"</f>
        <v>147</v>
      </c>
      <c r="D5416" t="str">
        <f>"Charity Empressa"</f>
        <v>Charity Empressa</v>
      </c>
    </row>
    <row r="5417" spans="1:4" x14ac:dyDescent="0.2">
      <c r="A5417" t="str">
        <f>"5416"</f>
        <v>5416</v>
      </c>
      <c r="B5417" t="str">
        <f>"0.89"</f>
        <v>0.89</v>
      </c>
      <c r="C5417" t="str">
        <f>"80"</f>
        <v>80</v>
      </c>
      <c r="D5417" t="str">
        <f>"Triptych"</f>
        <v>Triptych</v>
      </c>
    </row>
    <row r="5418" spans="1:4" x14ac:dyDescent="0.2">
      <c r="A5418" t="str">
        <f>"5417"</f>
        <v>5417</v>
      </c>
      <c r="B5418" t="str">
        <f>"0.83"</f>
        <v>0.83</v>
      </c>
      <c r="C5418" t="str">
        <f>"95"</f>
        <v>95</v>
      </c>
      <c r="D5418" t="str">
        <f>"Songs for Cassavettes sdtk"</f>
        <v>Songs for Cassavettes sdtk</v>
      </c>
    </row>
    <row r="5419" spans="1:4" x14ac:dyDescent="0.2">
      <c r="A5419" t="str">
        <f>"5418"</f>
        <v>5418</v>
      </c>
      <c r="B5419" t="str">
        <f>"-1"</f>
        <v>-1</v>
      </c>
      <c r="C5419" t="str">
        <f>"82"</f>
        <v>82</v>
      </c>
      <c r="D5419" t="str">
        <f>"L'Incroyable Vérité"</f>
        <v>L'Incroyable Vérité</v>
      </c>
    </row>
    <row r="5420" spans="1:4" x14ac:dyDescent="0.2">
      <c r="A5420" t="str">
        <f>"5419"</f>
        <v>5419</v>
      </c>
      <c r="B5420" t="str">
        <f>"-0.23"</f>
        <v>-0.23</v>
      </c>
      <c r="C5420" t="str">
        <f>"142"</f>
        <v>142</v>
      </c>
      <c r="D5420" t="str">
        <f>"All Tomorrow's Parties v1.1"</f>
        <v>All Tomorrow's Parties v1.1</v>
      </c>
    </row>
    <row r="5421" spans="1:4" x14ac:dyDescent="0.2">
      <c r="A5421" t="str">
        <f>"5420"</f>
        <v>5420</v>
      </c>
      <c r="B5421" t="str">
        <f>"-0.43"</f>
        <v>-0.43</v>
      </c>
      <c r="C5421" t="str">
        <f>"117"</f>
        <v>117</v>
      </c>
      <c r="D5421" t="str">
        <f>"Take Offs and Landings"</f>
        <v>Take Offs and Landings</v>
      </c>
    </row>
    <row r="5422" spans="1:4" x14ac:dyDescent="0.2">
      <c r="A5422" t="str">
        <f>"5421"</f>
        <v>5421</v>
      </c>
      <c r="B5422" t="str">
        <f>"-0.33"</f>
        <v>-0.33</v>
      </c>
      <c r="C5422" t="str">
        <f>"87"</f>
        <v>87</v>
      </c>
      <c r="D5422" t="str">
        <f>"Mood Bells"</f>
        <v>Mood Bells</v>
      </c>
    </row>
    <row r="5423" spans="1:4" x14ac:dyDescent="0.2">
      <c r="A5423" t="str">
        <f>"5422"</f>
        <v>5422</v>
      </c>
      <c r="B5423" t="str">
        <f>"0.48"</f>
        <v>0.48</v>
      </c>
      <c r="C5423" t="str">
        <f>"108"</f>
        <v>108</v>
      </c>
      <c r="D5423" t="str">
        <f>"Labor Days"</f>
        <v>Labor Days</v>
      </c>
    </row>
    <row r="5424" spans="1:4" x14ac:dyDescent="0.2">
      <c r="A5424" t="str">
        <f>"5423"</f>
        <v>5423</v>
      </c>
      <c r="B5424" t="str">
        <f>"-0.93"</f>
        <v>-0.93</v>
      </c>
      <c r="C5424" t="str">
        <f>"51"</f>
        <v>51</v>
      </c>
      <c r="D5424" t="s">
        <v>190</v>
      </c>
    </row>
    <row r="5425" spans="1:4" x14ac:dyDescent="0.2">
      <c r="A5425" t="str">
        <f>"5424"</f>
        <v>5424</v>
      </c>
      <c r="B5425" t="str">
        <f>"0.65"</f>
        <v>0.65</v>
      </c>
      <c r="C5425" t="str">
        <f>"52"</f>
        <v>52</v>
      </c>
      <c r="D5425" t="str">
        <f>"Weekday"</f>
        <v>Weekday</v>
      </c>
    </row>
    <row r="5426" spans="1:4" x14ac:dyDescent="0.2">
      <c r="A5426" t="str">
        <f>"5425"</f>
        <v>5425</v>
      </c>
      <c r="B5426" t="str">
        <f>"0.43"</f>
        <v>0.43</v>
      </c>
      <c r="C5426" t="str">
        <f>"112"</f>
        <v>112</v>
      </c>
      <c r="D5426" t="str">
        <f>"They Raging. Quiet Army"</f>
        <v>They Raging. Quiet Army</v>
      </c>
    </row>
    <row r="5427" spans="1:4" x14ac:dyDescent="0.2">
      <c r="A5427" t="str">
        <f>"5426"</f>
        <v>5426</v>
      </c>
      <c r="B5427" t="str">
        <f>"0.29"</f>
        <v>0.29</v>
      </c>
      <c r="C5427" t="str">
        <f>"81"</f>
        <v>81</v>
      </c>
      <c r="D5427" t="str">
        <f>"Stands for Decibels/Repercussion"</f>
        <v>Stands for Decibels/Repercussion</v>
      </c>
    </row>
    <row r="5428" spans="1:4" x14ac:dyDescent="0.2">
      <c r="A5428" t="str">
        <f>"5427"</f>
        <v>5427</v>
      </c>
      <c r="B5428" t="str">
        <f>"0.72"</f>
        <v>0.72</v>
      </c>
      <c r="C5428" t="str">
        <f>"109"</f>
        <v>109</v>
      </c>
      <c r="D5428" t="str">
        <f>"Love Is Here"</f>
        <v>Love Is Here</v>
      </c>
    </row>
    <row r="5429" spans="1:4" x14ac:dyDescent="0.2">
      <c r="A5429" t="str">
        <f>"5428"</f>
        <v>5428</v>
      </c>
      <c r="B5429" t="str">
        <f>"0.29"</f>
        <v>0.29</v>
      </c>
      <c r="C5429" t="str">
        <f>"91"</f>
        <v>91</v>
      </c>
      <c r="D5429" t="s">
        <v>191</v>
      </c>
    </row>
    <row r="5430" spans="1:4" x14ac:dyDescent="0.2">
      <c r="A5430" t="str">
        <f>"5429"</f>
        <v>5429</v>
      </c>
      <c r="B5430" t="str">
        <f>"0"</f>
        <v>0</v>
      </c>
      <c r="C5430" t="str">
        <f>"75"</f>
        <v>75</v>
      </c>
      <c r="D5430" t="str">
        <f>"The Bluff"</f>
        <v>The Bluff</v>
      </c>
    </row>
    <row r="5431" spans="1:4" x14ac:dyDescent="0.2">
      <c r="A5431" t="str">
        <f>"5430"</f>
        <v>5430</v>
      </c>
      <c r="B5431" t="str">
        <f>"-0.61"</f>
        <v>-0.61</v>
      </c>
      <c r="C5431" t="str">
        <f>"98"</f>
        <v>98</v>
      </c>
      <c r="D5431" t="str">
        <f>"String Quartet II"</f>
        <v>String Quartet II</v>
      </c>
    </row>
    <row r="5432" spans="1:4" x14ac:dyDescent="0.2">
      <c r="A5432" t="str">
        <f>"5431"</f>
        <v>5431</v>
      </c>
      <c r="B5432" t="str">
        <f>"0.87"</f>
        <v>0.87</v>
      </c>
      <c r="C5432" t="str">
        <f>"83"</f>
        <v>83</v>
      </c>
      <c r="D5432" t="str">
        <f>"Skyscraper National Park"</f>
        <v>Skyscraper National Park</v>
      </c>
    </row>
    <row r="5433" spans="1:4" x14ac:dyDescent="0.2">
      <c r="A5433" t="str">
        <f>"5432"</f>
        <v>5432</v>
      </c>
      <c r="B5433" t="str">
        <f>"0.33"</f>
        <v>0.33</v>
      </c>
      <c r="C5433" t="str">
        <f>"101"</f>
        <v>101</v>
      </c>
      <c r="D5433" t="str">
        <f>"Wonderland"</f>
        <v>Wonderland</v>
      </c>
    </row>
    <row r="5434" spans="1:4" x14ac:dyDescent="0.2">
      <c r="A5434" t="str">
        <f>"5433"</f>
        <v>5433</v>
      </c>
      <c r="B5434" t="str">
        <f>"-0.14"</f>
        <v>-0.14</v>
      </c>
      <c r="C5434" t="str">
        <f>"50"</f>
        <v>50</v>
      </c>
      <c r="D5434" t="str">
        <f>"The Convenience of Indecision"</f>
        <v>The Convenience of Indecision</v>
      </c>
    </row>
    <row r="5435" spans="1:4" x14ac:dyDescent="0.2">
      <c r="A5435" t="str">
        <f>"5434"</f>
        <v>5434</v>
      </c>
      <c r="B5435" t="str">
        <f>"-0.17"</f>
        <v>-0.17</v>
      </c>
      <c r="C5435" t="str">
        <f>"63"</f>
        <v>63</v>
      </c>
      <c r="D5435" t="str">
        <f>"Wasted Sunday"</f>
        <v>Wasted Sunday</v>
      </c>
    </row>
    <row r="5436" spans="1:4" x14ac:dyDescent="0.2">
      <c r="A5436" t="str">
        <f>"5435"</f>
        <v>5435</v>
      </c>
      <c r="B5436" t="str">
        <f>"0.29"</f>
        <v>0.29</v>
      </c>
      <c r="C5436" t="str">
        <f>"95"</f>
        <v>95</v>
      </c>
      <c r="D5436" t="str">
        <f>"Her Mystery Not of High Heels and Eye Shadow"</f>
        <v>Her Mystery Not of High Heels and Eye Shadow</v>
      </c>
    </row>
    <row r="5437" spans="1:4" x14ac:dyDescent="0.2">
      <c r="A5437" t="str">
        <f>"5436"</f>
        <v>5436</v>
      </c>
      <c r="B5437" t="str">
        <f>"-0.56"</f>
        <v>-0.56</v>
      </c>
      <c r="C5437" t="str">
        <f>"59"</f>
        <v>59</v>
      </c>
      <c r="D5437" t="str">
        <f>"Elm Street"</f>
        <v>Elm Street</v>
      </c>
    </row>
    <row r="5438" spans="1:4" x14ac:dyDescent="0.2">
      <c r="A5438" t="str">
        <f>"5437"</f>
        <v>5437</v>
      </c>
      <c r="B5438" t="str">
        <f>"-0.39"</f>
        <v>-0.39</v>
      </c>
      <c r="C5438" t="str">
        <f>"86"</f>
        <v>86</v>
      </c>
      <c r="D5438" t="s">
        <v>192</v>
      </c>
    </row>
    <row r="5439" spans="1:4" x14ac:dyDescent="0.2">
      <c r="A5439" t="str">
        <f>"5438"</f>
        <v>5438</v>
      </c>
      <c r="B5439" t="str">
        <f>"0.06"</f>
        <v>0.06</v>
      </c>
      <c r="C5439" t="str">
        <f>"134"</f>
        <v>134</v>
      </c>
      <c r="D5439" t="str">
        <f>"Sticks and Stones May Break My Bones but Words Will Never Hurt Me"</f>
        <v>Sticks and Stones May Break My Bones but Words Will Never Hurt Me</v>
      </c>
    </row>
    <row r="5440" spans="1:4" x14ac:dyDescent="0.2">
      <c r="A5440" t="str">
        <f>"5439"</f>
        <v>5439</v>
      </c>
      <c r="B5440" t="str">
        <f>"-0.23"</f>
        <v>-0.23</v>
      </c>
      <c r="C5440" t="str">
        <f>"54"</f>
        <v>54</v>
      </c>
      <c r="D5440" t="str">
        <f>"Record in Red"</f>
        <v>Record in Red</v>
      </c>
    </row>
    <row r="5441" spans="1:4" x14ac:dyDescent="0.2">
      <c r="A5441" t="str">
        <f>"5440"</f>
        <v>5440</v>
      </c>
      <c r="B5441" t="str">
        <f>"-0.85"</f>
        <v>-0.85</v>
      </c>
      <c r="C5441" t="str">
        <f>"50"</f>
        <v>50</v>
      </c>
      <c r="D5441" t="str">
        <f>"Escalo Frio"</f>
        <v>Escalo Frio</v>
      </c>
    </row>
    <row r="5442" spans="1:4" x14ac:dyDescent="0.2">
      <c r="A5442" t="str">
        <f>"5441"</f>
        <v>5441</v>
      </c>
      <c r="B5442" t="str">
        <f>"0.07"</f>
        <v>0.07</v>
      </c>
      <c r="C5442" t="str">
        <f>"153"</f>
        <v>153</v>
      </c>
      <c r="D5442" t="str">
        <f>"Vulcan"</f>
        <v>Vulcan</v>
      </c>
    </row>
    <row r="5443" spans="1:4" x14ac:dyDescent="0.2">
      <c r="A5443" t="str">
        <f>"5442"</f>
        <v>5442</v>
      </c>
      <c r="B5443" t="str">
        <f>"-0.6"</f>
        <v>-0.6</v>
      </c>
      <c r="C5443" t="str">
        <f>"76"</f>
        <v>76</v>
      </c>
      <c r="D5443" t="str">
        <f>"Through Small Windows"</f>
        <v>Through Small Windows</v>
      </c>
    </row>
    <row r="5444" spans="1:4" x14ac:dyDescent="0.2">
      <c r="A5444" t="str">
        <f>"5443"</f>
        <v>5443</v>
      </c>
      <c r="B5444" t="str">
        <f>"-0.56"</f>
        <v>-0.56</v>
      </c>
      <c r="C5444" t="str">
        <f>"86"</f>
        <v>86</v>
      </c>
      <c r="D5444" t="str">
        <f>"The Uncertainty of the Monkey"</f>
        <v>The Uncertainty of the Monkey</v>
      </c>
    </row>
    <row r="5445" spans="1:4" x14ac:dyDescent="0.2">
      <c r="A5445" t="str">
        <f>"5444"</f>
        <v>5444</v>
      </c>
      <c r="B5445" t="str">
        <f>"-0.36"</f>
        <v>-0.36</v>
      </c>
      <c r="C5445" t="str">
        <f>"67"</f>
        <v>67</v>
      </c>
      <c r="D5445" t="str">
        <f>"Overnight"</f>
        <v>Overnight</v>
      </c>
    </row>
    <row r="5446" spans="1:4" x14ac:dyDescent="0.2">
      <c r="A5446" t="str">
        <f>"5445"</f>
        <v>5445</v>
      </c>
      <c r="B5446" t="str">
        <f>"0.75"</f>
        <v>0.75</v>
      </c>
      <c r="C5446" t="str">
        <f>"60"</f>
        <v>60</v>
      </c>
      <c r="D5446" t="str">
        <f>"The Lucky Sperms: Somewhat Humorous"</f>
        <v>The Lucky Sperms: Somewhat Humorous</v>
      </c>
    </row>
    <row r="5447" spans="1:4" x14ac:dyDescent="0.2">
      <c r="A5447" t="str">
        <f>"5446"</f>
        <v>5446</v>
      </c>
      <c r="B5447" t="str">
        <f>"-0.11"</f>
        <v>-0.11</v>
      </c>
      <c r="C5447" t="str">
        <f>"80"</f>
        <v>80</v>
      </c>
      <c r="D5447" t="s">
        <v>193</v>
      </c>
    </row>
    <row r="5448" spans="1:4" x14ac:dyDescent="0.2">
      <c r="A5448" t="str">
        <f>"5447"</f>
        <v>5447</v>
      </c>
      <c r="B5448" t="str">
        <f>"-0.54"</f>
        <v>-0.54</v>
      </c>
      <c r="C5448" t="str">
        <f>"106"</f>
        <v>106</v>
      </c>
      <c r="D5448" t="str">
        <f>"Feel No Fade"</f>
        <v>Feel No Fade</v>
      </c>
    </row>
    <row r="5449" spans="1:4" x14ac:dyDescent="0.2">
      <c r="A5449" t="str">
        <f>"5448"</f>
        <v>5448</v>
      </c>
      <c r="B5449" t="str">
        <f>"-0.94"</f>
        <v>-0.94</v>
      </c>
      <c r="C5449" t="str">
        <f>"84"</f>
        <v>84</v>
      </c>
      <c r="D5449" t="str">
        <f>"Dawn Refuses to Rise"</f>
        <v>Dawn Refuses to Rise</v>
      </c>
    </row>
    <row r="5450" spans="1:4" x14ac:dyDescent="0.2">
      <c r="A5450" t="str">
        <f>"5449"</f>
        <v>5449</v>
      </c>
      <c r="B5450" t="str">
        <f>"0.2"</f>
        <v>0.2</v>
      </c>
      <c r="C5450" t="str">
        <f>"82"</f>
        <v>82</v>
      </c>
      <c r="D5450" t="str">
        <f>"Sincerely Yours"</f>
        <v>Sincerely Yours</v>
      </c>
    </row>
    <row r="5451" spans="1:4" x14ac:dyDescent="0.2">
      <c r="A5451" t="str">
        <f>"5450"</f>
        <v>5450</v>
      </c>
      <c r="B5451" t="str">
        <f>"-1.04"</f>
        <v>-1.04</v>
      </c>
      <c r="C5451" t="str">
        <f>"109"</f>
        <v>109</v>
      </c>
      <c r="D5451" t="str">
        <f>"Shock City Shockers 2"</f>
        <v>Shock City Shockers 2</v>
      </c>
    </row>
    <row r="5452" spans="1:4" x14ac:dyDescent="0.2">
      <c r="A5452" t="str">
        <f>"5451"</f>
        <v>5451</v>
      </c>
      <c r="B5452" t="str">
        <f>"0.93"</f>
        <v>0.93</v>
      </c>
      <c r="C5452" t="str">
        <f>"69"</f>
        <v>69</v>
      </c>
      <c r="D5452" t="str">
        <f>"Chips from the Chocolate Fireball"</f>
        <v>Chips from the Chocolate Fireball</v>
      </c>
    </row>
    <row r="5453" spans="1:4" x14ac:dyDescent="0.2">
      <c r="A5453" t="str">
        <f>"5452"</f>
        <v>5452</v>
      </c>
      <c r="B5453" t="str">
        <f>"0.62"</f>
        <v>0.62</v>
      </c>
      <c r="C5453" t="str">
        <f>"66"</f>
        <v>66</v>
      </c>
      <c r="D5453" t="str">
        <f>"Agit Itter It It EP"</f>
        <v>Agit Itter It It EP</v>
      </c>
    </row>
    <row r="5454" spans="1:4" x14ac:dyDescent="0.2">
      <c r="A5454" t="str">
        <f>"5453"</f>
        <v>5453</v>
      </c>
      <c r="B5454" t="str">
        <f>"0.05"</f>
        <v>0.05</v>
      </c>
      <c r="C5454" t="str">
        <f>"73"</f>
        <v>73</v>
      </c>
      <c r="D5454" t="str">
        <f>"Reclinerland"</f>
        <v>Reclinerland</v>
      </c>
    </row>
    <row r="5455" spans="1:4" x14ac:dyDescent="0.2">
      <c r="A5455" t="str">
        <f>"5454"</f>
        <v>5454</v>
      </c>
      <c r="B5455" t="str">
        <f>"1.36"</f>
        <v>1.36</v>
      </c>
      <c r="C5455" t="str">
        <f>"60"</f>
        <v>60</v>
      </c>
      <c r="D5455" t="str">
        <f>"Neurotica"</f>
        <v>Neurotica</v>
      </c>
    </row>
    <row r="5456" spans="1:4" x14ac:dyDescent="0.2">
      <c r="A5456" t="str">
        <f>"5455"</f>
        <v>5455</v>
      </c>
      <c r="B5456" t="str">
        <f>"0.48"</f>
        <v>0.48</v>
      </c>
      <c r="C5456" t="str">
        <f>"95"</f>
        <v>95</v>
      </c>
      <c r="D5456" t="str">
        <f>"Cold House"</f>
        <v>Cold House</v>
      </c>
    </row>
    <row r="5457" spans="1:4" x14ac:dyDescent="0.2">
      <c r="A5457" t="str">
        <f>"5456"</f>
        <v>5456</v>
      </c>
      <c r="B5457" t="str">
        <f>"-0.26"</f>
        <v>-0.26</v>
      </c>
      <c r="C5457" t="str">
        <f>"81"</f>
        <v>81</v>
      </c>
      <c r="D5457" t="str">
        <f>"Carousel"</f>
        <v>Carousel</v>
      </c>
    </row>
    <row r="5458" spans="1:4" x14ac:dyDescent="0.2">
      <c r="A5458" t="str">
        <f>"5457"</f>
        <v>5457</v>
      </c>
      <c r="B5458" t="str">
        <f>"-1.01"</f>
        <v>-1.01</v>
      </c>
      <c r="C5458" t="str">
        <f>"85"</f>
        <v>85</v>
      </c>
      <c r="D5458" t="str">
        <f>"Action Chemistry"</f>
        <v>Action Chemistry</v>
      </c>
    </row>
    <row r="5459" spans="1:4" x14ac:dyDescent="0.2">
      <c r="A5459" t="str">
        <f>"5458"</f>
        <v>5458</v>
      </c>
      <c r="B5459" t="str">
        <f>"-0.32"</f>
        <v>-0.32</v>
      </c>
      <c r="C5459" t="str">
        <f>"62"</f>
        <v>62</v>
      </c>
      <c r="D5459" t="str">
        <f>"World of Gold"</f>
        <v>World of Gold</v>
      </c>
    </row>
    <row r="5460" spans="1:4" x14ac:dyDescent="0.2">
      <c r="A5460" t="str">
        <f>"5459"</f>
        <v>5459</v>
      </c>
      <c r="B5460" t="str">
        <f>"-0.69"</f>
        <v>-0.69</v>
      </c>
      <c r="C5460" t="str">
        <f>"88"</f>
        <v>88</v>
      </c>
      <c r="D5460" t="str">
        <f>"The First Conspiracy"</f>
        <v>The First Conspiracy</v>
      </c>
    </row>
    <row r="5461" spans="1:4" x14ac:dyDescent="0.2">
      <c r="A5461" t="str">
        <f>"5460"</f>
        <v>5460</v>
      </c>
      <c r="B5461" t="str">
        <f>"0.03"</f>
        <v>0.03</v>
      </c>
      <c r="C5461" t="str">
        <f>"142"</f>
        <v>142</v>
      </c>
      <c r="D5461" t="str">
        <f>"Japanese Independent Music"</f>
        <v>Japanese Independent Music</v>
      </c>
    </row>
    <row r="5462" spans="1:4" x14ac:dyDescent="0.2">
      <c r="A5462" t="str">
        <f>"5461"</f>
        <v>5461</v>
      </c>
      <c r="B5462" t="str">
        <f>"0.72"</f>
        <v>0.72</v>
      </c>
      <c r="C5462" t="str">
        <f>"76"</f>
        <v>76</v>
      </c>
      <c r="D5462" t="str">
        <f>"Dynasty"</f>
        <v>Dynasty</v>
      </c>
    </row>
    <row r="5463" spans="1:4" x14ac:dyDescent="0.2">
      <c r="A5463" t="str">
        <f>"5462"</f>
        <v>5462</v>
      </c>
      <c r="B5463" t="str">
        <f>"0.59"</f>
        <v>0.59</v>
      </c>
      <c r="C5463" t="str">
        <f>"63"</f>
        <v>63</v>
      </c>
      <c r="D5463" t="s">
        <v>194</v>
      </c>
    </row>
    <row r="5464" spans="1:4" x14ac:dyDescent="0.2">
      <c r="A5464" t="str">
        <f>"5463"</f>
        <v>5463</v>
      </c>
      <c r="B5464" t="str">
        <f>"-0.39"</f>
        <v>-0.39</v>
      </c>
      <c r="C5464" t="str">
        <f>"83"</f>
        <v>83</v>
      </c>
      <c r="D5464" t="str">
        <f>"Nectar"</f>
        <v>Nectar</v>
      </c>
    </row>
    <row r="5465" spans="1:4" x14ac:dyDescent="0.2">
      <c r="A5465" t="str">
        <f>"5464"</f>
        <v>5464</v>
      </c>
      <c r="B5465" t="str">
        <f>"0.46"</f>
        <v>0.46</v>
      </c>
      <c r="C5465" t="str">
        <f>"93"</f>
        <v>93</v>
      </c>
      <c r="D5465" t="str">
        <f>"Give the People What We Want: Songs of the Kinks"</f>
        <v>Give the People What We Want: Songs of the Kinks</v>
      </c>
    </row>
    <row r="5466" spans="1:4" x14ac:dyDescent="0.2">
      <c r="A5466" t="str">
        <f>"5465"</f>
        <v>5465</v>
      </c>
      <c r="B5466" t="str">
        <f>"0.51"</f>
        <v>0.51</v>
      </c>
      <c r="C5466" t="str">
        <f>"89"</f>
        <v>89</v>
      </c>
      <c r="D5466" t="str">
        <f>"Creating Patterns"</f>
        <v>Creating Patterns</v>
      </c>
    </row>
    <row r="5467" spans="1:4" x14ac:dyDescent="0.2">
      <c r="A5467" t="str">
        <f>"5466"</f>
        <v>5466</v>
      </c>
      <c r="B5467" t="str">
        <f>"0.82"</f>
        <v>0.82</v>
      </c>
      <c r="C5467" t="str">
        <f>"112"</f>
        <v>112</v>
      </c>
      <c r="D5467" t="str">
        <f>"Innocence and Despair"</f>
        <v>Innocence and Despair</v>
      </c>
    </row>
    <row r="5468" spans="1:4" x14ac:dyDescent="0.2">
      <c r="A5468" t="str">
        <f>"5467"</f>
        <v>5467</v>
      </c>
      <c r="B5468" t="str">
        <f>"0.38"</f>
        <v>0.38</v>
      </c>
      <c r="C5468" t="str">
        <f>"55"</f>
        <v>55</v>
      </c>
      <c r="D5468" t="str">
        <f>"Detect"</f>
        <v>Detect</v>
      </c>
    </row>
    <row r="5469" spans="1:4" x14ac:dyDescent="0.2">
      <c r="A5469" t="str">
        <f>"5468"</f>
        <v>5468</v>
      </c>
      <c r="B5469" t="str">
        <f>"0.12"</f>
        <v>0.12</v>
      </c>
      <c r="C5469" t="str">
        <f>"124"</f>
        <v>124</v>
      </c>
      <c r="D5469" t="str">
        <f>"David Axelrod"</f>
        <v>David Axelrod</v>
      </c>
    </row>
    <row r="5470" spans="1:4" x14ac:dyDescent="0.2">
      <c r="A5470" t="str">
        <f>"5469"</f>
        <v>5469</v>
      </c>
      <c r="B5470" t="str">
        <f>"-0.19"</f>
        <v>-0.19</v>
      </c>
      <c r="C5470" t="str">
        <f>"65"</f>
        <v>65</v>
      </c>
      <c r="D5470" t="str">
        <f>"Bird"</f>
        <v>Bird</v>
      </c>
    </row>
    <row r="5471" spans="1:4" x14ac:dyDescent="0.2">
      <c r="A5471" t="str">
        <f>"5470"</f>
        <v>5470</v>
      </c>
      <c r="B5471" t="str">
        <f>"0.49"</f>
        <v>0.49</v>
      </c>
      <c r="C5471" t="str">
        <f>"69"</f>
        <v>69</v>
      </c>
      <c r="D5471" t="str">
        <f>"Your New Boundaries"</f>
        <v>Your New Boundaries</v>
      </c>
    </row>
    <row r="5472" spans="1:4" x14ac:dyDescent="0.2">
      <c r="A5472" t="str">
        <f>"5471"</f>
        <v>5471</v>
      </c>
      <c r="B5472" t="str">
        <f>"-0.32"</f>
        <v>-0.32</v>
      </c>
      <c r="C5472" t="str">
        <f>"74"</f>
        <v>74</v>
      </c>
      <c r="D5472" t="str">
        <f>"Stay a Little Longer"</f>
        <v>Stay a Little Longer</v>
      </c>
    </row>
    <row r="5473" spans="1:4" x14ac:dyDescent="0.2">
      <c r="A5473" t="str">
        <f>"5472"</f>
        <v>5472</v>
      </c>
      <c r="B5473" t="str">
        <f>"-0.82"</f>
        <v>-0.82</v>
      </c>
      <c r="C5473" t="str">
        <f>"85"</f>
        <v>85</v>
      </c>
      <c r="D5473" t="str">
        <f>"Party Music"</f>
        <v>Party Music</v>
      </c>
    </row>
    <row r="5474" spans="1:4" x14ac:dyDescent="0.2">
      <c r="A5474" t="str">
        <f>"5473"</f>
        <v>5473</v>
      </c>
      <c r="B5474" t="str">
        <f>"0.4"</f>
        <v>0.4</v>
      </c>
      <c r="C5474" t="str">
        <f>"70"</f>
        <v>70</v>
      </c>
      <c r="D5474" t="str">
        <f>"Outer Space/Inner Space"</f>
        <v>Outer Space/Inner Space</v>
      </c>
    </row>
    <row r="5475" spans="1:4" x14ac:dyDescent="0.2">
      <c r="A5475" t="str">
        <f>"5474"</f>
        <v>5474</v>
      </c>
      <c r="B5475" t="str">
        <f>"-0.08"</f>
        <v>-0.08</v>
      </c>
      <c r="C5475" t="str">
        <f>"62"</f>
        <v>62</v>
      </c>
      <c r="D5475" t="str">
        <f>"Let Me In"</f>
        <v>Let Me In</v>
      </c>
    </row>
    <row r="5476" spans="1:4" x14ac:dyDescent="0.2">
      <c r="A5476" t="str">
        <f>"5475"</f>
        <v>5475</v>
      </c>
      <c r="B5476" t="str">
        <f>"-0.01"</f>
        <v>-0.01</v>
      </c>
      <c r="C5476" t="str">
        <f>"62"</f>
        <v>62</v>
      </c>
      <c r="D5476" t="str">
        <f>"Wingfoot"</f>
        <v>Wingfoot</v>
      </c>
    </row>
    <row r="5477" spans="1:4" x14ac:dyDescent="0.2">
      <c r="A5477" t="str">
        <f>"5476"</f>
        <v>5476</v>
      </c>
      <c r="B5477" t="str">
        <f>"-0.22"</f>
        <v>-0.22</v>
      </c>
      <c r="C5477" t="str">
        <f>"99"</f>
        <v>99</v>
      </c>
      <c r="D5477" t="str">
        <f>"Music to Make Love to Your Old Lady By"</f>
        <v>Music to Make Love to Your Old Lady By</v>
      </c>
    </row>
    <row r="5478" spans="1:4" x14ac:dyDescent="0.2">
      <c r="A5478" t="str">
        <f>"5477"</f>
        <v>5477</v>
      </c>
      <c r="B5478" t="str">
        <f>"-0.4"</f>
        <v>-0.4</v>
      </c>
      <c r="C5478" t="str">
        <f>"78"</f>
        <v>78</v>
      </c>
      <c r="D5478" t="str">
        <f>"It's the Black-Eyed Snakes"</f>
        <v>It's the Black-Eyed Snakes</v>
      </c>
    </row>
    <row r="5479" spans="1:4" x14ac:dyDescent="0.2">
      <c r="A5479" t="str">
        <f>"5478"</f>
        <v>5478</v>
      </c>
      <c r="B5479" t="str">
        <f>"-0.04"</f>
        <v>-0.04</v>
      </c>
      <c r="C5479" t="str">
        <f>"100"</f>
        <v>100</v>
      </c>
      <c r="D5479" t="str">
        <f>"Discography 1994-1997"</f>
        <v>Discography 1994-1997</v>
      </c>
    </row>
    <row r="5480" spans="1:4" x14ac:dyDescent="0.2">
      <c r="A5480" t="str">
        <f>"5479"</f>
        <v>5479</v>
      </c>
      <c r="B5480" t="str">
        <f>"0.8"</f>
        <v>0.8</v>
      </c>
      <c r="C5480" t="str">
        <f>"59"</f>
        <v>59</v>
      </c>
      <c r="D5480" t="str">
        <f>"Home of the Cannon Saints"</f>
        <v>Home of the Cannon Saints</v>
      </c>
    </row>
    <row r="5481" spans="1:4" x14ac:dyDescent="0.2">
      <c r="A5481" t="str">
        <f>"5480"</f>
        <v>5480</v>
      </c>
      <c r="B5481" t="str">
        <f>"0.34"</f>
        <v>0.34</v>
      </c>
      <c r="C5481" t="str">
        <f>"92"</f>
        <v>92</v>
      </c>
      <c r="D5481" t="str">
        <f>"Dean Quixote sdtk."</f>
        <v>Dean Quixote sdtk.</v>
      </c>
    </row>
    <row r="5482" spans="1:4" x14ac:dyDescent="0.2">
      <c r="A5482" t="str">
        <f>"5481"</f>
        <v>5481</v>
      </c>
      <c r="B5482" t="str">
        <f>"-0.96"</f>
        <v>-0.96</v>
      </c>
      <c r="C5482" t="str">
        <f>"89"</f>
        <v>89</v>
      </c>
      <c r="D5482" t="str">
        <f>"Bullfrog"</f>
        <v>Bullfrog</v>
      </c>
    </row>
    <row r="5483" spans="1:4" x14ac:dyDescent="0.2">
      <c r="A5483" t="str">
        <f>"5482"</f>
        <v>5482</v>
      </c>
      <c r="B5483" t="str">
        <f>"-0.56"</f>
        <v>-0.56</v>
      </c>
      <c r="C5483" t="str">
        <f>"112"</f>
        <v>112</v>
      </c>
      <c r="D5483" t="str">
        <f>"Brighton Park"</f>
        <v>Brighton Park</v>
      </c>
    </row>
    <row r="5484" spans="1:4" x14ac:dyDescent="0.2">
      <c r="A5484" t="str">
        <f>"5483"</f>
        <v>5483</v>
      </c>
      <c r="B5484" t="str">
        <f>"0.03"</f>
        <v>0.03</v>
      </c>
      <c r="C5484" t="str">
        <f>"67"</f>
        <v>67</v>
      </c>
      <c r="D5484" t="str">
        <f>"Where Leaves Block the Sun"</f>
        <v>Where Leaves Block the Sun</v>
      </c>
    </row>
    <row r="5485" spans="1:4" x14ac:dyDescent="0.2">
      <c r="A5485" t="str">
        <f>"5484"</f>
        <v>5484</v>
      </c>
      <c r="B5485" t="str">
        <f>"-0.09"</f>
        <v>-0.09</v>
      </c>
      <c r="C5485" t="str">
        <f>"70"</f>
        <v>70</v>
      </c>
      <c r="D5485" t="str">
        <f>"Happy with What You Have to Be Happy With"</f>
        <v>Happy with What You Have to Be Happy With</v>
      </c>
    </row>
    <row r="5486" spans="1:4" x14ac:dyDescent="0.2">
      <c r="A5486" t="str">
        <f>"5485"</f>
        <v>5485</v>
      </c>
      <c r="B5486" t="str">
        <f>"-1.46"</f>
        <v>-1.46</v>
      </c>
      <c r="C5486" t="str">
        <f>"71"</f>
        <v>71</v>
      </c>
      <c r="D5486" t="str">
        <f>"An Evil Heat"</f>
        <v>An Evil Heat</v>
      </c>
    </row>
    <row r="5487" spans="1:4" x14ac:dyDescent="0.2">
      <c r="A5487" t="str">
        <f>"5486"</f>
        <v>5486</v>
      </c>
      <c r="B5487" t="str">
        <f>"-0.76"</f>
        <v>-0.76</v>
      </c>
      <c r="C5487" t="str">
        <f>"38"</f>
        <v>38</v>
      </c>
      <c r="D5487" t="str">
        <f>"The Ends Against the Middle EP"</f>
        <v>The Ends Against the Middle EP</v>
      </c>
    </row>
    <row r="5488" spans="1:4" x14ac:dyDescent="0.2">
      <c r="A5488" t="str">
        <f>"5487"</f>
        <v>5487</v>
      </c>
      <c r="B5488" t="str">
        <f>"-0.14"</f>
        <v>-0.14</v>
      </c>
      <c r="C5488" t="str">
        <f>"92"</f>
        <v>92</v>
      </c>
      <c r="D5488" t="str">
        <f>"Katastrophe Vol. 3"</f>
        <v>Katastrophe Vol. 3</v>
      </c>
    </row>
    <row r="5489" spans="1:4" x14ac:dyDescent="0.2">
      <c r="A5489" t="str">
        <f>"5488"</f>
        <v>5488</v>
      </c>
      <c r="B5489" t="str">
        <f>"0.95"</f>
        <v>0.95</v>
      </c>
      <c r="C5489" t="str">
        <f>"100"</f>
        <v>100</v>
      </c>
      <c r="D5489" t="str">
        <f>"Change Is Coming"</f>
        <v>Change Is Coming</v>
      </c>
    </row>
    <row r="5490" spans="1:4" x14ac:dyDescent="0.2">
      <c r="A5490" t="str">
        <f>"5489"</f>
        <v>5489</v>
      </c>
      <c r="B5490" t="str">
        <f>"0.42"</f>
        <v>0.42</v>
      </c>
      <c r="C5490" t="str">
        <f>"75"</f>
        <v>75</v>
      </c>
      <c r="D5490" t="str">
        <f>"Antidote"</f>
        <v>Antidote</v>
      </c>
    </row>
    <row r="5491" spans="1:4" x14ac:dyDescent="0.2">
      <c r="A5491" t="str">
        <f>"5490"</f>
        <v>5490</v>
      </c>
      <c r="B5491" t="str">
        <f>"-0.18"</f>
        <v>-0.18</v>
      </c>
      <c r="C5491" t="str">
        <f>"85"</f>
        <v>85</v>
      </c>
      <c r="D5491" t="s">
        <v>195</v>
      </c>
    </row>
    <row r="5492" spans="1:4" x14ac:dyDescent="0.2">
      <c r="A5492" t="str">
        <f>"5491"</f>
        <v>5491</v>
      </c>
      <c r="B5492" t="str">
        <f>"0.16"</f>
        <v>0.16</v>
      </c>
      <c r="C5492" t="str">
        <f>"99"</f>
        <v>99</v>
      </c>
      <c r="D5492" t="str">
        <f>"Sign EP"</f>
        <v>Sign EP</v>
      </c>
    </row>
    <row r="5493" spans="1:4" x14ac:dyDescent="0.2">
      <c r="A5493" t="str">
        <f>"5492"</f>
        <v>5492</v>
      </c>
      <c r="B5493" t="str">
        <f>"-0.24"</f>
        <v>-0.24</v>
      </c>
      <c r="C5493" t="str">
        <f>"137"</f>
        <v>137</v>
      </c>
      <c r="D5493" t="str">
        <f>"Foxy Music"</f>
        <v>Foxy Music</v>
      </c>
    </row>
    <row r="5494" spans="1:4" x14ac:dyDescent="0.2">
      <c r="A5494" t="str">
        <f>"5493"</f>
        <v>5493</v>
      </c>
      <c r="B5494" t="str">
        <f>"-0.53"</f>
        <v>-0.53</v>
      </c>
      <c r="C5494" t="str">
        <f>"78"</f>
        <v>78</v>
      </c>
      <c r="D5494" t="str">
        <f>"Crossing with Switchblades"</f>
        <v>Crossing with Switchblades</v>
      </c>
    </row>
    <row r="5495" spans="1:4" x14ac:dyDescent="0.2">
      <c r="A5495" t="str">
        <f>"5494"</f>
        <v>5494</v>
      </c>
      <c r="B5495" t="str">
        <f>"-0.26"</f>
        <v>-0.26</v>
      </c>
      <c r="C5495" t="str">
        <f>"99"</f>
        <v>99</v>
      </c>
      <c r="D5495" t="str">
        <f>"The Heartfelt"</f>
        <v>The Heartfelt</v>
      </c>
    </row>
    <row r="5496" spans="1:4" x14ac:dyDescent="0.2">
      <c r="A5496" t="str">
        <f>"5495"</f>
        <v>5495</v>
      </c>
      <c r="B5496" t="str">
        <f>"0.14"</f>
        <v>0.14</v>
      </c>
      <c r="C5496" t="str">
        <f>"113"</f>
        <v>113</v>
      </c>
      <c r="D5496" t="str">
        <f>"I Might Be Wrong: Live Recordings EP"</f>
        <v>I Might Be Wrong: Live Recordings EP</v>
      </c>
    </row>
    <row r="5497" spans="1:4" x14ac:dyDescent="0.2">
      <c r="A5497" t="str">
        <f>"5496"</f>
        <v>5496</v>
      </c>
      <c r="B5497" t="str">
        <f>"-0.08"</f>
        <v>-0.08</v>
      </c>
      <c r="C5497" t="str">
        <f>"89"</f>
        <v>89</v>
      </c>
      <c r="D5497" t="str">
        <f>"Furia"</f>
        <v>Furia</v>
      </c>
    </row>
    <row r="5498" spans="1:4" x14ac:dyDescent="0.2">
      <c r="A5498" t="str">
        <f>"5497"</f>
        <v>5497</v>
      </c>
      <c r="B5498" t="str">
        <f>"-0.94"</f>
        <v>-0.94</v>
      </c>
      <c r="C5498" t="str">
        <f>"73"</f>
        <v>73</v>
      </c>
      <c r="D5498" t="str">
        <f>"Flight of the Wounded Locust EP"</f>
        <v>Flight of the Wounded Locust EP</v>
      </c>
    </row>
    <row r="5499" spans="1:4" x14ac:dyDescent="0.2">
      <c r="A5499" t="str">
        <f>"5498"</f>
        <v>5498</v>
      </c>
      <c r="B5499" t="str">
        <f>"-0.06"</f>
        <v>-0.06</v>
      </c>
      <c r="C5499" t="str">
        <f>"99"</f>
        <v>99</v>
      </c>
      <c r="D5499" t="str">
        <f>"This Is What I Know About Being Gigantic EP"</f>
        <v>This Is What I Know About Being Gigantic EP</v>
      </c>
    </row>
    <row r="5500" spans="1:4" x14ac:dyDescent="0.2">
      <c r="A5500" t="str">
        <f>"5499"</f>
        <v>5499</v>
      </c>
      <c r="B5500" t="str">
        <f>"-1.04"</f>
        <v>-1.04</v>
      </c>
      <c r="C5500" t="str">
        <f>"73"</f>
        <v>73</v>
      </c>
      <c r="D5500" t="str">
        <f>"Moldy Peaches"</f>
        <v>Moldy Peaches</v>
      </c>
    </row>
    <row r="5501" spans="1:4" x14ac:dyDescent="0.2">
      <c r="A5501" t="str">
        <f>"5500"</f>
        <v>5500</v>
      </c>
      <c r="B5501" t="str">
        <f>"0.63"</f>
        <v>0.63</v>
      </c>
      <c r="C5501" t="str">
        <f>"237"</f>
        <v>237</v>
      </c>
      <c r="D5501" t="str">
        <f>"Listen to What the Man Said: Popular Artists Pay Tribute to the Music of Paul McCartney"</f>
        <v>Listen to What the Man Said: Popular Artists Pay Tribute to the Music of Paul McCartney</v>
      </c>
    </row>
    <row r="5502" spans="1:4" x14ac:dyDescent="0.2">
      <c r="A5502" t="str">
        <f>"5501"</f>
        <v>5501</v>
      </c>
      <c r="B5502" t="str">
        <f>"-0.27"</f>
        <v>-0.27</v>
      </c>
      <c r="C5502" t="str">
        <f>"59"</f>
        <v>59</v>
      </c>
      <c r="D5502" t="s">
        <v>196</v>
      </c>
    </row>
    <row r="5503" spans="1:4" x14ac:dyDescent="0.2">
      <c r="A5503" t="str">
        <f>"5502"</f>
        <v>5502</v>
      </c>
      <c r="B5503" t="str">
        <f>"0.18"</f>
        <v>0.18</v>
      </c>
      <c r="C5503" t="str">
        <f>"74"</f>
        <v>74</v>
      </c>
      <c r="D5503" t="str">
        <f>"Sweet Heart Fever"</f>
        <v>Sweet Heart Fever</v>
      </c>
    </row>
    <row r="5504" spans="1:4" x14ac:dyDescent="0.2">
      <c r="A5504" t="str">
        <f>"5503"</f>
        <v>5503</v>
      </c>
      <c r="B5504" t="str">
        <f>"-0.15"</f>
        <v>-0.15</v>
      </c>
      <c r="C5504" t="str">
        <f>"126"</f>
        <v>126</v>
      </c>
      <c r="D5504" t="str">
        <f>"Pärson Sound"</f>
        <v>Pärson Sound</v>
      </c>
    </row>
    <row r="5505" spans="1:4" x14ac:dyDescent="0.2">
      <c r="A5505" t="str">
        <f>"5504"</f>
        <v>5504</v>
      </c>
      <c r="B5505" t="str">
        <f>"-0.64"</f>
        <v>-0.64</v>
      </c>
      <c r="C5505" t="str">
        <f>"60"</f>
        <v>60</v>
      </c>
      <c r="D5505" t="str">
        <f>"Lull Some Piano"</f>
        <v>Lull Some Piano</v>
      </c>
    </row>
    <row r="5506" spans="1:4" x14ac:dyDescent="0.2">
      <c r="A5506" t="str">
        <f>"5505"</f>
        <v>5505</v>
      </c>
      <c r="B5506" t="str">
        <f>"0.7"</f>
        <v>0.7</v>
      </c>
      <c r="C5506" t="str">
        <f>"83"</f>
        <v>83</v>
      </c>
      <c r="D5506" t="str">
        <f>"James William Hindle"</f>
        <v>James William Hindle</v>
      </c>
    </row>
    <row r="5507" spans="1:4" x14ac:dyDescent="0.2">
      <c r="A5507" t="str">
        <f>"5506"</f>
        <v>5506</v>
      </c>
      <c r="B5507" t="str">
        <f>"-0.18"</f>
        <v>-0.18</v>
      </c>
      <c r="C5507" t="str">
        <f>"116"</f>
        <v>116</v>
      </c>
      <c r="D5507" t="str">
        <f>"We Love Life"</f>
        <v>We Love Life</v>
      </c>
    </row>
    <row r="5508" spans="1:4" x14ac:dyDescent="0.2">
      <c r="A5508" t="str">
        <f>"5507"</f>
        <v>5507</v>
      </c>
      <c r="B5508" t="str">
        <f>"-0.02"</f>
        <v>-0.02</v>
      </c>
      <c r="C5508" t="str">
        <f>"104"</f>
        <v>104</v>
      </c>
      <c r="D5508" t="str">
        <f>"Doing Their Own Thing"</f>
        <v>Doing Their Own Thing</v>
      </c>
    </row>
    <row r="5509" spans="1:4" x14ac:dyDescent="0.2">
      <c r="A5509" t="str">
        <f>"5508"</f>
        <v>5508</v>
      </c>
      <c r="B5509" t="str">
        <f>"-0.38"</f>
        <v>-0.38</v>
      </c>
      <c r="C5509" t="str">
        <f>"115"</f>
        <v>115</v>
      </c>
      <c r="D5509" t="str">
        <f>"Bridge to Northern Lights"</f>
        <v>Bridge to Northern Lights</v>
      </c>
    </row>
    <row r="5510" spans="1:4" x14ac:dyDescent="0.2">
      <c r="A5510" t="str">
        <f>"5509"</f>
        <v>5509</v>
      </c>
      <c r="B5510" t="str">
        <f>"-0.35"</f>
        <v>-0.35</v>
      </c>
      <c r="C5510" t="str">
        <f>"77"</f>
        <v>77</v>
      </c>
      <c r="D5510" t="str">
        <f>"Bloodshot Eyes"</f>
        <v>Bloodshot Eyes</v>
      </c>
    </row>
    <row r="5511" spans="1:4" x14ac:dyDescent="0.2">
      <c r="A5511" t="str">
        <f>"5510"</f>
        <v>5510</v>
      </c>
      <c r="B5511" t="str">
        <f>"-0.38"</f>
        <v>-0.38</v>
      </c>
      <c r="C5511" t="str">
        <f>"121"</f>
        <v>121</v>
      </c>
      <c r="D5511" t="str">
        <f>"The Altogether"</f>
        <v>The Altogether</v>
      </c>
    </row>
    <row r="5512" spans="1:4" x14ac:dyDescent="0.2">
      <c r="A5512" t="str">
        <f>"5511"</f>
        <v>5511</v>
      </c>
      <c r="B5512" t="str">
        <f>"-1.26"</f>
        <v>-1.26</v>
      </c>
      <c r="C5512" t="str">
        <f>"114"</f>
        <v>114</v>
      </c>
      <c r="D5512" t="str">
        <f>"Run Come Save Me"</f>
        <v>Run Come Save Me</v>
      </c>
    </row>
    <row r="5513" spans="1:4" x14ac:dyDescent="0.2">
      <c r="A5513" t="str">
        <f>"5512"</f>
        <v>5512</v>
      </c>
      <c r="B5513" t="str">
        <f>"0.33"</f>
        <v>0.33</v>
      </c>
      <c r="C5513" t="str">
        <f>"72"</f>
        <v>72</v>
      </c>
      <c r="D5513" t="str">
        <f>"Low Level Owl Vol. I &amp; II"</f>
        <v>Low Level Owl Vol. I &amp; II</v>
      </c>
    </row>
    <row r="5514" spans="1:4" x14ac:dyDescent="0.2">
      <c r="A5514" t="str">
        <f>"5513"</f>
        <v>5513</v>
      </c>
      <c r="B5514" t="str">
        <f>"1.2"</f>
        <v>1.2</v>
      </c>
      <c r="C5514" t="str">
        <f>"59"</f>
        <v>59</v>
      </c>
      <c r="D5514" t="str">
        <f>"A Tall Tale Storyline"</f>
        <v>A Tall Tale Storyline</v>
      </c>
    </row>
    <row r="5515" spans="1:4" x14ac:dyDescent="0.2">
      <c r="A5515" t="str">
        <f>"5514"</f>
        <v>5514</v>
      </c>
      <c r="B5515" t="str">
        <f>"-0.26"</f>
        <v>-0.26</v>
      </c>
      <c r="C5515" t="str">
        <f>"71"</f>
        <v>71</v>
      </c>
      <c r="D5515" t="s">
        <v>197</v>
      </c>
    </row>
    <row r="5516" spans="1:4" x14ac:dyDescent="0.2">
      <c r="A5516" t="str">
        <f>"5515"</f>
        <v>5515</v>
      </c>
      <c r="B5516" t="str">
        <f>"-0.04"</f>
        <v>-0.04</v>
      </c>
      <c r="C5516" t="str">
        <f>"104"</f>
        <v>104</v>
      </c>
      <c r="D5516" t="str">
        <f>"Liberation"</f>
        <v>Liberation</v>
      </c>
    </row>
    <row r="5517" spans="1:4" x14ac:dyDescent="0.2">
      <c r="A5517" t="str">
        <f>"5516"</f>
        <v>5516</v>
      </c>
      <c r="B5517" t="str">
        <f>"-0.29"</f>
        <v>-0.29</v>
      </c>
      <c r="C5517" t="str">
        <f>"112"</f>
        <v>112</v>
      </c>
      <c r="D5517" t="str">
        <f>"Great Curves"</f>
        <v>Great Curves</v>
      </c>
    </row>
    <row r="5518" spans="1:4" x14ac:dyDescent="0.2">
      <c r="A5518" t="str">
        <f>"5517"</f>
        <v>5517</v>
      </c>
      <c r="B5518" t="str">
        <f>"-0.52"</f>
        <v>-0.52</v>
      </c>
      <c r="C5518" t="str">
        <f>"76"</f>
        <v>76</v>
      </c>
      <c r="D5518" t="str">
        <f>"Aleamapper"</f>
        <v>Aleamapper</v>
      </c>
    </row>
    <row r="5519" spans="1:4" x14ac:dyDescent="0.2">
      <c r="A5519" t="str">
        <f>"5518"</f>
        <v>5518</v>
      </c>
      <c r="B5519" t="str">
        <f>"0.21"</f>
        <v>0.21</v>
      </c>
      <c r="C5519" t="str">
        <f>"94"</f>
        <v>94</v>
      </c>
      <c r="D5519" t="str">
        <f>"Subourbon"</f>
        <v>Subourbon</v>
      </c>
    </row>
    <row r="5520" spans="1:4" x14ac:dyDescent="0.2">
      <c r="A5520" t="str">
        <f>"5519"</f>
        <v>5519</v>
      </c>
      <c r="B5520" t="str">
        <f>"-0.13"</f>
        <v>-0.13</v>
      </c>
      <c r="C5520" t="str">
        <f>"136"</f>
        <v>136</v>
      </c>
      <c r="D5520" t="s">
        <v>198</v>
      </c>
    </row>
    <row r="5521" spans="1:4" x14ac:dyDescent="0.2">
      <c r="A5521" t="str">
        <f>"5520"</f>
        <v>5520</v>
      </c>
      <c r="B5521" t="str">
        <f>"-0.52"</f>
        <v>-0.52</v>
      </c>
      <c r="C5521" t="str">
        <f>"147"</f>
        <v>147</v>
      </c>
      <c r="D5521" t="str">
        <f>"Mobius Fuse"</f>
        <v>Mobius Fuse</v>
      </c>
    </row>
    <row r="5522" spans="1:4" x14ac:dyDescent="0.2">
      <c r="A5522" t="str">
        <f>"5521"</f>
        <v>5521</v>
      </c>
      <c r="B5522" t="str">
        <f>"-0.92"</f>
        <v>-0.92</v>
      </c>
      <c r="C5522" t="str">
        <f>"85"</f>
        <v>85</v>
      </c>
      <c r="D5522" t="str">
        <f>"Haus de Snaus"</f>
        <v>Haus de Snaus</v>
      </c>
    </row>
    <row r="5523" spans="1:4" x14ac:dyDescent="0.2">
      <c r="A5523" t="str">
        <f>"5522"</f>
        <v>5522</v>
      </c>
      <c r="B5523" t="str">
        <f>"0.17"</f>
        <v>0.17</v>
      </c>
      <c r="C5523" t="str">
        <f>"85"</f>
        <v>85</v>
      </c>
      <c r="D5523" t="str">
        <f>"Check Engine"</f>
        <v>Check Engine</v>
      </c>
    </row>
    <row r="5524" spans="1:4" x14ac:dyDescent="0.2">
      <c r="A5524" t="str">
        <f>"5523"</f>
        <v>5523</v>
      </c>
      <c r="B5524" t="str">
        <f>"-0.79"</f>
        <v>-0.79</v>
      </c>
      <c r="C5524" t="str">
        <f>"62"</f>
        <v>62</v>
      </c>
      <c r="D5524" t="str">
        <f>"The Headless Horseman Is a Preacher"</f>
        <v>The Headless Horseman Is a Preacher</v>
      </c>
    </row>
    <row r="5525" spans="1:4" x14ac:dyDescent="0.2">
      <c r="A5525" t="str">
        <f>"5524"</f>
        <v>5524</v>
      </c>
      <c r="B5525" t="str">
        <f>"-0.68"</f>
        <v>-0.68</v>
      </c>
      <c r="C5525" t="str">
        <f>"93"</f>
        <v>93</v>
      </c>
      <c r="D5525" t="str">
        <f>"Grave Disorder"</f>
        <v>Grave Disorder</v>
      </c>
    </row>
    <row r="5526" spans="1:4" x14ac:dyDescent="0.2">
      <c r="A5526" t="str">
        <f>"5525"</f>
        <v>5525</v>
      </c>
      <c r="B5526" t="str">
        <f>"0.71"</f>
        <v>0.71</v>
      </c>
      <c r="C5526" t="str">
        <f>"114"</f>
        <v>114</v>
      </c>
      <c r="D5526" t="str">
        <f>"Desormais"</f>
        <v>Desormais</v>
      </c>
    </row>
    <row r="5527" spans="1:4" x14ac:dyDescent="0.2">
      <c r="A5527" t="str">
        <f>"5526"</f>
        <v>5526</v>
      </c>
      <c r="B5527" t="str">
        <f>"0.05"</f>
        <v>0.05</v>
      </c>
      <c r="C5527" t="str">
        <f>"67"</f>
        <v>67</v>
      </c>
      <c r="D5527" t="str">
        <f>"Bavarian Fruit Bread"</f>
        <v>Bavarian Fruit Bread</v>
      </c>
    </row>
    <row r="5528" spans="1:4" x14ac:dyDescent="0.2">
      <c r="A5528" t="str">
        <f>"5527"</f>
        <v>5527</v>
      </c>
      <c r="B5528" t="str">
        <f>"0.12"</f>
        <v>0.12</v>
      </c>
      <c r="C5528" t="str">
        <f>"64"</f>
        <v>64</v>
      </c>
      <c r="D5528" t="str">
        <f>"What We Did"</f>
        <v>What We Did</v>
      </c>
    </row>
    <row r="5529" spans="1:4" x14ac:dyDescent="0.2">
      <c r="A5529" t="str">
        <f>"5528"</f>
        <v>5528</v>
      </c>
      <c r="B5529" t="str">
        <f>"-0.25"</f>
        <v>-0.25</v>
      </c>
      <c r="C5529" t="str">
        <f>"66"</f>
        <v>66</v>
      </c>
      <c r="D5529" t="str">
        <f>"Whatever"</f>
        <v>Whatever</v>
      </c>
    </row>
    <row r="5530" spans="1:4" x14ac:dyDescent="0.2">
      <c r="A5530" t="str">
        <f>"5529"</f>
        <v>5529</v>
      </c>
      <c r="B5530" t="str">
        <f>"-0.29"</f>
        <v>-0.29</v>
      </c>
      <c r="C5530" t="str">
        <f>"85"</f>
        <v>85</v>
      </c>
      <c r="D5530" t="str">
        <f>"Twilight"</f>
        <v>Twilight</v>
      </c>
    </row>
    <row r="5531" spans="1:4" x14ac:dyDescent="0.2">
      <c r="A5531" t="str">
        <f>"5530"</f>
        <v>5530</v>
      </c>
      <c r="B5531" t="str">
        <f>"0.29"</f>
        <v>0.29</v>
      </c>
      <c r="C5531" t="str">
        <f>"62"</f>
        <v>62</v>
      </c>
      <c r="D5531" t="s">
        <v>199</v>
      </c>
    </row>
    <row r="5532" spans="1:4" x14ac:dyDescent="0.2">
      <c r="A5532" t="str">
        <f>"5531"</f>
        <v>5531</v>
      </c>
      <c r="B5532" t="str">
        <f>"0.26"</f>
        <v>0.26</v>
      </c>
      <c r="C5532" t="str">
        <f>"89"</f>
        <v>89</v>
      </c>
      <c r="D5532" t="str">
        <f>"Sebastapol"</f>
        <v>Sebastapol</v>
      </c>
    </row>
    <row r="5533" spans="1:4" x14ac:dyDescent="0.2">
      <c r="A5533" t="str">
        <f>"5532"</f>
        <v>5532</v>
      </c>
      <c r="B5533" t="str">
        <f>"-0.4"</f>
        <v>-0.4</v>
      </c>
      <c r="C5533" t="str">
        <f>"87"</f>
        <v>87</v>
      </c>
      <c r="D5533" t="str">
        <f>"Pyramidi"</f>
        <v>Pyramidi</v>
      </c>
    </row>
    <row r="5534" spans="1:4" x14ac:dyDescent="0.2">
      <c r="A5534" t="str">
        <f>"5533"</f>
        <v>5533</v>
      </c>
      <c r="B5534" t="str">
        <f>"-0.81"</f>
        <v>-0.81</v>
      </c>
      <c r="C5534" t="str">
        <f>"63"</f>
        <v>63</v>
      </c>
      <c r="D5534" t="str">
        <f>"Eternal Combustion"</f>
        <v>Eternal Combustion</v>
      </c>
    </row>
    <row r="5535" spans="1:4" x14ac:dyDescent="0.2">
      <c r="A5535" t="str">
        <f>"5534"</f>
        <v>5534</v>
      </c>
      <c r="B5535" t="str">
        <f>"-0.28"</f>
        <v>-0.28</v>
      </c>
      <c r="C5535" t="str">
        <f>"126"</f>
        <v>126</v>
      </c>
      <c r="D5535" t="str">
        <f>"Brain Killer"</f>
        <v>Brain Killer</v>
      </c>
    </row>
    <row r="5536" spans="1:4" x14ac:dyDescent="0.2">
      <c r="A5536" t="str">
        <f>"5535"</f>
        <v>5535</v>
      </c>
      <c r="B5536" t="str">
        <f>"-0.25"</f>
        <v>-0.25</v>
      </c>
      <c r="C5536" t="str">
        <f>"61"</f>
        <v>61</v>
      </c>
      <c r="D5536" t="str">
        <f>"The Revolt Against Tired Noises"</f>
        <v>The Revolt Against Tired Noises</v>
      </c>
    </row>
    <row r="5537" spans="1:4" x14ac:dyDescent="0.2">
      <c r="A5537" t="str">
        <f>"5536"</f>
        <v>5536</v>
      </c>
      <c r="B5537" t="str">
        <f>"0.16"</f>
        <v>0.16</v>
      </c>
      <c r="C5537" t="str">
        <f>"59"</f>
        <v>59</v>
      </c>
      <c r="D5537" t="str">
        <f>"Sea to Shining Sea"</f>
        <v>Sea to Shining Sea</v>
      </c>
    </row>
    <row r="5538" spans="1:4" x14ac:dyDescent="0.2">
      <c r="A5538" t="str">
        <f>"5537"</f>
        <v>5537</v>
      </c>
      <c r="B5538" t="str">
        <f>"-0.25"</f>
        <v>-0.25</v>
      </c>
      <c r="C5538" t="str">
        <f>"131"</f>
        <v>131</v>
      </c>
      <c r="D5538" t="str">
        <f>"Blue Screen Life"</f>
        <v>Blue Screen Life</v>
      </c>
    </row>
    <row r="5539" spans="1:4" x14ac:dyDescent="0.2">
      <c r="A5539" t="str">
        <f>"5538"</f>
        <v>5538</v>
      </c>
      <c r="B5539" t="str">
        <f>"0.03"</f>
        <v>0.03</v>
      </c>
      <c r="C5539" t="str">
        <f>"119"</f>
        <v>119</v>
      </c>
      <c r="D5539" t="str">
        <f>"At the Speed of Light of Day"</f>
        <v>At the Speed of Light of Day</v>
      </c>
    </row>
    <row r="5540" spans="1:4" x14ac:dyDescent="0.2">
      <c r="A5540" t="str">
        <f>"5539"</f>
        <v>5539</v>
      </c>
      <c r="B5540" t="str">
        <f>"-0.07"</f>
        <v>-0.07</v>
      </c>
      <c r="C5540" t="str">
        <f>"83"</f>
        <v>83</v>
      </c>
      <c r="D5540" t="s">
        <v>200</v>
      </c>
    </row>
    <row r="5541" spans="1:4" x14ac:dyDescent="0.2">
      <c r="A5541" t="str">
        <f>"5540"</f>
        <v>5540</v>
      </c>
      <c r="B5541" t="str">
        <f>"0.2"</f>
        <v>0.2</v>
      </c>
      <c r="C5541" t="str">
        <f>"59"</f>
        <v>59</v>
      </c>
      <c r="D5541" t="str">
        <f>"In the Wire EP"</f>
        <v>In the Wire EP</v>
      </c>
    </row>
    <row r="5542" spans="1:4" x14ac:dyDescent="0.2">
      <c r="A5542" t="str">
        <f>"5541"</f>
        <v>5541</v>
      </c>
      <c r="B5542" t="str">
        <f>"-0.56"</f>
        <v>-0.56</v>
      </c>
      <c r="C5542" t="str">
        <f>"105"</f>
        <v>105</v>
      </c>
      <c r="D5542" t="str">
        <f>"Decline of Day"</f>
        <v>Decline of Day</v>
      </c>
    </row>
    <row r="5543" spans="1:4" x14ac:dyDescent="0.2">
      <c r="A5543" t="str">
        <f>"5542"</f>
        <v>5542</v>
      </c>
      <c r="B5543" t="str">
        <f>"-0.53"</f>
        <v>-0.53</v>
      </c>
      <c r="C5543" t="str">
        <f>"54"</f>
        <v>54</v>
      </c>
      <c r="D5543" t="str">
        <f>"Beat 'Em Up"</f>
        <v>Beat 'Em Up</v>
      </c>
    </row>
    <row r="5544" spans="1:4" x14ac:dyDescent="0.2">
      <c r="A5544" t="str">
        <f>"5543"</f>
        <v>5543</v>
      </c>
      <c r="B5544" t="str">
        <f>"-0.62"</f>
        <v>-0.62</v>
      </c>
      <c r="C5544" t="str">
        <f>"107"</f>
        <v>107</v>
      </c>
      <c r="D5544" t="str">
        <f>"Tribute to Masayuki Takayanagi"</f>
        <v>Tribute to Masayuki Takayanagi</v>
      </c>
    </row>
    <row r="5545" spans="1:4" x14ac:dyDescent="0.2">
      <c r="A5545" t="str">
        <f>"5544"</f>
        <v>5544</v>
      </c>
      <c r="B5545" t="str">
        <f>"0.1"</f>
        <v>0.1</v>
      </c>
      <c r="C5545" t="str">
        <f>"68"</f>
        <v>68</v>
      </c>
      <c r="D5545" t="str">
        <f>"Total Pops Madness EP"</f>
        <v>Total Pops Madness EP</v>
      </c>
    </row>
    <row r="5546" spans="1:4" x14ac:dyDescent="0.2">
      <c r="A5546" t="str">
        <f>"5545"</f>
        <v>5545</v>
      </c>
      <c r="B5546" t="str">
        <f>"0.07"</f>
        <v>0.07</v>
      </c>
      <c r="C5546" t="str">
        <f>"99"</f>
        <v>99</v>
      </c>
      <c r="D5546" t="str">
        <f>"Pretty Together"</f>
        <v>Pretty Together</v>
      </c>
    </row>
    <row r="5547" spans="1:4" x14ac:dyDescent="0.2">
      <c r="A5547" t="str">
        <f>"5546"</f>
        <v>5546</v>
      </c>
      <c r="B5547" t="str">
        <f>"0.08"</f>
        <v>0.08</v>
      </c>
      <c r="C5547" t="str">
        <f>"89"</f>
        <v>89</v>
      </c>
      <c r="D5547" t="str">
        <f>"Bright Flight"</f>
        <v>Bright Flight</v>
      </c>
    </row>
    <row r="5548" spans="1:4" x14ac:dyDescent="0.2">
      <c r="A5548" t="str">
        <f>"5547"</f>
        <v>5547</v>
      </c>
      <c r="B5548" t="str">
        <f>"-0.83"</f>
        <v>-0.83</v>
      </c>
      <c r="C5548" t="str">
        <f>"87"</f>
        <v>87</v>
      </c>
      <c r="D5548" t="str">
        <f>"Learning About Your Scale"</f>
        <v>Learning About Your Scale</v>
      </c>
    </row>
    <row r="5549" spans="1:4" x14ac:dyDescent="0.2">
      <c r="A5549" t="str">
        <f>"5548"</f>
        <v>5548</v>
      </c>
      <c r="B5549" t="str">
        <f>"-0.65"</f>
        <v>-0.65</v>
      </c>
      <c r="C5549" t="str">
        <f>"133"</f>
        <v>133</v>
      </c>
      <c r="D5549" t="str">
        <f>"Insignificance"</f>
        <v>Insignificance</v>
      </c>
    </row>
    <row r="5550" spans="1:4" x14ac:dyDescent="0.2">
      <c r="A5550" t="str">
        <f>"5549"</f>
        <v>5549</v>
      </c>
      <c r="B5550" t="str">
        <f>"0.26"</f>
        <v>0.26</v>
      </c>
      <c r="C5550" t="str">
        <f>"90"</f>
        <v>90</v>
      </c>
      <c r="D5550" t="str">
        <f>"Fugu 1"</f>
        <v>Fugu 1</v>
      </c>
    </row>
    <row r="5551" spans="1:4" x14ac:dyDescent="0.2">
      <c r="A5551" t="str">
        <f>"5550"</f>
        <v>5550</v>
      </c>
      <c r="B5551" t="str">
        <f>"0.27"</f>
        <v>0.27</v>
      </c>
      <c r="C5551" t="str">
        <f>"117"</f>
        <v>117</v>
      </c>
      <c r="D5551" t="str">
        <f>"A Story in White"</f>
        <v>A Story in White</v>
      </c>
    </row>
    <row r="5552" spans="1:4" x14ac:dyDescent="0.2">
      <c r="A5552" t="str">
        <f>"5551"</f>
        <v>5551</v>
      </c>
      <c r="B5552" t="str">
        <f>"-0.65"</f>
        <v>-0.65</v>
      </c>
      <c r="C5552" t="str">
        <f>"81"</f>
        <v>81</v>
      </c>
      <c r="D5552" t="str">
        <f>"The Proud Graduates"</f>
        <v>The Proud Graduates</v>
      </c>
    </row>
    <row r="5553" spans="1:4" x14ac:dyDescent="0.2">
      <c r="A5553" t="str">
        <f>"5552"</f>
        <v>5552</v>
      </c>
      <c r="B5553" t="str">
        <f>"0.17"</f>
        <v>0.17</v>
      </c>
      <c r="C5553" t="str">
        <f>"107"</f>
        <v>107</v>
      </c>
      <c r="D5553" t="str">
        <f>"How I Long to Feel That Summer in My Heart"</f>
        <v>How I Long to Feel That Summer in My Heart</v>
      </c>
    </row>
    <row r="5554" spans="1:4" x14ac:dyDescent="0.2">
      <c r="A5554" t="str">
        <f>"5553"</f>
        <v>5553</v>
      </c>
      <c r="B5554" t="str">
        <f>"-0.14"</f>
        <v>-0.14</v>
      </c>
      <c r="C5554" t="str">
        <f>"73"</f>
        <v>73</v>
      </c>
      <c r="D5554" t="str">
        <f>"Colors of Home"</f>
        <v>Colors of Home</v>
      </c>
    </row>
    <row r="5555" spans="1:4" x14ac:dyDescent="0.2">
      <c r="A5555" t="str">
        <f>"5554"</f>
        <v>5554</v>
      </c>
      <c r="B5555" t="str">
        <f>"0.17"</f>
        <v>0.17</v>
      </c>
      <c r="C5555" t="str">
        <f>"85"</f>
        <v>85</v>
      </c>
      <c r="D5555" t="str">
        <f>"Amethyst Rock Star"</f>
        <v>Amethyst Rock Star</v>
      </c>
    </row>
    <row r="5556" spans="1:4" x14ac:dyDescent="0.2">
      <c r="A5556" t="str">
        <f>"5555"</f>
        <v>5555</v>
      </c>
      <c r="B5556" t="str">
        <f>"0.11"</f>
        <v>0.11</v>
      </c>
      <c r="C5556" t="str">
        <f>"66"</f>
        <v>66</v>
      </c>
      <c r="D5556" t="str">
        <f>"Transform"</f>
        <v>Transform</v>
      </c>
    </row>
    <row r="5557" spans="1:4" x14ac:dyDescent="0.2">
      <c r="A5557" t="str">
        <f>"5556"</f>
        <v>5556</v>
      </c>
      <c r="B5557" t="str">
        <f>"-0.52"</f>
        <v>-0.52</v>
      </c>
      <c r="C5557" t="str">
        <f>"118"</f>
        <v>118</v>
      </c>
      <c r="D5557" t="str">
        <f>"Mandala 2000/Live at Kichijoji Mandala II"</f>
        <v>Mandala 2000/Live at Kichijoji Mandala II</v>
      </c>
    </row>
    <row r="5558" spans="1:4" x14ac:dyDescent="0.2">
      <c r="A5558" t="str">
        <f>"5557"</f>
        <v>5557</v>
      </c>
      <c r="B5558" t="str">
        <f>"-0.23"</f>
        <v>-0.23</v>
      </c>
      <c r="C5558" t="str">
        <f>"94"</f>
        <v>94</v>
      </c>
      <c r="D5558" t="str">
        <f>"Hope That Lines Don't Cross"</f>
        <v>Hope That Lines Don't Cross</v>
      </c>
    </row>
    <row r="5559" spans="1:4" x14ac:dyDescent="0.2">
      <c r="A5559" t="str">
        <f>"5558"</f>
        <v>5558</v>
      </c>
      <c r="B5559" t="str">
        <f>"-0.09"</f>
        <v>-0.09</v>
      </c>
      <c r="C5559" t="str">
        <f>"136"</f>
        <v>136</v>
      </c>
      <c r="D5559" t="s">
        <v>201</v>
      </c>
    </row>
    <row r="5560" spans="1:4" x14ac:dyDescent="0.2">
      <c r="A5560" t="str">
        <f>"5559"</f>
        <v>5559</v>
      </c>
      <c r="B5560" t="str">
        <f>"-0.43"</f>
        <v>-0.43</v>
      </c>
      <c r="C5560" t="str">
        <f>"122"</f>
        <v>122</v>
      </c>
      <c r="D5560" t="str">
        <f>"Seasonally Affective: 1996-2000"</f>
        <v>Seasonally Affective: 1996-2000</v>
      </c>
    </row>
    <row r="5561" spans="1:4" x14ac:dyDescent="0.2">
      <c r="A5561" t="str">
        <f>"5560"</f>
        <v>5560</v>
      </c>
      <c r="B5561" t="str">
        <f>"0.18"</f>
        <v>0.18</v>
      </c>
      <c r="C5561" t="str">
        <f>"97"</f>
        <v>97</v>
      </c>
      <c r="D5561" t="str">
        <f>"Let It Come Down"</f>
        <v>Let It Come Down</v>
      </c>
    </row>
    <row r="5562" spans="1:4" x14ac:dyDescent="0.2">
      <c r="A5562" t="str">
        <f>"5561"</f>
        <v>5561</v>
      </c>
      <c r="B5562" t="str">
        <f>"0.1"</f>
        <v>0.1</v>
      </c>
      <c r="C5562" t="str">
        <f>"84"</f>
        <v>84</v>
      </c>
      <c r="D5562" t="str">
        <f>"Faux Mouvement"</f>
        <v>Faux Mouvement</v>
      </c>
    </row>
    <row r="5563" spans="1:4" x14ac:dyDescent="0.2">
      <c r="A5563" t="str">
        <f>"5562"</f>
        <v>5562</v>
      </c>
      <c r="B5563" t="str">
        <f>"-0.05"</f>
        <v>-0.05</v>
      </c>
      <c r="C5563" t="str">
        <f>"94"</f>
        <v>94</v>
      </c>
      <c r="D5563" t="str">
        <f>"Col. Summers Park"</f>
        <v>Col. Summers Park</v>
      </c>
    </row>
    <row r="5564" spans="1:4" x14ac:dyDescent="0.2">
      <c r="A5564" t="str">
        <f>"5563"</f>
        <v>5563</v>
      </c>
      <c r="B5564" t="str">
        <f>"-0.14"</f>
        <v>-0.14</v>
      </c>
      <c r="C5564" t="str">
        <f>"89"</f>
        <v>89</v>
      </c>
      <c r="D5564" t="str">
        <f>"We Are A&amp;C"</f>
        <v>We Are A&amp;C</v>
      </c>
    </row>
    <row r="5565" spans="1:4" x14ac:dyDescent="0.2">
      <c r="A5565" t="str">
        <f>"5564"</f>
        <v>5564</v>
      </c>
      <c r="B5565" t="str">
        <f>"-0.83"</f>
        <v>-0.83</v>
      </c>
      <c r="C5565" t="str">
        <f>"66"</f>
        <v>66</v>
      </c>
      <c r="D5565" t="str">
        <f>"Stories Part Five"</f>
        <v>Stories Part Five</v>
      </c>
    </row>
    <row r="5566" spans="1:4" x14ac:dyDescent="0.2">
      <c r="A5566" t="str">
        <f>"5565"</f>
        <v>5565</v>
      </c>
      <c r="B5566" t="str">
        <f>"-0.08"</f>
        <v>-0.08</v>
      </c>
      <c r="C5566" t="str">
        <f>"64"</f>
        <v>64</v>
      </c>
      <c r="D5566" t="str">
        <f>"Pity the Fool: Experiments in Therapy Behind the Mask of Music While Handing Out Dummy Smacks"</f>
        <v>Pity the Fool: Experiments in Therapy Behind the Mask of Music While Handing Out Dummy Smacks</v>
      </c>
    </row>
    <row r="5567" spans="1:4" x14ac:dyDescent="0.2">
      <c r="A5567" t="str">
        <f>"5566"</f>
        <v>5566</v>
      </c>
      <c r="B5567" t="str">
        <f>"0.05"</f>
        <v>0.05</v>
      </c>
      <c r="C5567" t="str">
        <f>"88"</f>
        <v>88</v>
      </c>
      <c r="D5567" t="str">
        <f>"Get Ready"</f>
        <v>Get Ready</v>
      </c>
    </row>
    <row r="5568" spans="1:4" x14ac:dyDescent="0.2">
      <c r="A5568" t="str">
        <f>"5567"</f>
        <v>5567</v>
      </c>
      <c r="B5568" t="str">
        <f>"-0.29"</f>
        <v>-0.29</v>
      </c>
      <c r="C5568" t="str">
        <f>"81"</f>
        <v>81</v>
      </c>
      <c r="D5568" t="str">
        <f>"The Golden Age"</f>
        <v>The Golden Age</v>
      </c>
    </row>
    <row r="5569" spans="1:4" x14ac:dyDescent="0.2">
      <c r="A5569" t="str">
        <f>"5568"</f>
        <v>5568</v>
      </c>
      <c r="B5569" t="str">
        <f>"0.65"</f>
        <v>0.65</v>
      </c>
      <c r="C5569" t="str">
        <f>"65"</f>
        <v>65</v>
      </c>
      <c r="D5569" t="str">
        <f>"Strata Frames"</f>
        <v>Strata Frames</v>
      </c>
    </row>
    <row r="5570" spans="1:4" x14ac:dyDescent="0.2">
      <c r="A5570" t="str">
        <f>"5569"</f>
        <v>5569</v>
      </c>
      <c r="B5570" t="str">
        <f>"-0.12"</f>
        <v>-0.12</v>
      </c>
      <c r="C5570" t="str">
        <f>"119"</f>
        <v>119</v>
      </c>
      <c r="D5570" t="str">
        <f>"Now It's Overhead"</f>
        <v>Now It's Overhead</v>
      </c>
    </row>
    <row r="5571" spans="1:4" x14ac:dyDescent="0.2">
      <c r="A5571" t="str">
        <f>"5570"</f>
        <v>5570</v>
      </c>
      <c r="B5571" t="str">
        <f>"0.21"</f>
        <v>0.21</v>
      </c>
      <c r="C5571" t="str">
        <f>"127"</f>
        <v>127</v>
      </c>
      <c r="D5571" t="str">
        <f>"Life Is Full of Possibilities"</f>
        <v>Life Is Full of Possibilities</v>
      </c>
    </row>
    <row r="5572" spans="1:4" x14ac:dyDescent="0.2">
      <c r="A5572" t="str">
        <f>"5571"</f>
        <v>5571</v>
      </c>
      <c r="B5572" t="str">
        <f>"-0.45"</f>
        <v>-0.45</v>
      </c>
      <c r="C5572" t="str">
        <f>"99"</f>
        <v>99</v>
      </c>
      <c r="D5572" t="str">
        <f>"Tomahawk"</f>
        <v>Tomahawk</v>
      </c>
    </row>
    <row r="5573" spans="1:4" x14ac:dyDescent="0.2">
      <c r="A5573" t="str">
        <f>"5572"</f>
        <v>5572</v>
      </c>
      <c r="B5573" t="str">
        <f>"0.65"</f>
        <v>0.65</v>
      </c>
      <c r="C5573" t="str">
        <f>"103"</f>
        <v>103</v>
      </c>
      <c r="D5573" t="str">
        <f>"The Photo Album"</f>
        <v>The Photo Album</v>
      </c>
    </row>
    <row r="5574" spans="1:4" x14ac:dyDescent="0.2">
      <c r="A5574" t="str">
        <f>"5573"</f>
        <v>5573</v>
      </c>
      <c r="B5574" t="str">
        <f>"-0.75"</f>
        <v>-0.75</v>
      </c>
      <c r="C5574" t="str">
        <f>"78"</f>
        <v>78</v>
      </c>
      <c r="D5574" t="str">
        <f>"Pleasure of Ruins"</f>
        <v>Pleasure of Ruins</v>
      </c>
    </row>
    <row r="5575" spans="1:4" x14ac:dyDescent="0.2">
      <c r="A5575" t="str">
        <f>"5574"</f>
        <v>5574</v>
      </c>
      <c r="B5575" t="str">
        <f>"0.04"</f>
        <v>0.04</v>
      </c>
      <c r="C5575" t="str">
        <f>"150"</f>
        <v>150</v>
      </c>
      <c r="D5575" t="str">
        <f>"BBC Sessions +"</f>
        <v>BBC Sessions +</v>
      </c>
    </row>
    <row r="5576" spans="1:4" x14ac:dyDescent="0.2">
      <c r="A5576" t="str">
        <f>"5575"</f>
        <v>5575</v>
      </c>
      <c r="B5576" t="str">
        <f>"0.13"</f>
        <v>0.13</v>
      </c>
      <c r="C5576" t="str">
        <f>"122"</f>
        <v>122</v>
      </c>
      <c r="D5576" t="str">
        <f>"Three Henries"</f>
        <v>Three Henries</v>
      </c>
    </row>
    <row r="5577" spans="1:4" x14ac:dyDescent="0.2">
      <c r="A5577" t="str">
        <f>"5576"</f>
        <v>5576</v>
      </c>
      <c r="B5577" t="str">
        <f>"-0.31"</f>
        <v>-0.31</v>
      </c>
      <c r="C5577" t="str">
        <f>"97"</f>
        <v>97</v>
      </c>
      <c r="D5577" t="str">
        <f>"Scary World Theory"</f>
        <v>Scary World Theory</v>
      </c>
    </row>
    <row r="5578" spans="1:4" x14ac:dyDescent="0.2">
      <c r="A5578" t="str">
        <f>"5577"</f>
        <v>5577</v>
      </c>
      <c r="B5578" t="str">
        <f>"0.66"</f>
        <v>0.66</v>
      </c>
      <c r="C5578" t="str">
        <f>"81"</f>
        <v>81</v>
      </c>
      <c r="D5578" t="str">
        <f>"Ringworm Interiors"</f>
        <v>Ringworm Interiors</v>
      </c>
    </row>
    <row r="5579" spans="1:4" x14ac:dyDescent="0.2">
      <c r="A5579" t="str">
        <f>"5578"</f>
        <v>5578</v>
      </c>
      <c r="B5579" t="str">
        <f>"-0.21"</f>
        <v>-0.21</v>
      </c>
      <c r="C5579" t="str">
        <f>"87"</f>
        <v>87</v>
      </c>
      <c r="D5579" t="s">
        <v>202</v>
      </c>
    </row>
    <row r="5580" spans="1:4" x14ac:dyDescent="0.2">
      <c r="A5580" t="str">
        <f>"5579"</f>
        <v>5579</v>
      </c>
      <c r="B5580" t="str">
        <f>"-0.44"</f>
        <v>-0.44</v>
      </c>
      <c r="C5580" t="str">
        <f>"88"</f>
        <v>88</v>
      </c>
      <c r="D5580" t="str">
        <f>"Sings Reign Rebuilder"</f>
        <v>Sings Reign Rebuilder</v>
      </c>
    </row>
    <row r="5581" spans="1:4" x14ac:dyDescent="0.2">
      <c r="A5581" t="str">
        <f>"5580"</f>
        <v>5580</v>
      </c>
      <c r="B5581" t="str">
        <f>"0.09"</f>
        <v>0.09</v>
      </c>
      <c r="C5581" t="str">
        <f>"69"</f>
        <v>69</v>
      </c>
      <c r="D5581" t="str">
        <f>"Relative Ways EP"</f>
        <v>Relative Ways EP</v>
      </c>
    </row>
    <row r="5582" spans="1:4" x14ac:dyDescent="0.2">
      <c r="A5582" t="str">
        <f>"5581"</f>
        <v>5581</v>
      </c>
      <c r="B5582" t="str">
        <f>"-0.22"</f>
        <v>-0.22</v>
      </c>
      <c r="C5582" t="str">
        <f>"93"</f>
        <v>93</v>
      </c>
      <c r="D5582" t="s">
        <v>203</v>
      </c>
    </row>
    <row r="5583" spans="1:4" x14ac:dyDescent="0.2">
      <c r="A5583" t="str">
        <f>"5582"</f>
        <v>5582</v>
      </c>
      <c r="B5583" t="str">
        <f>"-0.55"</f>
        <v>-0.55</v>
      </c>
      <c r="C5583" t="str">
        <f>"55"</f>
        <v>55</v>
      </c>
      <c r="D5583" t="str">
        <f>"62-56"</f>
        <v>62-56</v>
      </c>
    </row>
    <row r="5584" spans="1:4" x14ac:dyDescent="0.2">
      <c r="A5584" t="str">
        <f>"5583"</f>
        <v>5583</v>
      </c>
      <c r="B5584" t="str">
        <f>"-0.68"</f>
        <v>-0.68</v>
      </c>
      <c r="C5584" t="str">
        <f>"73"</f>
        <v>73</v>
      </c>
      <c r="D5584" t="str">
        <f>"Zeroone"</f>
        <v>Zeroone</v>
      </c>
    </row>
    <row r="5585" spans="1:4" x14ac:dyDescent="0.2">
      <c r="A5585" t="str">
        <f>"5584"</f>
        <v>5584</v>
      </c>
      <c r="B5585" t="str">
        <f>"0.69"</f>
        <v>0.69</v>
      </c>
      <c r="C5585" t="str">
        <f>"101"</f>
        <v>101</v>
      </c>
      <c r="D5585" t="str">
        <f>"The Faces All Look On"</f>
        <v>The Faces All Look On</v>
      </c>
    </row>
    <row r="5586" spans="1:4" x14ac:dyDescent="0.2">
      <c r="A5586" t="str">
        <f>"5585"</f>
        <v>5585</v>
      </c>
      <c r="B5586" t="str">
        <f>"0.57"</f>
        <v>0.57</v>
      </c>
      <c r="C5586" t="str">
        <f>"83"</f>
        <v>83</v>
      </c>
      <c r="D5586" t="str">
        <f>"Levitate"</f>
        <v>Levitate</v>
      </c>
    </row>
    <row r="5587" spans="1:4" x14ac:dyDescent="0.2">
      <c r="A5587" t="str">
        <f>"5586"</f>
        <v>5586</v>
      </c>
      <c r="B5587" t="str">
        <f>"0"</f>
        <v>0</v>
      </c>
      <c r="C5587" t="str">
        <f>"163"</f>
        <v>163</v>
      </c>
      <c r="D5587" t="str">
        <f>"Blood"</f>
        <v>Blood</v>
      </c>
    </row>
    <row r="5588" spans="1:4" x14ac:dyDescent="0.2">
      <c r="A5588" t="str">
        <f>"5587"</f>
        <v>5587</v>
      </c>
      <c r="B5588" t="str">
        <f>"0.05"</f>
        <v>0.05</v>
      </c>
      <c r="C5588" t="str">
        <f>"115"</f>
        <v>115</v>
      </c>
      <c r="D5588" t="str">
        <f>"Tango n' Vectif"</f>
        <v>Tango n' Vectif</v>
      </c>
    </row>
    <row r="5589" spans="1:4" x14ac:dyDescent="0.2">
      <c r="A5589" t="str">
        <f>"5588"</f>
        <v>5588</v>
      </c>
      <c r="B5589" t="str">
        <f>"0.58"</f>
        <v>0.58</v>
      </c>
      <c r="C5589" t="str">
        <f>"70"</f>
        <v>70</v>
      </c>
      <c r="D5589" t="str">
        <f>"Get There"</f>
        <v>Get There</v>
      </c>
    </row>
    <row r="5590" spans="1:4" x14ac:dyDescent="0.2">
      <c r="A5590" t="str">
        <f>"5589"</f>
        <v>5589</v>
      </c>
      <c r="B5590" t="str">
        <f>"0.52"</f>
        <v>0.52</v>
      </c>
      <c r="C5590" t="str">
        <f>"60"</f>
        <v>60</v>
      </c>
      <c r="D5590" t="str">
        <f>"Been Here and Gone"</f>
        <v>Been Here and Gone</v>
      </c>
    </row>
    <row r="5591" spans="1:4" x14ac:dyDescent="0.2">
      <c r="A5591" t="str">
        <f>"5590"</f>
        <v>5590</v>
      </c>
      <c r="B5591" t="str">
        <f>"0.31"</f>
        <v>0.31</v>
      </c>
      <c r="C5591" t="str">
        <f>"94"</f>
        <v>94</v>
      </c>
      <c r="D5591" t="s">
        <v>204</v>
      </c>
    </row>
    <row r="5592" spans="1:4" x14ac:dyDescent="0.2">
      <c r="A5592" t="str">
        <f>"5591"</f>
        <v>5591</v>
      </c>
      <c r="B5592" t="str">
        <f>"0.75"</f>
        <v>0.75</v>
      </c>
      <c r="C5592" t="str">
        <f>"207"</f>
        <v>207</v>
      </c>
      <c r="D5592" t="str">
        <f>"The Complete In a Silent Way Sessions"</f>
        <v>The Complete In a Silent Way Sessions</v>
      </c>
    </row>
    <row r="5593" spans="1:4" x14ac:dyDescent="0.2">
      <c r="A5593" t="str">
        <f>"5592"</f>
        <v>5592</v>
      </c>
      <c r="B5593" t="str">
        <f>"0.39"</f>
        <v>0.39</v>
      </c>
      <c r="C5593" t="str">
        <f>"87"</f>
        <v>87</v>
      </c>
      <c r="D5593" t="str">
        <f>"Mi Sei Apparso Come un Fantasma"</f>
        <v>Mi Sei Apparso Come un Fantasma</v>
      </c>
    </row>
    <row r="5594" spans="1:4" x14ac:dyDescent="0.2">
      <c r="A5594" t="str">
        <f>"5593"</f>
        <v>5593</v>
      </c>
      <c r="B5594" t="str">
        <f>"0.52"</f>
        <v>0.52</v>
      </c>
      <c r="C5594" t="str">
        <f>"51"</f>
        <v>51</v>
      </c>
      <c r="D5594" t="str">
        <f>"Immaterial"</f>
        <v>Immaterial</v>
      </c>
    </row>
    <row r="5595" spans="1:4" x14ac:dyDescent="0.2">
      <c r="A5595" t="str">
        <f>"5594"</f>
        <v>5594</v>
      </c>
      <c r="B5595" t="str">
        <f>"-0.44"</f>
        <v>-0.44</v>
      </c>
      <c r="C5595" t="str">
        <f>"119"</f>
        <v>119</v>
      </c>
      <c r="D5595" t="str">
        <f>"When"</f>
        <v>When</v>
      </c>
    </row>
    <row r="5596" spans="1:4" x14ac:dyDescent="0.2">
      <c r="A5596" t="str">
        <f>"5595"</f>
        <v>5595</v>
      </c>
      <c r="B5596" t="str">
        <f>"0.11"</f>
        <v>0.11</v>
      </c>
      <c r="C5596" t="str">
        <f>"116"</f>
        <v>116</v>
      </c>
      <c r="D5596" t="str">
        <f>"The Blueprint"</f>
        <v>The Blueprint</v>
      </c>
    </row>
    <row r="5597" spans="1:4" x14ac:dyDescent="0.2">
      <c r="A5597" t="str">
        <f>"5596"</f>
        <v>5596</v>
      </c>
      <c r="B5597" t="str">
        <f>"0.06"</f>
        <v>0.06</v>
      </c>
      <c r="C5597" t="str">
        <f>"59"</f>
        <v>59</v>
      </c>
      <c r="D5597" t="str">
        <f>"Makoto Kawabata and Richard Youngs"</f>
        <v>Makoto Kawabata and Richard Youngs</v>
      </c>
    </row>
    <row r="5598" spans="1:4" x14ac:dyDescent="0.2">
      <c r="A5598" t="str">
        <f>"5597"</f>
        <v>5597</v>
      </c>
      <c r="B5598" t="str">
        <f>"0.5"</f>
        <v>0.5</v>
      </c>
      <c r="C5598" t="str">
        <f>"95"</f>
        <v>95</v>
      </c>
      <c r="D5598" t="str">
        <f>"Lilac6"</f>
        <v>Lilac6</v>
      </c>
    </row>
    <row r="5599" spans="1:4" x14ac:dyDescent="0.2">
      <c r="A5599" t="str">
        <f>"5598"</f>
        <v>5598</v>
      </c>
      <c r="B5599" t="str">
        <f>"0.27"</f>
        <v>0.27</v>
      </c>
      <c r="C5599" t="str">
        <f>"64"</f>
        <v>64</v>
      </c>
      <c r="D5599" t="str">
        <f>"Angles Without Edges"</f>
        <v>Angles Without Edges</v>
      </c>
    </row>
    <row r="5600" spans="1:4" x14ac:dyDescent="0.2">
      <c r="A5600" t="str">
        <f>"5599"</f>
        <v>5599</v>
      </c>
      <c r="B5600" t="str">
        <f>"-0.39"</f>
        <v>-0.39</v>
      </c>
      <c r="C5600" t="str">
        <f>"69"</f>
        <v>69</v>
      </c>
      <c r="D5600" t="str">
        <f>"Somniloquy EP"</f>
        <v>Somniloquy EP</v>
      </c>
    </row>
    <row r="5601" spans="1:4" x14ac:dyDescent="0.2">
      <c r="A5601" t="str">
        <f>"5600"</f>
        <v>5600</v>
      </c>
      <c r="B5601" t="str">
        <f>"-0.26"</f>
        <v>-0.26</v>
      </c>
      <c r="C5601" t="str">
        <f>"110"</f>
        <v>110</v>
      </c>
      <c r="D5601" t="str">
        <f>"LU"</f>
        <v>LU</v>
      </c>
    </row>
    <row r="5602" spans="1:4" x14ac:dyDescent="0.2">
      <c r="A5602" t="str">
        <f>"5601"</f>
        <v>5601</v>
      </c>
      <c r="B5602" t="str">
        <f>"-0.27"</f>
        <v>-0.27</v>
      </c>
      <c r="C5602" t="str">
        <f>"86"</f>
        <v>86</v>
      </c>
      <c r="D5602" t="str">
        <f>"Feminist Sweepstakes"</f>
        <v>Feminist Sweepstakes</v>
      </c>
    </row>
    <row r="5603" spans="1:4" x14ac:dyDescent="0.2">
      <c r="A5603" t="str">
        <f>"5602"</f>
        <v>5602</v>
      </c>
      <c r="B5603" t="str">
        <f>"-0.2"</f>
        <v>-0.2</v>
      </c>
      <c r="C5603" t="str">
        <f>"58"</f>
        <v>58</v>
      </c>
      <c r="D5603" t="str">
        <f>"Anthem of the Moon"</f>
        <v>Anthem of the Moon</v>
      </c>
    </row>
    <row r="5604" spans="1:4" x14ac:dyDescent="0.2">
      <c r="A5604" t="str">
        <f>"5603"</f>
        <v>5603</v>
      </c>
      <c r="B5604" t="str">
        <f>"0.44"</f>
        <v>0.44</v>
      </c>
      <c r="C5604" t="str">
        <f>"105"</f>
        <v>105</v>
      </c>
      <c r="D5604" t="str">
        <f>"Ten New Songs"</f>
        <v>Ten New Songs</v>
      </c>
    </row>
    <row r="5605" spans="1:4" x14ac:dyDescent="0.2">
      <c r="A5605" t="str">
        <f>"5604"</f>
        <v>5604</v>
      </c>
      <c r="B5605" t="str">
        <f>"-0.13"</f>
        <v>-0.13</v>
      </c>
      <c r="C5605" t="str">
        <f>"48"</f>
        <v>48</v>
      </c>
      <c r="D5605" t="str">
        <f>"Odd Job Discrimination EP"</f>
        <v>Odd Job Discrimination EP</v>
      </c>
    </row>
    <row r="5606" spans="1:4" x14ac:dyDescent="0.2">
      <c r="A5606" t="str">
        <f>"5605"</f>
        <v>5605</v>
      </c>
      <c r="B5606" t="str">
        <f>"-0.2"</f>
        <v>-0.2</v>
      </c>
      <c r="C5606" t="str">
        <f>"78"</f>
        <v>78</v>
      </c>
      <c r="D5606" t="str">
        <f>"It's 1995"</f>
        <v>It's 1995</v>
      </c>
    </row>
    <row r="5607" spans="1:4" x14ac:dyDescent="0.2">
      <c r="A5607" t="str">
        <f>"5606"</f>
        <v>5606</v>
      </c>
      <c r="B5607" t="str">
        <f>"-0.1"</f>
        <v>-0.1</v>
      </c>
      <c r="C5607" t="str">
        <f>"133"</f>
        <v>133</v>
      </c>
      <c r="D5607" t="str">
        <f>"Incommunicado"</f>
        <v>Incommunicado</v>
      </c>
    </row>
    <row r="5608" spans="1:4" x14ac:dyDescent="0.2">
      <c r="A5608" t="str">
        <f>"5607"</f>
        <v>5607</v>
      </c>
      <c r="B5608" t="str">
        <f>"-0.13"</f>
        <v>-0.13</v>
      </c>
      <c r="C5608" t="str">
        <f>"76"</f>
        <v>76</v>
      </c>
      <c r="D5608" t="str">
        <f>"Please Smile My Noise Bleed"</f>
        <v>Please Smile My Noise Bleed</v>
      </c>
    </row>
    <row r="5609" spans="1:4" x14ac:dyDescent="0.2">
      <c r="A5609" t="str">
        <f>"5608"</f>
        <v>5608</v>
      </c>
      <c r="B5609" t="str">
        <f>"1.3"</f>
        <v>1.3</v>
      </c>
      <c r="C5609" t="str">
        <f>"72"</f>
        <v>72</v>
      </c>
      <c r="D5609" t="str">
        <f>"Kekeland"</f>
        <v>Kekeland</v>
      </c>
    </row>
    <row r="5610" spans="1:4" x14ac:dyDescent="0.2">
      <c r="A5610" t="str">
        <f>"5609"</f>
        <v>5609</v>
      </c>
      <c r="B5610" t="str">
        <f>"-1.23"</f>
        <v>-1.23</v>
      </c>
      <c r="C5610" t="str">
        <f>"63"</f>
        <v>63</v>
      </c>
      <c r="D5610" t="str">
        <f>"Born into Trouble as the Sparks Fly Upward"</f>
        <v>Born into Trouble as the Sparks Fly Upward</v>
      </c>
    </row>
    <row r="5611" spans="1:4" x14ac:dyDescent="0.2">
      <c r="A5611" t="str">
        <f>"5610"</f>
        <v>5610</v>
      </c>
      <c r="B5611" t="str">
        <f>"-0.58"</f>
        <v>-0.58</v>
      </c>
      <c r="C5611" t="str">
        <f>"70"</f>
        <v>70</v>
      </c>
      <c r="D5611" t="str">
        <f>"*"</f>
        <v>*</v>
      </c>
    </row>
    <row r="5612" spans="1:4" x14ac:dyDescent="0.2">
      <c r="A5612" t="str">
        <f>"5611"</f>
        <v>5611</v>
      </c>
      <c r="B5612" t="str">
        <f>"-0.71"</f>
        <v>-0.71</v>
      </c>
      <c r="C5612" t="str">
        <f>"149"</f>
        <v>149</v>
      </c>
      <c r="D5612" t="str">
        <f>"Used Songs: 1973-1980"</f>
        <v>Used Songs: 1973-1980</v>
      </c>
    </row>
    <row r="5613" spans="1:4" x14ac:dyDescent="0.2">
      <c r="A5613" t="str">
        <f>"5612"</f>
        <v>5612</v>
      </c>
      <c r="B5613" t="str">
        <f>"0.22"</f>
        <v>0.22</v>
      </c>
      <c r="C5613" t="str">
        <f>"90"</f>
        <v>90</v>
      </c>
      <c r="D5613" t="str">
        <f>"Once We Were Trees"</f>
        <v>Once We Were Trees</v>
      </c>
    </row>
    <row r="5614" spans="1:4" x14ac:dyDescent="0.2">
      <c r="A5614" t="str">
        <f>"5613"</f>
        <v>5613</v>
      </c>
      <c r="B5614" t="str">
        <f>"0.1"</f>
        <v>0.1</v>
      </c>
      <c r="C5614" t="str">
        <f>"89"</f>
        <v>89</v>
      </c>
      <c r="D5614" t="str">
        <f>"Home Burns"</f>
        <v>Home Burns</v>
      </c>
    </row>
    <row r="5615" spans="1:4" x14ac:dyDescent="0.2">
      <c r="A5615" t="str">
        <f>"5614"</f>
        <v>5614</v>
      </c>
      <c r="B5615" t="str">
        <f>"0.77"</f>
        <v>0.77</v>
      </c>
      <c r="C5615" t="str">
        <f>"102"</f>
        <v>102</v>
      </c>
      <c r="D5615" t="str">
        <f>"Getaway"</f>
        <v>Getaway</v>
      </c>
    </row>
    <row r="5616" spans="1:4" x14ac:dyDescent="0.2">
      <c r="A5616" t="str">
        <f>"5615"</f>
        <v>5615</v>
      </c>
      <c r="B5616" t="str">
        <f>"0.19"</f>
        <v>0.19</v>
      </c>
      <c r="C5616" t="str">
        <f>"64"</f>
        <v>64</v>
      </c>
      <c r="D5616" t="s">
        <v>205</v>
      </c>
    </row>
    <row r="5617" spans="1:4" x14ac:dyDescent="0.2">
      <c r="A5617" t="str">
        <f>"5616"</f>
        <v>5616</v>
      </c>
      <c r="B5617" t="str">
        <f>"0.06"</f>
        <v>0.06</v>
      </c>
      <c r="C5617" t="str">
        <f>"104"</f>
        <v>104</v>
      </c>
      <c r="D5617" t="str">
        <f>"Infectious"</f>
        <v>Infectious</v>
      </c>
    </row>
    <row r="5618" spans="1:4" x14ac:dyDescent="0.2">
      <c r="A5618" t="str">
        <f>"5617"</f>
        <v>5617</v>
      </c>
      <c r="B5618" t="str">
        <f>"-0.48"</f>
        <v>-0.48</v>
      </c>
      <c r="C5618" t="str">
        <f>"107"</f>
        <v>107</v>
      </c>
      <c r="D5618" t="str">
        <f>"Go Forth"</f>
        <v>Go Forth</v>
      </c>
    </row>
    <row r="5619" spans="1:4" x14ac:dyDescent="0.2">
      <c r="A5619" t="str">
        <f>"5618"</f>
        <v>5618</v>
      </c>
      <c r="B5619" t="str">
        <f>"0.08"</f>
        <v>0.08</v>
      </c>
      <c r="C5619" t="str">
        <f>"31"</f>
        <v>31</v>
      </c>
      <c r="D5619" t="str">
        <f>"Call and Response"</f>
        <v>Call and Response</v>
      </c>
    </row>
    <row r="5620" spans="1:4" x14ac:dyDescent="0.2">
      <c r="A5620" t="str">
        <f>"5619"</f>
        <v>5619</v>
      </c>
      <c r="B5620" t="str">
        <f>"0.13"</f>
        <v>0.13</v>
      </c>
      <c r="C5620" t="str">
        <f>"67"</f>
        <v>67</v>
      </c>
      <c r="D5620" t="str">
        <f>"Bosco and Jorge"</f>
        <v>Bosco and Jorge</v>
      </c>
    </row>
    <row r="5621" spans="1:4" x14ac:dyDescent="0.2">
      <c r="A5621" t="str">
        <f>"5620"</f>
        <v>5620</v>
      </c>
      <c r="B5621" t="str">
        <f>"-0.35"</f>
        <v>-0.35</v>
      </c>
      <c r="C5621" t="str">
        <f>"94"</f>
        <v>94</v>
      </c>
      <c r="D5621" t="str">
        <f>"My Father My King EP"</f>
        <v>My Father My King EP</v>
      </c>
    </row>
    <row r="5622" spans="1:4" x14ac:dyDescent="0.2">
      <c r="A5622" t="str">
        <f>"5621"</f>
        <v>5621</v>
      </c>
      <c r="B5622" t="str">
        <f>"-0.02"</f>
        <v>-0.02</v>
      </c>
      <c r="C5622" t="str">
        <f>"48"</f>
        <v>48</v>
      </c>
      <c r="D5622" t="str">
        <f>"Lucy Ford: The Atmosphere EPs"</f>
        <v>Lucy Ford: The Atmosphere EPs</v>
      </c>
    </row>
    <row r="5623" spans="1:4" x14ac:dyDescent="0.2">
      <c r="A5623" t="str">
        <f>"5622"</f>
        <v>5622</v>
      </c>
      <c r="B5623" t="str">
        <f>"0.64"</f>
        <v>0.64</v>
      </c>
      <c r="C5623" t="str">
        <f>"71"</f>
        <v>71</v>
      </c>
      <c r="D5623" t="str">
        <f>"Double Exposure EP"</f>
        <v>Double Exposure EP</v>
      </c>
    </row>
    <row r="5624" spans="1:4" x14ac:dyDescent="0.2">
      <c r="A5624" t="str">
        <f>"5623"</f>
        <v>5623</v>
      </c>
      <c r="B5624" t="str">
        <f>"-0.37"</f>
        <v>-0.37</v>
      </c>
      <c r="C5624" t="str">
        <f>"94"</f>
        <v>94</v>
      </c>
      <c r="D5624" t="str">
        <f>"The Sea is Fierce EP"</f>
        <v>The Sea is Fierce EP</v>
      </c>
    </row>
    <row r="5625" spans="1:4" x14ac:dyDescent="0.2">
      <c r="A5625" t="str">
        <f>"5624"</f>
        <v>5624</v>
      </c>
      <c r="B5625" t="str">
        <f>"-0.08"</f>
        <v>-0.08</v>
      </c>
      <c r="C5625" t="str">
        <f>"126"</f>
        <v>126</v>
      </c>
      <c r="D5625" t="str">
        <f>"The Coast is Never Clear"</f>
        <v>The Coast is Never Clear</v>
      </c>
    </row>
    <row r="5626" spans="1:4" x14ac:dyDescent="0.2">
      <c r="A5626" t="str">
        <f>"5625"</f>
        <v>5625</v>
      </c>
      <c r="B5626" t="str">
        <f>"0.9"</f>
        <v>0.9</v>
      </c>
      <c r="C5626" t="str">
        <f>"74"</f>
        <v>74</v>
      </c>
      <c r="D5626" t="str">
        <f>"Music Typewriter"</f>
        <v>Music Typewriter</v>
      </c>
    </row>
    <row r="5627" spans="1:4" x14ac:dyDescent="0.2">
      <c r="A5627" t="str">
        <f>"5626"</f>
        <v>5626</v>
      </c>
      <c r="B5627" t="str">
        <f>"-0.08"</f>
        <v>-0.08</v>
      </c>
      <c r="C5627" t="str">
        <f>"66"</f>
        <v>66</v>
      </c>
      <c r="D5627" t="str">
        <f>"Give It to Her"</f>
        <v>Give It to Her</v>
      </c>
    </row>
    <row r="5628" spans="1:4" x14ac:dyDescent="0.2">
      <c r="A5628" t="str">
        <f>"5627"</f>
        <v>5627</v>
      </c>
      <c r="B5628" t="str">
        <f>"-0.19"</f>
        <v>-0.19</v>
      </c>
      <c r="C5628" t="str">
        <f>"67"</f>
        <v>67</v>
      </c>
      <c r="D5628" t="str">
        <f>"Zacks"</f>
        <v>Zacks</v>
      </c>
    </row>
    <row r="5629" spans="1:4" x14ac:dyDescent="0.2">
      <c r="A5629" t="str">
        <f>"5628"</f>
        <v>5628</v>
      </c>
      <c r="B5629" t="str">
        <f>"-0.16"</f>
        <v>-0.16</v>
      </c>
      <c r="C5629" t="str">
        <f>"90"</f>
        <v>90</v>
      </c>
      <c r="D5629" t="str">
        <f>"Immediate Action"</f>
        <v>Immediate Action</v>
      </c>
    </row>
    <row r="5630" spans="1:4" x14ac:dyDescent="0.2">
      <c r="A5630" t="str">
        <f>"5629"</f>
        <v>5629</v>
      </c>
      <c r="B5630" t="str">
        <f>"-0.18"</f>
        <v>-0.18</v>
      </c>
      <c r="C5630" t="str">
        <f>"115"</f>
        <v>115</v>
      </c>
      <c r="D5630" t="str">
        <f>"Drukqs"</f>
        <v>Drukqs</v>
      </c>
    </row>
    <row r="5631" spans="1:4" x14ac:dyDescent="0.2">
      <c r="A5631" t="str">
        <f>"5630"</f>
        <v>5630</v>
      </c>
      <c r="B5631" t="str">
        <f>"-0.61"</f>
        <v>-0.61</v>
      </c>
      <c r="C5631" t="str">
        <f>"129"</f>
        <v>129</v>
      </c>
      <c r="D5631" t="str">
        <f>"Blueprint for a Sunrise"</f>
        <v>Blueprint for a Sunrise</v>
      </c>
    </row>
    <row r="5632" spans="1:4" x14ac:dyDescent="0.2">
      <c r="A5632" t="str">
        <f>"5631"</f>
        <v>5631</v>
      </c>
      <c r="B5632" t="str">
        <f>"0.26"</f>
        <v>0.26</v>
      </c>
      <c r="C5632" t="str">
        <f>"120"</f>
        <v>120</v>
      </c>
      <c r="D5632" t="str">
        <f>"Zoo Sounds and Destructovision EP"</f>
        <v>Zoo Sounds and Destructovision EP</v>
      </c>
    </row>
    <row r="5633" spans="1:4" x14ac:dyDescent="0.2">
      <c r="A5633" t="str">
        <f>"5632"</f>
        <v>5632</v>
      </c>
      <c r="B5633" t="str">
        <f>"-0.25"</f>
        <v>-0.25</v>
      </c>
      <c r="C5633" t="str">
        <f>"117"</f>
        <v>117</v>
      </c>
      <c r="D5633" t="str">
        <f>"Sun Blindness Music"</f>
        <v>Sun Blindness Music</v>
      </c>
    </row>
    <row r="5634" spans="1:4" x14ac:dyDescent="0.2">
      <c r="A5634" t="str">
        <f>"5633"</f>
        <v>5633</v>
      </c>
      <c r="B5634" t="str">
        <f>"0.76"</f>
        <v>0.76</v>
      </c>
      <c r="C5634" t="str">
        <f>"87"</f>
        <v>87</v>
      </c>
      <c r="D5634" t="str">
        <f>"Heavenly vs. Satan"</f>
        <v>Heavenly vs. Satan</v>
      </c>
    </row>
    <row r="5635" spans="1:4" x14ac:dyDescent="0.2">
      <c r="A5635" t="str">
        <f>"5634"</f>
        <v>5634</v>
      </c>
      <c r="B5635" t="str">
        <f>"-0.09"</f>
        <v>-0.09</v>
      </c>
      <c r="C5635" t="str">
        <f>"76"</f>
        <v>76</v>
      </c>
      <c r="D5635" t="str">
        <f>"Early Recordings"</f>
        <v>Early Recordings</v>
      </c>
    </row>
    <row r="5636" spans="1:4" x14ac:dyDescent="0.2">
      <c r="A5636" t="str">
        <f>"5635"</f>
        <v>5635</v>
      </c>
      <c r="B5636" t="str">
        <f>"1.12"</f>
        <v>1.12</v>
      </c>
      <c r="C5636" t="str">
        <f>"86"</f>
        <v>86</v>
      </c>
      <c r="D5636" t="str">
        <f>"P.S. You Love Me"</f>
        <v>P.S. You Love Me</v>
      </c>
    </row>
    <row r="5637" spans="1:4" x14ac:dyDescent="0.2">
      <c r="A5637" t="str">
        <f>"5636"</f>
        <v>5636</v>
      </c>
      <c r="B5637" t="str">
        <f>"0.29"</f>
        <v>0.29</v>
      </c>
      <c r="C5637" t="str">
        <f>"75"</f>
        <v>75</v>
      </c>
      <c r="D5637" t="str">
        <f>"Pia"</f>
        <v>Pia</v>
      </c>
    </row>
    <row r="5638" spans="1:4" x14ac:dyDescent="0.2">
      <c r="A5638" t="str">
        <f>"5637"</f>
        <v>5637</v>
      </c>
      <c r="B5638" t="str">
        <f>"-0.25"</f>
        <v>-0.25</v>
      </c>
      <c r="C5638" t="str">
        <f>"73"</f>
        <v>73</v>
      </c>
      <c r="D5638" t="str">
        <f>"Enjoy Your Rabbit"</f>
        <v>Enjoy Your Rabbit</v>
      </c>
    </row>
    <row r="5639" spans="1:4" x14ac:dyDescent="0.2">
      <c r="A5639" t="str">
        <f>"5638"</f>
        <v>5638</v>
      </c>
      <c r="B5639" t="str">
        <f>"0.14"</f>
        <v>0.14</v>
      </c>
      <c r="C5639" t="str">
        <f>"101"</f>
        <v>101</v>
      </c>
      <c r="D5639" t="str">
        <f>"Change"</f>
        <v>Change</v>
      </c>
    </row>
    <row r="5640" spans="1:4" x14ac:dyDescent="0.2">
      <c r="A5640" t="str">
        <f>"5639"</f>
        <v>5639</v>
      </c>
      <c r="B5640" t="str">
        <f>"0.55"</f>
        <v>0.55</v>
      </c>
      <c r="C5640" t="str">
        <f>"58"</f>
        <v>58</v>
      </c>
      <c r="D5640" t="str">
        <f>"Put Your Gloves On and Wave"</f>
        <v>Put Your Gloves On and Wave</v>
      </c>
    </row>
    <row r="5641" spans="1:4" x14ac:dyDescent="0.2">
      <c r="A5641" t="str">
        <f>"5640"</f>
        <v>5640</v>
      </c>
      <c r="B5641" t="str">
        <f>"-0.17"</f>
        <v>-0.17</v>
      </c>
      <c r="C5641" t="str">
        <f>"78"</f>
        <v>78</v>
      </c>
      <c r="D5641" t="str">
        <f>"Owls"</f>
        <v>Owls</v>
      </c>
    </row>
    <row r="5642" spans="1:4" x14ac:dyDescent="0.2">
      <c r="A5642" t="str">
        <f>"5641"</f>
        <v>5641</v>
      </c>
      <c r="B5642" t="str">
        <f>"0.04"</f>
        <v>0.04</v>
      </c>
      <c r="C5642" t="str">
        <f>"68"</f>
        <v>68</v>
      </c>
      <c r="D5642" t="str">
        <f>"Distance and Clime"</f>
        <v>Distance and Clime</v>
      </c>
    </row>
    <row r="5643" spans="1:4" x14ac:dyDescent="0.2">
      <c r="A5643" t="str">
        <f>"5642"</f>
        <v>5642</v>
      </c>
      <c r="B5643" t="str">
        <f>"0.13"</f>
        <v>0.13</v>
      </c>
      <c r="C5643" t="str">
        <f>"70"</f>
        <v>70</v>
      </c>
      <c r="D5643" t="str">
        <f>"A Difficult Future"</f>
        <v>A Difficult Future</v>
      </c>
    </row>
    <row r="5644" spans="1:4" x14ac:dyDescent="0.2">
      <c r="A5644" t="str">
        <f>"5643"</f>
        <v>5643</v>
      </c>
      <c r="B5644" t="str">
        <f>"0.28"</f>
        <v>0.28</v>
      </c>
      <c r="C5644" t="str">
        <f>"75"</f>
        <v>75</v>
      </c>
      <c r="D5644" t="str">
        <f>"Visitor Jim"</f>
        <v>Visitor Jim</v>
      </c>
    </row>
    <row r="5645" spans="1:4" x14ac:dyDescent="0.2">
      <c r="A5645" t="str">
        <f>"5644"</f>
        <v>5644</v>
      </c>
      <c r="B5645" t="str">
        <f>"-0.01"</f>
        <v>-0.01</v>
      </c>
      <c r="C5645" t="str">
        <f>"119"</f>
        <v>119</v>
      </c>
      <c r="D5645" t="str">
        <f>"The Mission Statement"</f>
        <v>The Mission Statement</v>
      </c>
    </row>
    <row r="5646" spans="1:4" x14ac:dyDescent="0.2">
      <c r="A5646" t="str">
        <f>"5645"</f>
        <v>5645</v>
      </c>
      <c r="B5646" t="str">
        <f>"0.4"</f>
        <v>0.4</v>
      </c>
      <c r="C5646" t="str">
        <f>"125"</f>
        <v>125</v>
      </c>
      <c r="D5646" t="str">
        <f>"The Argument"</f>
        <v>The Argument</v>
      </c>
    </row>
    <row r="5647" spans="1:4" x14ac:dyDescent="0.2">
      <c r="A5647" t="str">
        <f>"5646"</f>
        <v>5646</v>
      </c>
      <c r="B5647" t="str">
        <f>"0.25"</f>
        <v>0.25</v>
      </c>
      <c r="C5647" t="str">
        <f>"100"</f>
        <v>100</v>
      </c>
      <c r="D5647" t="str">
        <f>"Bless You"</f>
        <v>Bless You</v>
      </c>
    </row>
    <row r="5648" spans="1:4" x14ac:dyDescent="0.2">
      <c r="A5648" t="str">
        <f>"5647"</f>
        <v>5647</v>
      </c>
      <c r="B5648" t="str">
        <f>"0.41"</f>
        <v>0.41</v>
      </c>
      <c r="C5648" t="str">
        <f>"163"</f>
        <v>163</v>
      </c>
      <c r="D5648" t="str">
        <f>"Sing along with Los Straitjackets"</f>
        <v>Sing along with Los Straitjackets</v>
      </c>
    </row>
    <row r="5649" spans="1:4" x14ac:dyDescent="0.2">
      <c r="A5649" t="str">
        <f>"5648"</f>
        <v>5648</v>
      </c>
      <c r="B5649" t="str">
        <f>"0.63"</f>
        <v>0.63</v>
      </c>
      <c r="C5649" t="str">
        <f>"111"</f>
        <v>111</v>
      </c>
      <c r="D5649" t="str">
        <f>"I Believe"</f>
        <v>I Believe</v>
      </c>
    </row>
    <row r="5650" spans="1:4" x14ac:dyDescent="0.2">
      <c r="A5650" t="str">
        <f>"5649"</f>
        <v>5649</v>
      </c>
      <c r="B5650" t="str">
        <f>"0.84"</f>
        <v>0.84</v>
      </c>
      <c r="C5650" t="str">
        <f>"90"</f>
        <v>90</v>
      </c>
      <c r="D5650" t="str">
        <f>"Happiness"</f>
        <v>Happiness</v>
      </c>
    </row>
    <row r="5651" spans="1:4" x14ac:dyDescent="0.2">
      <c r="A5651" t="str">
        <f>"5650"</f>
        <v>5650</v>
      </c>
      <c r="B5651" t="str">
        <f>"-0.12"</f>
        <v>-0.12</v>
      </c>
      <c r="C5651" t="str">
        <f>"122"</f>
        <v>122</v>
      </c>
      <c r="D5651" t="str">
        <f>"A Ritual Loop"</f>
        <v>A Ritual Loop</v>
      </c>
    </row>
    <row r="5652" spans="1:4" x14ac:dyDescent="0.2">
      <c r="A5652" t="str">
        <f>"5651"</f>
        <v>5651</v>
      </c>
      <c r="B5652" t="str">
        <f>"-0.68"</f>
        <v>-0.68</v>
      </c>
      <c r="C5652" t="str">
        <f>"112"</f>
        <v>112</v>
      </c>
      <c r="D5652" t="str">
        <f>"The Grand Pecking Order"</f>
        <v>The Grand Pecking Order</v>
      </c>
    </row>
    <row r="5653" spans="1:4" x14ac:dyDescent="0.2">
      <c r="A5653" t="str">
        <f>"5652"</f>
        <v>5652</v>
      </c>
      <c r="B5653" t="str">
        <f>"0.36"</f>
        <v>0.36</v>
      </c>
      <c r="C5653" t="str">
        <f>"72"</f>
        <v>72</v>
      </c>
      <c r="D5653" t="str">
        <f>"Games at High Speeds"</f>
        <v>Games at High Speeds</v>
      </c>
    </row>
    <row r="5654" spans="1:4" x14ac:dyDescent="0.2">
      <c r="A5654" t="str">
        <f>"5653"</f>
        <v>5653</v>
      </c>
      <c r="B5654" t="str">
        <f>"0.06"</f>
        <v>0.06</v>
      </c>
      <c r="C5654" t="str">
        <f>"96"</f>
        <v>96</v>
      </c>
      <c r="D5654" t="str">
        <f>"Bayou Paradis"</f>
        <v>Bayou Paradis</v>
      </c>
    </row>
    <row r="5655" spans="1:4" x14ac:dyDescent="0.2">
      <c r="A5655" t="str">
        <f>"5654"</f>
        <v>5654</v>
      </c>
      <c r="B5655" t="str">
        <f>"0.88"</f>
        <v>0.88</v>
      </c>
      <c r="C5655" t="str">
        <f>"56"</f>
        <v>56</v>
      </c>
      <c r="D5655" t="str">
        <f>"Arena Hostile EP"</f>
        <v>Arena Hostile EP</v>
      </c>
    </row>
    <row r="5656" spans="1:4" x14ac:dyDescent="0.2">
      <c r="A5656" t="str">
        <f>"5655"</f>
        <v>5655</v>
      </c>
      <c r="B5656" t="str">
        <f>"0.24"</f>
        <v>0.24</v>
      </c>
      <c r="C5656" t="str">
        <f>"89"</f>
        <v>89</v>
      </c>
      <c r="D5656" t="str">
        <f>"The Carnivorous Lunar Activities of..."</f>
        <v>The Carnivorous Lunar Activities of...</v>
      </c>
    </row>
    <row r="5657" spans="1:4" x14ac:dyDescent="0.2">
      <c r="A5657" t="str">
        <f>"5656"</f>
        <v>5656</v>
      </c>
      <c r="B5657" t="str">
        <f>"-0.15"</f>
        <v>-0.15</v>
      </c>
      <c r="C5657" t="str">
        <f>"82"</f>
        <v>82</v>
      </c>
      <c r="D5657" t="str">
        <f>"Retrofitting"</f>
        <v>Retrofitting</v>
      </c>
    </row>
    <row r="5658" spans="1:4" x14ac:dyDescent="0.2">
      <c r="A5658" t="str">
        <f>"5657"</f>
        <v>5657</v>
      </c>
      <c r="B5658" t="str">
        <f>"0.03"</f>
        <v>0.03</v>
      </c>
      <c r="C5658" t="str">
        <f>"91"</f>
        <v>91</v>
      </c>
      <c r="D5658" t="str">
        <f>"One Day I'll Be on Time"</f>
        <v>One Day I'll Be on Time</v>
      </c>
    </row>
    <row r="5659" spans="1:4" x14ac:dyDescent="0.2">
      <c r="A5659" t="str">
        <f>"5658"</f>
        <v>5658</v>
      </c>
      <c r="B5659" t="str">
        <f>"0.48"</f>
        <v>0.48</v>
      </c>
      <c r="C5659" t="str">
        <f>"103"</f>
        <v>103</v>
      </c>
      <c r="D5659" t="str">
        <f>"Need New Body"</f>
        <v>Need New Body</v>
      </c>
    </row>
    <row r="5660" spans="1:4" x14ac:dyDescent="0.2">
      <c r="A5660" t="str">
        <f>"5659"</f>
        <v>5659</v>
      </c>
      <c r="B5660" t="str">
        <f>"-0.44"</f>
        <v>-0.44</v>
      </c>
      <c r="C5660" t="str">
        <f>"118"</f>
        <v>118</v>
      </c>
      <c r="D5660" t="str">
        <f>"Triple Point"</f>
        <v>Triple Point</v>
      </c>
    </row>
    <row r="5661" spans="1:4" x14ac:dyDescent="0.2">
      <c r="A5661" t="str">
        <f>"5660"</f>
        <v>5660</v>
      </c>
      <c r="B5661" t="str">
        <f>"-0.15"</f>
        <v>-0.15</v>
      </c>
      <c r="C5661" t="str">
        <f>"129"</f>
        <v>129</v>
      </c>
      <c r="D5661" t="str">
        <f>"The Olatunji Concert: The Last Live Recording"</f>
        <v>The Olatunji Concert: The Last Live Recording</v>
      </c>
    </row>
    <row r="5662" spans="1:4" x14ac:dyDescent="0.2">
      <c r="A5662" t="str">
        <f>"5661"</f>
        <v>5661</v>
      </c>
      <c r="B5662" t="str">
        <f>"0.01"</f>
        <v>0.01</v>
      </c>
      <c r="C5662" t="str">
        <f>"88"</f>
        <v>88</v>
      </c>
      <c r="D5662" t="s">
        <v>206</v>
      </c>
    </row>
    <row r="5663" spans="1:4" x14ac:dyDescent="0.2">
      <c r="A5663" t="str">
        <f>"5662"</f>
        <v>5662</v>
      </c>
      <c r="B5663" t="str">
        <f>"-0.3"</f>
        <v>-0.3</v>
      </c>
      <c r="C5663" t="str">
        <f>"82"</f>
        <v>82</v>
      </c>
      <c r="D5663" t="str">
        <f>"Oceanless"</f>
        <v>Oceanless</v>
      </c>
    </row>
    <row r="5664" spans="1:4" x14ac:dyDescent="0.2">
      <c r="A5664" t="str">
        <f>"5663"</f>
        <v>5663</v>
      </c>
      <c r="B5664" t="str">
        <f>"-0.48"</f>
        <v>-0.48</v>
      </c>
      <c r="C5664" t="str">
        <f>"89"</f>
        <v>89</v>
      </c>
      <c r="D5664" t="str">
        <f>"The National"</f>
        <v>The National</v>
      </c>
    </row>
    <row r="5665" spans="1:4" x14ac:dyDescent="0.2">
      <c r="A5665" t="str">
        <f>"5664"</f>
        <v>5664</v>
      </c>
      <c r="B5665" t="str">
        <f>"-0.08"</f>
        <v>-0.08</v>
      </c>
      <c r="C5665" t="str">
        <f>"71"</f>
        <v>71</v>
      </c>
      <c r="D5665" t="str">
        <f>"My Red Scare"</f>
        <v>My Red Scare</v>
      </c>
    </row>
    <row r="5666" spans="1:4" x14ac:dyDescent="0.2">
      <c r="A5666" t="str">
        <f>"5665"</f>
        <v>5665</v>
      </c>
      <c r="B5666" t="str">
        <f>"0.33"</f>
        <v>0.33</v>
      </c>
      <c r="C5666" t="str">
        <f>"105"</f>
        <v>105</v>
      </c>
      <c r="D5666" t="str">
        <f>"Is This It"</f>
        <v>Is This It</v>
      </c>
    </row>
    <row r="5667" spans="1:4" x14ac:dyDescent="0.2">
      <c r="A5667" t="str">
        <f>"5666"</f>
        <v>5666</v>
      </c>
      <c r="B5667" t="str">
        <f>"0.08"</f>
        <v>0.08</v>
      </c>
      <c r="C5667" t="str">
        <f>"70"</f>
        <v>70</v>
      </c>
      <c r="D5667" t="str">
        <f>"Chemistry Is What We Are"</f>
        <v>Chemistry Is What We Are</v>
      </c>
    </row>
    <row r="5668" spans="1:4" x14ac:dyDescent="0.2">
      <c r="A5668" t="str">
        <f>"5667"</f>
        <v>5667</v>
      </c>
      <c r="B5668" t="str">
        <f>"0.39"</f>
        <v>0.39</v>
      </c>
      <c r="C5668" t="str">
        <f>"99"</f>
        <v>99</v>
      </c>
      <c r="D5668" t="str">
        <f>"Choreographed Man of War"</f>
        <v>Choreographed Man of War</v>
      </c>
    </row>
    <row r="5669" spans="1:4" x14ac:dyDescent="0.2">
      <c r="A5669" t="str">
        <f>"5668"</f>
        <v>5668</v>
      </c>
      <c r="B5669" t="str">
        <f>"-0.64"</f>
        <v>-0.64</v>
      </c>
      <c r="C5669" t="str">
        <f>"93"</f>
        <v>93</v>
      </c>
      <c r="D5669" t="str">
        <f>"Hey! Bob! My Friend!"</f>
        <v>Hey! Bob! My Friend!</v>
      </c>
    </row>
    <row r="5670" spans="1:4" x14ac:dyDescent="0.2">
      <c r="A5670" t="str">
        <f>"5669"</f>
        <v>5669</v>
      </c>
      <c r="B5670" t="str">
        <f>"0.27"</f>
        <v>0.27</v>
      </c>
      <c r="C5670" t="str">
        <f>"68"</f>
        <v>68</v>
      </c>
      <c r="D5670" t="str">
        <f>"Find Your Home"</f>
        <v>Find Your Home</v>
      </c>
    </row>
    <row r="5671" spans="1:4" x14ac:dyDescent="0.2">
      <c r="A5671" t="str">
        <f>"5670"</f>
        <v>5670</v>
      </c>
      <c r="B5671" t="str">
        <f>"-0.14"</f>
        <v>-0.14</v>
      </c>
      <c r="C5671" t="str">
        <f>"95"</f>
        <v>95</v>
      </c>
      <c r="D5671" t="str">
        <f>"Change Is on Its Way"</f>
        <v>Change Is on Its Way</v>
      </c>
    </row>
    <row r="5672" spans="1:4" x14ac:dyDescent="0.2">
      <c r="A5672" t="str">
        <f>"5671"</f>
        <v>5671</v>
      </c>
      <c r="B5672" t="str">
        <f>"-0.92"</f>
        <v>-0.92</v>
      </c>
      <c r="C5672" t="str">
        <f>"150"</f>
        <v>150</v>
      </c>
      <c r="D5672" t="str">
        <f>"Carnival Folklore Resurrection 7: Libyan Dream"</f>
        <v>Carnival Folklore Resurrection 7: Libyan Dream</v>
      </c>
    </row>
    <row r="5673" spans="1:4" x14ac:dyDescent="0.2">
      <c r="A5673" t="str">
        <f>"5672"</f>
        <v>5672</v>
      </c>
      <c r="B5673" t="str">
        <f>"0"</f>
        <v>0</v>
      </c>
      <c r="C5673" t="str">
        <f>"96"</f>
        <v>96</v>
      </c>
      <c r="D5673" t="str">
        <f>"The Worst of..."</f>
        <v>The Worst of...</v>
      </c>
    </row>
    <row r="5674" spans="1:4" x14ac:dyDescent="0.2">
      <c r="A5674" t="str">
        <f>"5673"</f>
        <v>5673</v>
      </c>
      <c r="B5674" t="str">
        <f>"0.32"</f>
        <v>0.32</v>
      </c>
      <c r="C5674" t="str">
        <f>"159"</f>
        <v>159</v>
      </c>
      <c r="D5674" t="s">
        <v>207</v>
      </c>
    </row>
    <row r="5675" spans="1:4" x14ac:dyDescent="0.2">
      <c r="A5675" t="str">
        <f>"5674"</f>
        <v>5674</v>
      </c>
      <c r="B5675" t="str">
        <f>"0.13"</f>
        <v>0.13</v>
      </c>
      <c r="C5675" t="str">
        <f>"79"</f>
        <v>79</v>
      </c>
      <c r="D5675" t="str">
        <f>"Fahrenheit Fair Enough"</f>
        <v>Fahrenheit Fair Enough</v>
      </c>
    </row>
    <row r="5676" spans="1:4" x14ac:dyDescent="0.2">
      <c r="A5676" t="str">
        <f>"5675"</f>
        <v>5675</v>
      </c>
      <c r="B5676" t="str">
        <f>"-0.03"</f>
        <v>-0.03</v>
      </c>
      <c r="C5676" t="str">
        <f>"100"</f>
        <v>100</v>
      </c>
      <c r="D5676" t="str">
        <f>"Corridors and Parallels"</f>
        <v>Corridors and Parallels</v>
      </c>
    </row>
    <row r="5677" spans="1:4" x14ac:dyDescent="0.2">
      <c r="A5677" t="str">
        <f>"5676"</f>
        <v>5676</v>
      </c>
      <c r="B5677" t="str">
        <f>"0.43"</f>
        <v>0.43</v>
      </c>
      <c r="C5677" t="str">
        <f>"101"</f>
        <v>101</v>
      </c>
      <c r="D5677" t="str">
        <f>"Wonder Wonder"</f>
        <v>Wonder Wonder</v>
      </c>
    </row>
    <row r="5678" spans="1:4" x14ac:dyDescent="0.2">
      <c r="A5678" t="str">
        <f>"5677"</f>
        <v>5677</v>
      </c>
      <c r="B5678" t="str">
        <f>"-0.32"</f>
        <v>-0.32</v>
      </c>
      <c r="C5678" t="str">
        <f>"63"</f>
        <v>63</v>
      </c>
      <c r="D5678" t="str">
        <f>"The Silver Sound Sessions EP"</f>
        <v>The Silver Sound Sessions EP</v>
      </c>
    </row>
    <row r="5679" spans="1:4" x14ac:dyDescent="0.2">
      <c r="A5679" t="str">
        <f>"5678"</f>
        <v>5678</v>
      </c>
      <c r="B5679" t="str">
        <f>"-0.04"</f>
        <v>-0.04</v>
      </c>
      <c r="C5679" t="str">
        <f>"81"</f>
        <v>81</v>
      </c>
      <c r="D5679" t="str">
        <f>"The Fugue in the Fog"</f>
        <v>The Fugue in the Fog</v>
      </c>
    </row>
    <row r="5680" spans="1:4" x14ac:dyDescent="0.2">
      <c r="A5680" t="str">
        <f>"5679"</f>
        <v>5679</v>
      </c>
      <c r="B5680" t="str">
        <f>"0.23"</f>
        <v>0.23</v>
      </c>
      <c r="C5680" t="str">
        <f>"78"</f>
        <v>78</v>
      </c>
      <c r="D5680" t="str">
        <f>"Here's to Shutting Up"</f>
        <v>Here's to Shutting Up</v>
      </c>
    </row>
    <row r="5681" spans="1:4" x14ac:dyDescent="0.2">
      <c r="A5681" t="str">
        <f>"5680"</f>
        <v>5680</v>
      </c>
      <c r="B5681" t="str">
        <f>"0.34"</f>
        <v>0.34</v>
      </c>
      <c r="C5681" t="str">
        <f>"76"</f>
        <v>76</v>
      </c>
      <c r="D5681" t="str">
        <f>"The Apology Wars"</f>
        <v>The Apology Wars</v>
      </c>
    </row>
    <row r="5682" spans="1:4" x14ac:dyDescent="0.2">
      <c r="A5682" t="str">
        <f>"5681"</f>
        <v>5681</v>
      </c>
      <c r="B5682" t="str">
        <f>"0.09"</f>
        <v>0.09</v>
      </c>
      <c r="C5682" t="str">
        <f>"71"</f>
        <v>71</v>
      </c>
      <c r="D5682" t="s">
        <v>208</v>
      </c>
    </row>
    <row r="5683" spans="1:4" x14ac:dyDescent="0.2">
      <c r="A5683" t="str">
        <f>"5682"</f>
        <v>5682</v>
      </c>
      <c r="B5683" t="str">
        <f>"-0.17"</f>
        <v>-0.17</v>
      </c>
      <c r="C5683" t="str">
        <f>"82"</f>
        <v>82</v>
      </c>
      <c r="D5683" t="str">
        <f>"Constantines"</f>
        <v>Constantines</v>
      </c>
    </row>
    <row r="5684" spans="1:4" x14ac:dyDescent="0.2">
      <c r="A5684" t="str">
        <f>"5683"</f>
        <v>5683</v>
      </c>
      <c r="B5684" t="str">
        <f>"0.1"</f>
        <v>0.1</v>
      </c>
      <c r="C5684" t="str">
        <f>"167"</f>
        <v>167</v>
      </c>
      <c r="D5684" t="s">
        <v>209</v>
      </c>
    </row>
    <row r="5685" spans="1:4" x14ac:dyDescent="0.2">
      <c r="A5685" t="str">
        <f>"5684"</f>
        <v>5684</v>
      </c>
      <c r="B5685" t="str">
        <f>"0.61"</f>
        <v>0.61</v>
      </c>
      <c r="C5685" t="str">
        <f>"66"</f>
        <v>66</v>
      </c>
      <c r="D5685" t="str">
        <f>"Poses"</f>
        <v>Poses</v>
      </c>
    </row>
    <row r="5686" spans="1:4" x14ac:dyDescent="0.2">
      <c r="A5686" t="str">
        <f>"5685"</f>
        <v>5685</v>
      </c>
      <c r="B5686" t="str">
        <f>"-0.47"</f>
        <v>-0.47</v>
      </c>
      <c r="C5686" t="str">
        <f>"95"</f>
        <v>95</v>
      </c>
      <c r="D5686" t="str">
        <f>"Nut Music: As Free as the Squirrels"</f>
        <v>Nut Music: As Free as the Squirrels</v>
      </c>
    </row>
    <row r="5687" spans="1:4" x14ac:dyDescent="0.2">
      <c r="A5687" t="str">
        <f>"5686"</f>
        <v>5686</v>
      </c>
      <c r="B5687" t="str">
        <f>"0.02"</f>
        <v>0.02</v>
      </c>
      <c r="C5687" t="str">
        <f>"111"</f>
        <v>111</v>
      </c>
      <c r="D5687" t="str">
        <f>"Hysteria"</f>
        <v>Hysteria</v>
      </c>
    </row>
    <row r="5688" spans="1:4" x14ac:dyDescent="0.2">
      <c r="A5688" t="str">
        <f>"5687"</f>
        <v>5687</v>
      </c>
      <c r="B5688" t="str">
        <f>"-0.91"</f>
        <v>-0.91</v>
      </c>
      <c r="C5688" t="str">
        <f>"98"</f>
        <v>98</v>
      </c>
      <c r="D5688" t="s">
        <v>210</v>
      </c>
    </row>
    <row r="5689" spans="1:4" x14ac:dyDescent="0.2">
      <c r="A5689" t="str">
        <f>"5688"</f>
        <v>5688</v>
      </c>
      <c r="B5689" t="str">
        <f>"-0.95"</f>
        <v>-0.95</v>
      </c>
      <c r="C5689" t="str">
        <f>"74"</f>
        <v>74</v>
      </c>
      <c r="D5689" t="str">
        <f>"Ones and Zeroes"</f>
        <v>Ones and Zeroes</v>
      </c>
    </row>
    <row r="5690" spans="1:4" x14ac:dyDescent="0.2">
      <c r="A5690" t="str">
        <f>"5689"</f>
        <v>5689</v>
      </c>
      <c r="B5690" t="str">
        <f>"-0.07"</f>
        <v>-0.07</v>
      </c>
      <c r="C5690" t="str">
        <f>"78"</f>
        <v>78</v>
      </c>
      <c r="D5690" t="str">
        <f>"Imperial Metric"</f>
        <v>Imperial Metric</v>
      </c>
    </row>
    <row r="5691" spans="1:4" x14ac:dyDescent="0.2">
      <c r="A5691" t="str">
        <f>"5690"</f>
        <v>5690</v>
      </c>
      <c r="B5691" t="str">
        <f>"0.21"</f>
        <v>0.21</v>
      </c>
      <c r="C5691" t="str">
        <f>"103"</f>
        <v>103</v>
      </c>
      <c r="D5691" t="str">
        <f>"Everywhere and His Nasty Parlour Tricks EP"</f>
        <v>Everywhere and His Nasty Parlour Tricks EP</v>
      </c>
    </row>
    <row r="5692" spans="1:4" x14ac:dyDescent="0.2">
      <c r="A5692" t="str">
        <f>"5691"</f>
        <v>5691</v>
      </c>
      <c r="B5692" t="str">
        <f>"-0.69"</f>
        <v>-0.69</v>
      </c>
      <c r="C5692" t="str">
        <f>"84"</f>
        <v>84</v>
      </c>
      <c r="D5692" t="str">
        <f>"Northern Electric"</f>
        <v>Northern Electric</v>
      </c>
    </row>
    <row r="5693" spans="1:4" x14ac:dyDescent="0.2">
      <c r="A5693" t="str">
        <f>"5692"</f>
        <v>5692</v>
      </c>
      <c r="B5693" t="str">
        <f>"0.3"</f>
        <v>0.3</v>
      </c>
      <c r="C5693" t="str">
        <f>"105"</f>
        <v>105</v>
      </c>
      <c r="D5693" t="str">
        <f>"My Love I Love"</f>
        <v>My Love I Love</v>
      </c>
    </row>
    <row r="5694" spans="1:4" x14ac:dyDescent="0.2">
      <c r="A5694" t="str">
        <f>"5693"</f>
        <v>5693</v>
      </c>
      <c r="B5694" t="str">
        <f>"0.73"</f>
        <v>0.73</v>
      </c>
      <c r="C5694" t="str">
        <f>"138"</f>
        <v>138</v>
      </c>
      <c r="D5694" t="str">
        <f>"Everything Is EP"</f>
        <v>Everything Is EP</v>
      </c>
    </row>
    <row r="5695" spans="1:4" x14ac:dyDescent="0.2">
      <c r="A5695" t="str">
        <f>"5694"</f>
        <v>5694</v>
      </c>
      <c r="B5695" t="str">
        <f>"-0.42"</f>
        <v>-0.42</v>
      </c>
      <c r="C5695" t="str">
        <f>"99"</f>
        <v>99</v>
      </c>
      <c r="D5695" t="str">
        <f>"Better Than the Beatles: A Tribute to the Shaggs"</f>
        <v>Better Than the Beatles: A Tribute to the Shaggs</v>
      </c>
    </row>
    <row r="5696" spans="1:4" x14ac:dyDescent="0.2">
      <c r="A5696" t="str">
        <f>"5695"</f>
        <v>5695</v>
      </c>
      <c r="B5696" t="str">
        <f>"-0.19"</f>
        <v>-0.19</v>
      </c>
      <c r="C5696" t="str">
        <f>"71"</f>
        <v>71</v>
      </c>
      <c r="D5696" t="str">
        <f>"United by Fate"</f>
        <v>United by Fate</v>
      </c>
    </row>
    <row r="5697" spans="1:4" x14ac:dyDescent="0.2">
      <c r="A5697" t="str">
        <f>"5696"</f>
        <v>5696</v>
      </c>
      <c r="B5697" t="str">
        <f>"-0.23"</f>
        <v>-0.23</v>
      </c>
      <c r="C5697" t="str">
        <f>"97"</f>
        <v>97</v>
      </c>
      <c r="D5697" t="str">
        <f>"The New Geocentric World of..."</f>
        <v>The New Geocentric World of...</v>
      </c>
    </row>
    <row r="5698" spans="1:4" x14ac:dyDescent="0.2">
      <c r="A5698" t="str">
        <f>"5697"</f>
        <v>5697</v>
      </c>
      <c r="B5698" t="str">
        <f>"-1.3"</f>
        <v>-1.3</v>
      </c>
      <c r="C5698" t="str">
        <f>"75"</f>
        <v>75</v>
      </c>
      <c r="D5698" t="str">
        <f>"Other Animals"</f>
        <v>Other Animals</v>
      </c>
    </row>
    <row r="5699" spans="1:4" x14ac:dyDescent="0.2">
      <c r="A5699" t="str">
        <f>"5698"</f>
        <v>5698</v>
      </c>
      <c r="B5699" t="str">
        <f>"-0.36"</f>
        <v>-0.36</v>
      </c>
      <c r="C5699" t="str">
        <f>"76"</f>
        <v>76</v>
      </c>
      <c r="D5699" t="str">
        <f>"In the Sun Lines"</f>
        <v>In the Sun Lines</v>
      </c>
    </row>
    <row r="5700" spans="1:4" x14ac:dyDescent="0.2">
      <c r="A5700" t="str">
        <f>"5699"</f>
        <v>5699</v>
      </c>
      <c r="B5700" t="str">
        <f>"-0.19"</f>
        <v>-0.19</v>
      </c>
      <c r="C5700" t="str">
        <f>"111"</f>
        <v>111</v>
      </c>
      <c r="D5700" t="str">
        <f>"Tall Dark Hill"</f>
        <v>Tall Dark Hill</v>
      </c>
    </row>
    <row r="5701" spans="1:4" x14ac:dyDescent="0.2">
      <c r="A5701" t="str">
        <f>"5700"</f>
        <v>5700</v>
      </c>
      <c r="B5701" t="str">
        <f>"-0.76"</f>
        <v>-0.76</v>
      </c>
      <c r="C5701" t="str">
        <f>"101"</f>
        <v>101</v>
      </c>
      <c r="D5701" t="str">
        <f>"Rejected Unknown"</f>
        <v>Rejected Unknown</v>
      </c>
    </row>
    <row r="5702" spans="1:4" x14ac:dyDescent="0.2">
      <c r="A5702" t="str">
        <f>"5701"</f>
        <v>5701</v>
      </c>
      <c r="B5702" t="str">
        <f>"-0.81"</f>
        <v>-0.81</v>
      </c>
      <c r="C5702" t="str">
        <f>"84"</f>
        <v>84</v>
      </c>
      <c r="D5702" t="str">
        <f>"Live a L'Olympia"</f>
        <v>Live a L'Olympia</v>
      </c>
    </row>
    <row r="5703" spans="1:4" x14ac:dyDescent="0.2">
      <c r="A5703" t="str">
        <f>"5702"</f>
        <v>5702</v>
      </c>
      <c r="B5703" t="str">
        <f>"-0.31"</f>
        <v>-0.31</v>
      </c>
      <c r="C5703" t="str">
        <f>"94"</f>
        <v>94</v>
      </c>
      <c r="D5703" t="str">
        <f>"DE9: Closer to the Edit"</f>
        <v>DE9: Closer to the Edit</v>
      </c>
    </row>
    <row r="5704" spans="1:4" x14ac:dyDescent="0.2">
      <c r="A5704" t="str">
        <f>"5703"</f>
        <v>5703</v>
      </c>
      <c r="B5704" t="str">
        <f>"-0.05"</f>
        <v>-0.05</v>
      </c>
      <c r="C5704" t="str">
        <f>"43"</f>
        <v>43</v>
      </c>
      <c r="D5704" t="str">
        <f>"Aida: Bliss Out v.17"</f>
        <v>Aida: Bliss Out v.17</v>
      </c>
    </row>
    <row r="5705" spans="1:4" x14ac:dyDescent="0.2">
      <c r="A5705" t="str">
        <f>"5704"</f>
        <v>5704</v>
      </c>
      <c r="B5705" t="str">
        <f>"-0.08"</f>
        <v>-0.08</v>
      </c>
      <c r="C5705" t="str">
        <f>"58"</f>
        <v>58</v>
      </c>
      <c r="D5705" t="str">
        <f>"Ultramarin"</f>
        <v>Ultramarin</v>
      </c>
    </row>
    <row r="5706" spans="1:4" x14ac:dyDescent="0.2">
      <c r="A5706" t="str">
        <f>"5705"</f>
        <v>5705</v>
      </c>
      <c r="B5706" t="str">
        <f>"-0.55"</f>
        <v>-0.55</v>
      </c>
      <c r="C5706" t="str">
        <f>"130"</f>
        <v>130</v>
      </c>
      <c r="D5706" t="s">
        <v>211</v>
      </c>
    </row>
    <row r="5707" spans="1:4" x14ac:dyDescent="0.2">
      <c r="A5707" t="str">
        <f>"5706"</f>
        <v>5706</v>
      </c>
      <c r="B5707" t="str">
        <f>"-0.25"</f>
        <v>-0.25</v>
      </c>
      <c r="C5707" t="str">
        <f>"49"</f>
        <v>49</v>
      </c>
      <c r="D5707" t="str">
        <f>"It's a Wonderful Life"</f>
        <v>It's a Wonderful Life</v>
      </c>
    </row>
    <row r="5708" spans="1:4" x14ac:dyDescent="0.2">
      <c r="A5708" t="str">
        <f>"5707"</f>
        <v>5707</v>
      </c>
      <c r="B5708" t="str">
        <f>"-0.17"</f>
        <v>-0.17</v>
      </c>
      <c r="C5708" t="str">
        <f>"107"</f>
        <v>107</v>
      </c>
      <c r="D5708" t="str">
        <f>"Invisible Airline"</f>
        <v>Invisible Airline</v>
      </c>
    </row>
    <row r="5709" spans="1:4" x14ac:dyDescent="0.2">
      <c r="A5709" t="str">
        <f>"5708"</f>
        <v>5708</v>
      </c>
      <c r="B5709" t="str">
        <f>"0.43"</f>
        <v>0.43</v>
      </c>
      <c r="C5709" t="str">
        <f>"57"</f>
        <v>57</v>
      </c>
      <c r="D5709" t="str">
        <f>"The Luxury Leader"</f>
        <v>The Luxury Leader</v>
      </c>
    </row>
    <row r="5710" spans="1:4" x14ac:dyDescent="0.2">
      <c r="A5710" t="str">
        <f>"5709"</f>
        <v>5709</v>
      </c>
      <c r="B5710" t="str">
        <f>"0.38"</f>
        <v>0.38</v>
      </c>
      <c r="C5710" t="str">
        <f>"79"</f>
        <v>79</v>
      </c>
      <c r="D5710" t="str">
        <f>"Supermogadon"</f>
        <v>Supermogadon</v>
      </c>
    </row>
    <row r="5711" spans="1:4" x14ac:dyDescent="0.2">
      <c r="A5711" t="str">
        <f>"5710"</f>
        <v>5710</v>
      </c>
      <c r="B5711" t="str">
        <f>"-0.16"</f>
        <v>-0.16</v>
      </c>
      <c r="C5711" t="str">
        <f>"59"</f>
        <v>59</v>
      </c>
      <c r="D5711" t="str">
        <f>"Hello Is Anyone Out There"</f>
        <v>Hello Is Anyone Out There</v>
      </c>
    </row>
    <row r="5712" spans="1:4" x14ac:dyDescent="0.2">
      <c r="A5712" t="str">
        <f>"5711"</f>
        <v>5711</v>
      </c>
      <c r="B5712" t="str">
        <f>"0.66"</f>
        <v>0.66</v>
      </c>
      <c r="C5712" t="str">
        <f>"94"</f>
        <v>94</v>
      </c>
      <c r="D5712" t="str">
        <f>"Because It Feel Good"</f>
        <v>Because It Feel Good</v>
      </c>
    </row>
    <row r="5713" spans="1:4" x14ac:dyDescent="0.2">
      <c r="A5713" t="str">
        <f>"5712"</f>
        <v>5712</v>
      </c>
      <c r="B5713" t="str">
        <f>"-0.14"</f>
        <v>-0.14</v>
      </c>
      <c r="C5713" t="str">
        <f>"115"</f>
        <v>115</v>
      </c>
      <c r="D5713" t="str">
        <f>"Tools in the Dryer"</f>
        <v>Tools in the Dryer</v>
      </c>
    </row>
    <row r="5714" spans="1:4" x14ac:dyDescent="0.2">
      <c r="A5714" t="str">
        <f>"5713"</f>
        <v>5713</v>
      </c>
      <c r="B5714" t="str">
        <f>"-0.63"</f>
        <v>-0.63</v>
      </c>
      <c r="C5714" t="str">
        <f>"86"</f>
        <v>86</v>
      </c>
      <c r="D5714" t="str">
        <f>"Mensa Dance Squad"</f>
        <v>Mensa Dance Squad</v>
      </c>
    </row>
    <row r="5715" spans="1:4" x14ac:dyDescent="0.2">
      <c r="A5715" t="str">
        <f>"5714"</f>
        <v>5714</v>
      </c>
      <c r="B5715" t="str">
        <f>"-0.79"</f>
        <v>-0.79</v>
      </c>
      <c r="C5715" t="str">
        <f>"70"</f>
        <v>70</v>
      </c>
      <c r="D5715" t="str">
        <f>"Hard Again"</f>
        <v>Hard Again</v>
      </c>
    </row>
    <row r="5716" spans="1:4" x14ac:dyDescent="0.2">
      <c r="A5716" t="str">
        <f>"5715"</f>
        <v>5715</v>
      </c>
      <c r="B5716" t="str">
        <f>"0.03"</f>
        <v>0.03</v>
      </c>
      <c r="C5716" t="str">
        <f>"64"</f>
        <v>64</v>
      </c>
      <c r="D5716" t="str">
        <f>"Hammers and Anvils"</f>
        <v>Hammers and Anvils</v>
      </c>
    </row>
    <row r="5717" spans="1:4" x14ac:dyDescent="0.2">
      <c r="A5717" t="str">
        <f>"5716"</f>
        <v>5716</v>
      </c>
      <c r="B5717" t="str">
        <f>"0.31"</f>
        <v>0.31</v>
      </c>
      <c r="C5717" t="str">
        <f>"80"</f>
        <v>80</v>
      </c>
      <c r="D5717" t="str">
        <f>"The Braille Night"</f>
        <v>The Braille Night</v>
      </c>
    </row>
    <row r="5718" spans="1:4" x14ac:dyDescent="0.2">
      <c r="A5718" t="str">
        <f>"5717"</f>
        <v>5717</v>
      </c>
      <c r="B5718" t="str">
        <f>"-0.03"</f>
        <v>-0.03</v>
      </c>
      <c r="C5718" t="str">
        <f>"85"</f>
        <v>85</v>
      </c>
      <c r="D5718" t="str">
        <f>"Iran"</f>
        <v>Iran</v>
      </c>
    </row>
    <row r="5719" spans="1:4" x14ac:dyDescent="0.2">
      <c r="A5719" t="str">
        <f>"5718"</f>
        <v>5718</v>
      </c>
      <c r="B5719" t="str">
        <f>"0.99"</f>
        <v>0.99</v>
      </c>
      <c r="C5719" t="str">
        <f>"60"</f>
        <v>60</v>
      </c>
      <c r="D5719" t="str">
        <f>"H.O.M.E.S."</f>
        <v>H.O.M.E.S.</v>
      </c>
    </row>
    <row r="5720" spans="1:4" x14ac:dyDescent="0.2">
      <c r="A5720" t="str">
        <f>"5719"</f>
        <v>5719</v>
      </c>
      <c r="B5720" t="str">
        <f>"0.44"</f>
        <v>0.44</v>
      </c>
      <c r="C5720" t="str">
        <f>"63"</f>
        <v>63</v>
      </c>
      <c r="D5720" t="str">
        <f>"Faust"</f>
        <v>Faust</v>
      </c>
    </row>
    <row r="5721" spans="1:4" x14ac:dyDescent="0.2">
      <c r="A5721" t="str">
        <f>"5720"</f>
        <v>5720</v>
      </c>
      <c r="B5721" t="str">
        <f>"0.4"</f>
        <v>0.4</v>
      </c>
      <c r="C5721" t="str">
        <f>"90"</f>
        <v>90</v>
      </c>
      <c r="D5721" t="str">
        <f>"The Tired Sounds of..."</f>
        <v>The Tired Sounds of...</v>
      </c>
    </row>
    <row r="5722" spans="1:4" x14ac:dyDescent="0.2">
      <c r="A5722" t="str">
        <f>"5721"</f>
        <v>5721</v>
      </c>
      <c r="B5722" t="str">
        <f>"-0.47"</f>
        <v>-0.47</v>
      </c>
      <c r="C5722" t="str">
        <f>"104"</f>
        <v>104</v>
      </c>
      <c r="D5722" t="str">
        <f>"Rain on Lens"</f>
        <v>Rain on Lens</v>
      </c>
    </row>
    <row r="5723" spans="1:4" x14ac:dyDescent="0.2">
      <c r="A5723" t="str">
        <f>"5722"</f>
        <v>5722</v>
      </c>
      <c r="B5723" t="str">
        <f>"-0.17"</f>
        <v>-0.17</v>
      </c>
      <c r="C5723" t="str">
        <f>"113"</f>
        <v>113</v>
      </c>
      <c r="D5723" t="str">
        <f>"God Save the ABPK"</f>
        <v>God Save the ABPK</v>
      </c>
    </row>
    <row r="5724" spans="1:4" x14ac:dyDescent="0.2">
      <c r="A5724" t="str">
        <f>"5723"</f>
        <v>5723</v>
      </c>
      <c r="B5724" t="str">
        <f>"-0.47"</f>
        <v>-0.47</v>
      </c>
      <c r="C5724" t="str">
        <f>"87"</f>
        <v>87</v>
      </c>
      <c r="D5724" t="str">
        <f>"Back to the Mono Kero"</f>
        <v>Back to the Mono Kero</v>
      </c>
    </row>
    <row r="5725" spans="1:4" x14ac:dyDescent="0.2">
      <c r="A5725" t="str">
        <f>"5724"</f>
        <v>5724</v>
      </c>
      <c r="B5725" t="str">
        <f>"-0.15"</f>
        <v>-0.15</v>
      </c>
      <c r="C5725" t="str">
        <f>"78"</f>
        <v>78</v>
      </c>
      <c r="D5725" t="str">
        <f>"Progressive History X"</f>
        <v>Progressive History X</v>
      </c>
    </row>
    <row r="5726" spans="1:4" x14ac:dyDescent="0.2">
      <c r="A5726" t="str">
        <f>"5725"</f>
        <v>5725</v>
      </c>
      <c r="B5726" t="str">
        <f>"0.91"</f>
        <v>0.91</v>
      </c>
      <c r="C5726" t="str">
        <f>"63"</f>
        <v>63</v>
      </c>
      <c r="D5726" t="str">
        <f>"Let You Down"</f>
        <v>Let You Down</v>
      </c>
    </row>
    <row r="5727" spans="1:4" x14ac:dyDescent="0.2">
      <c r="A5727" t="str">
        <f>"5726"</f>
        <v>5726</v>
      </c>
      <c r="B5727" t="str">
        <f>"-0.95"</f>
        <v>-0.95</v>
      </c>
      <c r="C5727" t="str">
        <f>"99"</f>
        <v>99</v>
      </c>
      <c r="D5727" t="str">
        <f>"Faith in the Future"</f>
        <v>Faith in the Future</v>
      </c>
    </row>
    <row r="5728" spans="1:4" x14ac:dyDescent="0.2">
      <c r="A5728" t="str">
        <f>"5727"</f>
        <v>5727</v>
      </c>
      <c r="B5728" t="str">
        <f>"1.08"</f>
        <v>1.08</v>
      </c>
      <c r="C5728" t="str">
        <f>"64"</f>
        <v>64</v>
      </c>
      <c r="D5728" t="str">
        <f>"Chitlin' Fooks"</f>
        <v>Chitlin' Fooks</v>
      </c>
    </row>
    <row r="5729" spans="1:4" x14ac:dyDescent="0.2">
      <c r="A5729" t="str">
        <f>"5728"</f>
        <v>5728</v>
      </c>
      <c r="B5729" t="str">
        <f>"0"</f>
        <v>0</v>
      </c>
      <c r="C5729" t="str">
        <f>"95"</f>
        <v>95</v>
      </c>
      <c r="D5729" t="s">
        <v>212</v>
      </c>
    </row>
    <row r="5730" spans="1:4" x14ac:dyDescent="0.2">
      <c r="A5730" t="str">
        <f>"5729"</f>
        <v>5729</v>
      </c>
      <c r="B5730" t="str">
        <f>"-0.35"</f>
        <v>-0.35</v>
      </c>
      <c r="C5730" t="str">
        <f>"141"</f>
        <v>141</v>
      </c>
      <c r="D5730" t="str">
        <f>"Shined Nickels and Loose Change"</f>
        <v>Shined Nickels and Loose Change</v>
      </c>
    </row>
    <row r="5731" spans="1:4" x14ac:dyDescent="0.2">
      <c r="A5731" t="str">
        <f>"5730"</f>
        <v>5730</v>
      </c>
      <c r="B5731" t="str">
        <f>"-0.76"</f>
        <v>-0.76</v>
      </c>
      <c r="C5731" t="str">
        <f>"115"</f>
        <v>115</v>
      </c>
      <c r="D5731" t="str">
        <f>"God Ween Satan: The Oneness"</f>
        <v>God Ween Satan: The Oneness</v>
      </c>
    </row>
    <row r="5732" spans="1:4" x14ac:dyDescent="0.2">
      <c r="A5732" t="str">
        <f>"5731"</f>
        <v>5731</v>
      </c>
      <c r="B5732" t="str">
        <f>"-0.34"</f>
        <v>-0.34</v>
      </c>
      <c r="C5732" t="str">
        <f>"85"</f>
        <v>85</v>
      </c>
      <c r="D5732" t="str">
        <f>"Clouds"</f>
        <v>Clouds</v>
      </c>
    </row>
    <row r="5733" spans="1:4" x14ac:dyDescent="0.2">
      <c r="A5733" t="str">
        <f>"5732"</f>
        <v>5732</v>
      </c>
      <c r="B5733" t="str">
        <f>"-0.91"</f>
        <v>-0.91</v>
      </c>
      <c r="C5733" t="str">
        <f>"121"</f>
        <v>121</v>
      </c>
      <c r="D5733" t="str">
        <f>"Volta Do Mar EP"</f>
        <v>Volta Do Mar EP</v>
      </c>
    </row>
    <row r="5734" spans="1:4" x14ac:dyDescent="0.2">
      <c r="A5734" t="str">
        <f>"5733"</f>
        <v>5733</v>
      </c>
      <c r="B5734" t="str">
        <f>"-0.74"</f>
        <v>-0.74</v>
      </c>
      <c r="C5734" t="str">
        <f>"69"</f>
        <v>69</v>
      </c>
      <c r="D5734" t="str">
        <f>"The Drive EP"</f>
        <v>The Drive EP</v>
      </c>
    </row>
    <row r="5735" spans="1:4" x14ac:dyDescent="0.2">
      <c r="A5735" t="str">
        <f>"5734"</f>
        <v>5734</v>
      </c>
      <c r="B5735" t="str">
        <f>"0.43"</f>
        <v>0.43</v>
      </c>
      <c r="C5735" t="str">
        <f>"26"</f>
        <v>26</v>
      </c>
      <c r="D5735" t="str">
        <f>"Drawn from Life"</f>
        <v>Drawn from Life</v>
      </c>
    </row>
    <row r="5736" spans="1:4" x14ac:dyDescent="0.2">
      <c r="A5736" t="str">
        <f>"5735"</f>
        <v>5735</v>
      </c>
      <c r="B5736" t="str">
        <f>"1.42"</f>
        <v>1.42</v>
      </c>
      <c r="C5736" t="str">
        <f>"102"</f>
        <v>102</v>
      </c>
      <c r="D5736" t="str">
        <f>"Ume Sour"</f>
        <v>Ume Sour</v>
      </c>
    </row>
    <row r="5737" spans="1:4" x14ac:dyDescent="0.2">
      <c r="A5737" t="str">
        <f>"5736"</f>
        <v>5736</v>
      </c>
      <c r="B5737" t="str">
        <f>"-0.48"</f>
        <v>-0.48</v>
      </c>
      <c r="C5737" t="str">
        <f>"89"</f>
        <v>89</v>
      </c>
      <c r="D5737" t="str">
        <f>"Rooty"</f>
        <v>Rooty</v>
      </c>
    </row>
    <row r="5738" spans="1:4" x14ac:dyDescent="0.2">
      <c r="A5738" t="str">
        <f>"5737"</f>
        <v>5737</v>
      </c>
      <c r="B5738" t="str">
        <f>"0.01"</f>
        <v>0.01</v>
      </c>
      <c r="C5738" t="str">
        <f>"51"</f>
        <v>51</v>
      </c>
      <c r="D5738" t="str">
        <f>"Re:volution EP"</f>
        <v>Re:volution EP</v>
      </c>
    </row>
    <row r="5739" spans="1:4" x14ac:dyDescent="0.2">
      <c r="A5739" t="str">
        <f>"5738"</f>
        <v>5738</v>
      </c>
      <c r="B5739" t="str">
        <f>"-0.29"</f>
        <v>-0.29</v>
      </c>
      <c r="C5739" t="str">
        <f>"72"</f>
        <v>72</v>
      </c>
      <c r="D5739" t="str">
        <f>"Fading Left to Completely On"</f>
        <v>Fading Left to Completely On</v>
      </c>
    </row>
    <row r="5740" spans="1:4" x14ac:dyDescent="0.2">
      <c r="A5740" t="str">
        <f>"5739"</f>
        <v>5739</v>
      </c>
      <c r="B5740" t="str">
        <f>"0.14"</f>
        <v>0.14</v>
      </c>
      <c r="C5740" t="str">
        <f>"85"</f>
        <v>85</v>
      </c>
      <c r="D5740" t="str">
        <f>"Never Mind the Context"</f>
        <v>Never Mind the Context</v>
      </c>
    </row>
    <row r="5741" spans="1:4" x14ac:dyDescent="0.2">
      <c r="A5741" t="str">
        <f>"5740"</f>
        <v>5740</v>
      </c>
      <c r="B5741" t="str">
        <f>"-0.28"</f>
        <v>-0.28</v>
      </c>
      <c r="C5741" t="str">
        <f>"118"</f>
        <v>118</v>
      </c>
      <c r="D5741" t="str">
        <f>"Mink Car"</f>
        <v>Mink Car</v>
      </c>
    </row>
    <row r="5742" spans="1:4" x14ac:dyDescent="0.2">
      <c r="A5742" t="str">
        <f>"5741"</f>
        <v>5741</v>
      </c>
      <c r="B5742" t="str">
        <f>"-0.19"</f>
        <v>-0.19</v>
      </c>
      <c r="C5742" t="str">
        <f>"92"</f>
        <v>92</v>
      </c>
      <c r="D5742" t="str">
        <f>"Lubricate Your Living-Room"</f>
        <v>Lubricate Your Living-Room</v>
      </c>
    </row>
    <row r="5743" spans="1:4" x14ac:dyDescent="0.2">
      <c r="A5743" t="str">
        <f>"5742"</f>
        <v>5742</v>
      </c>
      <c r="B5743" t="str">
        <f>"1.05"</f>
        <v>1.05</v>
      </c>
      <c r="C5743" t="str">
        <f>"36"</f>
        <v>36</v>
      </c>
      <c r="D5743" t="str">
        <f>"Collected Simplesongs of My Temporary Past"</f>
        <v>Collected Simplesongs of My Temporary Past</v>
      </c>
    </row>
    <row r="5744" spans="1:4" x14ac:dyDescent="0.2">
      <c r="A5744" t="str">
        <f>"5743"</f>
        <v>5743</v>
      </c>
      <c r="B5744" t="str">
        <f>"-0.38"</f>
        <v>-0.38</v>
      </c>
      <c r="C5744" t="str">
        <f>"83"</f>
        <v>83</v>
      </c>
      <c r="D5744" t="str">
        <f>"Ruby Series EP"</f>
        <v>Ruby Series EP</v>
      </c>
    </row>
    <row r="5745" spans="1:4" x14ac:dyDescent="0.2">
      <c r="A5745" t="str">
        <f>"5744"</f>
        <v>5744</v>
      </c>
      <c r="B5745" t="str">
        <f>"-0.03"</f>
        <v>-0.03</v>
      </c>
      <c r="C5745" t="str">
        <f>"120"</f>
        <v>120</v>
      </c>
      <c r="D5745" t="str">
        <f>"Rockin' the Suburbs"</f>
        <v>Rockin' the Suburbs</v>
      </c>
    </row>
    <row r="5746" spans="1:4" x14ac:dyDescent="0.2">
      <c r="A5746" t="str">
        <f>"5745"</f>
        <v>5745</v>
      </c>
      <c r="B5746" t="str">
        <f>"-0.45"</f>
        <v>-0.45</v>
      </c>
      <c r="C5746" t="str">
        <f>"81"</f>
        <v>81</v>
      </c>
      <c r="D5746" t="str">
        <f>"II"</f>
        <v>II</v>
      </c>
    </row>
    <row r="5747" spans="1:4" x14ac:dyDescent="0.2">
      <c r="A5747" t="str">
        <f>"5746"</f>
        <v>5746</v>
      </c>
      <c r="B5747" t="str">
        <f>"0.29"</f>
        <v>0.29</v>
      </c>
      <c r="C5747" t="str">
        <f>"122"</f>
        <v>122</v>
      </c>
      <c r="D5747" t="str">
        <f>"Headcoats Down!"</f>
        <v>Headcoats Down!</v>
      </c>
    </row>
    <row r="5748" spans="1:4" x14ac:dyDescent="0.2">
      <c r="A5748" t="str">
        <f>"5747"</f>
        <v>5747</v>
      </c>
      <c r="B5748" t="str">
        <f>"0.11"</f>
        <v>0.11</v>
      </c>
      <c r="C5748" t="str">
        <f>"111"</f>
        <v>111</v>
      </c>
      <c r="D5748" t="str">
        <f>"Lest We Forget"</f>
        <v>Lest We Forget</v>
      </c>
    </row>
    <row r="5749" spans="1:4" x14ac:dyDescent="0.2">
      <c r="A5749" t="str">
        <f>"5748"</f>
        <v>5748</v>
      </c>
      <c r="B5749" t="str">
        <f>"0.36"</f>
        <v>0.36</v>
      </c>
      <c r="C5749" t="str">
        <f>"108"</f>
        <v>108</v>
      </c>
      <c r="D5749" t="str">
        <f>"All Is Dream"</f>
        <v>All Is Dream</v>
      </c>
    </row>
    <row r="5750" spans="1:4" x14ac:dyDescent="0.2">
      <c r="A5750" t="str">
        <f>"5749"</f>
        <v>5749</v>
      </c>
      <c r="B5750" t="str">
        <f>"0.59"</f>
        <v>0.59</v>
      </c>
      <c r="C5750" t="str">
        <f>"103"</f>
        <v>103</v>
      </c>
      <c r="D5750" t="s">
        <v>213</v>
      </c>
    </row>
    <row r="5751" spans="1:4" x14ac:dyDescent="0.2">
      <c r="A5751" t="str">
        <f>"5750"</f>
        <v>5750</v>
      </c>
      <c r="B5751" t="str">
        <f>"0.63"</f>
        <v>0.63</v>
      </c>
      <c r="C5751" t="str">
        <f>"62"</f>
        <v>62</v>
      </c>
      <c r="D5751" t="str">
        <f>"Know by Heart"</f>
        <v>Know by Heart</v>
      </c>
    </row>
    <row r="5752" spans="1:4" x14ac:dyDescent="0.2">
      <c r="A5752" t="str">
        <f>"5751"</f>
        <v>5751</v>
      </c>
      <c r="B5752" t="str">
        <f>"0.06"</f>
        <v>0.06</v>
      </c>
      <c r="C5752" t="str">
        <f>"107"</f>
        <v>107</v>
      </c>
      <c r="D5752" t="str">
        <f>"The Sword of God"</f>
        <v>The Sword of God</v>
      </c>
    </row>
    <row r="5753" spans="1:4" x14ac:dyDescent="0.2">
      <c r="A5753" t="str">
        <f>"5752"</f>
        <v>5752</v>
      </c>
      <c r="B5753" t="str">
        <f>"-0.94"</f>
        <v>-0.94</v>
      </c>
      <c r="C5753" t="str">
        <f>"112"</f>
        <v>112</v>
      </c>
      <c r="D5753" t="str">
        <f>"Weird Revolution"</f>
        <v>Weird Revolution</v>
      </c>
    </row>
    <row r="5754" spans="1:4" x14ac:dyDescent="0.2">
      <c r="A5754" t="str">
        <f>"5753"</f>
        <v>5753</v>
      </c>
      <c r="B5754" t="str">
        <f>"0.65"</f>
        <v>0.65</v>
      </c>
      <c r="C5754" t="str">
        <f>"93"</f>
        <v>93</v>
      </c>
      <c r="D5754" t="str">
        <f>"Vespertine"</f>
        <v>Vespertine</v>
      </c>
    </row>
    <row r="5755" spans="1:4" x14ac:dyDescent="0.2">
      <c r="A5755" t="str">
        <f>"5754"</f>
        <v>5754</v>
      </c>
      <c r="B5755" t="str">
        <f>"0.85"</f>
        <v>0.85</v>
      </c>
      <c r="C5755" t="str">
        <f>"107"</f>
        <v>107</v>
      </c>
      <c r="D5755" t="str">
        <f>"Someday My Blues Will Cover the Earth"</f>
        <v>Someday My Blues Will Cover the Earth</v>
      </c>
    </row>
    <row r="5756" spans="1:4" x14ac:dyDescent="0.2">
      <c r="A5756" t="str">
        <f>"5755"</f>
        <v>5755</v>
      </c>
      <c r="B5756" t="str">
        <f>"0.1"</f>
        <v>0.1</v>
      </c>
      <c r="C5756" t="str">
        <f>"109"</f>
        <v>109</v>
      </c>
      <c r="D5756" t="str">
        <f>"Tower in the Fountain of Sparks"</f>
        <v>Tower in the Fountain of Sparks</v>
      </c>
    </row>
    <row r="5757" spans="1:4" x14ac:dyDescent="0.2">
      <c r="A5757" t="str">
        <f>"5756"</f>
        <v>5756</v>
      </c>
      <c r="B5757" t="str">
        <f>"-0.3"</f>
        <v>-0.3</v>
      </c>
      <c r="C5757" t="str">
        <f>"132"</f>
        <v>132</v>
      </c>
      <c r="D5757" t="str">
        <f>"Sound-Dust"</f>
        <v>Sound-Dust</v>
      </c>
    </row>
    <row r="5758" spans="1:4" x14ac:dyDescent="0.2">
      <c r="A5758" t="str">
        <f>"5757"</f>
        <v>5757</v>
      </c>
      <c r="B5758" t="str">
        <f>"0.51"</f>
        <v>0.51</v>
      </c>
      <c r="C5758" t="str">
        <f>"40"</f>
        <v>40</v>
      </c>
      <c r="D5758" t="str">
        <f>"Circulatory System"</f>
        <v>Circulatory System</v>
      </c>
    </row>
    <row r="5759" spans="1:4" x14ac:dyDescent="0.2">
      <c r="A5759" t="str">
        <f>"5758"</f>
        <v>5758</v>
      </c>
      <c r="B5759" t="str">
        <f>"-0.45"</f>
        <v>-0.45</v>
      </c>
      <c r="C5759" t="str">
        <f>"104"</f>
        <v>104</v>
      </c>
      <c r="D5759" t="str">
        <f>"All This Sounds Gas"</f>
        <v>All This Sounds Gas</v>
      </c>
    </row>
    <row r="5760" spans="1:4" x14ac:dyDescent="0.2">
      <c r="A5760" t="str">
        <f>"5759"</f>
        <v>5759</v>
      </c>
      <c r="B5760" t="str">
        <f>"0.08"</f>
        <v>0.08</v>
      </c>
      <c r="C5760" t="str">
        <f>"137"</f>
        <v>137</v>
      </c>
      <c r="D5760" t="str">
        <f>"White Blood Cells"</f>
        <v>White Blood Cells</v>
      </c>
    </row>
    <row r="5761" spans="1:4" x14ac:dyDescent="0.2">
      <c r="A5761" t="str">
        <f>"5760"</f>
        <v>5760</v>
      </c>
      <c r="B5761" t="str">
        <f>"0.01"</f>
        <v>0.01</v>
      </c>
      <c r="C5761" t="str">
        <f>"82"</f>
        <v>82</v>
      </c>
      <c r="D5761" t="str">
        <f>"Gizmodgery"</f>
        <v>Gizmodgery</v>
      </c>
    </row>
    <row r="5762" spans="1:4" x14ac:dyDescent="0.2">
      <c r="A5762" t="str">
        <f>"5761"</f>
        <v>5761</v>
      </c>
      <c r="B5762" t="str">
        <f>"-0.85"</f>
        <v>-0.85</v>
      </c>
      <c r="C5762" t="str">
        <f>"105"</f>
        <v>105</v>
      </c>
      <c r="D5762" t="str">
        <f>"Bleed American"</f>
        <v>Bleed American</v>
      </c>
    </row>
    <row r="5763" spans="1:4" x14ac:dyDescent="0.2">
      <c r="A5763" t="str">
        <f>"5762"</f>
        <v>5762</v>
      </c>
      <c r="B5763" t="str">
        <f>"0.42"</f>
        <v>0.42</v>
      </c>
      <c r="C5763" t="str">
        <f>"133"</f>
        <v>133</v>
      </c>
      <c r="D5763" t="str">
        <f>"Through the Age of Quarrel and into the Era of Putting Up with It"</f>
        <v>Through the Age of Quarrel and into the Era of Putting Up with It</v>
      </c>
    </row>
    <row r="5764" spans="1:4" x14ac:dyDescent="0.2">
      <c r="A5764" t="str">
        <f>"5763"</f>
        <v>5763</v>
      </c>
      <c r="B5764" t="str">
        <f>"0.03"</f>
        <v>0.03</v>
      </c>
      <c r="C5764" t="str">
        <f>"100"</f>
        <v>100</v>
      </c>
      <c r="D5764" t="str">
        <f>"Godmusic"</f>
        <v>Godmusic</v>
      </c>
    </row>
    <row r="5765" spans="1:4" x14ac:dyDescent="0.2">
      <c r="A5765" t="str">
        <f>"5764"</f>
        <v>5764</v>
      </c>
      <c r="B5765" t="str">
        <f>"0.78"</f>
        <v>0.78</v>
      </c>
      <c r="C5765" t="str">
        <f>"61"</f>
        <v>61</v>
      </c>
      <c r="D5765" t="str">
        <f>"Through the 90s: Singles and Unreleased"</f>
        <v>Through the 90s: Singles and Unreleased</v>
      </c>
    </row>
    <row r="5766" spans="1:4" x14ac:dyDescent="0.2">
      <c r="A5766" t="str">
        <f>"5765"</f>
        <v>5765</v>
      </c>
      <c r="B5766" t="str">
        <f>"-0.56"</f>
        <v>-0.56</v>
      </c>
      <c r="C5766" t="str">
        <f>"105"</f>
        <v>105</v>
      </c>
      <c r="D5766" t="str">
        <f>"The Director's Cut"</f>
        <v>The Director's Cut</v>
      </c>
    </row>
    <row r="5767" spans="1:4" x14ac:dyDescent="0.2">
      <c r="A5767" t="str">
        <f>"5766"</f>
        <v>5766</v>
      </c>
      <c r="B5767" t="str">
        <f>"0.06"</f>
        <v>0.06</v>
      </c>
      <c r="C5767" t="str">
        <f>"100"</f>
        <v>100</v>
      </c>
      <c r="D5767" t="str">
        <f>"Let's Go! EP"</f>
        <v>Let's Go! EP</v>
      </c>
    </row>
    <row r="5768" spans="1:4" x14ac:dyDescent="0.2">
      <c r="A5768" t="str">
        <f>"5767"</f>
        <v>5767</v>
      </c>
      <c r="B5768" t="str">
        <f>"0.03"</f>
        <v>0.03</v>
      </c>
      <c r="C5768" t="str">
        <f>"96"</f>
        <v>96</v>
      </c>
      <c r="D5768" t="str">
        <f>"Endless Summer"</f>
        <v>Endless Summer</v>
      </c>
    </row>
    <row r="5769" spans="1:4" x14ac:dyDescent="0.2">
      <c r="A5769" t="str">
        <f>"5768"</f>
        <v>5768</v>
      </c>
      <c r="B5769" t="str">
        <f>"-1.2"</f>
        <v>-1.2</v>
      </c>
      <c r="C5769" t="str">
        <f>"59"</f>
        <v>59</v>
      </c>
      <c r="D5769" t="str">
        <f>"Danse Macabre"</f>
        <v>Danse Macabre</v>
      </c>
    </row>
    <row r="5770" spans="1:4" x14ac:dyDescent="0.2">
      <c r="A5770" t="str">
        <f>"5769"</f>
        <v>5769</v>
      </c>
      <c r="B5770" t="str">
        <f>"0.6"</f>
        <v>0.6</v>
      </c>
      <c r="C5770" t="str">
        <f>"99"</f>
        <v>99</v>
      </c>
      <c r="D5770" t="str">
        <f>"Ciao!: The Best of Lush"</f>
        <v>Ciao!: The Best of Lush</v>
      </c>
    </row>
    <row r="5771" spans="1:4" x14ac:dyDescent="0.2">
      <c r="A5771" t="str">
        <f>"5770"</f>
        <v>5770</v>
      </c>
      <c r="B5771" t="str">
        <f>"0.88"</f>
        <v>0.88</v>
      </c>
      <c r="C5771" t="str">
        <f>"82"</f>
        <v>82</v>
      </c>
      <c r="D5771" t="str">
        <f>"Rings Around the World"</f>
        <v>Rings Around the World</v>
      </c>
    </row>
    <row r="5772" spans="1:4" x14ac:dyDescent="0.2">
      <c r="A5772" t="str">
        <f>"5771"</f>
        <v>5771</v>
      </c>
      <c r="B5772" t="str">
        <f>"-0.56"</f>
        <v>-0.56</v>
      </c>
      <c r="C5772" t="str">
        <f>"146"</f>
        <v>146</v>
      </c>
      <c r="D5772" t="str">
        <f>"Burst and Bloom EP"</f>
        <v>Burst and Bloom EP</v>
      </c>
    </row>
    <row r="5773" spans="1:4" x14ac:dyDescent="0.2">
      <c r="A5773" t="str">
        <f>"5772"</f>
        <v>5772</v>
      </c>
      <c r="B5773" t="str">
        <f>"0.17"</f>
        <v>0.17</v>
      </c>
      <c r="C5773" t="str">
        <f>"117"</f>
        <v>117</v>
      </c>
      <c r="D5773" t="str">
        <f>"The Optimist LP"</f>
        <v>The Optimist LP</v>
      </c>
    </row>
    <row r="5774" spans="1:4" x14ac:dyDescent="0.2">
      <c r="A5774" t="str">
        <f>"5773"</f>
        <v>5773</v>
      </c>
      <c r="B5774" t="str">
        <f>"0.13"</f>
        <v>0.13</v>
      </c>
      <c r="C5774" t="str">
        <f>"117"</f>
        <v>117</v>
      </c>
      <c r="D5774" t="str">
        <f>"The Essential Radio Birdman (1974-1978)"</f>
        <v>The Essential Radio Birdman (1974-1978)</v>
      </c>
    </row>
    <row r="5775" spans="1:4" x14ac:dyDescent="0.2">
      <c r="A5775" t="str">
        <f>"5774"</f>
        <v>5774</v>
      </c>
      <c r="B5775" t="str">
        <f>"1.25"</f>
        <v>1.25</v>
      </c>
      <c r="C5775" t="str">
        <f>"109"</f>
        <v>109</v>
      </c>
      <c r="D5775" t="str">
        <f>"Out of the Loop"</f>
        <v>Out of the Loop</v>
      </c>
    </row>
    <row r="5776" spans="1:4" x14ac:dyDescent="0.2">
      <c r="A5776" t="str">
        <f>"5775"</f>
        <v>5775</v>
      </c>
      <c r="B5776" t="str">
        <f>"-0.03"</f>
        <v>-0.03</v>
      </c>
      <c r="C5776" t="str">
        <f>"106"</f>
        <v>106</v>
      </c>
      <c r="D5776" t="str">
        <f>"End of Amnesia"</f>
        <v>End of Amnesia</v>
      </c>
    </row>
    <row r="5777" spans="1:4" x14ac:dyDescent="0.2">
      <c r="A5777" t="str">
        <f>"5776"</f>
        <v>5776</v>
      </c>
      <c r="B5777" t="str">
        <f>"-0.51"</f>
        <v>-0.51</v>
      </c>
      <c r="C5777" t="str">
        <f>"93"</f>
        <v>93</v>
      </c>
      <c r="D5777" t="str">
        <f>"Jagged Thoughts"</f>
        <v>Jagged Thoughts</v>
      </c>
    </row>
    <row r="5778" spans="1:4" x14ac:dyDescent="0.2">
      <c r="A5778" t="str">
        <f>"5777"</f>
        <v>5777</v>
      </c>
      <c r="B5778" t="str">
        <f>"-0.35"</f>
        <v>-0.35</v>
      </c>
      <c r="C5778" t="str">
        <f>"91"</f>
        <v>91</v>
      </c>
      <c r="D5778" t="str">
        <f>"E^2 x 10 = Tenure"</f>
        <v>E^2 x 10 = Tenure</v>
      </c>
    </row>
    <row r="5779" spans="1:4" x14ac:dyDescent="0.2">
      <c r="A5779" t="str">
        <f>"5778"</f>
        <v>5778</v>
      </c>
      <c r="B5779" t="str">
        <f>"-1.52"</f>
        <v>-1.52</v>
      </c>
      <c r="C5779" t="str">
        <f>"36"</f>
        <v>36</v>
      </c>
      <c r="D5779" t="str">
        <f>"Howler EP"</f>
        <v>Howler EP</v>
      </c>
    </row>
    <row r="5780" spans="1:4" x14ac:dyDescent="0.2">
      <c r="A5780" t="str">
        <f>"5779"</f>
        <v>5779</v>
      </c>
      <c r="B5780" t="str">
        <f>"1.07"</f>
        <v>1.07</v>
      </c>
      <c r="C5780" t="str">
        <f>"105"</f>
        <v>105</v>
      </c>
      <c r="D5780" t="str">
        <f>"Ancient Melodies of the Future"</f>
        <v>Ancient Melodies of the Future</v>
      </c>
    </row>
    <row r="5781" spans="1:4" x14ac:dyDescent="0.2">
      <c r="A5781" t="str">
        <f>"5780"</f>
        <v>5780</v>
      </c>
      <c r="B5781" t="str">
        <f>"0.09"</f>
        <v>0.09</v>
      </c>
      <c r="C5781" t="str">
        <f>"103"</f>
        <v>103</v>
      </c>
      <c r="D5781" t="str">
        <f>"Goodbye to the Edge City EP"</f>
        <v>Goodbye to the Edge City EP</v>
      </c>
    </row>
    <row r="5782" spans="1:4" x14ac:dyDescent="0.2">
      <c r="A5782" t="str">
        <f>"5781"</f>
        <v>5781</v>
      </c>
      <c r="B5782" t="str">
        <f>"0.53"</f>
        <v>0.53</v>
      </c>
      <c r="C5782" t="str">
        <f>"92"</f>
        <v>92</v>
      </c>
      <c r="D5782" t="str">
        <f>"Yesterday Was Dramatic - Today Is OK"</f>
        <v>Yesterday Was Dramatic - Today Is OK</v>
      </c>
    </row>
    <row r="5783" spans="1:4" x14ac:dyDescent="0.2">
      <c r="A5783" t="str">
        <f>"5782"</f>
        <v>5782</v>
      </c>
      <c r="B5783" t="str">
        <f>"0.72"</f>
        <v>0.72</v>
      </c>
      <c r="C5783" t="str">
        <f>"77"</f>
        <v>77</v>
      </c>
      <c r="D5783" t="str">
        <f>"Why That Doesn't Surprise Me"</f>
        <v>Why That Doesn't Surprise Me</v>
      </c>
    </row>
    <row r="5784" spans="1:4" x14ac:dyDescent="0.2">
      <c r="A5784" t="str">
        <f>"5783"</f>
        <v>5783</v>
      </c>
      <c r="B5784" t="str">
        <f>"-1.15"</f>
        <v>-1.15</v>
      </c>
      <c r="C5784" t="str">
        <f>"113"</f>
        <v>113</v>
      </c>
      <c r="D5784" t="str">
        <f>"Blowback"</f>
        <v>Blowback</v>
      </c>
    </row>
    <row r="5785" spans="1:4" x14ac:dyDescent="0.2">
      <c r="A5785" t="str">
        <f>"5784"</f>
        <v>5784</v>
      </c>
      <c r="B5785" t="str">
        <f>"-0.17"</f>
        <v>-0.17</v>
      </c>
      <c r="C5785" t="str">
        <f>"36"</f>
        <v>36</v>
      </c>
      <c r="D5785" t="str">
        <f>"Danse Manatee"</f>
        <v>Danse Manatee</v>
      </c>
    </row>
    <row r="5786" spans="1:4" x14ac:dyDescent="0.2">
      <c r="A5786" t="str">
        <f>"5785"</f>
        <v>5785</v>
      </c>
      <c r="B5786" t="str">
        <f>"-0.66"</f>
        <v>-0.66</v>
      </c>
      <c r="C5786" t="str">
        <f>"101"</f>
        <v>101</v>
      </c>
      <c r="D5786" t="str">
        <f>"Vocal Studies + Uprock Narratives"</f>
        <v>Vocal Studies + Uprock Narratives</v>
      </c>
    </row>
    <row r="5787" spans="1:4" x14ac:dyDescent="0.2">
      <c r="A5787" t="str">
        <f>"5786"</f>
        <v>5786</v>
      </c>
      <c r="B5787" t="str">
        <f>"0.16"</f>
        <v>0.16</v>
      </c>
      <c r="C5787" t="str">
        <f>"105"</f>
        <v>105</v>
      </c>
      <c r="D5787" t="str">
        <f>"The Ghost of Fashion"</f>
        <v>The Ghost of Fashion</v>
      </c>
    </row>
    <row r="5788" spans="1:4" x14ac:dyDescent="0.2">
      <c r="A5788" t="str">
        <f>"5787"</f>
        <v>5787</v>
      </c>
      <c r="B5788" t="str">
        <f>"0.09"</f>
        <v>0.09</v>
      </c>
      <c r="C5788" t="str">
        <f>"112"</f>
        <v>112</v>
      </c>
      <c r="D5788" t="s">
        <v>214</v>
      </c>
    </row>
    <row r="5789" spans="1:4" x14ac:dyDescent="0.2">
      <c r="A5789" t="str">
        <f>"5788"</f>
        <v>5788</v>
      </c>
      <c r="B5789" t="str">
        <f>"-0.52"</f>
        <v>-0.52</v>
      </c>
      <c r="C5789" t="str">
        <f>"93"</f>
        <v>93</v>
      </c>
      <c r="D5789" t="str">
        <f>"In the Fishtank EP"</f>
        <v>In the Fishtank EP</v>
      </c>
    </row>
    <row r="5790" spans="1:4" x14ac:dyDescent="0.2">
      <c r="A5790" t="str">
        <f>"5789"</f>
        <v>5789</v>
      </c>
      <c r="B5790" t="str">
        <f>"0.46"</f>
        <v>0.46</v>
      </c>
      <c r="C5790" t="str">
        <f>"103"</f>
        <v>103</v>
      </c>
      <c r="D5790" t="str">
        <f>"Hot Shots II"</f>
        <v>Hot Shots II</v>
      </c>
    </row>
    <row r="5791" spans="1:4" x14ac:dyDescent="0.2">
      <c r="A5791" t="str">
        <f>"5790"</f>
        <v>5790</v>
      </c>
      <c r="B5791" t="str">
        <f>"0.37"</f>
        <v>0.37</v>
      </c>
      <c r="C5791" t="str">
        <f>"33"</f>
        <v>33</v>
      </c>
      <c r="D5791" t="str">
        <f>"Duets 2001"</f>
        <v>Duets 2001</v>
      </c>
    </row>
    <row r="5792" spans="1:4" x14ac:dyDescent="0.2">
      <c r="A5792" t="str">
        <f>"5791"</f>
        <v>5791</v>
      </c>
      <c r="B5792" t="str">
        <f>"0.56"</f>
        <v>0.56</v>
      </c>
      <c r="C5792" t="str">
        <f>"49"</f>
        <v>49</v>
      </c>
      <c r="D5792" t="str">
        <f>"The Walkmen"</f>
        <v>The Walkmen</v>
      </c>
    </row>
    <row r="5793" spans="1:4" x14ac:dyDescent="0.2">
      <c r="A5793" t="str">
        <f>"5792"</f>
        <v>5792</v>
      </c>
      <c r="B5793" t="str">
        <f>"-1.24"</f>
        <v>-1.24</v>
      </c>
      <c r="C5793" t="str">
        <f>"123"</f>
        <v>123</v>
      </c>
      <c r="D5793" t="str">
        <f>"Songs from the Hermetic Theatre"</f>
        <v>Songs from the Hermetic Theatre</v>
      </c>
    </row>
    <row r="5794" spans="1:4" x14ac:dyDescent="0.2">
      <c r="A5794" t="str">
        <f>"5793"</f>
        <v>5793</v>
      </c>
      <c r="B5794" t="str">
        <f>"-0.04"</f>
        <v>-0.04</v>
      </c>
      <c r="C5794" t="str">
        <f>"31"</f>
        <v>31</v>
      </c>
      <c r="D5794" t="str">
        <f>"Grinning Cat"</f>
        <v>Grinning Cat</v>
      </c>
    </row>
    <row r="5795" spans="1:4" x14ac:dyDescent="0.2">
      <c r="A5795" t="str">
        <f>"5794"</f>
        <v>5794</v>
      </c>
      <c r="B5795" t="str">
        <f>"-0.38"</f>
        <v>-0.38</v>
      </c>
      <c r="C5795" t="str">
        <f>"105"</f>
        <v>105</v>
      </c>
      <c r="D5795" t="str">
        <f>"Go Plastic"</f>
        <v>Go Plastic</v>
      </c>
    </row>
    <row r="5796" spans="1:4" x14ac:dyDescent="0.2">
      <c r="A5796" t="str">
        <f>"5795"</f>
        <v>5795</v>
      </c>
      <c r="B5796" t="str">
        <f>"-0.71"</f>
        <v>-0.71</v>
      </c>
      <c r="C5796" t="str">
        <f>"94"</f>
        <v>94</v>
      </c>
      <c r="D5796" t="str">
        <f>"The Texas-Jerusalem Crossroads"</f>
        <v>The Texas-Jerusalem Crossroads</v>
      </c>
    </row>
    <row r="5797" spans="1:4" x14ac:dyDescent="0.2">
      <c r="A5797" t="str">
        <f>"5796"</f>
        <v>5796</v>
      </c>
      <c r="B5797" t="str">
        <f>"0.13"</f>
        <v>0.13</v>
      </c>
      <c r="C5797" t="str">
        <f>"74"</f>
        <v>74</v>
      </c>
      <c r="D5797" t="str">
        <f>"The World Won't End"</f>
        <v>The World Won't End</v>
      </c>
    </row>
    <row r="5798" spans="1:4" x14ac:dyDescent="0.2">
      <c r="A5798" t="str">
        <f>"5797"</f>
        <v>5797</v>
      </c>
      <c r="B5798" t="str">
        <f>"-0.63"</f>
        <v>-0.63</v>
      </c>
      <c r="C5798" t="str">
        <f>"47"</f>
        <v>47</v>
      </c>
      <c r="D5798" t="str">
        <f>"The Death of a Girl EP"</f>
        <v>The Death of a Girl EP</v>
      </c>
    </row>
    <row r="5799" spans="1:4" x14ac:dyDescent="0.2">
      <c r="A5799" t="str">
        <f>"5798"</f>
        <v>5798</v>
      </c>
      <c r="B5799" t="str">
        <f>"0.15"</f>
        <v>0.15</v>
      </c>
      <c r="C5799" t="str">
        <f>"110"</f>
        <v>110</v>
      </c>
      <c r="D5799" t="str">
        <f>"Live at Jittery Joe's"</f>
        <v>Live at Jittery Joe's</v>
      </c>
    </row>
    <row r="5800" spans="1:4" x14ac:dyDescent="0.2">
      <c r="A5800" t="str">
        <f>"5799"</f>
        <v>5799</v>
      </c>
      <c r="B5800" t="str">
        <f>"-0.39"</f>
        <v>-0.39</v>
      </c>
      <c r="C5800" t="str">
        <f>"122"</f>
        <v>122</v>
      </c>
      <c r="D5800" t="str">
        <f>"It's Spooky"</f>
        <v>It's Spooky</v>
      </c>
    </row>
    <row r="5801" spans="1:4" x14ac:dyDescent="0.2">
      <c r="A5801" t="str">
        <f>"5800"</f>
        <v>5800</v>
      </c>
      <c r="B5801" t="str">
        <f>"-0.28"</f>
        <v>-0.28</v>
      </c>
      <c r="C5801" t="str">
        <f>"111"</f>
        <v>111</v>
      </c>
      <c r="D5801" t="str">
        <f>"Hotel Lives"</f>
        <v>Hotel Lives</v>
      </c>
    </row>
    <row r="5802" spans="1:4" x14ac:dyDescent="0.2">
      <c r="A5802" t="str">
        <f>"5801"</f>
        <v>5801</v>
      </c>
      <c r="B5802" t="str">
        <f>"-0.99"</f>
        <v>-0.99</v>
      </c>
      <c r="C5802" t="str">
        <f>"81"</f>
        <v>81</v>
      </c>
      <c r="D5802" t="str">
        <f>"Everybody Wants to Know"</f>
        <v>Everybody Wants to Know</v>
      </c>
    </row>
    <row r="5803" spans="1:4" x14ac:dyDescent="0.2">
      <c r="A5803" t="str">
        <f>"5802"</f>
        <v>5802</v>
      </c>
      <c r="B5803" t="str">
        <f>"0.83"</f>
        <v>0.83</v>
      </c>
      <c r="C5803" t="str">
        <f>"106"</f>
        <v>106</v>
      </c>
      <c r="D5803" t="str">
        <f>"Chicago Underground Quartet"</f>
        <v>Chicago Underground Quartet</v>
      </c>
    </row>
    <row r="5804" spans="1:4" x14ac:dyDescent="0.2">
      <c r="A5804" t="str">
        <f>"5803"</f>
        <v>5803</v>
      </c>
      <c r="B5804" t="str">
        <f>"-0.33"</f>
        <v>-0.33</v>
      </c>
      <c r="C5804" t="str">
        <f>"76"</f>
        <v>76</v>
      </c>
      <c r="D5804" t="s">
        <v>215</v>
      </c>
    </row>
    <row r="5805" spans="1:4" x14ac:dyDescent="0.2">
      <c r="A5805" t="str">
        <f>"5804"</f>
        <v>5804</v>
      </c>
      <c r="B5805" t="str">
        <f>"0.94"</f>
        <v>0.94</v>
      </c>
      <c r="C5805" t="str">
        <f>"87"</f>
        <v>87</v>
      </c>
      <c r="D5805" t="str">
        <f>"A Celebratory Arm Gesture"</f>
        <v>A Celebratory Arm Gesture</v>
      </c>
    </row>
    <row r="5806" spans="1:4" x14ac:dyDescent="0.2">
      <c r="A5806" t="str">
        <f>"5805"</f>
        <v>5805</v>
      </c>
      <c r="B5806" t="str">
        <f>"-0.24"</f>
        <v>-0.24</v>
      </c>
      <c r="C5806" t="str">
        <f>"92"</f>
        <v>92</v>
      </c>
      <c r="D5806" t="str">
        <f>"Crane Wars"</f>
        <v>Crane Wars</v>
      </c>
    </row>
    <row r="5807" spans="1:4" x14ac:dyDescent="0.2">
      <c r="A5807" t="str">
        <f>"5806"</f>
        <v>5806</v>
      </c>
      <c r="B5807" t="str">
        <f>"0.27"</f>
        <v>0.27</v>
      </c>
      <c r="C5807" t="str">
        <f>"137"</f>
        <v>137</v>
      </c>
      <c r="D5807" t="str">
        <f>"Time Travel is Lonely"</f>
        <v>Time Travel is Lonely</v>
      </c>
    </row>
    <row r="5808" spans="1:4" x14ac:dyDescent="0.2">
      <c r="A5808" t="str">
        <f>"5807"</f>
        <v>5807</v>
      </c>
      <c r="B5808" t="str">
        <f>"0.63"</f>
        <v>0.63</v>
      </c>
      <c r="C5808" t="str">
        <f>"118"</f>
        <v>118</v>
      </c>
      <c r="D5808" t="str">
        <f>"The Invisible Band"</f>
        <v>The Invisible Band</v>
      </c>
    </row>
    <row r="5809" spans="1:4" x14ac:dyDescent="0.2">
      <c r="A5809" t="str">
        <f>"5808"</f>
        <v>5808</v>
      </c>
      <c r="B5809" t="str">
        <f>"0.52"</f>
        <v>0.52</v>
      </c>
      <c r="C5809" t="str">
        <f>"80"</f>
        <v>80</v>
      </c>
      <c r="D5809" t="str">
        <f>"The Dream of a Modern Day"</f>
        <v>The Dream of a Modern Day</v>
      </c>
    </row>
    <row r="5810" spans="1:4" x14ac:dyDescent="0.2">
      <c r="A5810" t="str">
        <f>"5809"</f>
        <v>5809</v>
      </c>
      <c r="B5810" t="str">
        <f>"0"</f>
        <v>0</v>
      </c>
      <c r="C5810" t="str">
        <f>"111"</f>
        <v>111</v>
      </c>
      <c r="D5810" t="str">
        <f>"Neu! '75"</f>
        <v>Neu! '75</v>
      </c>
    </row>
    <row r="5811" spans="1:4" x14ac:dyDescent="0.2">
      <c r="A5811" t="str">
        <f>"5810"</f>
        <v>5810</v>
      </c>
      <c r="B5811" t="str">
        <f>"-0.44"</f>
        <v>-0.44</v>
      </c>
      <c r="C5811" t="str">
        <f>"75"</f>
        <v>75</v>
      </c>
      <c r="D5811" t="str">
        <f>"Neu! 2"</f>
        <v>Neu! 2</v>
      </c>
    </row>
    <row r="5812" spans="1:4" x14ac:dyDescent="0.2">
      <c r="A5812" t="str">
        <f>"5811"</f>
        <v>5811</v>
      </c>
      <c r="B5812" t="str">
        <f>"0.56"</f>
        <v>0.56</v>
      </c>
      <c r="C5812" t="str">
        <f>"42"</f>
        <v>42</v>
      </c>
      <c r="D5812" t="str">
        <f>"Neu!"</f>
        <v>Neu!</v>
      </c>
    </row>
    <row r="5813" spans="1:4" x14ac:dyDescent="0.2">
      <c r="A5813" t="str">
        <f>"5812"</f>
        <v>5812</v>
      </c>
      <c r="B5813" t="str">
        <f>"-0.09"</f>
        <v>-0.09</v>
      </c>
      <c r="C5813" t="str">
        <f>"110"</f>
        <v>110</v>
      </c>
      <c r="D5813" t="str">
        <f>"Masses"</f>
        <v>Masses</v>
      </c>
    </row>
    <row r="5814" spans="1:4" x14ac:dyDescent="0.2">
      <c r="A5814" t="str">
        <f>"5813"</f>
        <v>5813</v>
      </c>
      <c r="B5814" t="str">
        <f>"-0.07"</f>
        <v>-0.07</v>
      </c>
      <c r="C5814" t="str">
        <f>"171"</f>
        <v>171</v>
      </c>
      <c r="D5814" t="str">
        <f>"Bodily Functions"</f>
        <v>Bodily Functions</v>
      </c>
    </row>
    <row r="5815" spans="1:4" x14ac:dyDescent="0.2">
      <c r="A5815" t="str">
        <f>"5814"</f>
        <v>5814</v>
      </c>
      <c r="B5815" t="str">
        <f>"0.32"</f>
        <v>0.32</v>
      </c>
      <c r="C5815" t="str">
        <f>"81"</f>
        <v>81</v>
      </c>
      <c r="D5815" t="str">
        <f>"At Dawn"</f>
        <v>At Dawn</v>
      </c>
    </row>
    <row r="5816" spans="1:4" x14ac:dyDescent="0.2">
      <c r="A5816" t="str">
        <f>"5815"</f>
        <v>5815</v>
      </c>
      <c r="B5816" t="str">
        <f>"-0.3"</f>
        <v>-0.3</v>
      </c>
      <c r="C5816" t="str">
        <f>"127"</f>
        <v>127</v>
      </c>
      <c r="D5816" t="str">
        <f>"Amnesiac"</f>
        <v>Amnesiac</v>
      </c>
    </row>
    <row r="5817" spans="1:4" x14ac:dyDescent="0.2">
      <c r="A5817" t="str">
        <f>"5816"</f>
        <v>5816</v>
      </c>
      <c r="B5817" t="str">
        <f>"0.17"</f>
        <v>0.17</v>
      </c>
      <c r="C5817" t="str">
        <f>"65"</f>
        <v>65</v>
      </c>
      <c r="D5817" t="str">
        <f>"We Love the City"</f>
        <v>We Love the City</v>
      </c>
    </row>
    <row r="5818" spans="1:4" x14ac:dyDescent="0.2">
      <c r="A5818" t="str">
        <f>"5817"</f>
        <v>5817</v>
      </c>
      <c r="B5818" t="str">
        <f>"0.45"</f>
        <v>0.45</v>
      </c>
      <c r="C5818" t="str">
        <f>"42"</f>
        <v>42</v>
      </c>
      <c r="D5818" t="str">
        <f>"The Tyranny of Distance"</f>
        <v>The Tyranny of Distance</v>
      </c>
    </row>
    <row r="5819" spans="1:4" x14ac:dyDescent="0.2">
      <c r="A5819" t="str">
        <f>"5818"</f>
        <v>5818</v>
      </c>
      <c r="B5819" t="str">
        <f>"0.35"</f>
        <v>0.35</v>
      </c>
      <c r="C5819" t="str">
        <f>"96"</f>
        <v>96</v>
      </c>
      <c r="D5819" t="str">
        <f>"The Smith Album"</f>
        <v>The Smith Album</v>
      </c>
    </row>
    <row r="5820" spans="1:4" x14ac:dyDescent="0.2">
      <c r="A5820" t="str">
        <f>"5819"</f>
        <v>5819</v>
      </c>
      <c r="B5820" t="str">
        <f>"0.57"</f>
        <v>0.57</v>
      </c>
      <c r="C5820" t="str">
        <f>"36"</f>
        <v>36</v>
      </c>
      <c r="D5820" t="str">
        <f>"More Revery EP"</f>
        <v>More Revery EP</v>
      </c>
    </row>
    <row r="5821" spans="1:4" x14ac:dyDescent="0.2">
      <c r="A5821" t="str">
        <f>"5820"</f>
        <v>5820</v>
      </c>
      <c r="B5821" t="str">
        <f>"-0.11"</f>
        <v>-0.11</v>
      </c>
      <c r="C5821" t="str">
        <f>"79"</f>
        <v>79</v>
      </c>
      <c r="D5821" t="str">
        <f>"Gorillaz"</f>
        <v>Gorillaz</v>
      </c>
    </row>
    <row r="5822" spans="1:4" x14ac:dyDescent="0.2">
      <c r="A5822" t="str">
        <f>"5821"</f>
        <v>5821</v>
      </c>
      <c r="B5822" t="str">
        <f>"-0.24"</f>
        <v>-0.24</v>
      </c>
      <c r="C5822" t="str">
        <f>"74"</f>
        <v>74</v>
      </c>
      <c r="D5822" t="str">
        <f>"Coquelicot Asleep in the Poppies: A Variety of Whimsical Verse"</f>
        <v>Coquelicot Asleep in the Poppies: A Variety of Whimsical Verse</v>
      </c>
    </row>
    <row r="5823" spans="1:4" x14ac:dyDescent="0.2">
      <c r="A5823" t="str">
        <f>"5822"</f>
        <v>5822</v>
      </c>
      <c r="B5823" t="str">
        <f>"-0.69"</f>
        <v>-0.69</v>
      </c>
      <c r="C5823" t="str">
        <f>"40"</f>
        <v>40</v>
      </c>
      <c r="D5823" t="str">
        <f>"Calculating Components and Compound Formulas for Mass Population Reconstruction"</f>
        <v>Calculating Components and Compound Formulas for Mass Population Reconstruction</v>
      </c>
    </row>
    <row r="5824" spans="1:4" x14ac:dyDescent="0.2">
      <c r="A5824" t="str">
        <f>"5823"</f>
        <v>5823</v>
      </c>
      <c r="B5824" t="str">
        <f>"-0.09"</f>
        <v>-0.09</v>
      </c>
      <c r="C5824" t="str">
        <f>"105"</f>
        <v>105</v>
      </c>
      <c r="D5824" t="str">
        <f>"All the Suits Began to Fall Off EP"</f>
        <v>All the Suits Began to Fall Off EP</v>
      </c>
    </row>
    <row r="5825" spans="1:4" x14ac:dyDescent="0.2">
      <c r="A5825" t="str">
        <f>"5824"</f>
        <v>5824</v>
      </c>
      <c r="B5825" t="str">
        <f>"0.09"</f>
        <v>0.09</v>
      </c>
      <c r="C5825" t="str">
        <f>"84"</f>
        <v>84</v>
      </c>
      <c r="D5825" t="str">
        <f>"Double Figure"</f>
        <v>Double Figure</v>
      </c>
    </row>
    <row r="5826" spans="1:4" x14ac:dyDescent="0.2">
      <c r="A5826" t="str">
        <f>"5825"</f>
        <v>5825</v>
      </c>
      <c r="B5826" t="str">
        <f>"-0.2"</f>
        <v>-0.2</v>
      </c>
      <c r="C5826" t="str">
        <f>"130"</f>
        <v>130</v>
      </c>
      <c r="D5826" t="s">
        <v>216</v>
      </c>
    </row>
    <row r="5827" spans="1:4" x14ac:dyDescent="0.2">
      <c r="A5827" t="str">
        <f>"5826"</f>
        <v>5826</v>
      </c>
      <c r="B5827" t="str">
        <f>"-0.13"</f>
        <v>-0.13</v>
      </c>
      <c r="C5827" t="str">
        <f>"70"</f>
        <v>70</v>
      </c>
      <c r="D5827" t="str">
        <f>"You Should Know by Now"</f>
        <v>You Should Know by Now</v>
      </c>
    </row>
    <row r="5828" spans="1:4" x14ac:dyDescent="0.2">
      <c r="A5828" t="str">
        <f>"5827"</f>
        <v>5827</v>
      </c>
      <c r="B5828" t="str">
        <f>"0.56"</f>
        <v>0.56</v>
      </c>
      <c r="C5828" t="str">
        <f>"119"</f>
        <v>119</v>
      </c>
      <c r="D5828" t="str">
        <f>"The Invisible Man"</f>
        <v>The Invisible Man</v>
      </c>
    </row>
    <row r="5829" spans="1:4" x14ac:dyDescent="0.2">
      <c r="A5829" t="str">
        <f>"5828"</f>
        <v>5828</v>
      </c>
      <c r="B5829" t="str">
        <f>"0.25"</f>
        <v>0.25</v>
      </c>
      <c r="C5829" t="str">
        <f>"109"</f>
        <v>109</v>
      </c>
      <c r="D5829" t="str">
        <f>"Pneumonia"</f>
        <v>Pneumonia</v>
      </c>
    </row>
    <row r="5830" spans="1:4" x14ac:dyDescent="0.2">
      <c r="A5830" t="str">
        <f>"5829"</f>
        <v>5829</v>
      </c>
      <c r="B5830" t="str">
        <f>"-0.82"</f>
        <v>-0.82</v>
      </c>
      <c r="C5830" t="str">
        <f>"44"</f>
        <v>44</v>
      </c>
      <c r="D5830" t="str">
        <f>"Ovalcommers"</f>
        <v>Ovalcommers</v>
      </c>
    </row>
    <row r="5831" spans="1:4" x14ac:dyDescent="0.2">
      <c r="A5831" t="str">
        <f>"5830"</f>
        <v>5830</v>
      </c>
      <c r="B5831" t="str">
        <f>"0.15"</f>
        <v>0.15</v>
      </c>
      <c r="C5831" t="str">
        <f>"79"</f>
        <v>79</v>
      </c>
      <c r="D5831" t="str">
        <f>"Looking for Leonard"</f>
        <v>Looking for Leonard</v>
      </c>
    </row>
    <row r="5832" spans="1:4" x14ac:dyDescent="0.2">
      <c r="A5832" t="str">
        <f>"5831"</f>
        <v>5831</v>
      </c>
      <c r="B5832" t="str">
        <f>"-0.34"</f>
        <v>-0.34</v>
      </c>
      <c r="C5832" t="str">
        <f>"110"</f>
        <v>110</v>
      </c>
      <c r="D5832" t="str">
        <f>"I Poo Poo on Your Juju"</f>
        <v>I Poo Poo on Your Juju</v>
      </c>
    </row>
    <row r="5833" spans="1:4" x14ac:dyDescent="0.2">
      <c r="A5833" t="str">
        <f>"5832"</f>
        <v>5832</v>
      </c>
      <c r="B5833" t="str">
        <f>"0.33"</f>
        <v>0.33</v>
      </c>
      <c r="C5833" t="str">
        <f>"71"</f>
        <v>71</v>
      </c>
      <c r="D5833" t="str">
        <f>"Flowers"</f>
        <v>Flowers</v>
      </c>
    </row>
    <row r="5834" spans="1:4" x14ac:dyDescent="0.2">
      <c r="A5834" t="str">
        <f>"5833"</f>
        <v>5833</v>
      </c>
      <c r="B5834" t="str">
        <f>"-0.1"</f>
        <v>-0.1</v>
      </c>
      <c r="C5834" t="str">
        <f>"93"</f>
        <v>93</v>
      </c>
      <c r="D5834" t="str">
        <f>"Even My Sure Things Fall Through EP"</f>
        <v>Even My Sure Things Fall Through EP</v>
      </c>
    </row>
    <row r="5835" spans="1:4" x14ac:dyDescent="0.2">
      <c r="A5835" t="str">
        <f>"5834"</f>
        <v>5834</v>
      </c>
      <c r="B5835" t="str">
        <f>"0.36"</f>
        <v>0.36</v>
      </c>
      <c r="C5835" t="str">
        <f>"109"</f>
        <v>109</v>
      </c>
      <c r="D5835" t="str">
        <f>"Argyle Heir"</f>
        <v>Argyle Heir</v>
      </c>
    </row>
    <row r="5836" spans="1:4" x14ac:dyDescent="0.2">
      <c r="A5836" t="str">
        <f>"5835"</f>
        <v>5835</v>
      </c>
      <c r="B5836" t="str">
        <f>"-0.67"</f>
        <v>-0.67</v>
      </c>
      <c r="C5836" t="str">
        <f>"81"</f>
        <v>81</v>
      </c>
      <c r="D5836" t="str">
        <f>"Out of the Races and Onto the Tracks EP"</f>
        <v>Out of the Races and Onto the Tracks EP</v>
      </c>
    </row>
    <row r="5837" spans="1:4" x14ac:dyDescent="0.2">
      <c r="A5837" t="str">
        <f>"5836"</f>
        <v>5836</v>
      </c>
      <c r="B5837" t="str">
        <f>"0.97"</f>
        <v>0.97</v>
      </c>
      <c r="C5837" t="str">
        <f>"87"</f>
        <v>87</v>
      </c>
      <c r="D5837" t="str">
        <f>"My Red Hot Car EP"</f>
        <v>My Red Hot Car EP</v>
      </c>
    </row>
    <row r="5838" spans="1:4" x14ac:dyDescent="0.2">
      <c r="A5838" t="str">
        <f>"5837"</f>
        <v>5837</v>
      </c>
      <c r="B5838" t="str">
        <f>"0.56"</f>
        <v>0.56</v>
      </c>
      <c r="C5838" t="str">
        <f>"98"</f>
        <v>98</v>
      </c>
      <c r="D5838" t="str">
        <f>"Can Our Love..."</f>
        <v>Can Our Love...</v>
      </c>
    </row>
    <row r="5839" spans="1:4" x14ac:dyDescent="0.2">
      <c r="A5839" t="str">
        <f>"5838"</f>
        <v>5838</v>
      </c>
      <c r="B5839" t="str">
        <f>"-0.38"</f>
        <v>-0.38</v>
      </c>
      <c r="C5839" t="str">
        <f>"106"</f>
        <v>106</v>
      </c>
      <c r="D5839" t="str">
        <f>"The Cold Vein"</f>
        <v>The Cold Vein</v>
      </c>
    </row>
    <row r="5840" spans="1:4" x14ac:dyDescent="0.2">
      <c r="A5840" t="str">
        <f>"5839"</f>
        <v>5839</v>
      </c>
      <c r="B5840" t="str">
        <f>"0.69"</f>
        <v>0.69</v>
      </c>
      <c r="C5840" t="str">
        <f>"61"</f>
        <v>61</v>
      </c>
      <c r="D5840" t="str">
        <f>"Open"</f>
        <v>Open</v>
      </c>
    </row>
    <row r="5841" spans="1:4" x14ac:dyDescent="0.2">
      <c r="A5841" t="str">
        <f>"5840"</f>
        <v>5840</v>
      </c>
      <c r="B5841" t="str">
        <f>"-0.3"</f>
        <v>-0.3</v>
      </c>
      <c r="C5841" t="str">
        <f>"215"</f>
        <v>215</v>
      </c>
      <c r="D5841" t="str">
        <f>"Lateralus"</f>
        <v>Lateralus</v>
      </c>
    </row>
    <row r="5842" spans="1:4" x14ac:dyDescent="0.2">
      <c r="A5842" t="str">
        <f>"5841"</f>
        <v>5841</v>
      </c>
      <c r="B5842" t="str">
        <f>"-0.26"</f>
        <v>-0.26</v>
      </c>
      <c r="C5842" t="str">
        <f>"97"</f>
        <v>97</v>
      </c>
      <c r="D5842" t="str">
        <f>"Exciter"</f>
        <v>Exciter</v>
      </c>
    </row>
    <row r="5843" spans="1:4" x14ac:dyDescent="0.2">
      <c r="A5843" t="str">
        <f>"5842"</f>
        <v>5842</v>
      </c>
      <c r="B5843" t="str">
        <f>"-0.05"</f>
        <v>-0.05</v>
      </c>
      <c r="C5843" t="str">
        <f>"152"</f>
        <v>152</v>
      </c>
      <c r="D5843" t="str">
        <f>"Weezer (Green Album)"</f>
        <v>Weezer (Green Album)</v>
      </c>
    </row>
    <row r="5844" spans="1:4" x14ac:dyDescent="0.2">
      <c r="A5844" t="str">
        <f>"5843"</f>
        <v>5843</v>
      </c>
      <c r="B5844" t="str">
        <f>"0.17"</f>
        <v>0.17</v>
      </c>
      <c r="C5844" t="str">
        <f>"88"</f>
        <v>88</v>
      </c>
      <c r="D5844" t="str">
        <f>"Reveal"</f>
        <v>Reveal</v>
      </c>
    </row>
    <row r="5845" spans="1:4" x14ac:dyDescent="0.2">
      <c r="A5845" t="str">
        <f>"5844"</f>
        <v>5844</v>
      </c>
      <c r="B5845" t="str">
        <f>"0.76"</f>
        <v>0.76</v>
      </c>
      <c r="C5845" t="str">
        <f>"74"</f>
        <v>74</v>
      </c>
      <c r="D5845" t="str">
        <f>"Look into the Eyeball"</f>
        <v>Look into the Eyeball</v>
      </c>
    </row>
    <row r="5846" spans="1:4" x14ac:dyDescent="0.2">
      <c r="A5846" t="str">
        <f>"5845"</f>
        <v>5845</v>
      </c>
      <c r="B5846" t="str">
        <f>"0.03"</f>
        <v>0.03</v>
      </c>
      <c r="C5846" t="str">
        <f>"70"</f>
        <v>70</v>
      </c>
      <c r="D5846" t="str">
        <f>"Identikit"</f>
        <v>Identikit</v>
      </c>
    </row>
    <row r="5847" spans="1:4" x14ac:dyDescent="0.2">
      <c r="A5847" t="str">
        <f>"5846"</f>
        <v>5846</v>
      </c>
      <c r="B5847" t="str">
        <f>"-0.19"</f>
        <v>-0.19</v>
      </c>
      <c r="C5847" t="str">
        <f>"92"</f>
        <v>92</v>
      </c>
      <c r="D5847" t="str">
        <f>"Field Songs"</f>
        <v>Field Songs</v>
      </c>
    </row>
    <row r="5848" spans="1:4" x14ac:dyDescent="0.2">
      <c r="A5848" t="str">
        <f>"5847"</f>
        <v>5847</v>
      </c>
      <c r="B5848" t="str">
        <f>"0.31"</f>
        <v>0.31</v>
      </c>
      <c r="C5848" t="str">
        <f>"88"</f>
        <v>88</v>
      </c>
      <c r="D5848" t="str">
        <f>"A Future Lived in Past Tense"</f>
        <v>A Future Lived in Past Tense</v>
      </c>
    </row>
    <row r="5849" spans="1:4" x14ac:dyDescent="0.2">
      <c r="A5849" t="str">
        <f>"5848"</f>
        <v>5848</v>
      </c>
      <c r="B5849" t="str">
        <f>"0.08"</f>
        <v>0.08</v>
      </c>
      <c r="C5849" t="str">
        <f>"110"</f>
        <v>110</v>
      </c>
      <c r="D5849" t="str">
        <f>"Rock Action"</f>
        <v>Rock Action</v>
      </c>
    </row>
    <row r="5850" spans="1:4" x14ac:dyDescent="0.2">
      <c r="A5850" t="str">
        <f>"5849"</f>
        <v>5849</v>
      </c>
      <c r="B5850" t="str">
        <f>"0.15"</f>
        <v>0.15</v>
      </c>
      <c r="C5850" t="str">
        <f>"57"</f>
        <v>57</v>
      </c>
      <c r="D5850" t="str">
        <f>"Mutilate Us"</f>
        <v>Mutilate Us</v>
      </c>
    </row>
    <row r="5851" spans="1:4" x14ac:dyDescent="0.2">
      <c r="A5851" t="str">
        <f>"5850"</f>
        <v>5850</v>
      </c>
      <c r="B5851" t="str">
        <f>"-0.31"</f>
        <v>-0.31</v>
      </c>
      <c r="C5851" t="str">
        <f>"82"</f>
        <v>82</v>
      </c>
      <c r="D5851" t="str">
        <f>"Miss E: So Addictive"</f>
        <v>Miss E: So Addictive</v>
      </c>
    </row>
    <row r="5852" spans="1:4" x14ac:dyDescent="0.2">
      <c r="A5852" t="str">
        <f>"5851"</f>
        <v>5851</v>
      </c>
      <c r="B5852" t="str">
        <f>"1.25"</f>
        <v>1.25</v>
      </c>
      <c r="C5852" t="str">
        <f>"105"</f>
        <v>105</v>
      </c>
      <c r="D5852" t="str">
        <f>"Idiology"</f>
        <v>Idiology</v>
      </c>
    </row>
    <row r="5853" spans="1:4" x14ac:dyDescent="0.2">
      <c r="A5853" t="str">
        <f>"5852"</f>
        <v>5852</v>
      </c>
      <c r="B5853" t="str">
        <f>"-0.94"</f>
        <v>-0.94</v>
      </c>
      <c r="C5853" t="str">
        <f>"94"</f>
        <v>94</v>
      </c>
      <c r="D5853" t="str">
        <f>"How Can Any Thing So Little Be Any More EP"</f>
        <v>How Can Any Thing So Little Be Any More EP</v>
      </c>
    </row>
    <row r="5854" spans="1:4" x14ac:dyDescent="0.2">
      <c r="A5854" t="str">
        <f>"5853"</f>
        <v>5853</v>
      </c>
      <c r="B5854" t="str">
        <f>"0.32"</f>
        <v>0.32</v>
      </c>
      <c r="C5854" t="str">
        <f>"108"</f>
        <v>108</v>
      </c>
      <c r="D5854" t="str">
        <f>"Cousteau"</f>
        <v>Cousteau</v>
      </c>
    </row>
    <row r="5855" spans="1:4" x14ac:dyDescent="0.2">
      <c r="A5855" t="str">
        <f>"5854"</f>
        <v>5854</v>
      </c>
      <c r="B5855" t="str">
        <f>"-0.34"</f>
        <v>-0.34</v>
      </c>
      <c r="C5855" t="str">
        <f>"95"</f>
        <v>95</v>
      </c>
      <c r="D5855" t="str">
        <f>"Noites do Norte"</f>
        <v>Noites do Norte</v>
      </c>
    </row>
    <row r="5856" spans="1:4" x14ac:dyDescent="0.2">
      <c r="A5856" t="str">
        <f>"5855"</f>
        <v>5855</v>
      </c>
      <c r="B5856" t="str">
        <f>"1.09"</f>
        <v>1.09</v>
      </c>
      <c r="C5856" t="str">
        <f>"76"</f>
        <v>76</v>
      </c>
      <c r="D5856" t="str">
        <f>"Necessity: The Four-Track years"</f>
        <v>Necessity: The Four-Track years</v>
      </c>
    </row>
    <row r="5857" spans="1:4" x14ac:dyDescent="0.2">
      <c r="A5857" t="str">
        <f>"5856"</f>
        <v>5856</v>
      </c>
      <c r="B5857" t="str">
        <f>"0.15"</f>
        <v>0.15</v>
      </c>
      <c r="C5857" t="str">
        <f>"170"</f>
        <v>170</v>
      </c>
      <c r="D5857" t="s">
        <v>217</v>
      </c>
    </row>
    <row r="5858" spans="1:4" x14ac:dyDescent="0.2">
      <c r="A5858" t="str">
        <f>"5857"</f>
        <v>5857</v>
      </c>
      <c r="B5858" t="str">
        <f>"1.12"</f>
        <v>1.12</v>
      </c>
      <c r="C5858" t="str">
        <f>"145"</f>
        <v>145</v>
      </c>
      <c r="D5858" t="str">
        <f>"Feather Float"</f>
        <v>Feather Float</v>
      </c>
    </row>
    <row r="5859" spans="1:4" x14ac:dyDescent="0.2">
      <c r="A5859" t="str">
        <f>"5858"</f>
        <v>5858</v>
      </c>
      <c r="B5859" t="str">
        <f>"0.26"</f>
        <v>0.26</v>
      </c>
      <c r="C5859" t="str">
        <f>"98"</f>
        <v>98</v>
      </c>
      <c r="D5859" t="str">
        <f>"Dizzy Spells"</f>
        <v>Dizzy Spells</v>
      </c>
    </row>
    <row r="5860" spans="1:4" x14ac:dyDescent="0.2">
      <c r="A5860" t="str">
        <f>"5859"</f>
        <v>5859</v>
      </c>
      <c r="B5860" t="str">
        <f>"-0.22"</f>
        <v>-0.22</v>
      </c>
      <c r="C5860" t="str">
        <f>"103"</f>
        <v>103</v>
      </c>
      <c r="D5860" t="str">
        <f>"Dilate"</f>
        <v>Dilate</v>
      </c>
    </row>
    <row r="5861" spans="1:4" x14ac:dyDescent="0.2">
      <c r="A5861" t="str">
        <f>"5860"</f>
        <v>5860</v>
      </c>
      <c r="B5861" t="str">
        <f>"-1.09"</f>
        <v>-1.09</v>
      </c>
      <c r="C5861" t="str">
        <f>"103"</f>
        <v>103</v>
      </c>
      <c r="D5861" t="str">
        <f>"cLOUDDEAD"</f>
        <v>cLOUDDEAD</v>
      </c>
    </row>
    <row r="5862" spans="1:4" x14ac:dyDescent="0.2">
      <c r="A5862" t="str">
        <f>"5861"</f>
        <v>5861</v>
      </c>
      <c r="B5862" t="str">
        <f>"0.15"</f>
        <v>0.15</v>
      </c>
      <c r="C5862" t="str">
        <f>"86"</f>
        <v>86</v>
      </c>
      <c r="D5862" t="str">
        <f>"A Man Under the Influence"</f>
        <v>A Man Under the Influence</v>
      </c>
    </row>
    <row r="5863" spans="1:4" x14ac:dyDescent="0.2">
      <c r="A5863" t="str">
        <f>"5862"</f>
        <v>5862</v>
      </c>
      <c r="B5863" t="str">
        <f>"-0.46"</f>
        <v>-0.46</v>
      </c>
      <c r="C5863" t="str">
        <f>"75"</f>
        <v>75</v>
      </c>
      <c r="D5863" t="str">
        <f>"Acre Thrills"</f>
        <v>Acre Thrills</v>
      </c>
    </row>
    <row r="5864" spans="1:4" x14ac:dyDescent="0.2">
      <c r="A5864" t="str">
        <f>"5863"</f>
        <v>5863</v>
      </c>
      <c r="B5864" t="str">
        <f>"0.43"</f>
        <v>0.43</v>
      </c>
      <c r="C5864" t="str">
        <f>"48"</f>
        <v>48</v>
      </c>
      <c r="D5864" t="str">
        <f>"8000 B.C."</f>
        <v>8000 B.C.</v>
      </c>
    </row>
    <row r="5865" spans="1:4" x14ac:dyDescent="0.2">
      <c r="A5865" t="str">
        <f>"5864"</f>
        <v>5864</v>
      </c>
      <c r="B5865" t="str">
        <f>"0.01"</f>
        <v>0.01</v>
      </c>
      <c r="C5865" t="str">
        <f>"84"</f>
        <v>84</v>
      </c>
      <c r="D5865" t="str">
        <f>"Surviving the Quiet"</f>
        <v>Surviving the Quiet</v>
      </c>
    </row>
    <row r="5866" spans="1:4" x14ac:dyDescent="0.2">
      <c r="A5866" t="str">
        <f>"5865"</f>
        <v>5865</v>
      </c>
      <c r="B5866" t="str">
        <f>"0.81"</f>
        <v>0.81</v>
      </c>
      <c r="C5866" t="str">
        <f>"89"</f>
        <v>89</v>
      </c>
      <c r="D5866" t="str">
        <f>"Psychopharmacology"</f>
        <v>Psychopharmacology</v>
      </c>
    </row>
    <row r="5867" spans="1:4" x14ac:dyDescent="0.2">
      <c r="A5867" t="str">
        <f>"5866"</f>
        <v>5866</v>
      </c>
      <c r="B5867" t="str">
        <f>"0.14"</f>
        <v>0.14</v>
      </c>
      <c r="C5867" t="str">
        <f>"128"</f>
        <v>128</v>
      </c>
      <c r="D5867" t="str">
        <f>"Leaves Turn Inside You"</f>
        <v>Leaves Turn Inside You</v>
      </c>
    </row>
    <row r="5868" spans="1:4" x14ac:dyDescent="0.2">
      <c r="A5868" t="str">
        <f>"5867"</f>
        <v>5867</v>
      </c>
      <c r="B5868" t="str">
        <f>"-0.58"</f>
        <v>-0.58</v>
      </c>
      <c r="C5868" t="str">
        <f>"98"</f>
        <v>98</v>
      </c>
      <c r="D5868" t="str">
        <f>"Just Enough Education to Perform"</f>
        <v>Just Enough Education to Perform</v>
      </c>
    </row>
    <row r="5869" spans="1:4" x14ac:dyDescent="0.2">
      <c r="A5869" t="str">
        <f>"5868"</f>
        <v>5868</v>
      </c>
      <c r="B5869" t="str">
        <f>"-0.99"</f>
        <v>-0.99</v>
      </c>
      <c r="C5869" t="str">
        <f>"110"</f>
        <v>110</v>
      </c>
      <c r="D5869" t="str">
        <f>"Confield"</f>
        <v>Confield</v>
      </c>
    </row>
    <row r="5870" spans="1:4" x14ac:dyDescent="0.2">
      <c r="A5870" t="str">
        <f>"5869"</f>
        <v>5869</v>
      </c>
      <c r="B5870" t="str">
        <f>"-0.11"</f>
        <v>-0.11</v>
      </c>
      <c r="C5870" t="str">
        <f>"139"</f>
        <v>139</v>
      </c>
      <c r="D5870" t="str">
        <f>"Cassidy"</f>
        <v>Cassidy</v>
      </c>
    </row>
    <row r="5871" spans="1:4" x14ac:dyDescent="0.2">
      <c r="A5871" t="str">
        <f>"5870"</f>
        <v>5870</v>
      </c>
      <c r="B5871" t="str">
        <f>"0.47"</f>
        <v>0.47</v>
      </c>
      <c r="C5871" t="str">
        <f>"81"</f>
        <v>81</v>
      </c>
      <c r="D5871" t="str">
        <f>"Roomsound"</f>
        <v>Roomsound</v>
      </c>
    </row>
    <row r="5872" spans="1:4" x14ac:dyDescent="0.2">
      <c r="A5872" t="str">
        <f>"5871"</f>
        <v>5871</v>
      </c>
      <c r="B5872" t="str">
        <f>"-0.34"</f>
        <v>-0.34</v>
      </c>
      <c r="C5872" t="str">
        <f>"66"</f>
        <v>66</v>
      </c>
      <c r="D5872" t="str">
        <f>"Everything's Fine"</f>
        <v>Everything's Fine</v>
      </c>
    </row>
    <row r="5873" spans="1:4" x14ac:dyDescent="0.2">
      <c r="A5873" t="str">
        <f>"5872"</f>
        <v>5872</v>
      </c>
      <c r="B5873" t="str">
        <f>"0.72"</f>
        <v>0.72</v>
      </c>
      <c r="C5873" t="str">
        <f>"90"</f>
        <v>90</v>
      </c>
      <c r="D5873" t="str">
        <f>"Ease Down the Road"</f>
        <v>Ease Down the Road</v>
      </c>
    </row>
    <row r="5874" spans="1:4" x14ac:dyDescent="0.2">
      <c r="A5874" t="str">
        <f>"5873"</f>
        <v>5873</v>
      </c>
      <c r="B5874" t="str">
        <f>"0.54"</f>
        <v>0.54</v>
      </c>
      <c r="C5874" t="str">
        <f>"52"</f>
        <v>52</v>
      </c>
      <c r="D5874" t="str">
        <f>"Dismemberment Plan &amp; Juno EP"</f>
        <v>Dismemberment Plan &amp; Juno EP</v>
      </c>
    </row>
    <row r="5875" spans="1:4" x14ac:dyDescent="0.2">
      <c r="A5875" t="str">
        <f>"5874"</f>
        <v>5874</v>
      </c>
      <c r="B5875" t="str">
        <f>"-0.08"</f>
        <v>-0.08</v>
      </c>
      <c r="C5875" t="str">
        <f>"60"</f>
        <v>60</v>
      </c>
      <c r="D5875" t="str">
        <f>"Agony Part 1"</f>
        <v>Agony Part 1</v>
      </c>
    </row>
    <row r="5876" spans="1:4" x14ac:dyDescent="0.2">
      <c r="A5876" t="str">
        <f>"5875"</f>
        <v>5875</v>
      </c>
      <c r="B5876" t="str">
        <f>"0.62"</f>
        <v>0.62</v>
      </c>
      <c r="C5876" t="str">
        <f>"71"</f>
        <v>71</v>
      </c>
      <c r="D5876" t="str">
        <f>"A Chance to Cut is a Chance to Cure"</f>
        <v>A Chance to Cut is a Chance to Cure</v>
      </c>
    </row>
    <row r="5877" spans="1:4" x14ac:dyDescent="0.2">
      <c r="A5877" t="str">
        <f>"5876"</f>
        <v>5876</v>
      </c>
      <c r="B5877" t="str">
        <f>"0.95"</f>
        <v>0.95</v>
      </c>
      <c r="C5877" t="str">
        <f>"57"</f>
        <v>57</v>
      </c>
      <c r="D5877" t="str">
        <f>"604"</f>
        <v>604</v>
      </c>
    </row>
    <row r="5878" spans="1:4" x14ac:dyDescent="0.2">
      <c r="A5878" t="str">
        <f>"5877"</f>
        <v>5877</v>
      </c>
      <c r="B5878" t="str">
        <f>"1.4"</f>
        <v>1.4</v>
      </c>
      <c r="C5878" t="str">
        <f>"66"</f>
        <v>66</v>
      </c>
      <c r="D5878" t="str">
        <f>"Smiley Smile"</f>
        <v>Smiley Smile</v>
      </c>
    </row>
    <row r="5879" spans="1:4" x14ac:dyDescent="0.2">
      <c r="A5879" t="str">
        <f>"5878"</f>
        <v>5878</v>
      </c>
      <c r="B5879" t="str">
        <f>"0.41"</f>
        <v>0.41</v>
      </c>
      <c r="C5879" t="str">
        <f>"60"</f>
        <v>60</v>
      </c>
      <c r="D5879" t="str">
        <f>"Month of Sundays"</f>
        <v>Month of Sundays</v>
      </c>
    </row>
    <row r="5880" spans="1:4" x14ac:dyDescent="0.2">
      <c r="A5880" t="str">
        <f>"5879"</f>
        <v>5879</v>
      </c>
      <c r="B5880" t="str">
        <f>"-0.29"</f>
        <v>-0.29</v>
      </c>
      <c r="C5880" t="str">
        <f>"62"</f>
        <v>62</v>
      </c>
      <c r="D5880" t="str">
        <f>"How I Loved You"</f>
        <v>How I Loved You</v>
      </c>
    </row>
    <row r="5881" spans="1:4" x14ac:dyDescent="0.2">
      <c r="A5881" t="str">
        <f>"5880"</f>
        <v>5880</v>
      </c>
      <c r="B5881" t="str">
        <f>"-0.55"</f>
        <v>-0.55</v>
      </c>
      <c r="C5881" t="str">
        <f>"154"</f>
        <v>154</v>
      </c>
      <c r="D5881" t="str">
        <f>"Blister Pop"</f>
        <v>Blister Pop</v>
      </c>
    </row>
    <row r="5882" spans="1:4" x14ac:dyDescent="0.2">
      <c r="A5882" t="str">
        <f>"5881"</f>
        <v>5881</v>
      </c>
      <c r="B5882" t="str">
        <f>"-0.14"</f>
        <v>-0.14</v>
      </c>
      <c r="C5882" t="str">
        <f>"60"</f>
        <v>60</v>
      </c>
      <c r="D5882" t="str">
        <f>"Home is Where It Hurts EP"</f>
        <v>Home is Where It Hurts EP</v>
      </c>
    </row>
    <row r="5883" spans="1:4" x14ac:dyDescent="0.2">
      <c r="A5883" t="str">
        <f>"5882"</f>
        <v>5882</v>
      </c>
      <c r="B5883" t="str">
        <f>"-0.39"</f>
        <v>-0.39</v>
      </c>
      <c r="C5883" t="str">
        <f>"187"</f>
        <v>187</v>
      </c>
      <c r="D5883" t="str">
        <f>"Once"</f>
        <v>Once</v>
      </c>
    </row>
    <row r="5884" spans="1:4" x14ac:dyDescent="0.2">
      <c r="A5884" t="str">
        <f>"5883"</f>
        <v>5883</v>
      </c>
      <c r="B5884" t="str">
        <f>"0.08"</f>
        <v>0.08</v>
      </c>
      <c r="C5884" t="str">
        <f>"100"</f>
        <v>100</v>
      </c>
      <c r="D5884" t="str">
        <f>"Hoshi No Koe"</f>
        <v>Hoshi No Koe</v>
      </c>
    </row>
    <row r="5885" spans="1:4" x14ac:dyDescent="0.2">
      <c r="A5885" t="str">
        <f>"5884"</f>
        <v>5884</v>
      </c>
      <c r="B5885" t="str">
        <f>"0.54"</f>
        <v>0.54</v>
      </c>
      <c r="C5885" t="str">
        <f>"82"</f>
        <v>82</v>
      </c>
      <c r="D5885" t="str">
        <f>"Golden Street"</f>
        <v>Golden Street</v>
      </c>
    </row>
    <row r="5886" spans="1:4" x14ac:dyDescent="0.2">
      <c r="A5886" t="str">
        <f>"5885"</f>
        <v>5885</v>
      </c>
      <c r="B5886" t="str">
        <f>"-1.06"</f>
        <v>-1.06</v>
      </c>
      <c r="C5886" t="str">
        <f>"113"</f>
        <v>113</v>
      </c>
      <c r="D5886" t="str">
        <f>"Bob Dinners and Larry Noodles Present Tubby Turdner's Celebrity Avalanche"</f>
        <v>Bob Dinners and Larry Noodles Present Tubby Turdner's Celebrity Avalanche</v>
      </c>
    </row>
    <row r="5887" spans="1:4" x14ac:dyDescent="0.2">
      <c r="A5887" t="str">
        <f>"5886"</f>
        <v>5886</v>
      </c>
      <c r="B5887" t="str">
        <f>"0.02"</f>
        <v>0.02</v>
      </c>
      <c r="C5887" t="str">
        <f>"98"</f>
        <v>98</v>
      </c>
      <c r="D5887" t="str">
        <f>"BBC Sessions 1964-1977"</f>
        <v>BBC Sessions 1964-1977</v>
      </c>
    </row>
    <row r="5888" spans="1:4" x14ac:dyDescent="0.2">
      <c r="A5888" t="str">
        <f>"5887"</f>
        <v>5887</v>
      </c>
      <c r="B5888" t="str">
        <f>"-0.19"</f>
        <v>-0.19</v>
      </c>
      <c r="C5888" t="str">
        <f>"115"</f>
        <v>115</v>
      </c>
      <c r="D5888" t="str">
        <f>"Know Your Enemy"</f>
        <v>Know Your Enemy</v>
      </c>
    </row>
    <row r="5889" spans="1:4" x14ac:dyDescent="0.2">
      <c r="A5889" t="str">
        <f>"5888"</f>
        <v>5888</v>
      </c>
      <c r="B5889" t="str">
        <f>"-0.35"</f>
        <v>-0.35</v>
      </c>
      <c r="C5889" t="str">
        <f>"55"</f>
        <v>55</v>
      </c>
      <c r="D5889" t="str">
        <f>"Consciousness"</f>
        <v>Consciousness</v>
      </c>
    </row>
    <row r="5890" spans="1:4" x14ac:dyDescent="0.2">
      <c r="A5890" t="str">
        <f>"5889"</f>
        <v>5889</v>
      </c>
      <c r="B5890" t="str">
        <f>"0.78"</f>
        <v>0.78</v>
      </c>
      <c r="C5890" t="str">
        <f>"82"</f>
        <v>82</v>
      </c>
      <c r="D5890" t="str">
        <f>"Mokoondi"</f>
        <v>Mokoondi</v>
      </c>
    </row>
    <row r="5891" spans="1:4" x14ac:dyDescent="0.2">
      <c r="A5891" t="str">
        <f>"5890"</f>
        <v>5890</v>
      </c>
      <c r="B5891" t="str">
        <f>"0.38"</f>
        <v>0.38</v>
      </c>
      <c r="C5891" t="str">
        <f>"69"</f>
        <v>69</v>
      </c>
      <c r="D5891" t="str">
        <f>"Up the Country"</f>
        <v>Up the Country</v>
      </c>
    </row>
    <row r="5892" spans="1:4" x14ac:dyDescent="0.2">
      <c r="A5892" t="str">
        <f>"5891"</f>
        <v>5891</v>
      </c>
      <c r="B5892" t="str">
        <f>"0.07"</f>
        <v>0.07</v>
      </c>
      <c r="C5892" t="str">
        <f>"76"</f>
        <v>76</v>
      </c>
      <c r="D5892" t="str">
        <f>"Onsumothasheeat"</f>
        <v>Onsumothasheeat</v>
      </c>
    </row>
    <row r="5893" spans="1:4" x14ac:dyDescent="0.2">
      <c r="A5893" t="str">
        <f>"5892"</f>
        <v>5892</v>
      </c>
      <c r="B5893" t="str">
        <f>"-0.15"</f>
        <v>-0.15</v>
      </c>
      <c r="C5893" t="str">
        <f>"73"</f>
        <v>73</v>
      </c>
      <c r="D5893" t="str">
        <f>"Discovery"</f>
        <v>Discovery</v>
      </c>
    </row>
    <row r="5894" spans="1:4" x14ac:dyDescent="0.2">
      <c r="A5894" t="str">
        <f>"5893"</f>
        <v>5893</v>
      </c>
      <c r="B5894" t="str">
        <f>"0.26"</f>
        <v>0.26</v>
      </c>
      <c r="C5894" t="str">
        <f>"75"</f>
        <v>75</v>
      </c>
      <c r="D5894" t="str">
        <f>"Sunny Border Blue"</f>
        <v>Sunny Border Blue</v>
      </c>
    </row>
    <row r="5895" spans="1:4" x14ac:dyDescent="0.2">
      <c r="A5895" t="str">
        <f>"5894"</f>
        <v>5894</v>
      </c>
      <c r="B5895" t="str">
        <f>"0.85"</f>
        <v>0.85</v>
      </c>
      <c r="C5895" t="str">
        <f>"75"</f>
        <v>75</v>
      </c>
      <c r="D5895" t="str">
        <f>"Quiet is the New Loud"</f>
        <v>Quiet is the New Loud</v>
      </c>
    </row>
    <row r="5896" spans="1:4" x14ac:dyDescent="0.2">
      <c r="A5896" t="str">
        <f>"5895"</f>
        <v>5895</v>
      </c>
      <c r="B5896" t="str">
        <f>"-0.24"</f>
        <v>-0.24</v>
      </c>
      <c r="C5896" t="str">
        <f>"88"</f>
        <v>88</v>
      </c>
      <c r="D5896" t="str">
        <f>"Musipal"</f>
        <v>Musipal</v>
      </c>
    </row>
    <row r="5897" spans="1:4" x14ac:dyDescent="0.2">
      <c r="A5897" t="str">
        <f>"5896"</f>
        <v>5896</v>
      </c>
      <c r="B5897" t="str">
        <f>"0.19"</f>
        <v>0.19</v>
      </c>
      <c r="C5897" t="str">
        <f>"104"</f>
        <v>104</v>
      </c>
      <c r="D5897" t="str">
        <f>"God Bless the Blake Babies"</f>
        <v>God Bless the Blake Babies</v>
      </c>
    </row>
    <row r="5898" spans="1:4" x14ac:dyDescent="0.2">
      <c r="A5898" t="str">
        <f>"5897"</f>
        <v>5897</v>
      </c>
      <c r="B5898" t="str">
        <f>"0.14"</f>
        <v>0.14</v>
      </c>
      <c r="C5898" t="str">
        <f>"32"</f>
        <v>32</v>
      </c>
      <c r="D5898" t="str">
        <f>"Dog in the Sand"</f>
        <v>Dog in the Sand</v>
      </c>
    </row>
    <row r="5899" spans="1:4" x14ac:dyDescent="0.2">
      <c r="A5899" t="str">
        <f>"5898"</f>
        <v>5898</v>
      </c>
      <c r="B5899" t="str">
        <f>"0.43"</f>
        <v>0.43</v>
      </c>
      <c r="C5899" t="str">
        <f>"81"</f>
        <v>81</v>
      </c>
      <c r="D5899" t="str">
        <f>"Turn 21"</f>
        <v>Turn 21</v>
      </c>
    </row>
    <row r="5900" spans="1:4" x14ac:dyDescent="0.2">
      <c r="A5900" t="str">
        <f>"5899"</f>
        <v>5899</v>
      </c>
      <c r="B5900" t="str">
        <f>"-0.64"</f>
        <v>-0.64</v>
      </c>
      <c r="C5900" t="str">
        <f>"65"</f>
        <v>65</v>
      </c>
      <c r="D5900" t="str">
        <f>"The Early Four Track Recordings"</f>
        <v>The Early Four Track Recordings</v>
      </c>
    </row>
    <row r="5901" spans="1:4" x14ac:dyDescent="0.2">
      <c r="A5901" t="str">
        <f>"5900"</f>
        <v>5900</v>
      </c>
      <c r="B5901" t="str">
        <f>"-0.07"</f>
        <v>-0.07</v>
      </c>
      <c r="C5901" t="str">
        <f>"78"</f>
        <v>78</v>
      </c>
      <c r="D5901" t="str">
        <f>"Ride the Skies"</f>
        <v>Ride the Skies</v>
      </c>
    </row>
    <row r="5902" spans="1:4" x14ac:dyDescent="0.2">
      <c r="A5902" t="str">
        <f>"5901"</f>
        <v>5901</v>
      </c>
      <c r="B5902" t="str">
        <f>"0.54"</f>
        <v>0.54</v>
      </c>
      <c r="C5902" t="str">
        <f>"86"</f>
        <v>86</v>
      </c>
      <c r="D5902" t="str">
        <f>"Live in Chicago"</f>
        <v>Live in Chicago</v>
      </c>
    </row>
    <row r="5903" spans="1:4" x14ac:dyDescent="0.2">
      <c r="A5903" t="str">
        <f>"5902"</f>
        <v>5902</v>
      </c>
      <c r="B5903" t="str">
        <f>"0.15"</f>
        <v>0.15</v>
      </c>
      <c r="C5903" t="str">
        <f>"103"</f>
        <v>103</v>
      </c>
      <c r="D5903" t="str">
        <f>"Complete B-Sides"</f>
        <v>Complete B-Sides</v>
      </c>
    </row>
    <row r="5904" spans="1:4" x14ac:dyDescent="0.2">
      <c r="A5904" t="str">
        <f>"5903"</f>
        <v>5903</v>
      </c>
      <c r="B5904" t="str">
        <f>"-0.64"</f>
        <v>-0.64</v>
      </c>
      <c r="C5904" t="str">
        <f>"74"</f>
        <v>74</v>
      </c>
      <c r="D5904" t="str">
        <f>"Bring on the Snakes"</f>
        <v>Bring on the Snakes</v>
      </c>
    </row>
    <row r="5905" spans="1:4" x14ac:dyDescent="0.2">
      <c r="A5905" t="str">
        <f>"5904"</f>
        <v>5904</v>
      </c>
      <c r="B5905" t="str">
        <f>"1.18"</f>
        <v>1.18</v>
      </c>
      <c r="C5905" t="str">
        <f>"85"</f>
        <v>85</v>
      </c>
      <c r="D5905" t="str">
        <f>"Azure Ray"</f>
        <v>Azure Ray</v>
      </c>
    </row>
    <row r="5906" spans="1:4" x14ac:dyDescent="0.2">
      <c r="A5906" t="str">
        <f>"5905"</f>
        <v>5905</v>
      </c>
      <c r="B5906" t="str">
        <f>"-0.6"</f>
        <v>-0.6</v>
      </c>
      <c r="C5906" t="str">
        <f>"111"</f>
        <v>111</v>
      </c>
      <c r="D5906" t="str">
        <f>"The Red Thread"</f>
        <v>The Red Thread</v>
      </c>
    </row>
    <row r="5907" spans="1:4" x14ac:dyDescent="0.2">
      <c r="A5907" t="str">
        <f>"5906"</f>
        <v>5906</v>
      </c>
      <c r="B5907" t="str">
        <f>"-0.1"</f>
        <v>-0.1</v>
      </c>
      <c r="C5907" t="str">
        <f>"94"</f>
        <v>94</v>
      </c>
      <c r="D5907" t="str">
        <f>"Nightsongs"</f>
        <v>Nightsongs</v>
      </c>
    </row>
    <row r="5908" spans="1:4" x14ac:dyDescent="0.2">
      <c r="A5908" t="str">
        <f>"5907"</f>
        <v>5907</v>
      </c>
      <c r="B5908" t="str">
        <f>"-0.54"</f>
        <v>-0.54</v>
      </c>
      <c r="C5908" t="str">
        <f>"87"</f>
        <v>87</v>
      </c>
      <c r="D5908" t="str">
        <f>"Folktronic"</f>
        <v>Folktronic</v>
      </c>
    </row>
    <row r="5909" spans="1:4" x14ac:dyDescent="0.2">
      <c r="A5909" t="str">
        <f>"5908"</f>
        <v>5908</v>
      </c>
      <c r="B5909" t="str">
        <f>"-0.24"</f>
        <v>-0.24</v>
      </c>
      <c r="C5909" t="str">
        <f>"99"</f>
        <v>99</v>
      </c>
      <c r="D5909" t="str">
        <f>"Cydonia"</f>
        <v>Cydonia</v>
      </c>
    </row>
    <row r="5910" spans="1:4" x14ac:dyDescent="0.2">
      <c r="A5910" t="str">
        <f>"5909"</f>
        <v>5909</v>
      </c>
      <c r="B5910" t="str">
        <f>"0.72"</f>
        <v>0.72</v>
      </c>
      <c r="C5910" t="str">
        <f>"77"</f>
        <v>77</v>
      </c>
      <c r="D5910" t="str">
        <f>"Call and Response"</f>
        <v>Call and Response</v>
      </c>
    </row>
    <row r="5911" spans="1:4" x14ac:dyDescent="0.2">
      <c r="A5911" t="str">
        <f>"5910"</f>
        <v>5910</v>
      </c>
      <c r="B5911" t="str">
        <f>"0.17"</f>
        <v>0.17</v>
      </c>
      <c r="C5911" t="str">
        <f>"77"</f>
        <v>77</v>
      </c>
      <c r="D5911" t="str">
        <f>"Complete Recordings"</f>
        <v>Complete Recordings</v>
      </c>
    </row>
    <row r="5912" spans="1:4" x14ac:dyDescent="0.2">
      <c r="A5912" t="str">
        <f>"5911"</f>
        <v>5911</v>
      </c>
      <c r="B5912" t="str">
        <f>"-0.24"</f>
        <v>-0.24</v>
      </c>
      <c r="C5912" t="str">
        <f>"61"</f>
        <v>61</v>
      </c>
      <c r="D5912" t="str">
        <f>"Girls Can Tell"</f>
        <v>Girls Can Tell</v>
      </c>
    </row>
    <row r="5913" spans="1:4" x14ac:dyDescent="0.2">
      <c r="A5913" t="str">
        <f>"5912"</f>
        <v>5912</v>
      </c>
      <c r="B5913" t="str">
        <f>"0.69"</f>
        <v>0.69</v>
      </c>
      <c r="C5913" t="str">
        <f>"83"</f>
        <v>83</v>
      </c>
      <c r="D5913" t="str">
        <f>"The Blue Trees EP"</f>
        <v>The Blue Trees EP</v>
      </c>
    </row>
    <row r="5914" spans="1:4" x14ac:dyDescent="0.2">
      <c r="A5914" t="str">
        <f>"5913"</f>
        <v>5913</v>
      </c>
      <c r="B5914" t="str">
        <f>"0.89"</f>
        <v>0.89</v>
      </c>
      <c r="C5914" t="str">
        <f>"69"</f>
        <v>69</v>
      </c>
      <c r="D5914" t="str">
        <f>"Neil Michael Hagerty"</f>
        <v>Neil Michael Hagerty</v>
      </c>
    </row>
    <row r="5915" spans="1:4" x14ac:dyDescent="0.2">
      <c r="A5915" t="str">
        <f>"5914"</f>
        <v>5914</v>
      </c>
      <c r="B5915" t="str">
        <f>"-0.44"</f>
        <v>-0.44</v>
      </c>
      <c r="C5915" t="str">
        <f>"62"</f>
        <v>62</v>
      </c>
      <c r="D5915" t="str">
        <f>"fixed::context"</f>
        <v>fixed::context</v>
      </c>
    </row>
    <row r="5916" spans="1:4" x14ac:dyDescent="0.2">
      <c r="A5916" t="str">
        <f>"5915"</f>
        <v>5915</v>
      </c>
      <c r="B5916" t="str">
        <f>"0.06"</f>
        <v>0.06</v>
      </c>
      <c r="C5916" t="str">
        <f>"75"</f>
        <v>75</v>
      </c>
      <c r="D5916" t="str">
        <f>"Newness Ends"</f>
        <v>Newness Ends</v>
      </c>
    </row>
    <row r="5917" spans="1:4" x14ac:dyDescent="0.2">
      <c r="A5917" t="str">
        <f>"5916"</f>
        <v>5916</v>
      </c>
      <c r="B5917" t="str">
        <f>"-0.48"</f>
        <v>-0.48</v>
      </c>
      <c r="C5917" t="str">
        <f>"26"</f>
        <v>26</v>
      </c>
      <c r="D5917" t="str">
        <f>"EP [2001]"</f>
        <v>EP [2001]</v>
      </c>
    </row>
    <row r="5918" spans="1:4" x14ac:dyDescent="0.2">
      <c r="A5918" t="str">
        <f>"5917"</f>
        <v>5917</v>
      </c>
      <c r="B5918" t="str">
        <f>"0.3"</f>
        <v>0.3</v>
      </c>
      <c r="C5918" t="str">
        <f>"76"</f>
        <v>76</v>
      </c>
      <c r="D5918" t="str">
        <f>"Interlude"</f>
        <v>Interlude</v>
      </c>
    </row>
    <row r="5919" spans="1:4" x14ac:dyDescent="0.2">
      <c r="A5919" t="str">
        <f>"5918"</f>
        <v>5918</v>
      </c>
      <c r="B5919" t="str">
        <f>"0.02"</f>
        <v>0.02</v>
      </c>
      <c r="C5919" t="str">
        <f>"67"</f>
        <v>67</v>
      </c>
      <c r="D5919" t="str">
        <f>"The Anomoanon"</f>
        <v>The Anomoanon</v>
      </c>
    </row>
    <row r="5920" spans="1:4" x14ac:dyDescent="0.2">
      <c r="A5920" t="str">
        <f>"5919"</f>
        <v>5919</v>
      </c>
      <c r="B5920" t="str">
        <f>"0.37"</f>
        <v>0.37</v>
      </c>
      <c r="C5920" t="str">
        <f>"106"</f>
        <v>106</v>
      </c>
      <c r="D5920" t="str">
        <f>"Standards"</f>
        <v>Standards</v>
      </c>
    </row>
    <row r="5921" spans="1:4" x14ac:dyDescent="0.2">
      <c r="A5921" t="str">
        <f>"5920"</f>
        <v>5920</v>
      </c>
      <c r="B5921" t="str">
        <f>"0.52"</f>
        <v>0.52</v>
      </c>
      <c r="C5921" t="str">
        <f>"74"</f>
        <v>74</v>
      </c>
      <c r="D5921" t="str">
        <f>"The Night is Advancing"</f>
        <v>The Night is Advancing</v>
      </c>
    </row>
    <row r="5922" spans="1:4" x14ac:dyDescent="0.2">
      <c r="A5922" t="str">
        <f>"5921"</f>
        <v>5921</v>
      </c>
      <c r="B5922" t="str">
        <f>"-0.41"</f>
        <v>-0.41</v>
      </c>
      <c r="C5922" t="str">
        <f>"80"</f>
        <v>80</v>
      </c>
      <c r="D5922" t="str">
        <f>"The Sleepy Strange"</f>
        <v>The Sleepy Strange</v>
      </c>
    </row>
    <row r="5923" spans="1:4" x14ac:dyDescent="0.2">
      <c r="A5923" t="str">
        <f>"5922"</f>
        <v>5922</v>
      </c>
      <c r="B5923" t="str">
        <f>"-0.79"</f>
        <v>-0.79</v>
      </c>
      <c r="C5923" t="str">
        <f>"89"</f>
        <v>89</v>
      </c>
      <c r="D5923" t="str">
        <f>"Mission Accomplished EP"</f>
        <v>Mission Accomplished EP</v>
      </c>
    </row>
    <row r="5924" spans="1:4" x14ac:dyDescent="0.2">
      <c r="A5924" t="str">
        <f>"5923"</f>
        <v>5923</v>
      </c>
      <c r="B5924" t="str">
        <f>"-0.56"</f>
        <v>-0.56</v>
      </c>
      <c r="C5924" t="str">
        <f>"72"</f>
        <v>72</v>
      </c>
      <c r="D5924" t="str">
        <f>"Loop-finding-jazz-records"</f>
        <v>Loop-finding-jazz-records</v>
      </c>
    </row>
    <row r="5925" spans="1:4" x14ac:dyDescent="0.2">
      <c r="A5925" t="str">
        <f>"5924"</f>
        <v>5924</v>
      </c>
      <c r="B5925" t="str">
        <f>"-0.12"</f>
        <v>-0.12</v>
      </c>
      <c r="C5925" t="str">
        <f>"96"</f>
        <v>96</v>
      </c>
      <c r="D5925" t="str">
        <f>"Live"</f>
        <v>Live</v>
      </c>
    </row>
    <row r="5926" spans="1:4" x14ac:dyDescent="0.2">
      <c r="A5926" t="str">
        <f>"5925"</f>
        <v>5925</v>
      </c>
      <c r="B5926" t="str">
        <f>"-0.11"</f>
        <v>-0.11</v>
      </c>
      <c r="C5926" t="str">
        <f>"108"</f>
        <v>108</v>
      </c>
      <c r="D5926" t="str">
        <f>"Stephen Malkmus"</f>
        <v>Stephen Malkmus</v>
      </c>
    </row>
    <row r="5927" spans="1:4" x14ac:dyDescent="0.2">
      <c r="A5927" t="str">
        <f>"5926"</f>
        <v>5926</v>
      </c>
      <c r="B5927" t="str">
        <f>"-0.63"</f>
        <v>-0.63</v>
      </c>
      <c r="C5927" t="str">
        <f>"149"</f>
        <v>149</v>
      </c>
      <c r="D5927" t="str">
        <f>"Lost Souls"</f>
        <v>Lost Souls</v>
      </c>
    </row>
    <row r="5928" spans="1:4" x14ac:dyDescent="0.2">
      <c r="A5928" t="str">
        <f>"5927"</f>
        <v>5927</v>
      </c>
      <c r="B5928" t="str">
        <f>"-0.69"</f>
        <v>-0.69</v>
      </c>
      <c r="C5928" t="str">
        <f>"114"</f>
        <v>114</v>
      </c>
      <c r="D5928" t="str">
        <f>"From the Desk of Mr. Lady EP"</f>
        <v>From the Desk of Mr. Lady EP</v>
      </c>
    </row>
    <row r="5929" spans="1:4" x14ac:dyDescent="0.2">
      <c r="A5929" t="str">
        <f>"5928"</f>
        <v>5928</v>
      </c>
      <c r="B5929" t="str">
        <f>"0.27"</f>
        <v>0.27</v>
      </c>
      <c r="C5929" t="str">
        <f>"92"</f>
        <v>92</v>
      </c>
      <c r="D5929" t="str">
        <f>"Easy Come Easy Go 1994-2000"</f>
        <v>Easy Come Easy Go 1994-2000</v>
      </c>
    </row>
    <row r="5930" spans="1:4" x14ac:dyDescent="0.2">
      <c r="A5930" t="str">
        <f>"5929"</f>
        <v>5929</v>
      </c>
      <c r="B5930" t="str">
        <f>"-0.08"</f>
        <v>-0.08</v>
      </c>
      <c r="C5930" t="str">
        <f>"106"</f>
        <v>106</v>
      </c>
      <c r="D5930" t="str">
        <f>"Things We Lost in the Fire"</f>
        <v>Things We Lost in the Fire</v>
      </c>
    </row>
    <row r="5931" spans="1:4" x14ac:dyDescent="0.2">
      <c r="A5931" t="str">
        <f>"5930"</f>
        <v>5930</v>
      </c>
      <c r="B5931" t="str">
        <f>"0.27"</f>
        <v>0.27</v>
      </c>
      <c r="C5931" t="str">
        <f>"98"</f>
        <v>98</v>
      </c>
      <c r="D5931" t="s">
        <v>218</v>
      </c>
    </row>
    <row r="5932" spans="1:4" x14ac:dyDescent="0.2">
      <c r="A5932" t="str">
        <f>"5931"</f>
        <v>5931</v>
      </c>
      <c r="B5932" t="str">
        <f>"-1.33"</f>
        <v>-1.33</v>
      </c>
      <c r="C5932" t="str">
        <f>"60"</f>
        <v>60</v>
      </c>
      <c r="D5932" t="str">
        <f>"Styles of the Unexpected EP"</f>
        <v>Styles of the Unexpected EP</v>
      </c>
    </row>
    <row r="5933" spans="1:4" x14ac:dyDescent="0.2">
      <c r="A5933" t="str">
        <f>"5932"</f>
        <v>5932</v>
      </c>
      <c r="B5933" t="str">
        <f>"-0.17"</f>
        <v>-0.17</v>
      </c>
      <c r="C5933" t="str">
        <f>"65"</f>
        <v>65</v>
      </c>
      <c r="D5933" t="str">
        <f>"Scavengers"</f>
        <v>Scavengers</v>
      </c>
    </row>
    <row r="5934" spans="1:4" x14ac:dyDescent="0.2">
      <c r="A5934" t="str">
        <f>"5933"</f>
        <v>5933</v>
      </c>
      <c r="B5934" t="str">
        <f>"0.25"</f>
        <v>0.25</v>
      </c>
      <c r="C5934" t="str">
        <f>"54"</f>
        <v>54</v>
      </c>
      <c r="D5934" t="str">
        <f>"New Orbit"</f>
        <v>New Orbit</v>
      </c>
    </row>
    <row r="5935" spans="1:4" x14ac:dyDescent="0.2">
      <c r="A5935" t="str">
        <f>"5934"</f>
        <v>5934</v>
      </c>
      <c r="B5935" t="str">
        <f>"-0.7"</f>
        <v>-0.7</v>
      </c>
      <c r="C5935" t="str">
        <f>"113"</f>
        <v>113</v>
      </c>
      <c r="D5935" t="str">
        <f>"Liberation Afro Beat Vol. 1"</f>
        <v>Liberation Afro Beat Vol. 1</v>
      </c>
    </row>
    <row r="5936" spans="1:4" x14ac:dyDescent="0.2">
      <c r="A5936" t="str">
        <f>"5935"</f>
        <v>5935</v>
      </c>
      <c r="B5936" t="str">
        <f>"0.69"</f>
        <v>0.69</v>
      </c>
      <c r="C5936" t="str">
        <f>"82"</f>
        <v>82</v>
      </c>
      <c r="D5936" t="str">
        <f>"Verse by Verse"</f>
        <v>Verse by Verse</v>
      </c>
    </row>
    <row r="5937" spans="1:4" x14ac:dyDescent="0.2">
      <c r="A5937" t="str">
        <f>"5936"</f>
        <v>5936</v>
      </c>
      <c r="B5937" t="str">
        <f>"0"</f>
        <v>0</v>
      </c>
      <c r="C5937" t="str">
        <f>"104"</f>
        <v>104</v>
      </c>
      <c r="D5937" t="str">
        <f>"What's Next to the Moon"</f>
        <v>What's Next to the Moon</v>
      </c>
    </row>
    <row r="5938" spans="1:4" x14ac:dyDescent="0.2">
      <c r="A5938" t="str">
        <f>"5937"</f>
        <v>5937</v>
      </c>
      <c r="B5938" t="str">
        <f>"-0.14"</f>
        <v>-0.14</v>
      </c>
      <c r="C5938" t="str">
        <f>"167"</f>
        <v>167</v>
      </c>
      <c r="D5938" t="str">
        <f>"Sad Sappy Sucker"</f>
        <v>Sad Sappy Sucker</v>
      </c>
    </row>
    <row r="5939" spans="1:4" x14ac:dyDescent="0.2">
      <c r="A5939" t="str">
        <f>"5938"</f>
        <v>5938</v>
      </c>
      <c r="B5939" t="str">
        <f>"-0.07"</f>
        <v>-0.07</v>
      </c>
      <c r="C5939" t="str">
        <f>"66"</f>
        <v>66</v>
      </c>
      <c r="D5939" t="str">
        <f>"Versus the World"</f>
        <v>Versus the World</v>
      </c>
    </row>
    <row r="5940" spans="1:4" x14ac:dyDescent="0.2">
      <c r="A5940" t="str">
        <f>"5939"</f>
        <v>5939</v>
      </c>
      <c r="B5940" t="str">
        <f>"0.46"</f>
        <v>0.46</v>
      </c>
      <c r="C5940" t="str">
        <f>"58"</f>
        <v>58</v>
      </c>
      <c r="D5940" t="str">
        <f>"The Scene's Out of Sight"</f>
        <v>The Scene's Out of Sight</v>
      </c>
    </row>
    <row r="5941" spans="1:4" x14ac:dyDescent="0.2">
      <c r="A5941" t="str">
        <f>"5940"</f>
        <v>5940</v>
      </c>
      <c r="B5941" t="str">
        <f>"-0.8"</f>
        <v>-0.8</v>
      </c>
      <c r="C5941" t="str">
        <f>"66"</f>
        <v>66</v>
      </c>
      <c r="D5941" t="str">
        <f>"The Impossible Thrill"</f>
        <v>The Impossible Thrill</v>
      </c>
    </row>
    <row r="5942" spans="1:4" x14ac:dyDescent="0.2">
      <c r="A5942" t="str">
        <f>"5941"</f>
        <v>5941</v>
      </c>
      <c r="B5942" t="str">
        <f>"0.1"</f>
        <v>0.1</v>
      </c>
      <c r="C5942" t="str">
        <f>"58"</f>
        <v>58</v>
      </c>
      <c r="D5942" t="str">
        <f>"Second Nature"</f>
        <v>Second Nature</v>
      </c>
    </row>
    <row r="5943" spans="1:4" x14ac:dyDescent="0.2">
      <c r="A5943" t="str">
        <f>"5942"</f>
        <v>5942</v>
      </c>
      <c r="B5943" t="str">
        <f>"-0.72"</f>
        <v>-0.72</v>
      </c>
      <c r="C5943" t="str">
        <f>"84"</f>
        <v>84</v>
      </c>
      <c r="D5943" t="str">
        <f>"Parts Water"</f>
        <v>Parts Water</v>
      </c>
    </row>
    <row r="5944" spans="1:4" x14ac:dyDescent="0.2">
      <c r="A5944" t="str">
        <f>"5943"</f>
        <v>5943</v>
      </c>
      <c r="B5944" t="str">
        <f>"-1.31"</f>
        <v>-1.31</v>
      </c>
      <c r="C5944" t="str">
        <f>"74"</f>
        <v>74</v>
      </c>
      <c r="D5944" t="str">
        <f>"'Neath the Puke Tree EP"</f>
        <v>'Neath the Puke Tree EP</v>
      </c>
    </row>
    <row r="5945" spans="1:4" x14ac:dyDescent="0.2">
      <c r="A5945" t="str">
        <f>"5944"</f>
        <v>5944</v>
      </c>
      <c r="B5945" t="str">
        <f>"-0.05"</f>
        <v>-0.05</v>
      </c>
      <c r="C5945" t="str">
        <f>"56"</f>
        <v>56</v>
      </c>
      <c r="D5945" t="str">
        <f>"If You Happy With You Need Do Nothing"</f>
        <v>If You Happy With You Need Do Nothing</v>
      </c>
    </row>
    <row r="5946" spans="1:4" x14ac:dyDescent="0.2">
      <c r="A5946" t="str">
        <f>"5945"</f>
        <v>5945</v>
      </c>
      <c r="B5946" t="str">
        <f>"-0.63"</f>
        <v>-0.63</v>
      </c>
      <c r="C5946" t="str">
        <f>"75"</f>
        <v>75</v>
      </c>
      <c r="D5946" t="str">
        <f>"From Here to Infirmary"</f>
        <v>From Here to Infirmary</v>
      </c>
    </row>
    <row r="5947" spans="1:4" x14ac:dyDescent="0.2">
      <c r="A5947" t="str">
        <f>"5946"</f>
        <v>5946</v>
      </c>
      <c r="B5947" t="str">
        <f>"0.33"</f>
        <v>0.33</v>
      </c>
      <c r="C5947" t="str">
        <f>"95"</f>
        <v>95</v>
      </c>
      <c r="D5947" t="str">
        <f>"Accepted Eclectic"</f>
        <v>Accepted Eclectic</v>
      </c>
    </row>
    <row r="5948" spans="1:4" x14ac:dyDescent="0.2">
      <c r="A5948" t="str">
        <f>"5947"</f>
        <v>5947</v>
      </c>
      <c r="B5948" t="str">
        <f>"0.6"</f>
        <v>0.6</v>
      </c>
      <c r="C5948" t="str">
        <f>"74"</f>
        <v>74</v>
      </c>
      <c r="D5948" t="str">
        <f>"Abilene"</f>
        <v>Abilene</v>
      </c>
    </row>
    <row r="5949" spans="1:4" x14ac:dyDescent="0.2">
      <c r="A5949" t="str">
        <f>"5948"</f>
        <v>5948</v>
      </c>
      <c r="B5949" t="str">
        <f>"-0.67"</f>
        <v>-0.67</v>
      </c>
      <c r="C5949" t="str">
        <f>"76"</f>
        <v>76</v>
      </c>
      <c r="D5949" t="str">
        <f>"Teeny Shiny"</f>
        <v>Teeny Shiny</v>
      </c>
    </row>
    <row r="5950" spans="1:4" x14ac:dyDescent="0.2">
      <c r="A5950" t="str">
        <f>"5949"</f>
        <v>5949</v>
      </c>
      <c r="B5950" t="str">
        <f>"-0.56"</f>
        <v>-0.56</v>
      </c>
      <c r="C5950" t="str">
        <f>"74"</f>
        <v>74</v>
      </c>
      <c r="D5950" t="str">
        <f>"Some Best Friend You Turned Out to Be"</f>
        <v>Some Best Friend You Turned Out to Be</v>
      </c>
    </row>
    <row r="5951" spans="1:4" x14ac:dyDescent="0.2">
      <c r="A5951" t="str">
        <f>"5950"</f>
        <v>5950</v>
      </c>
      <c r="B5951" t="str">
        <f>"-0.67"</f>
        <v>-0.67</v>
      </c>
      <c r="C5951" t="str">
        <f>"104"</f>
        <v>104</v>
      </c>
      <c r="D5951" t="str">
        <f>"Peel Session 2 EP"</f>
        <v>Peel Session 2 EP</v>
      </c>
    </row>
    <row r="5952" spans="1:4" x14ac:dyDescent="0.2">
      <c r="A5952" t="str">
        <f>"5951"</f>
        <v>5951</v>
      </c>
      <c r="B5952" t="str">
        <f>"0.05"</f>
        <v>0.05</v>
      </c>
      <c r="C5952" t="str">
        <f>"98"</f>
        <v>98</v>
      </c>
      <c r="D5952" t="str">
        <f>"Lullaby of Clubland EP"</f>
        <v>Lullaby of Clubland EP</v>
      </c>
    </row>
    <row r="5953" spans="1:4" x14ac:dyDescent="0.2">
      <c r="A5953" t="str">
        <f>"5952"</f>
        <v>5952</v>
      </c>
      <c r="B5953" t="str">
        <f>"-0.37"</f>
        <v>-0.37</v>
      </c>
      <c r="C5953" t="str">
        <f>"72"</f>
        <v>72</v>
      </c>
      <c r="D5953" t="str">
        <f>"Pelo"</f>
        <v>Pelo</v>
      </c>
    </row>
    <row r="5954" spans="1:4" x14ac:dyDescent="0.2">
      <c r="A5954" t="str">
        <f>"5953"</f>
        <v>5953</v>
      </c>
      <c r="B5954" t="str">
        <f>"0.55"</f>
        <v>0.55</v>
      </c>
      <c r="C5954" t="str">
        <f>"101"</f>
        <v>101</v>
      </c>
      <c r="D5954" t="str">
        <f>"OVO: The Millennium Show"</f>
        <v>OVO: The Millennium Show</v>
      </c>
    </row>
    <row r="5955" spans="1:4" x14ac:dyDescent="0.2">
      <c r="A5955" t="str">
        <f>"5954"</f>
        <v>5954</v>
      </c>
      <c r="B5955" t="str">
        <f>"0.99"</f>
        <v>0.99</v>
      </c>
      <c r="C5955" t="str">
        <f>"45"</f>
        <v>45</v>
      </c>
      <c r="D5955" t="str">
        <f>"In a Beautiful Place Out in the Country EP"</f>
        <v>In a Beautiful Place Out in the Country EP</v>
      </c>
    </row>
    <row r="5956" spans="1:4" x14ac:dyDescent="0.2">
      <c r="A5956" t="str">
        <f>"5955"</f>
        <v>5955</v>
      </c>
      <c r="B5956" t="str">
        <f>"-0.58"</f>
        <v>-0.58</v>
      </c>
      <c r="C5956" t="str">
        <f>"52"</f>
        <v>52</v>
      </c>
      <c r="D5956" t="str">
        <f>"Fuck Fight Fail"</f>
        <v>Fuck Fight Fail</v>
      </c>
    </row>
    <row r="5957" spans="1:4" x14ac:dyDescent="0.2">
      <c r="A5957" t="str">
        <f>"5956"</f>
        <v>5956</v>
      </c>
      <c r="B5957" t="str">
        <f>"0.86"</f>
        <v>0.86</v>
      </c>
      <c r="C5957" t="str">
        <f>"41"</f>
        <v>41</v>
      </c>
      <c r="D5957" t="str">
        <f>"Danelectro EP"</f>
        <v>Danelectro EP</v>
      </c>
    </row>
    <row r="5958" spans="1:4" x14ac:dyDescent="0.2">
      <c r="A5958" t="str">
        <f>"5957"</f>
        <v>5957</v>
      </c>
      <c r="B5958" t="str">
        <f>"-0.16"</f>
        <v>-0.16</v>
      </c>
      <c r="C5958" t="str">
        <f>"51"</f>
        <v>51</v>
      </c>
      <c r="D5958" t="str">
        <f>"Apple Street EP"</f>
        <v>Apple Street EP</v>
      </c>
    </row>
    <row r="5959" spans="1:4" x14ac:dyDescent="0.2">
      <c r="A5959" t="str">
        <f>"5958"</f>
        <v>5958</v>
      </c>
      <c r="B5959" t="str">
        <f>"-0.17"</f>
        <v>-0.17</v>
      </c>
      <c r="C5959" t="str">
        <f>"72"</f>
        <v>72</v>
      </c>
      <c r="D5959" t="str">
        <f>"Add Insult to Injury"</f>
        <v>Add Insult to Injury</v>
      </c>
    </row>
    <row r="5960" spans="1:4" x14ac:dyDescent="0.2">
      <c r="A5960" t="str">
        <f>"5959"</f>
        <v>5959</v>
      </c>
      <c r="B5960" t="str">
        <f>"0.8"</f>
        <v>0.8</v>
      </c>
      <c r="C5960" t="str">
        <f>"60"</f>
        <v>60</v>
      </c>
      <c r="D5960" t="str">
        <f>"Plus 8 Classics 1990-1997"</f>
        <v>Plus 8 Classics 1990-1997</v>
      </c>
    </row>
    <row r="5961" spans="1:4" x14ac:dyDescent="0.2">
      <c r="A5961" t="str">
        <f>"5960"</f>
        <v>5960</v>
      </c>
      <c r="B5961" t="str">
        <f>"0.16"</f>
        <v>0.16</v>
      </c>
      <c r="C5961" t="str">
        <f>"82"</f>
        <v>82</v>
      </c>
      <c r="D5961" t="str">
        <f>"Muddlin Gear"</f>
        <v>Muddlin Gear</v>
      </c>
    </row>
    <row r="5962" spans="1:4" x14ac:dyDescent="0.2">
      <c r="A5962" t="str">
        <f>"5961"</f>
        <v>5961</v>
      </c>
      <c r="B5962" t="str">
        <f>"0.31"</f>
        <v>0.31</v>
      </c>
      <c r="C5962" t="str">
        <f>"77"</f>
        <v>77</v>
      </c>
      <c r="D5962" t="str">
        <f>"Gerroa Songs"</f>
        <v>Gerroa Songs</v>
      </c>
    </row>
    <row r="5963" spans="1:4" x14ac:dyDescent="0.2">
      <c r="A5963" t="str">
        <f>"5962"</f>
        <v>5962</v>
      </c>
      <c r="B5963" t="str">
        <f>"-0.06"</f>
        <v>-0.06</v>
      </c>
      <c r="C5963" t="str">
        <f>"99"</f>
        <v>99</v>
      </c>
      <c r="D5963" t="str">
        <f>"Morse Code in the Modern Age: Across the Americas"</f>
        <v>Morse Code in the Modern Age: Across the Americas</v>
      </c>
    </row>
    <row r="5964" spans="1:4" x14ac:dyDescent="0.2">
      <c r="A5964" t="str">
        <f>"5963"</f>
        <v>5963</v>
      </c>
      <c r="B5964" t="str">
        <f>"0.15"</f>
        <v>0.15</v>
      </c>
      <c r="C5964" t="str">
        <f>"69"</f>
        <v>69</v>
      </c>
      <c r="D5964" t="str">
        <f>"Volume Two"</f>
        <v>Volume Two</v>
      </c>
    </row>
    <row r="5965" spans="1:4" x14ac:dyDescent="0.2">
      <c r="A5965" t="str">
        <f>"5964"</f>
        <v>5964</v>
      </c>
      <c r="B5965" t="str">
        <f>"-0.6"</f>
        <v>-0.6</v>
      </c>
      <c r="C5965" t="str">
        <f>"102"</f>
        <v>102</v>
      </c>
      <c r="D5965" t="str">
        <f>"Things Falling Apart"</f>
        <v>Things Falling Apart</v>
      </c>
    </row>
    <row r="5966" spans="1:4" x14ac:dyDescent="0.2">
      <c r="A5966" t="str">
        <f>"5965"</f>
        <v>5965</v>
      </c>
      <c r="B5966" t="str">
        <f>"0.14"</f>
        <v>0.14</v>
      </c>
      <c r="C5966" t="str">
        <f>"88"</f>
        <v>88</v>
      </c>
      <c r="D5966" t="str">
        <f>"The Best of Blur"</f>
        <v>The Best of Blur</v>
      </c>
    </row>
    <row r="5967" spans="1:4" x14ac:dyDescent="0.2">
      <c r="A5967" t="str">
        <f>"5966"</f>
        <v>5966</v>
      </c>
      <c r="B5967" t="str">
        <f>"-0.06"</f>
        <v>-0.06</v>
      </c>
      <c r="C5967" t="str">
        <f>"96"</f>
        <v>96</v>
      </c>
      <c r="D5967" t="str">
        <f>"Music:Response EP"</f>
        <v>Music:Response EP</v>
      </c>
    </row>
    <row r="5968" spans="1:4" x14ac:dyDescent="0.2">
      <c r="A5968" t="str">
        <f>"5967"</f>
        <v>5967</v>
      </c>
      <c r="B5968" t="str">
        <f>"-0.72"</f>
        <v>-0.72</v>
      </c>
      <c r="C5968" t="str">
        <f>"81"</f>
        <v>81</v>
      </c>
      <c r="D5968" t="str">
        <f>"The View from This Tower"</f>
        <v>The View from This Tower</v>
      </c>
    </row>
    <row r="5969" spans="1:4" x14ac:dyDescent="0.2">
      <c r="A5969" t="str">
        <f>"5968"</f>
        <v>5968</v>
      </c>
      <c r="B5969" t="str">
        <f>"0.85"</f>
        <v>0.85</v>
      </c>
      <c r="C5969" t="str">
        <f>"53"</f>
        <v>53</v>
      </c>
      <c r="D5969" t="str">
        <f>"Silence Magnifies Sound"</f>
        <v>Silence Magnifies Sound</v>
      </c>
    </row>
    <row r="5970" spans="1:4" x14ac:dyDescent="0.2">
      <c r="A5970" t="str">
        <f>"5969"</f>
        <v>5969</v>
      </c>
      <c r="B5970" t="str">
        <f>"-1.62"</f>
        <v>-1.62</v>
      </c>
      <c r="C5970" t="str">
        <f>"87"</f>
        <v>87</v>
      </c>
      <c r="D5970" t="str">
        <f>"Necrophones"</f>
        <v>Necrophones</v>
      </c>
    </row>
    <row r="5971" spans="1:4" x14ac:dyDescent="0.2">
      <c r="A5971" t="str">
        <f>"5970"</f>
        <v>5970</v>
      </c>
      <c r="B5971" t="str">
        <f>"0.37"</f>
        <v>0.37</v>
      </c>
      <c r="C5971" t="str">
        <f>"92"</f>
        <v>92</v>
      </c>
      <c r="D5971" t="str">
        <f>"Maxi On EP"</f>
        <v>Maxi On EP</v>
      </c>
    </row>
    <row r="5972" spans="1:4" x14ac:dyDescent="0.2">
      <c r="A5972" t="str">
        <f>"5971"</f>
        <v>5971</v>
      </c>
      <c r="B5972" t="str">
        <f>"-0.38"</f>
        <v>-0.38</v>
      </c>
      <c r="C5972" t="str">
        <f>"85"</f>
        <v>85</v>
      </c>
      <c r="D5972" t="str">
        <f>"Buzzle Bee"</f>
        <v>Buzzle Bee</v>
      </c>
    </row>
    <row r="5973" spans="1:4" x14ac:dyDescent="0.2">
      <c r="A5973" t="str">
        <f>"5972"</f>
        <v>5972</v>
      </c>
      <c r="B5973" t="str">
        <f>"-1.18"</f>
        <v>-1.18</v>
      </c>
      <c r="C5973" t="str">
        <f>"64"</f>
        <v>64</v>
      </c>
      <c r="D5973" t="str">
        <f>"The Masterplan"</f>
        <v>The Masterplan</v>
      </c>
    </row>
    <row r="5974" spans="1:4" x14ac:dyDescent="0.2">
      <c r="A5974" t="str">
        <f>"5973"</f>
        <v>5973</v>
      </c>
      <c r="B5974" t="str">
        <f>"-1.26"</f>
        <v>-1.26</v>
      </c>
      <c r="C5974" t="str">
        <f>"49"</f>
        <v>49</v>
      </c>
      <c r="D5974" t="str">
        <f>"Ghost Tropic"</f>
        <v>Ghost Tropic</v>
      </c>
    </row>
    <row r="5975" spans="1:4" x14ac:dyDescent="0.2">
      <c r="A5975" t="str">
        <f>"5974"</f>
        <v>5974</v>
      </c>
      <c r="B5975" t="str">
        <f>"0.03"</f>
        <v>0.03</v>
      </c>
      <c r="C5975" t="str">
        <f>"67"</f>
        <v>67</v>
      </c>
      <c r="D5975" t="str">
        <f>"Who Stole the I Walkman?"</f>
        <v>Who Stole the I Walkman?</v>
      </c>
    </row>
    <row r="5976" spans="1:4" x14ac:dyDescent="0.2">
      <c r="A5976" t="str">
        <f>"5975"</f>
        <v>5975</v>
      </c>
      <c r="B5976" t="str">
        <f>"0.11"</f>
        <v>0.11</v>
      </c>
      <c r="C5976" t="str">
        <f>"137"</f>
        <v>137</v>
      </c>
      <c r="D5976" t="str">
        <f>"Remixes: 1997-2000"</f>
        <v>Remixes: 1997-2000</v>
      </c>
    </row>
    <row r="5977" spans="1:4" x14ac:dyDescent="0.2">
      <c r="A5977" t="str">
        <f>"5976"</f>
        <v>5976</v>
      </c>
      <c r="B5977" t="str">
        <f>"-0.18"</f>
        <v>-0.18</v>
      </c>
      <c r="C5977" t="str">
        <f>"72"</f>
        <v>72</v>
      </c>
      <c r="D5977" t="str">
        <f>"Valedictory Songs"</f>
        <v>Valedictory Songs</v>
      </c>
    </row>
    <row r="5978" spans="1:4" x14ac:dyDescent="0.2">
      <c r="A5978" t="str">
        <f>"5977"</f>
        <v>5977</v>
      </c>
      <c r="B5978" t="str">
        <f>"0.66"</f>
        <v>0.66</v>
      </c>
      <c r="C5978" t="str">
        <f>"78"</f>
        <v>78</v>
      </c>
      <c r="D5978" t="str">
        <f>"Parachutes"</f>
        <v>Parachutes</v>
      </c>
    </row>
    <row r="5979" spans="1:4" x14ac:dyDescent="0.2">
      <c r="A5979" t="str">
        <f>"5978"</f>
        <v>5978</v>
      </c>
      <c r="B5979" t="str">
        <f>"0.38"</f>
        <v>0.38</v>
      </c>
      <c r="C5979" t="str">
        <f>"24"</f>
        <v>24</v>
      </c>
      <c r="D5979" t="s">
        <v>219</v>
      </c>
    </row>
    <row r="5980" spans="1:4" x14ac:dyDescent="0.2">
      <c r="A5980" t="str">
        <f>"5979"</f>
        <v>5979</v>
      </c>
      <c r="B5980" t="str">
        <f>"-0.01"</f>
        <v>-0.01</v>
      </c>
      <c r="C5980" t="str">
        <f>"91"</f>
        <v>91</v>
      </c>
      <c r="D5980" t="str">
        <f>"Halfway Between the Gutter and the Stars"</f>
        <v>Halfway Between the Gutter and the Stars</v>
      </c>
    </row>
    <row r="5981" spans="1:4" x14ac:dyDescent="0.2">
      <c r="A5981" t="str">
        <f>"5980"</f>
        <v>5980</v>
      </c>
      <c r="B5981" t="str">
        <f>"-0.48"</f>
        <v>-0.48</v>
      </c>
      <c r="C5981" t="str">
        <f>"145"</f>
        <v>145</v>
      </c>
      <c r="D5981" t="str">
        <f>"Everything and Nothing"</f>
        <v>Everything and Nothing</v>
      </c>
    </row>
    <row r="5982" spans="1:4" x14ac:dyDescent="0.2">
      <c r="A5982" t="str">
        <f>"5981"</f>
        <v>5981</v>
      </c>
      <c r="B5982" t="str">
        <f>"-0.65"</f>
        <v>-0.65</v>
      </c>
      <c r="C5982" t="str">
        <f>"53"</f>
        <v>53</v>
      </c>
      <c r="D5982" t="str">
        <f>"Tiny Reminders"</f>
        <v>Tiny Reminders</v>
      </c>
    </row>
    <row r="5983" spans="1:4" x14ac:dyDescent="0.2">
      <c r="A5983" t="str">
        <f>"5982"</f>
        <v>5982</v>
      </c>
      <c r="B5983" t="str">
        <f>"-0.75"</f>
        <v>-0.75</v>
      </c>
      <c r="C5983" t="str">
        <f>"96"</f>
        <v>96</v>
      </c>
      <c r="D5983" t="str">
        <f>"The Fire Show"</f>
        <v>The Fire Show</v>
      </c>
    </row>
    <row r="5984" spans="1:4" x14ac:dyDescent="0.2">
      <c r="A5984" t="str">
        <f>"5983"</f>
        <v>5983</v>
      </c>
      <c r="B5984" t="str">
        <f>"-0.13"</f>
        <v>-0.13</v>
      </c>
      <c r="C5984" t="str">
        <f>"83"</f>
        <v>83</v>
      </c>
      <c r="D5984" t="s">
        <v>220</v>
      </c>
    </row>
    <row r="5985" spans="1:4" x14ac:dyDescent="0.2">
      <c r="A5985" t="str">
        <f>"5984"</f>
        <v>5984</v>
      </c>
      <c r="B5985" t="str">
        <f>"-0.38"</f>
        <v>-0.38</v>
      </c>
      <c r="C5985" t="str">
        <f>"68"</f>
        <v>68</v>
      </c>
      <c r="D5985" t="str">
        <f>"No Kill No Beep Beep"</f>
        <v>No Kill No Beep Beep</v>
      </c>
    </row>
    <row r="5986" spans="1:4" x14ac:dyDescent="0.2">
      <c r="A5986" t="str">
        <f>"5985"</f>
        <v>5985</v>
      </c>
      <c r="B5986" t="str">
        <f>"0.7"</f>
        <v>0.7</v>
      </c>
      <c r="C5986" t="str">
        <f>"73"</f>
        <v>73</v>
      </c>
      <c r="D5986" t="str">
        <f>"Hashin' It Out"</f>
        <v>Hashin' It Out</v>
      </c>
    </row>
    <row r="5987" spans="1:4" x14ac:dyDescent="0.2">
      <c r="A5987" t="str">
        <f>"5986"</f>
        <v>5986</v>
      </c>
      <c r="B5987" t="str">
        <f>"0.83"</f>
        <v>0.83</v>
      </c>
      <c r="C5987" t="str">
        <f>"97"</f>
        <v>97</v>
      </c>
      <c r="D5987" t="str">
        <f>"Forbidden Love EP"</f>
        <v>Forbidden Love EP</v>
      </c>
    </row>
    <row r="5988" spans="1:4" x14ac:dyDescent="0.2">
      <c r="A5988" t="str">
        <f>"5987"</f>
        <v>5987</v>
      </c>
      <c r="B5988" t="str">
        <f>"-0.02"</f>
        <v>-0.02</v>
      </c>
      <c r="C5988" t="str">
        <f>"105"</f>
        <v>105</v>
      </c>
      <c r="D5988" t="str">
        <f>"All That You Can't Leave Behind"</f>
        <v>All That You Can't Leave Behind</v>
      </c>
    </row>
    <row r="5989" spans="1:4" x14ac:dyDescent="0.2">
      <c r="A5989" t="str">
        <f>"5988"</f>
        <v>5988</v>
      </c>
      <c r="B5989" t="str">
        <f>"1.38"</f>
        <v>1.38</v>
      </c>
      <c r="C5989" t="str">
        <f>"49"</f>
        <v>49</v>
      </c>
      <c r="D5989" t="str">
        <f>"Aix Em Klemm"</f>
        <v>Aix Em Klemm</v>
      </c>
    </row>
    <row r="5990" spans="1:4" x14ac:dyDescent="0.2">
      <c r="A5990" t="str">
        <f>"5989"</f>
        <v>5989</v>
      </c>
      <c r="B5990" t="str">
        <f>"0.75"</f>
        <v>0.75</v>
      </c>
      <c r="C5990" t="str">
        <f>"99"</f>
        <v>99</v>
      </c>
      <c r="D5990" t="str">
        <f>"Zero-One-Infinity"</f>
        <v>Zero-One-Infinity</v>
      </c>
    </row>
    <row r="5991" spans="1:4" x14ac:dyDescent="0.2">
      <c r="A5991" t="str">
        <f>"5990"</f>
        <v>5990</v>
      </c>
      <c r="B5991" t="str">
        <f>"-0.65"</f>
        <v>-0.65</v>
      </c>
      <c r="C5991" t="str">
        <f>"149"</f>
        <v>149</v>
      </c>
      <c r="D5991" t="str">
        <f>"Lift Your Skinny Fists like Antennas to Heaven"</f>
        <v>Lift Your Skinny Fists like Antennas to Heaven</v>
      </c>
    </row>
    <row r="5992" spans="1:4" x14ac:dyDescent="0.2">
      <c r="A5992" t="str">
        <f>"5991"</f>
        <v>5991</v>
      </c>
      <c r="B5992" t="str">
        <f>"-0.16"</f>
        <v>-0.16</v>
      </c>
      <c r="C5992" t="str">
        <f>"87"</f>
        <v>87</v>
      </c>
      <c r="D5992" t="str">
        <f>"Unsolved"</f>
        <v>Unsolved</v>
      </c>
    </row>
    <row r="5993" spans="1:4" x14ac:dyDescent="0.2">
      <c r="A5993" t="str">
        <f>"5992"</f>
        <v>5992</v>
      </c>
      <c r="B5993" t="str">
        <f>"0.11"</f>
        <v>0.11</v>
      </c>
      <c r="C5993" t="str">
        <f>"68"</f>
        <v>68</v>
      </c>
      <c r="D5993" t="str">
        <f>"Sedatif en Fréquences en Sillons EP"</f>
        <v>Sedatif en Fréquences en Sillons EP</v>
      </c>
    </row>
    <row r="5994" spans="1:4" x14ac:dyDescent="0.2">
      <c r="A5994" t="str">
        <f>"5993"</f>
        <v>5993</v>
      </c>
      <c r="B5994" t="str">
        <f>"0.29"</f>
        <v>0.29</v>
      </c>
      <c r="C5994" t="str">
        <f>"68"</f>
        <v>68</v>
      </c>
      <c r="D5994" t="str">
        <f>"Love Ways EP"</f>
        <v>Love Ways EP</v>
      </c>
    </row>
    <row r="5995" spans="1:4" x14ac:dyDescent="0.2">
      <c r="A5995" t="str">
        <f>"5994"</f>
        <v>5994</v>
      </c>
      <c r="B5995" t="str">
        <f>"-0.47"</f>
        <v>-0.47</v>
      </c>
      <c r="C5995" t="str">
        <f>"68"</f>
        <v>68</v>
      </c>
      <c r="D5995" t="str">
        <f>"It All Has to Do with It"</f>
        <v>It All Has to Do with It</v>
      </c>
    </row>
    <row r="5996" spans="1:4" x14ac:dyDescent="0.2">
      <c r="A5996" t="str">
        <f>"5995"</f>
        <v>5995</v>
      </c>
      <c r="B5996" t="str">
        <f>"-0.18"</f>
        <v>-0.18</v>
      </c>
      <c r="C5996" t="str">
        <f>"65"</f>
        <v>65</v>
      </c>
      <c r="D5996" t="str">
        <f>"Eternals"</f>
        <v>Eternals</v>
      </c>
    </row>
    <row r="5997" spans="1:4" x14ac:dyDescent="0.2">
      <c r="A5997" t="str">
        <f>"5996"</f>
        <v>5996</v>
      </c>
      <c r="B5997" t="str">
        <f>"-0.21"</f>
        <v>-0.21</v>
      </c>
      <c r="C5997" t="str">
        <f>"78"</f>
        <v>78</v>
      </c>
      <c r="D5997" t="str">
        <f>"Fig. 5"</f>
        <v>Fig. 5</v>
      </c>
    </row>
    <row r="5998" spans="1:4" x14ac:dyDescent="0.2">
      <c r="A5998" t="str">
        <f>"5997"</f>
        <v>5997</v>
      </c>
      <c r="B5998" t="str">
        <f>"-0.94"</f>
        <v>-0.94</v>
      </c>
      <c r="C5998" t="str">
        <f>"75"</f>
        <v>75</v>
      </c>
      <c r="D5998" t="str">
        <f>"Unreasonable Behaviour"</f>
        <v>Unreasonable Behaviour</v>
      </c>
    </row>
    <row r="5999" spans="1:4" x14ac:dyDescent="0.2">
      <c r="A5999" t="str">
        <f>"5998"</f>
        <v>5998</v>
      </c>
      <c r="B5999" t="str">
        <f>"0.49"</f>
        <v>0.49</v>
      </c>
      <c r="C5999" t="str">
        <f>"75"</f>
        <v>75</v>
      </c>
      <c r="D5999" t="str">
        <f>"This is Cinerama"</f>
        <v>This is Cinerama</v>
      </c>
    </row>
    <row r="6000" spans="1:4" x14ac:dyDescent="0.2">
      <c r="A6000" t="str">
        <f>"5999"</f>
        <v>5999</v>
      </c>
      <c r="B6000" t="str">
        <f>"0.58"</f>
        <v>0.58</v>
      </c>
      <c r="C6000" t="str">
        <f>"89"</f>
        <v>89</v>
      </c>
      <c r="D6000" t="str">
        <f>"The Coroner's Gambit"</f>
        <v>The Coroner's Gambit</v>
      </c>
    </row>
    <row r="6001" spans="1:4" x14ac:dyDescent="0.2">
      <c r="A6001" t="str">
        <f>"6000"</f>
        <v>6000</v>
      </c>
      <c r="B6001" t="str">
        <f>"-0.44"</f>
        <v>-0.44</v>
      </c>
      <c r="C6001" t="str">
        <f>"61"</f>
        <v>61</v>
      </c>
      <c r="D6001" t="str">
        <f>"Reflection Eternal"</f>
        <v>Reflection Eternal</v>
      </c>
    </row>
    <row r="6002" spans="1:4" x14ac:dyDescent="0.2">
      <c r="A6002" t="str">
        <f>"6001"</f>
        <v>6001</v>
      </c>
      <c r="B6002" t="str">
        <f>"0.74"</f>
        <v>0.74</v>
      </c>
      <c r="C6002" t="str">
        <f>"61"</f>
        <v>61</v>
      </c>
      <c r="D6002" t="str">
        <f>"Our Aim is to Satisfy Red Snapper"</f>
        <v>Our Aim is to Satisfy Red Snapper</v>
      </c>
    </row>
    <row r="6003" spans="1:4" x14ac:dyDescent="0.2">
      <c r="A6003" t="str">
        <f>"6002"</f>
        <v>6002</v>
      </c>
      <c r="B6003" t="str">
        <f>"0.24"</f>
        <v>0.24</v>
      </c>
      <c r="C6003" t="str">
        <f>"79"</f>
        <v>79</v>
      </c>
      <c r="D6003" t="str">
        <f>"Kingdom of Champions"</f>
        <v>Kingdom of Champions</v>
      </c>
    </row>
    <row r="6004" spans="1:4" x14ac:dyDescent="0.2">
      <c r="A6004" t="str">
        <f>"6003"</f>
        <v>6003</v>
      </c>
      <c r="B6004" t="str">
        <f>"-0.49"</f>
        <v>-0.49</v>
      </c>
      <c r="C6004" t="str">
        <f>"106"</f>
        <v>106</v>
      </c>
      <c r="D6004" t="str">
        <f>"In the Valley of Dying Stars"</f>
        <v>In the Valley of Dying Stars</v>
      </c>
    </row>
    <row r="6005" spans="1:4" x14ac:dyDescent="0.2">
      <c r="A6005" t="str">
        <f>"6004"</f>
        <v>6004</v>
      </c>
      <c r="B6005" t="str">
        <f>"0.19"</f>
        <v>0.19</v>
      </c>
      <c r="C6005" t="str">
        <f>"56"</f>
        <v>56</v>
      </c>
      <c r="D6005" t="str">
        <f>"Geometry"</f>
        <v>Geometry</v>
      </c>
    </row>
    <row r="6006" spans="1:4" x14ac:dyDescent="0.2">
      <c r="A6006" t="str">
        <f>"6005"</f>
        <v>6005</v>
      </c>
      <c r="B6006" t="str">
        <f>"-0.49"</f>
        <v>-0.49</v>
      </c>
      <c r="C6006" t="str">
        <f>"82"</f>
        <v>82</v>
      </c>
      <c r="D6006" t="str">
        <f>"Electric Waco Chair"</f>
        <v>Electric Waco Chair</v>
      </c>
    </row>
    <row r="6007" spans="1:4" x14ac:dyDescent="0.2">
      <c r="A6007" t="str">
        <f>"6006"</f>
        <v>6006</v>
      </c>
      <c r="B6007" t="str">
        <f>"0.37"</f>
        <v>0.37</v>
      </c>
      <c r="C6007" t="str">
        <f>"81"</f>
        <v>81</v>
      </c>
      <c r="D6007" t="str">
        <f>"Nixon"</f>
        <v>Nixon</v>
      </c>
    </row>
    <row r="6008" spans="1:4" x14ac:dyDescent="0.2">
      <c r="A6008" t="str">
        <f>"6007"</f>
        <v>6007</v>
      </c>
      <c r="B6008" t="str">
        <f>"0.29"</f>
        <v>0.29</v>
      </c>
      <c r="C6008" t="str">
        <f>"75"</f>
        <v>75</v>
      </c>
      <c r="D6008" t="str">
        <f>"If I Could Only Fly"</f>
        <v>If I Could Only Fly</v>
      </c>
    </row>
    <row r="6009" spans="1:4" x14ac:dyDescent="0.2">
      <c r="A6009" t="str">
        <f>"6008"</f>
        <v>6008</v>
      </c>
      <c r="B6009" t="str">
        <f>"1.18"</f>
        <v>1.18</v>
      </c>
      <c r="C6009" t="str">
        <f>"79"</f>
        <v>79</v>
      </c>
      <c r="D6009" t="str">
        <f>"Xen Cuts"</f>
        <v>Xen Cuts</v>
      </c>
    </row>
    <row r="6010" spans="1:4" x14ac:dyDescent="0.2">
      <c r="A6010" t="str">
        <f>"6009"</f>
        <v>6009</v>
      </c>
      <c r="B6010" t="str">
        <f>"0.27"</f>
        <v>0.27</v>
      </c>
      <c r="C6010" t="str">
        <f>"80"</f>
        <v>80</v>
      </c>
      <c r="D6010" t="str">
        <f>"Watering Ghost Garden EP"</f>
        <v>Watering Ghost Garden EP</v>
      </c>
    </row>
    <row r="6011" spans="1:4" x14ac:dyDescent="0.2">
      <c r="A6011" t="str">
        <f>"6010"</f>
        <v>6010</v>
      </c>
      <c r="B6011" t="str">
        <f>"-0.41"</f>
        <v>-0.41</v>
      </c>
      <c r="C6011" t="str">
        <f>"80"</f>
        <v>80</v>
      </c>
      <c r="D6011" t="str">
        <f>"So Much for the Ten Year Plan: A Retrospective 1990-2000"</f>
        <v>So Much for the Ten Year Plan: A Retrospective 1990-2000</v>
      </c>
    </row>
    <row r="6012" spans="1:4" x14ac:dyDescent="0.2">
      <c r="A6012" t="str">
        <f>"6011"</f>
        <v>6011</v>
      </c>
      <c r="B6012" t="str">
        <f>"-0.43"</f>
        <v>-0.43</v>
      </c>
      <c r="C6012" t="str">
        <f>"43"</f>
        <v>43</v>
      </c>
      <c r="D6012" t="str">
        <f>"Melodie Citronique EP"</f>
        <v>Melodie Citronique EP</v>
      </c>
    </row>
    <row r="6013" spans="1:4" x14ac:dyDescent="0.2">
      <c r="A6013" t="str">
        <f>"6012"</f>
        <v>6012</v>
      </c>
      <c r="B6013" t="str">
        <f>"-0.23"</f>
        <v>-0.23</v>
      </c>
      <c r="C6013" t="str">
        <f>"92"</f>
        <v>92</v>
      </c>
      <c r="D6013" t="str">
        <f>"EP"</f>
        <v>EP</v>
      </c>
    </row>
    <row r="6014" spans="1:4" x14ac:dyDescent="0.2">
      <c r="A6014" t="str">
        <f>"6013"</f>
        <v>6013</v>
      </c>
      <c r="B6014" t="str">
        <f>"-0.19"</f>
        <v>-0.19</v>
      </c>
      <c r="C6014" t="str">
        <f>"56"</f>
        <v>56</v>
      </c>
      <c r="D6014" t="str">
        <f>"Down in Fall EP"</f>
        <v>Down in Fall EP</v>
      </c>
    </row>
    <row r="6015" spans="1:4" x14ac:dyDescent="0.2">
      <c r="A6015" t="str">
        <f>"6014"</f>
        <v>6014</v>
      </c>
      <c r="B6015" t="str">
        <f>"-0.07"</f>
        <v>-0.07</v>
      </c>
      <c r="C6015" t="str">
        <f>"94"</f>
        <v>94</v>
      </c>
      <c r="D6015" t="str">
        <f>"DJ Kicks"</f>
        <v>DJ Kicks</v>
      </c>
    </row>
    <row r="6016" spans="1:4" x14ac:dyDescent="0.2">
      <c r="A6016" t="str">
        <f>"6015"</f>
        <v>6015</v>
      </c>
      <c r="B6016" t="str">
        <f>"-0.45"</f>
        <v>-0.45</v>
      </c>
      <c r="C6016" t="str">
        <f>"80"</f>
        <v>80</v>
      </c>
      <c r="D6016" t="str">
        <f>"American Don"</f>
        <v>American Don</v>
      </c>
    </row>
    <row r="6017" spans="1:4" x14ac:dyDescent="0.2">
      <c r="A6017" t="str">
        <f>"6016"</f>
        <v>6016</v>
      </c>
      <c r="B6017" t="str">
        <f>"-0.2"</f>
        <v>-0.2</v>
      </c>
      <c r="C6017" t="str">
        <f>"168"</f>
        <v>168</v>
      </c>
      <c r="D6017" t="str">
        <f>"Kid A"</f>
        <v>Kid A</v>
      </c>
    </row>
    <row r="6018" spans="1:4" x14ac:dyDescent="0.2">
      <c r="A6018" t="str">
        <f>"6017"</f>
        <v>6017</v>
      </c>
      <c r="B6018" t="str">
        <f>"-0.61"</f>
        <v>-0.61</v>
      </c>
      <c r="C6018" t="str">
        <f>"104"</f>
        <v>104</v>
      </c>
      <c r="D6018" t="str">
        <f>"Three"</f>
        <v>Three</v>
      </c>
    </row>
    <row r="6019" spans="1:4" x14ac:dyDescent="0.2">
      <c r="A6019" t="str">
        <f>"6018"</f>
        <v>6018</v>
      </c>
      <c r="B6019" t="str">
        <f>"0.02"</f>
        <v>0.02</v>
      </c>
      <c r="C6019" t="str">
        <f>"67"</f>
        <v>67</v>
      </c>
      <c r="D6019" t="str">
        <f>"The Hour of Bewilderbeast"</f>
        <v>The Hour of Bewilderbeast</v>
      </c>
    </row>
    <row r="6020" spans="1:4" x14ac:dyDescent="0.2">
      <c r="A6020" t="str">
        <f>"6019"</f>
        <v>6019</v>
      </c>
      <c r="B6020" t="str">
        <f>"0.36"</f>
        <v>0.36</v>
      </c>
      <c r="C6020" t="str">
        <f>"82"</f>
        <v>82</v>
      </c>
      <c r="D6020" t="str">
        <f>"Himawari"</f>
        <v>Himawari</v>
      </c>
    </row>
    <row r="6021" spans="1:4" x14ac:dyDescent="0.2">
      <c r="A6021" t="str">
        <f>"6020"</f>
        <v>6020</v>
      </c>
      <c r="B6021" t="str">
        <f>"-0.62"</f>
        <v>-0.62</v>
      </c>
      <c r="C6021" t="str">
        <f>"28"</f>
        <v>28</v>
      </c>
      <c r="D6021" t="str">
        <f>"Get on Jolly EP"</f>
        <v>Get on Jolly EP</v>
      </c>
    </row>
    <row r="6022" spans="1:4" x14ac:dyDescent="0.2">
      <c r="A6022" t="str">
        <f>"6021"</f>
        <v>6021</v>
      </c>
      <c r="B6022" t="str">
        <f>"0.99"</f>
        <v>0.99</v>
      </c>
      <c r="C6022" t="str">
        <f>"49"</f>
        <v>49</v>
      </c>
      <c r="D6022" t="str">
        <f>"Fragments of Freedom"</f>
        <v>Fragments of Freedom</v>
      </c>
    </row>
    <row r="6023" spans="1:4" x14ac:dyDescent="0.2">
      <c r="A6023" t="str">
        <f>"6022"</f>
        <v>6022</v>
      </c>
      <c r="B6023" t="str">
        <f>"-1.08"</f>
        <v>-1.08</v>
      </c>
      <c r="C6023" t="str">
        <f>"95"</f>
        <v>95</v>
      </c>
      <c r="D6023" t="str">
        <f>"American III: Solitary Man"</f>
        <v>American III: Solitary Man</v>
      </c>
    </row>
    <row r="6024" spans="1:4" x14ac:dyDescent="0.2">
      <c r="A6024" t="str">
        <f>"6023"</f>
        <v>6023</v>
      </c>
      <c r="B6024" t="str">
        <f>"-0.2"</f>
        <v>-0.2</v>
      </c>
      <c r="C6024" t="str">
        <f>"132"</f>
        <v>132</v>
      </c>
      <c r="D6024" t="str">
        <f>"Oui"</f>
        <v>Oui</v>
      </c>
    </row>
    <row r="6025" spans="1:4" x14ac:dyDescent="0.2">
      <c r="A6025" t="str">
        <f>"6024"</f>
        <v>6024</v>
      </c>
      <c r="B6025" t="str">
        <f>"1.21"</f>
        <v>1.21</v>
      </c>
      <c r="C6025" t="str">
        <f>"53"</f>
        <v>53</v>
      </c>
      <c r="D6025" t="str">
        <f>"Time Capsule: The Best of..."</f>
        <v>Time Capsule: The Best of...</v>
      </c>
    </row>
    <row r="6026" spans="1:4" x14ac:dyDescent="0.2">
      <c r="A6026" t="str">
        <f>"6025"</f>
        <v>6025</v>
      </c>
      <c r="B6026" t="str">
        <f>"-0.49"</f>
        <v>-0.49</v>
      </c>
      <c r="C6026" t="str">
        <f>"72"</f>
        <v>72</v>
      </c>
      <c r="D6026" t="str">
        <f>"(It (is) It) Critical Band"</f>
        <v>(It (is) It) Critical Band</v>
      </c>
    </row>
    <row r="6027" spans="1:4" x14ac:dyDescent="0.2">
      <c r="A6027" t="str">
        <f>"6026"</f>
        <v>6026</v>
      </c>
      <c r="B6027" t="str">
        <f>"-0.89"</f>
        <v>-0.89</v>
      </c>
      <c r="C6027" t="str">
        <f>"116"</f>
        <v>116</v>
      </c>
      <c r="D6027" t="str">
        <f>"Golden Lies"</f>
        <v>Golden Lies</v>
      </c>
    </row>
    <row r="6028" spans="1:4" x14ac:dyDescent="0.2">
      <c r="A6028" t="str">
        <f>"6027"</f>
        <v>6027</v>
      </c>
      <c r="B6028" t="str">
        <f>"-1.23"</f>
        <v>-1.23</v>
      </c>
      <c r="C6028" t="str">
        <f>"68"</f>
        <v>68</v>
      </c>
      <c r="D6028" t="str">
        <f>"Dream Signals in Full Circles"</f>
        <v>Dream Signals in Full Circles</v>
      </c>
    </row>
    <row r="6029" spans="1:4" x14ac:dyDescent="0.2">
      <c r="A6029" t="str">
        <f>"6028"</f>
        <v>6028</v>
      </c>
      <c r="B6029" t="str">
        <f>"-0.05"</f>
        <v>-0.05</v>
      </c>
      <c r="C6029" t="str">
        <f>"67"</f>
        <v>67</v>
      </c>
      <c r="D6029" t="str">
        <f>"Some Voices EP"</f>
        <v>Some Voices EP</v>
      </c>
    </row>
    <row r="6030" spans="1:4" x14ac:dyDescent="0.2">
      <c r="A6030" t="str">
        <f>"6029"</f>
        <v>6029</v>
      </c>
      <c r="B6030" t="str">
        <f>"0.36"</f>
        <v>0.36</v>
      </c>
      <c r="C6030" t="str">
        <f>"77"</f>
        <v>77</v>
      </c>
      <c r="D6030" t="str">
        <f>"The Friends of Rachel Worth"</f>
        <v>The Friends of Rachel Worth</v>
      </c>
    </row>
    <row r="6031" spans="1:4" x14ac:dyDescent="0.2">
      <c r="A6031" t="str">
        <f>"6030"</f>
        <v>6030</v>
      </c>
      <c r="B6031" t="str">
        <f>"0.2"</f>
        <v>0.2</v>
      </c>
      <c r="C6031" t="str">
        <f>"69"</f>
        <v>69</v>
      </c>
      <c r="D6031" t="str">
        <f>"Ghost of David"</f>
        <v>Ghost of David</v>
      </c>
    </row>
    <row r="6032" spans="1:4" x14ac:dyDescent="0.2">
      <c r="A6032" t="str">
        <f>"6031"</f>
        <v>6031</v>
      </c>
      <c r="B6032" t="str">
        <f>"0.32"</f>
        <v>0.32</v>
      </c>
      <c r="C6032" t="str">
        <f>"61"</f>
        <v>61</v>
      </c>
      <c r="D6032" t="str">
        <f>"Felt Mountain"</f>
        <v>Felt Mountain</v>
      </c>
    </row>
    <row r="6033" spans="1:4" x14ac:dyDescent="0.2">
      <c r="A6033" t="str">
        <f>"6032"</f>
        <v>6032</v>
      </c>
      <c r="B6033" t="str">
        <f>"0.29"</f>
        <v>0.29</v>
      </c>
      <c r="C6033" t="str">
        <f>"84"</f>
        <v>84</v>
      </c>
      <c r="D6033" t="s">
        <v>221</v>
      </c>
    </row>
    <row r="6034" spans="1:4" x14ac:dyDescent="0.2">
      <c r="A6034" t="str">
        <f>"6033"</f>
        <v>6033</v>
      </c>
      <c r="B6034" t="str">
        <f>"-0.16"</f>
        <v>-0.16</v>
      </c>
      <c r="C6034" t="str">
        <f>"79"</f>
        <v>79</v>
      </c>
      <c r="D6034" t="str">
        <f>"Bit Sand Riders"</f>
        <v>Bit Sand Riders</v>
      </c>
    </row>
    <row r="6035" spans="1:4" x14ac:dyDescent="0.2">
      <c r="A6035" t="str">
        <f>"6034"</f>
        <v>6034</v>
      </c>
      <c r="B6035" t="str">
        <f>"0.12"</f>
        <v>0.12</v>
      </c>
      <c r="C6035" t="str">
        <f>"86"</f>
        <v>86</v>
      </c>
      <c r="D6035" t="str">
        <f>"...With Ghost"</f>
        <v>...With Ghost</v>
      </c>
    </row>
    <row r="6036" spans="1:4" x14ac:dyDescent="0.2">
      <c r="A6036" t="str">
        <f>"6035"</f>
        <v>6035</v>
      </c>
      <c r="B6036" t="str">
        <f>"-0.09"</f>
        <v>-0.09</v>
      </c>
      <c r="C6036" t="str">
        <f>"98"</f>
        <v>98</v>
      </c>
      <c r="D6036" t="str">
        <f>"Not the Tremblin' Kind"</f>
        <v>Not the Tremblin' Kind</v>
      </c>
    </row>
    <row r="6037" spans="1:4" x14ac:dyDescent="0.2">
      <c r="A6037" t="str">
        <f>"6036"</f>
        <v>6036</v>
      </c>
      <c r="B6037" t="str">
        <f>"-1.39"</f>
        <v>-1.39</v>
      </c>
      <c r="C6037" t="str">
        <f>"49"</f>
        <v>49</v>
      </c>
      <c r="D6037" t="str">
        <f>"The Museum of Imaginary Animals"</f>
        <v>The Museum of Imaginary Animals</v>
      </c>
    </row>
    <row r="6038" spans="1:4" x14ac:dyDescent="0.2">
      <c r="A6038" t="str">
        <f>"6037"</f>
        <v>6037</v>
      </c>
      <c r="B6038" t="str">
        <f>"0.04"</f>
        <v>0.04</v>
      </c>
      <c r="C6038" t="str">
        <f>"88"</f>
        <v>88</v>
      </c>
      <c r="D6038" t="str">
        <f>"Secret South"</f>
        <v>Secret South</v>
      </c>
    </row>
    <row r="6039" spans="1:4" x14ac:dyDescent="0.2">
      <c r="A6039" t="str">
        <f>"6038"</f>
        <v>6038</v>
      </c>
      <c r="B6039" t="str">
        <f>"0.49"</f>
        <v>0.49</v>
      </c>
      <c r="C6039" t="str">
        <f>"94"</f>
        <v>94</v>
      </c>
      <c r="D6039" t="str">
        <f>"Kelly's Locker EP"</f>
        <v>Kelly's Locker EP</v>
      </c>
    </row>
    <row r="6040" spans="1:4" x14ac:dyDescent="0.2">
      <c r="A6040" t="str">
        <f>"6039"</f>
        <v>6039</v>
      </c>
      <c r="B6040" t="str">
        <f>"-0.08"</f>
        <v>-0.08</v>
      </c>
      <c r="C6040" t="str">
        <f>"68"</f>
        <v>68</v>
      </c>
      <c r="D6040" t="str">
        <f>"Holiday in Rhode Island"</f>
        <v>Holiday in Rhode Island</v>
      </c>
    </row>
    <row r="6041" spans="1:4" x14ac:dyDescent="0.2">
      <c r="A6041" t="str">
        <f>"6040"</f>
        <v>6040</v>
      </c>
      <c r="B6041" t="str">
        <f>"0.3"</f>
        <v>0.3</v>
      </c>
      <c r="C6041" t="str">
        <f>"78"</f>
        <v>78</v>
      </c>
      <c r="D6041" t="s">
        <v>222</v>
      </c>
    </row>
    <row r="6042" spans="1:4" x14ac:dyDescent="0.2">
      <c r="A6042" t="str">
        <f>"6041"</f>
        <v>6041</v>
      </c>
      <c r="B6042" t="str">
        <f>"0.66"</f>
        <v>0.66</v>
      </c>
      <c r="C6042" t="str">
        <f>"19"</f>
        <v>19</v>
      </c>
      <c r="D6042" t="str">
        <f>"Sakura"</f>
        <v>Sakura</v>
      </c>
    </row>
    <row r="6043" spans="1:4" x14ac:dyDescent="0.2">
      <c r="A6043" t="str">
        <f>"6042"</f>
        <v>6042</v>
      </c>
      <c r="B6043" t="str">
        <f>"0.7"</f>
        <v>0.7</v>
      </c>
      <c r="C6043" t="str">
        <f>"91"</f>
        <v>91</v>
      </c>
      <c r="D6043" t="str">
        <f>"The Red Line"</f>
        <v>The Red Line</v>
      </c>
    </row>
    <row r="6044" spans="1:4" x14ac:dyDescent="0.2">
      <c r="A6044" t="str">
        <f>"6043"</f>
        <v>6043</v>
      </c>
      <c r="B6044" t="str">
        <f>"0.09"</f>
        <v>0.09</v>
      </c>
      <c r="C6044" t="str">
        <f>"85"</f>
        <v>85</v>
      </c>
      <c r="D6044" t="str">
        <f>"Stalled Parade"</f>
        <v>Stalled Parade</v>
      </c>
    </row>
    <row r="6045" spans="1:4" x14ac:dyDescent="0.2">
      <c r="A6045" t="str">
        <f>"6044"</f>
        <v>6044</v>
      </c>
      <c r="B6045" t="str">
        <f>"-0.04"</f>
        <v>-0.04</v>
      </c>
      <c r="C6045" t="str">
        <f>"102"</f>
        <v>102</v>
      </c>
      <c r="D6045" t="str">
        <f>"Private Suit"</f>
        <v>Private Suit</v>
      </c>
    </row>
    <row r="6046" spans="1:4" x14ac:dyDescent="0.2">
      <c r="A6046" t="str">
        <f>"6045"</f>
        <v>6045</v>
      </c>
      <c r="B6046" t="str">
        <f>"-0.47"</f>
        <v>-0.47</v>
      </c>
      <c r="C6046" t="str">
        <f>"58"</f>
        <v>58</v>
      </c>
      <c r="D6046" t="str">
        <f>"Hyacinths and Thistles"</f>
        <v>Hyacinths and Thistles</v>
      </c>
    </row>
    <row r="6047" spans="1:4" x14ac:dyDescent="0.2">
      <c r="A6047" t="str">
        <f>"6046"</f>
        <v>6046</v>
      </c>
      <c r="B6047" t="str">
        <f>"-0.25"</f>
        <v>-0.25</v>
      </c>
      <c r="C6047" t="str">
        <f>"104"</f>
        <v>104</v>
      </c>
      <c r="D6047" t="str">
        <f>"Heartbreaker"</f>
        <v>Heartbreaker</v>
      </c>
    </row>
    <row r="6048" spans="1:4" x14ac:dyDescent="0.2">
      <c r="A6048" t="str">
        <f>"6047"</f>
        <v>6047</v>
      </c>
      <c r="B6048" t="str">
        <f>"0.76"</f>
        <v>0.76</v>
      </c>
      <c r="C6048" t="str">
        <f>"104"</f>
        <v>104</v>
      </c>
      <c r="D6048" t="str">
        <f>"Com Plex"</f>
        <v>Com Plex</v>
      </c>
    </row>
    <row r="6049" spans="1:4" x14ac:dyDescent="0.2">
      <c r="A6049" t="str">
        <f>"6048"</f>
        <v>6048</v>
      </c>
      <c r="B6049" t="str">
        <f>"-0.59"</f>
        <v>-0.59</v>
      </c>
      <c r="C6049" t="str">
        <f>"113"</f>
        <v>113</v>
      </c>
      <c r="D6049" t="str">
        <f>"Bringing Home the Last Great Strike"</f>
        <v>Bringing Home the Last Great Strike</v>
      </c>
    </row>
    <row r="6050" spans="1:4" x14ac:dyDescent="0.2">
      <c r="A6050" t="str">
        <f>"6049"</f>
        <v>6049</v>
      </c>
      <c r="B6050" t="str">
        <f>"-0.46"</f>
        <v>-0.46</v>
      </c>
      <c r="C6050" t="str">
        <f>"64"</f>
        <v>64</v>
      </c>
      <c r="D6050" t="str">
        <f>"Back to Mine"</f>
        <v>Back to Mine</v>
      </c>
    </row>
    <row r="6051" spans="1:4" x14ac:dyDescent="0.2">
      <c r="A6051" t="str">
        <f>"6050"</f>
        <v>6050</v>
      </c>
      <c r="B6051" t="str">
        <f>"0.18"</f>
        <v>0.18</v>
      </c>
      <c r="C6051" t="str">
        <f>"93"</f>
        <v>93</v>
      </c>
      <c r="D6051" t="str">
        <f>"A Spectrum of Infinite Scale"</f>
        <v>A Spectrum of Infinite Scale</v>
      </c>
    </row>
    <row r="6052" spans="1:4" x14ac:dyDescent="0.2">
      <c r="A6052" t="str">
        <f>"6051"</f>
        <v>6051</v>
      </c>
      <c r="B6052" t="str">
        <f>"-0.26"</f>
        <v>-0.26</v>
      </c>
      <c r="C6052" t="str">
        <f>"63"</f>
        <v>63</v>
      </c>
      <c r="D6052" t="str">
        <f>"All Most Heaven EP"</f>
        <v>All Most Heaven EP</v>
      </c>
    </row>
    <row r="6053" spans="1:4" x14ac:dyDescent="0.2">
      <c r="A6053" t="str">
        <f>"6052"</f>
        <v>6052</v>
      </c>
      <c r="B6053" t="str">
        <f>"-1.38"</f>
        <v>-1.38</v>
      </c>
      <c r="C6053" t="str">
        <f>"96"</f>
        <v>96</v>
      </c>
      <c r="D6053" t="str">
        <f>"The Gap"</f>
        <v>The Gap</v>
      </c>
    </row>
    <row r="6054" spans="1:4" x14ac:dyDescent="0.2">
      <c r="A6054" t="str">
        <f>"6053"</f>
        <v>6053</v>
      </c>
      <c r="B6054" t="str">
        <f>"-0.09"</f>
        <v>-0.09</v>
      </c>
      <c r="C6054" t="str">
        <f>"85"</f>
        <v>85</v>
      </c>
      <c r="D6054" t="str">
        <f>"Suitcase: Failed Experiments and Trashed Aircraft"</f>
        <v>Suitcase: Failed Experiments and Trashed Aircraft</v>
      </c>
    </row>
    <row r="6055" spans="1:4" x14ac:dyDescent="0.2">
      <c r="A6055" t="str">
        <f>"6054"</f>
        <v>6054</v>
      </c>
      <c r="B6055" t="str">
        <f>"0.04"</f>
        <v>0.04</v>
      </c>
      <c r="C6055" t="str">
        <f>"109"</f>
        <v>109</v>
      </c>
      <c r="D6055" t="str">
        <f>"Selmasongs"</f>
        <v>Selmasongs</v>
      </c>
    </row>
    <row r="6056" spans="1:4" x14ac:dyDescent="0.2">
      <c r="A6056" t="str">
        <f>"6055"</f>
        <v>6055</v>
      </c>
      <c r="B6056" t="str">
        <f>"0.5"</f>
        <v>0.5</v>
      </c>
      <c r="C6056" t="str">
        <f>"104"</f>
        <v>104</v>
      </c>
      <c r="D6056" t="s">
        <v>223</v>
      </c>
    </row>
    <row r="6057" spans="1:4" x14ac:dyDescent="0.2">
      <c r="A6057" t="str">
        <f>"6056"</f>
        <v>6056</v>
      </c>
      <c r="B6057" t="str">
        <f>"0.69"</f>
        <v>0.69</v>
      </c>
      <c r="C6057" t="str">
        <f>"61"</f>
        <v>61</v>
      </c>
      <c r="D6057" t="str">
        <f>"Commodore Rock EP"</f>
        <v>Commodore Rock EP</v>
      </c>
    </row>
    <row r="6058" spans="1:4" x14ac:dyDescent="0.2">
      <c r="A6058" t="str">
        <f>"6057"</f>
        <v>6057</v>
      </c>
      <c r="B6058" t="str">
        <f>"-0.45"</f>
        <v>-0.45</v>
      </c>
      <c r="C6058" t="str">
        <f>"86"</f>
        <v>86</v>
      </c>
      <c r="D6058" t="str">
        <f>"House of Binary"</f>
        <v>House of Binary</v>
      </c>
    </row>
    <row r="6059" spans="1:4" x14ac:dyDescent="0.2">
      <c r="A6059" t="str">
        <f>"6058"</f>
        <v>6058</v>
      </c>
      <c r="B6059" t="str">
        <f>"0.03"</f>
        <v>0.03</v>
      </c>
      <c r="C6059" t="str">
        <f>"116"</f>
        <v>116</v>
      </c>
      <c r="D6059" t="str">
        <f>"Essence"</f>
        <v>Essence</v>
      </c>
    </row>
    <row r="6060" spans="1:4" x14ac:dyDescent="0.2">
      <c r="A6060" t="str">
        <f>"6059"</f>
        <v>6059</v>
      </c>
      <c r="B6060" t="str">
        <f>"0.18"</f>
        <v>0.18</v>
      </c>
      <c r="C6060" t="str">
        <f>"70"</f>
        <v>70</v>
      </c>
      <c r="D6060" t="str">
        <f>"EP+2"</f>
        <v>EP+2</v>
      </c>
    </row>
    <row r="6061" spans="1:4" x14ac:dyDescent="0.2">
      <c r="A6061" t="str">
        <f>"6060"</f>
        <v>6060</v>
      </c>
      <c r="B6061" t="str">
        <f>"-0.65"</f>
        <v>-0.65</v>
      </c>
      <c r="C6061" t="str">
        <f>"52"</f>
        <v>52</v>
      </c>
      <c r="D6061" t="str">
        <f>"The Mirror Conspiracy"</f>
        <v>The Mirror Conspiracy</v>
      </c>
    </row>
    <row r="6062" spans="1:4" x14ac:dyDescent="0.2">
      <c r="A6062" t="str">
        <f>"6061"</f>
        <v>6061</v>
      </c>
      <c r="B6062" t="str">
        <f>"-0.76"</f>
        <v>-0.76</v>
      </c>
      <c r="C6062" t="str">
        <f>"71"</f>
        <v>71</v>
      </c>
      <c r="D6062" t="str">
        <f>"Disappeared"</f>
        <v>Disappeared</v>
      </c>
    </row>
    <row r="6063" spans="1:4" x14ac:dyDescent="0.2">
      <c r="A6063" t="str">
        <f>"6062"</f>
        <v>6062</v>
      </c>
      <c r="B6063" t="str">
        <f>"0.38"</f>
        <v>0.38</v>
      </c>
      <c r="C6063" t="str">
        <f>"73"</f>
        <v>73</v>
      </c>
      <c r="D6063" t="str">
        <f>"Contemporary Movement"</f>
        <v>Contemporary Movement</v>
      </c>
    </row>
    <row r="6064" spans="1:4" x14ac:dyDescent="0.2">
      <c r="A6064" t="str">
        <f>"6063"</f>
        <v>6063</v>
      </c>
      <c r="B6064" t="str">
        <f>"0.21"</f>
        <v>0.21</v>
      </c>
      <c r="C6064" t="str">
        <f>"92"</f>
        <v>92</v>
      </c>
      <c r="D6064" t="str">
        <f>"Beat"</f>
        <v>Beat</v>
      </c>
    </row>
    <row r="6065" spans="1:4" x14ac:dyDescent="0.2">
      <c r="A6065" t="str">
        <f>"6064"</f>
        <v>6064</v>
      </c>
      <c r="B6065" t="str">
        <f>"0"</f>
        <v>0</v>
      </c>
      <c r="C6065" t="str">
        <f>"21"</f>
        <v>21</v>
      </c>
      <c r="D6065" t="str">
        <f>"A-Sides: 1988-1999"</f>
        <v>A-Sides: 1988-1999</v>
      </c>
    </row>
    <row r="6066" spans="1:4" x14ac:dyDescent="0.2">
      <c r="A6066" t="str">
        <f>"6065"</f>
        <v>6065</v>
      </c>
      <c r="B6066" t="str">
        <f>"0.12"</f>
        <v>0.12</v>
      </c>
      <c r="C6066" t="str">
        <f>"56"</f>
        <v>56</v>
      </c>
      <c r="D6066" t="str">
        <f>"The Dream That Stuff Was Made Of"</f>
        <v>The Dream That Stuff Was Made Of</v>
      </c>
    </row>
    <row r="6067" spans="1:4" x14ac:dyDescent="0.2">
      <c r="A6067" t="str">
        <f>"6066"</f>
        <v>6066</v>
      </c>
      <c r="B6067" t="str">
        <f>"-0.08"</f>
        <v>-0.08</v>
      </c>
      <c r="C6067" t="str">
        <f>"64"</f>
        <v>64</v>
      </c>
      <c r="D6067" t="str">
        <f>"Teenage Dream EP"</f>
        <v>Teenage Dream EP</v>
      </c>
    </row>
    <row r="6068" spans="1:4" x14ac:dyDescent="0.2">
      <c r="A6068" t="str">
        <f>"6067"</f>
        <v>6067</v>
      </c>
      <c r="B6068" t="str">
        <f>"0.6"</f>
        <v>0.6</v>
      </c>
      <c r="C6068" t="str">
        <f>"86"</f>
        <v>86</v>
      </c>
      <c r="D6068" t="str">
        <f>"In Case You Didn't Feel Like Plugging In"</f>
        <v>In Case You Didn't Feel Like Plugging In</v>
      </c>
    </row>
    <row r="6069" spans="1:4" x14ac:dyDescent="0.2">
      <c r="A6069" t="str">
        <f>"6068"</f>
        <v>6068</v>
      </c>
      <c r="B6069" t="str">
        <f>"0"</f>
        <v>0</v>
      </c>
      <c r="C6069" t="str">
        <f>"37"</f>
        <v>37</v>
      </c>
      <c r="D6069" t="str">
        <f>"15 Big Ones"</f>
        <v>15 Big Ones</v>
      </c>
    </row>
    <row r="6070" spans="1:4" x14ac:dyDescent="0.2">
      <c r="A6070" t="str">
        <f>"6069"</f>
        <v>6069</v>
      </c>
      <c r="B6070" t="str">
        <f>"0.37"</f>
        <v>0.37</v>
      </c>
      <c r="C6070" t="str">
        <f>"73"</f>
        <v>73</v>
      </c>
      <c r="D6070" t="str">
        <f>"Little Kix"</f>
        <v>Little Kix</v>
      </c>
    </row>
    <row r="6071" spans="1:4" x14ac:dyDescent="0.2">
      <c r="A6071" t="str">
        <f>"6070"</f>
        <v>6070</v>
      </c>
      <c r="B6071" t="str">
        <f>"1.08"</f>
        <v>1.08</v>
      </c>
      <c r="C6071" t="str">
        <f>"46"</f>
        <v>46</v>
      </c>
      <c r="D6071" t="s">
        <v>224</v>
      </c>
    </row>
    <row r="6072" spans="1:4" x14ac:dyDescent="0.2">
      <c r="A6072" t="str">
        <f>"6071"</f>
        <v>6071</v>
      </c>
      <c r="B6072" t="str">
        <f>"-0.23"</f>
        <v>-0.23</v>
      </c>
      <c r="C6072" t="str">
        <f>"86"</f>
        <v>86</v>
      </c>
      <c r="D6072" t="str">
        <f>"Variant"</f>
        <v>Variant</v>
      </c>
    </row>
    <row r="6073" spans="1:4" x14ac:dyDescent="0.2">
      <c r="A6073" t="str">
        <f>"6072"</f>
        <v>6072</v>
      </c>
      <c r="B6073" t="str">
        <f>"-0.28"</f>
        <v>-0.28</v>
      </c>
      <c r="C6073" t="str">
        <f>"92"</f>
        <v>92</v>
      </c>
      <c r="D6073" t="str">
        <f>"Singles and Beyond"</f>
        <v>Singles and Beyond</v>
      </c>
    </row>
    <row r="6074" spans="1:4" x14ac:dyDescent="0.2">
      <c r="A6074" t="str">
        <f>"6073"</f>
        <v>6073</v>
      </c>
      <c r="B6074" t="str">
        <f>"-0.71"</f>
        <v>-0.71</v>
      </c>
      <c r="C6074" t="str">
        <f>"115"</f>
        <v>115</v>
      </c>
      <c r="D6074" t="str">
        <f>"Jupiter"</f>
        <v>Jupiter</v>
      </c>
    </row>
    <row r="6075" spans="1:4" x14ac:dyDescent="0.2">
      <c r="A6075" t="str">
        <f>"6074"</f>
        <v>6074</v>
      </c>
      <c r="B6075" t="str">
        <f>"-0.97"</f>
        <v>-0.97</v>
      </c>
      <c r="C6075" t="str">
        <f>"83"</f>
        <v>83</v>
      </c>
      <c r="D6075" t="str">
        <f>"1000 Hurts"</f>
        <v>1000 Hurts</v>
      </c>
    </row>
    <row r="6076" spans="1:4" x14ac:dyDescent="0.2">
      <c r="A6076" t="str">
        <f>"6075"</f>
        <v>6075</v>
      </c>
      <c r="B6076" t="str">
        <f>"-0.67"</f>
        <v>-0.67</v>
      </c>
      <c r="C6076" t="str">
        <f>"46"</f>
        <v>46</v>
      </c>
      <c r="D6076" t="s">
        <v>225</v>
      </c>
    </row>
    <row r="6077" spans="1:4" x14ac:dyDescent="0.2">
      <c r="A6077" t="str">
        <f>"6076"</f>
        <v>6076</v>
      </c>
      <c r="B6077" t="str">
        <f>"-0.57"</f>
        <v>-0.57</v>
      </c>
      <c r="C6077" t="str">
        <f>"44"</f>
        <v>44</v>
      </c>
      <c r="D6077" t="str">
        <f>"In a Different City"</f>
        <v>In a Different City</v>
      </c>
    </row>
    <row r="6078" spans="1:4" x14ac:dyDescent="0.2">
      <c r="A6078" t="str">
        <f>"6077"</f>
        <v>6077</v>
      </c>
      <c r="B6078" t="str">
        <f>"0.5"</f>
        <v>0.5</v>
      </c>
      <c r="C6078" t="str">
        <f>"93"</f>
        <v>93</v>
      </c>
      <c r="D6078" t="str">
        <f>"Transcendental Blues"</f>
        <v>Transcendental Blues</v>
      </c>
    </row>
    <row r="6079" spans="1:4" x14ac:dyDescent="0.2">
      <c r="A6079" t="str">
        <f>"6078"</f>
        <v>6078</v>
      </c>
      <c r="B6079" t="str">
        <f>"-0.79"</f>
        <v>-0.79</v>
      </c>
      <c r="C6079" t="str">
        <f>"60"</f>
        <v>60</v>
      </c>
      <c r="D6079" t="str">
        <f>"Thief"</f>
        <v>Thief</v>
      </c>
    </row>
    <row r="6080" spans="1:4" x14ac:dyDescent="0.2">
      <c r="A6080" t="str">
        <f>"6079"</f>
        <v>6079</v>
      </c>
      <c r="B6080" t="str">
        <f>"-1.06"</f>
        <v>-1.06</v>
      </c>
      <c r="C6080" t="str">
        <f>"67"</f>
        <v>67</v>
      </c>
      <c r="D6080" t="str">
        <f>"Strayed EP"</f>
        <v>Strayed EP</v>
      </c>
    </row>
    <row r="6081" spans="1:4" x14ac:dyDescent="0.2">
      <c r="A6081" t="str">
        <f>"6080"</f>
        <v>6080</v>
      </c>
      <c r="B6081" t="str">
        <f>"-0.73"</f>
        <v>-0.73</v>
      </c>
      <c r="C6081" t="str">
        <f>"21"</f>
        <v>21</v>
      </c>
      <c r="D6081" t="str">
        <f>"Split EP"</f>
        <v>Split EP</v>
      </c>
    </row>
    <row r="6082" spans="1:4" x14ac:dyDescent="0.2">
      <c r="A6082" t="str">
        <f>"6081"</f>
        <v>6081</v>
      </c>
      <c r="B6082" t="str">
        <f>"-0.43"</f>
        <v>-0.43</v>
      </c>
      <c r="C6082" t="str">
        <f>"45"</f>
        <v>45</v>
      </c>
      <c r="D6082" t="str">
        <f>"Pound for Pound"</f>
        <v>Pound for Pound</v>
      </c>
    </row>
    <row r="6083" spans="1:4" x14ac:dyDescent="0.2">
      <c r="A6083" t="str">
        <f>"6082"</f>
        <v>6082</v>
      </c>
      <c r="B6083" t="str">
        <f>"1.49"</f>
        <v>1.49</v>
      </c>
      <c r="C6083" t="str">
        <f>"76"</f>
        <v>76</v>
      </c>
      <c r="D6083" t="str">
        <f>"No Style EP"</f>
        <v>No Style EP</v>
      </c>
    </row>
    <row r="6084" spans="1:4" x14ac:dyDescent="0.2">
      <c r="A6084" t="str">
        <f>"6083"</f>
        <v>6083</v>
      </c>
      <c r="B6084" t="str">
        <f>"-0.53"</f>
        <v>-0.53</v>
      </c>
      <c r="C6084" t="str">
        <f>"97"</f>
        <v>97</v>
      </c>
      <c r="D6084" t="str">
        <f>"In Name and Blood"</f>
        <v>In Name and Blood</v>
      </c>
    </row>
    <row r="6085" spans="1:4" x14ac:dyDescent="0.2">
      <c r="A6085" t="str">
        <f>"6084"</f>
        <v>6084</v>
      </c>
      <c r="B6085" t="str">
        <f>"0.36"</f>
        <v>0.36</v>
      </c>
      <c r="C6085" t="str">
        <f>"52"</f>
        <v>52</v>
      </c>
      <c r="D6085" t="str">
        <f>"Har Mar Superstar"</f>
        <v>Har Mar Superstar</v>
      </c>
    </row>
    <row r="6086" spans="1:4" x14ac:dyDescent="0.2">
      <c r="A6086" t="str">
        <f>"6085"</f>
        <v>6085</v>
      </c>
      <c r="B6086" t="str">
        <f>"0.42"</f>
        <v>0.42</v>
      </c>
      <c r="C6086" t="str">
        <f>"101"</f>
        <v>101</v>
      </c>
      <c r="D6086" t="str">
        <f>"Faith and Courage"</f>
        <v>Faith and Courage</v>
      </c>
    </row>
    <row r="6087" spans="1:4" x14ac:dyDescent="0.2">
      <c r="A6087" t="str">
        <f>"6086"</f>
        <v>6086</v>
      </c>
      <c r="B6087" t="str">
        <f>"0.92"</f>
        <v>0.92</v>
      </c>
      <c r="C6087" t="str">
        <f>"48"</f>
        <v>48</v>
      </c>
      <c r="D6087" t="str">
        <f>"The Orange Tapered Moon"</f>
        <v>The Orange Tapered Moon</v>
      </c>
    </row>
    <row r="6088" spans="1:4" x14ac:dyDescent="0.2">
      <c r="A6088" t="str">
        <f>"6087"</f>
        <v>6087</v>
      </c>
      <c r="B6088" t="str">
        <f>"1.08"</f>
        <v>1.08</v>
      </c>
      <c r="C6088" t="str">
        <f>"46"</f>
        <v>46</v>
      </c>
      <c r="D6088" t="str">
        <f>"Voice Brother and Sister"</f>
        <v>Voice Brother and Sister</v>
      </c>
    </row>
    <row r="6089" spans="1:4" x14ac:dyDescent="0.2">
      <c r="A6089" t="str">
        <f>"6088"</f>
        <v>6088</v>
      </c>
      <c r="B6089" t="str">
        <f>"-0.04"</f>
        <v>-0.04</v>
      </c>
      <c r="C6089" t="str">
        <f>"67"</f>
        <v>67</v>
      </c>
      <c r="D6089" t="str">
        <f>"Out of Nowhere"</f>
        <v>Out of Nowhere</v>
      </c>
    </row>
    <row r="6090" spans="1:4" x14ac:dyDescent="0.2">
      <c r="A6090" t="str">
        <f>"6089"</f>
        <v>6089</v>
      </c>
      <c r="B6090" t="str">
        <f>"0.11"</f>
        <v>0.11</v>
      </c>
      <c r="C6090" t="str">
        <f>"71"</f>
        <v>71</v>
      </c>
      <c r="D6090" t="str">
        <f>"Left and Leaving"</f>
        <v>Left and Leaving</v>
      </c>
    </row>
    <row r="6091" spans="1:4" x14ac:dyDescent="0.2">
      <c r="A6091" t="str">
        <f>"6090"</f>
        <v>6090</v>
      </c>
      <c r="B6091" t="str">
        <f>"0.41"</f>
        <v>0.41</v>
      </c>
      <c r="C6091" t="str">
        <f>"52"</f>
        <v>52</v>
      </c>
      <c r="D6091" t="str">
        <f>"4 Ton Mantis EP"</f>
        <v>4 Ton Mantis EP</v>
      </c>
    </row>
    <row r="6092" spans="1:4" x14ac:dyDescent="0.2">
      <c r="A6092" t="str">
        <f>"6091"</f>
        <v>6091</v>
      </c>
      <c r="B6092" t="str">
        <f>"0.22"</f>
        <v>0.22</v>
      </c>
      <c r="C6092" t="str">
        <f>"98"</f>
        <v>98</v>
      </c>
      <c r="D6092" t="str">
        <f>"Weekends of Sound"</f>
        <v>Weekends of Sound</v>
      </c>
    </row>
    <row r="6093" spans="1:4" x14ac:dyDescent="0.2">
      <c r="A6093" t="str">
        <f>"6092"</f>
        <v>6092</v>
      </c>
      <c r="B6093" t="str">
        <f>"0.36"</f>
        <v>0.36</v>
      </c>
      <c r="C6093" t="str">
        <f>"33"</f>
        <v>33</v>
      </c>
      <c r="D6093" t="str">
        <f>"Sunflower/Surf's Up"</f>
        <v>Sunflower/Surf's Up</v>
      </c>
    </row>
    <row r="6094" spans="1:4" x14ac:dyDescent="0.2">
      <c r="A6094" t="str">
        <f>"6093"</f>
        <v>6093</v>
      </c>
      <c r="B6094" t="str">
        <f>"-0.27"</f>
        <v>-0.27</v>
      </c>
      <c r="C6094" t="str">
        <f>"54"</f>
        <v>54</v>
      </c>
      <c r="D6094" t="str">
        <f>"Rome (Written Upside Down) EP"</f>
        <v>Rome (Written Upside Down) EP</v>
      </c>
    </row>
    <row r="6095" spans="1:4" x14ac:dyDescent="0.2">
      <c r="A6095" t="str">
        <f>"6094"</f>
        <v>6094</v>
      </c>
      <c r="B6095" t="str">
        <f>"0.11"</f>
        <v>0.11</v>
      </c>
      <c r="C6095" t="str">
        <f>"60"</f>
        <v>60</v>
      </c>
      <c r="D6095" t="str">
        <f>"Will You Find Me"</f>
        <v>Will You Find Me</v>
      </c>
    </row>
    <row r="6096" spans="1:4" x14ac:dyDescent="0.2">
      <c r="A6096" t="str">
        <f>"6095"</f>
        <v>6095</v>
      </c>
      <c r="B6096" t="str">
        <f>"0.4"</f>
        <v>0.4</v>
      </c>
      <c r="C6096" t="str">
        <f>"92"</f>
        <v>92</v>
      </c>
      <c r="D6096" t="str">
        <f>"Mass Suicide Occult Figurines"</f>
        <v>Mass Suicide Occult Figurines</v>
      </c>
    </row>
    <row r="6097" spans="1:4" x14ac:dyDescent="0.2">
      <c r="A6097" t="str">
        <f>"6096"</f>
        <v>6096</v>
      </c>
      <c r="B6097" t="str">
        <f>"0.34"</f>
        <v>0.34</v>
      </c>
      <c r="C6097" t="str">
        <f>"87"</f>
        <v>87</v>
      </c>
      <c r="D6097" t="str">
        <f>"Trainer"</f>
        <v>Trainer</v>
      </c>
    </row>
    <row r="6098" spans="1:4" x14ac:dyDescent="0.2">
      <c r="A6098" t="str">
        <f>"6097"</f>
        <v>6097</v>
      </c>
      <c r="B6098" t="str">
        <f>"0.19"</f>
        <v>0.19</v>
      </c>
      <c r="C6098" t="str">
        <f>"47"</f>
        <v>47</v>
      </c>
      <c r="D6098" t="str">
        <f>"Mad for Sadness"</f>
        <v>Mad for Sadness</v>
      </c>
    </row>
    <row r="6099" spans="1:4" x14ac:dyDescent="0.2">
      <c r="A6099" t="str">
        <f>"6098"</f>
        <v>6098</v>
      </c>
      <c r="B6099" t="str">
        <f>"-0.06"</f>
        <v>-0.06</v>
      </c>
      <c r="C6099" t="str">
        <f>"74"</f>
        <v>74</v>
      </c>
      <c r="D6099" t="str">
        <f>"El Baile Aleman"</f>
        <v>El Baile Aleman</v>
      </c>
    </row>
    <row r="6100" spans="1:4" x14ac:dyDescent="0.2">
      <c r="A6100" t="str">
        <f>"6099"</f>
        <v>6099</v>
      </c>
      <c r="B6100" t="str">
        <f>"-0.2"</f>
        <v>-0.2</v>
      </c>
      <c r="C6100" t="str">
        <f>"49"</f>
        <v>49</v>
      </c>
      <c r="D6100" t="str">
        <f>"You Think It's Like This But Really It's Like This"</f>
        <v>You Think It's Like This But Really It's Like This</v>
      </c>
    </row>
    <row r="6101" spans="1:4" x14ac:dyDescent="0.2">
      <c r="A6101" t="str">
        <f>"6100"</f>
        <v>6100</v>
      </c>
      <c r="B6101" t="str">
        <f>"-0.22"</f>
        <v>-0.22</v>
      </c>
      <c r="C6101" t="str">
        <f>"102"</f>
        <v>102</v>
      </c>
      <c r="D6101" t="str">
        <f>"Your Favorite Music"</f>
        <v>Your Favorite Music</v>
      </c>
    </row>
    <row r="6102" spans="1:4" x14ac:dyDescent="0.2">
      <c r="A6102" t="str">
        <f>"6101"</f>
        <v>6101</v>
      </c>
      <c r="B6102" t="str">
        <f>"1"</f>
        <v>1</v>
      </c>
      <c r="C6102" t="str">
        <f>"71"</f>
        <v>71</v>
      </c>
      <c r="D6102" t="str">
        <f>"The Spectrum Between"</f>
        <v>The Spectrum Between</v>
      </c>
    </row>
    <row r="6103" spans="1:4" x14ac:dyDescent="0.2">
      <c r="A6103" t="str">
        <f>"6102"</f>
        <v>6102</v>
      </c>
      <c r="B6103" t="str">
        <f>"-0.09"</f>
        <v>-0.09</v>
      </c>
      <c r="C6103" t="str">
        <f>"117"</f>
        <v>117</v>
      </c>
      <c r="D6103" t="str">
        <f>"The Powerpuff Girls: Heroes &amp; Villains"</f>
        <v>The Powerpuff Girls: Heroes &amp; Villains</v>
      </c>
    </row>
    <row r="6104" spans="1:4" x14ac:dyDescent="0.2">
      <c r="A6104" t="str">
        <f>"6103"</f>
        <v>6103</v>
      </c>
      <c r="B6104" t="str">
        <f>"-0.83"</f>
        <v>-0.83</v>
      </c>
      <c r="C6104" t="str">
        <f>"107"</f>
        <v>107</v>
      </c>
      <c r="D6104" t="str">
        <f>"Separation Anxieties"</f>
        <v>Separation Anxieties</v>
      </c>
    </row>
    <row r="6105" spans="1:4" x14ac:dyDescent="0.2">
      <c r="A6105" t="str">
        <f>"6104"</f>
        <v>6104</v>
      </c>
      <c r="B6105" t="str">
        <f>"0"</f>
        <v>0</v>
      </c>
      <c r="C6105" t="str">
        <f>"51"</f>
        <v>51</v>
      </c>
      <c r="D6105" t="str">
        <f>"Seconds Before the Accident"</f>
        <v>Seconds Before the Accident</v>
      </c>
    </row>
    <row r="6106" spans="1:4" x14ac:dyDescent="0.2">
      <c r="A6106" t="str">
        <f>"6105"</f>
        <v>6105</v>
      </c>
      <c r="B6106" t="str">
        <f>"0.5"</f>
        <v>0.5</v>
      </c>
      <c r="C6106" t="str">
        <f>"87"</f>
        <v>87</v>
      </c>
      <c r="D6106" t="s">
        <v>226</v>
      </c>
    </row>
    <row r="6107" spans="1:4" x14ac:dyDescent="0.2">
      <c r="A6107" t="str">
        <f>"6106"</f>
        <v>6106</v>
      </c>
      <c r="B6107" t="str">
        <f>"-0.68"</f>
        <v>-0.68</v>
      </c>
      <c r="C6107" t="str">
        <f>"76"</f>
        <v>76</v>
      </c>
      <c r="D6107" t="s">
        <v>227</v>
      </c>
    </row>
    <row r="6108" spans="1:4" x14ac:dyDescent="0.2">
      <c r="A6108" t="str">
        <f>"6107"</f>
        <v>6107</v>
      </c>
      <c r="B6108" t="str">
        <f>"-0.49"</f>
        <v>-0.49</v>
      </c>
      <c r="C6108" t="str">
        <f>"63"</f>
        <v>63</v>
      </c>
      <c r="D6108" t="str">
        <f>"Installation Sonore"</f>
        <v>Installation Sonore</v>
      </c>
    </row>
    <row r="6109" spans="1:4" x14ac:dyDescent="0.2">
      <c r="A6109" t="str">
        <f>"6108"</f>
        <v>6108</v>
      </c>
      <c r="B6109" t="str">
        <f>"0.71"</f>
        <v>0.71</v>
      </c>
      <c r="C6109" t="str">
        <f>"52"</f>
        <v>52</v>
      </c>
      <c r="D6109" t="str">
        <f>"Bye Bye Baby EP"</f>
        <v>Bye Bye Baby EP</v>
      </c>
    </row>
    <row r="6110" spans="1:4" x14ac:dyDescent="0.2">
      <c r="A6110" t="str">
        <f>"6109"</f>
        <v>6109</v>
      </c>
      <c r="B6110" t="str">
        <f>"-1.05"</f>
        <v>-1.05</v>
      </c>
      <c r="C6110" t="str">
        <f>"60"</f>
        <v>60</v>
      </c>
      <c r="D6110" t="str">
        <f>"The Unseen"</f>
        <v>The Unseen</v>
      </c>
    </row>
    <row r="6111" spans="1:4" x14ac:dyDescent="0.2">
      <c r="A6111" t="str">
        <f>"6110"</f>
        <v>6110</v>
      </c>
      <c r="B6111" t="str">
        <f>"0.07"</f>
        <v>0.07</v>
      </c>
      <c r="C6111" t="str">
        <f>"53"</f>
        <v>53</v>
      </c>
      <c r="D6111" t="str">
        <f>"Pole v. Four Tet EP"</f>
        <v>Pole v. Four Tet EP</v>
      </c>
    </row>
    <row r="6112" spans="1:4" x14ac:dyDescent="0.2">
      <c r="A6112" t="str">
        <f>"6111"</f>
        <v>6111</v>
      </c>
      <c r="B6112" t="str">
        <f>"-0.15"</f>
        <v>-0.15</v>
      </c>
      <c r="C6112" t="str">
        <f>"49"</f>
        <v>49</v>
      </c>
      <c r="D6112" t="str">
        <f>"Sound of Water"</f>
        <v>Sound of Water</v>
      </c>
    </row>
    <row r="6113" spans="1:4" x14ac:dyDescent="0.2">
      <c r="A6113" t="str">
        <f>"6112"</f>
        <v>6112</v>
      </c>
      <c r="B6113" t="str">
        <f>"0.04"</f>
        <v>0.04</v>
      </c>
      <c r="C6113" t="str">
        <f>"60"</f>
        <v>60</v>
      </c>
      <c r="D6113" t="str">
        <f>"The After Birth"</f>
        <v>The After Birth</v>
      </c>
    </row>
    <row r="6114" spans="1:4" x14ac:dyDescent="0.2">
      <c r="A6114" t="str">
        <f>"6113"</f>
        <v>6113</v>
      </c>
      <c r="B6114" t="str">
        <f>"0.79"</f>
        <v>0.79</v>
      </c>
      <c r="C6114" t="str">
        <f>"64"</f>
        <v>64</v>
      </c>
      <c r="D6114" t="str">
        <f>"Mwng"</f>
        <v>Mwng</v>
      </c>
    </row>
    <row r="6115" spans="1:4" x14ac:dyDescent="0.2">
      <c r="A6115" t="str">
        <f>"6114"</f>
        <v>6114</v>
      </c>
      <c r="B6115" t="str">
        <f>"0.02"</f>
        <v>0.02</v>
      </c>
      <c r="C6115" t="str">
        <f>"98"</f>
        <v>98</v>
      </c>
      <c r="D6115" t="str">
        <f>"Home is Where You Hang Yourself"</f>
        <v>Home is Where You Hang Yourself</v>
      </c>
    </row>
    <row r="6116" spans="1:4" x14ac:dyDescent="0.2">
      <c r="A6116" t="str">
        <f>"6115"</f>
        <v>6115</v>
      </c>
      <c r="B6116" t="str">
        <f>"0.6"</f>
        <v>0.6</v>
      </c>
      <c r="C6116" t="str">
        <f>"55"</f>
        <v>55</v>
      </c>
      <c r="D6116" t="str">
        <f>"Groove OST"</f>
        <v>Groove OST</v>
      </c>
    </row>
    <row r="6117" spans="1:4" x14ac:dyDescent="0.2">
      <c r="A6117" t="str">
        <f>"6116"</f>
        <v>6116</v>
      </c>
      <c r="B6117" t="str">
        <f>"0.35"</f>
        <v>0.35</v>
      </c>
      <c r="C6117" t="str">
        <f>"73"</f>
        <v>73</v>
      </c>
      <c r="D6117" t="str">
        <f>"Cursive's Domestica"</f>
        <v>Cursive's Domestica</v>
      </c>
    </row>
    <row r="6118" spans="1:4" x14ac:dyDescent="0.2">
      <c r="A6118" t="str">
        <f>"6117"</f>
        <v>6117</v>
      </c>
      <c r="B6118" t="str">
        <f>"0.15"</f>
        <v>0.15</v>
      </c>
      <c r="C6118" t="str">
        <f>"56"</f>
        <v>56</v>
      </c>
      <c r="D6118" t="str">
        <f>"CD 3"</f>
        <v>CD 3</v>
      </c>
    </row>
    <row r="6119" spans="1:4" x14ac:dyDescent="0.2">
      <c r="A6119" t="str">
        <f>"6118"</f>
        <v>6118</v>
      </c>
      <c r="B6119" t="str">
        <f>"0.07"</f>
        <v>0.07</v>
      </c>
      <c r="C6119" t="str">
        <f>"47"</f>
        <v>47</v>
      </c>
      <c r="D6119" t="str">
        <f>"Barbarians"</f>
        <v>Barbarians</v>
      </c>
    </row>
    <row r="6120" spans="1:4" x14ac:dyDescent="0.2">
      <c r="A6120" t="str">
        <f>"6119"</f>
        <v>6119</v>
      </c>
      <c r="B6120" t="str">
        <f>"-1.34"</f>
        <v>-1.34</v>
      </c>
      <c r="C6120" t="str">
        <f>"69"</f>
        <v>69</v>
      </c>
      <c r="D6120" t="str">
        <f>"Music for a Stranger World EP"</f>
        <v>Music for a Stranger World EP</v>
      </c>
    </row>
    <row r="6121" spans="1:4" x14ac:dyDescent="0.2">
      <c r="A6121" t="str">
        <f>"6120"</f>
        <v>6120</v>
      </c>
      <c r="B6121" t="str">
        <f>"0.08"</f>
        <v>0.08</v>
      </c>
      <c r="C6121" t="str">
        <f>"27"</f>
        <v>27</v>
      </c>
      <c r="D6121" t="str">
        <f>"Merriment"</f>
        <v>Merriment</v>
      </c>
    </row>
    <row r="6122" spans="1:4" x14ac:dyDescent="0.2">
      <c r="A6122" t="str">
        <f>"6121"</f>
        <v>6121</v>
      </c>
      <c r="B6122" t="str">
        <f>"-0.23"</f>
        <v>-0.23</v>
      </c>
      <c r="C6122" t="str">
        <f>"53"</f>
        <v>53</v>
      </c>
      <c r="D6122" t="str">
        <f>"Tired Snow EP"</f>
        <v>Tired Snow EP</v>
      </c>
    </row>
    <row r="6123" spans="1:4" x14ac:dyDescent="0.2">
      <c r="A6123" t="str">
        <f>"6122"</f>
        <v>6122</v>
      </c>
      <c r="B6123" t="str">
        <f>"0.12"</f>
        <v>0.12</v>
      </c>
      <c r="C6123" t="str">
        <f>"169"</f>
        <v>169</v>
      </c>
      <c r="D6123" t="str">
        <f>"The Moon &amp; Antarctica"</f>
        <v>The Moon &amp; Antarctica</v>
      </c>
    </row>
    <row r="6124" spans="1:4" x14ac:dyDescent="0.2">
      <c r="A6124" t="str">
        <f>"6123"</f>
        <v>6123</v>
      </c>
      <c r="B6124" t="str">
        <f>"0.14"</f>
        <v>0.14</v>
      </c>
      <c r="C6124" t="str">
        <f>"71"</f>
        <v>71</v>
      </c>
      <c r="D6124" t="str">
        <f>"Rock 'N' Roll Singer"</f>
        <v>Rock 'N' Roll Singer</v>
      </c>
    </row>
    <row r="6125" spans="1:4" x14ac:dyDescent="0.2">
      <c r="A6125" t="str">
        <f>"6124"</f>
        <v>6124</v>
      </c>
      <c r="B6125" t="str">
        <f>"0.32"</f>
        <v>0.32</v>
      </c>
      <c r="C6125" t="str">
        <f>"59"</f>
        <v>59</v>
      </c>
      <c r="D6125" t="str">
        <f>"Last Century Modern"</f>
        <v>Last Century Modern</v>
      </c>
    </row>
    <row r="6126" spans="1:4" x14ac:dyDescent="0.2">
      <c r="A6126" t="str">
        <f>"6125"</f>
        <v>6125</v>
      </c>
      <c r="B6126" t="str">
        <f>"1"</f>
        <v>1</v>
      </c>
      <c r="C6126" t="str">
        <f>"103"</f>
        <v>103</v>
      </c>
      <c r="D6126" t="str">
        <f>"Working Undercover for the Man EP"</f>
        <v>Working Undercover for the Man EP</v>
      </c>
    </row>
    <row r="6127" spans="1:4" x14ac:dyDescent="0.2">
      <c r="A6127" t="str">
        <f>"6126"</f>
        <v>6126</v>
      </c>
      <c r="B6127" t="str">
        <f>"-1.06"</f>
        <v>-1.06</v>
      </c>
      <c r="C6127" t="str">
        <f>"45"</f>
        <v>45</v>
      </c>
      <c r="D6127" t="str">
        <f>"The New Song and Dance"</f>
        <v>The New Song and Dance</v>
      </c>
    </row>
    <row r="6128" spans="1:4" x14ac:dyDescent="0.2">
      <c r="A6128" t="str">
        <f>"6127"</f>
        <v>6127</v>
      </c>
      <c r="B6128" t="str">
        <f>"0.36"</f>
        <v>0.36</v>
      </c>
      <c r="C6128" t="str">
        <f>"50"</f>
        <v>50</v>
      </c>
      <c r="D6128" t="str">
        <f>"The First of the Microbe Hunters"</f>
        <v>The First of the Microbe Hunters</v>
      </c>
    </row>
    <row r="6129" spans="1:4" x14ac:dyDescent="0.2">
      <c r="A6129" t="str">
        <f>"6128"</f>
        <v>6128</v>
      </c>
      <c r="B6129" t="str">
        <f>"0.23"</f>
        <v>0.23</v>
      </c>
      <c r="C6129" t="str">
        <f>"49"</f>
        <v>49</v>
      </c>
      <c r="D6129" t="str">
        <f>"Postcards and Audio Letters"</f>
        <v>Postcards and Audio Letters</v>
      </c>
    </row>
    <row r="6130" spans="1:4" x14ac:dyDescent="0.2">
      <c r="A6130" t="str">
        <f>"6129"</f>
        <v>6129</v>
      </c>
      <c r="B6130" t="str">
        <f>"0.23"</f>
        <v>0.23</v>
      </c>
      <c r="C6130" t="str">
        <f>"117"</f>
        <v>117</v>
      </c>
      <c r="D6130" t="str">
        <f>"The Sophtware Slump"</f>
        <v>The Sophtware Slump</v>
      </c>
    </row>
    <row r="6131" spans="1:4" x14ac:dyDescent="0.2">
      <c r="A6131" t="str">
        <f>"6130"</f>
        <v>6130</v>
      </c>
      <c r="B6131" t="str">
        <f>"0.85"</f>
        <v>0.85</v>
      </c>
      <c r="C6131" t="str">
        <f>"55"</f>
        <v>55</v>
      </c>
      <c r="D6131" t="str">
        <f>"Melody of Certain Damaged Lemons"</f>
        <v>Melody of Certain Damaged Lemons</v>
      </c>
    </row>
    <row r="6132" spans="1:4" x14ac:dyDescent="0.2">
      <c r="A6132" t="str">
        <f>"6131"</f>
        <v>6131</v>
      </c>
      <c r="B6132" t="str">
        <f>"0.03"</f>
        <v>0.03</v>
      </c>
      <c r="C6132" t="str">
        <f>"62"</f>
        <v>62</v>
      </c>
      <c r="D6132" t="str">
        <f>"Elephant Shoe"</f>
        <v>Elephant Shoe</v>
      </c>
    </row>
    <row r="6133" spans="1:4" x14ac:dyDescent="0.2">
      <c r="A6133" t="str">
        <f>"6132"</f>
        <v>6132</v>
      </c>
      <c r="B6133" t="str">
        <f>"-0.27"</f>
        <v>-0.27</v>
      </c>
      <c r="C6133" t="str">
        <f>"54"</f>
        <v>54</v>
      </c>
      <c r="D6133" t="str">
        <f>"The Last Match"</f>
        <v>The Last Match</v>
      </c>
    </row>
    <row r="6134" spans="1:4" x14ac:dyDescent="0.2">
      <c r="A6134" t="str">
        <f>"6133"</f>
        <v>6133</v>
      </c>
      <c r="B6134" t="str">
        <f>"-0.51"</f>
        <v>-0.51</v>
      </c>
      <c r="C6134" t="str">
        <f>"58"</f>
        <v>58</v>
      </c>
      <c r="D6134" t="str">
        <f>"The Soccergirl EP"</f>
        <v>The Soccergirl EP</v>
      </c>
    </row>
    <row r="6135" spans="1:4" x14ac:dyDescent="0.2">
      <c r="A6135" t="str">
        <f>"6134"</f>
        <v>6134</v>
      </c>
      <c r="B6135" t="str">
        <f>"0.27"</f>
        <v>0.27</v>
      </c>
      <c r="C6135" t="str">
        <f>"81"</f>
        <v>81</v>
      </c>
      <c r="D6135" t="str">
        <f>"Shalabi Effect"</f>
        <v>Shalabi Effect</v>
      </c>
    </row>
    <row r="6136" spans="1:4" x14ac:dyDescent="0.2">
      <c r="A6136" t="str">
        <f>"6135"</f>
        <v>6135</v>
      </c>
      <c r="B6136" t="str">
        <f>"-0.1"</f>
        <v>-0.1</v>
      </c>
      <c r="C6136" t="str">
        <f>"114"</f>
        <v>114</v>
      </c>
      <c r="D6136" t="str">
        <f>"The Rising Tide"</f>
        <v>The Rising Tide</v>
      </c>
    </row>
    <row r="6137" spans="1:4" x14ac:dyDescent="0.2">
      <c r="A6137" t="str">
        <f>"6136"</f>
        <v>6136</v>
      </c>
      <c r="B6137" t="str">
        <f>"0.78"</f>
        <v>0.78</v>
      </c>
      <c r="C6137" t="str">
        <f>"63"</f>
        <v>63</v>
      </c>
      <c r="D6137" t="str">
        <f>"The Discovery of a World Inside the Moone"</f>
        <v>The Discovery of a World Inside the Moone</v>
      </c>
    </row>
    <row r="6138" spans="1:4" x14ac:dyDescent="0.2">
      <c r="A6138" t="str">
        <f>"6137"</f>
        <v>6137</v>
      </c>
      <c r="B6138" t="str">
        <f>"-0.28"</f>
        <v>-0.28</v>
      </c>
      <c r="C6138" t="str">
        <f>"103"</f>
        <v>103</v>
      </c>
      <c r="D6138" t="str">
        <f>"Svefn-G-Englar EP"</f>
        <v>Svefn-G-Englar EP</v>
      </c>
    </row>
    <row r="6139" spans="1:4" x14ac:dyDescent="0.2">
      <c r="A6139" t="str">
        <f>"6138"</f>
        <v>6138</v>
      </c>
      <c r="B6139" t="str">
        <f>"0.36"</f>
        <v>0.36</v>
      </c>
      <c r="C6139" t="str">
        <f>"49"</f>
        <v>49</v>
      </c>
      <c r="D6139" t="str">
        <f>"Quality Control"</f>
        <v>Quality Control</v>
      </c>
    </row>
    <row r="6140" spans="1:4" x14ac:dyDescent="0.2">
      <c r="A6140" t="str">
        <f>"6139"</f>
        <v>6139</v>
      </c>
      <c r="B6140" t="str">
        <f>"1.76"</f>
        <v>1.76</v>
      </c>
      <c r="C6140" t="str">
        <f>"24"</f>
        <v>24</v>
      </c>
      <c r="D6140" t="str">
        <f>"Myriad"</f>
        <v>Myriad</v>
      </c>
    </row>
    <row r="6141" spans="1:4" x14ac:dyDescent="0.2">
      <c r="A6141" t="str">
        <f>"6140"</f>
        <v>6140</v>
      </c>
      <c r="B6141" t="str">
        <f>"0.34"</f>
        <v>0.34</v>
      </c>
      <c r="C6141" t="str">
        <f>"151"</f>
        <v>151</v>
      </c>
      <c r="D6141" t="str">
        <f>"Horse and Elephant Eatery (No Elephants Allowed): The Singles and Songles Collection"</f>
        <v>Horse and Elephant Eatery (No Elephants Allowed): The Singles and Songles Collection</v>
      </c>
    </row>
    <row r="6142" spans="1:4" x14ac:dyDescent="0.2">
      <c r="A6142" t="str">
        <f>"6141"</f>
        <v>6141</v>
      </c>
      <c r="B6142" t="str">
        <f>"0.06"</f>
        <v>0.06</v>
      </c>
      <c r="C6142" t="str">
        <f>"58"</f>
        <v>58</v>
      </c>
      <c r="D6142" t="str">
        <f>"From The Vapor of Gasoline"</f>
        <v>From The Vapor of Gasoline</v>
      </c>
    </row>
    <row r="6143" spans="1:4" x14ac:dyDescent="0.2">
      <c r="A6143" t="str">
        <f>"6142"</f>
        <v>6142</v>
      </c>
      <c r="B6143" t="str">
        <f>"0.14"</f>
        <v>0.14</v>
      </c>
      <c r="C6143" t="str">
        <f>"87"</f>
        <v>87</v>
      </c>
      <c r="D6143" t="s">
        <v>228</v>
      </c>
    </row>
    <row r="6144" spans="1:4" x14ac:dyDescent="0.2">
      <c r="A6144" t="str">
        <f>"6143"</f>
        <v>6143</v>
      </c>
      <c r="B6144" t="str">
        <f>"0.63"</f>
        <v>0.63</v>
      </c>
      <c r="C6144" t="str">
        <f>"41"</f>
        <v>41</v>
      </c>
      <c r="D6144" t="str">
        <f>"Essex Green EP"</f>
        <v>Essex Green EP</v>
      </c>
    </row>
    <row r="6145" spans="1:4" x14ac:dyDescent="0.2">
      <c r="A6145" t="str">
        <f>"6144"</f>
        <v>6144</v>
      </c>
      <c r="B6145" t="str">
        <f>"0.2"</f>
        <v>0.2</v>
      </c>
      <c r="C6145" t="str">
        <f>"87"</f>
        <v>87</v>
      </c>
      <c r="D6145" t="str">
        <f>"Ecstasy"</f>
        <v>Ecstasy</v>
      </c>
    </row>
    <row r="6146" spans="1:4" x14ac:dyDescent="0.2">
      <c r="A6146" t="str">
        <f>"6145"</f>
        <v>6145</v>
      </c>
      <c r="B6146" t="str">
        <f>"-0.63"</f>
        <v>-0.63</v>
      </c>
      <c r="C6146" t="str">
        <f>"68"</f>
        <v>68</v>
      </c>
      <c r="D6146" t="str">
        <f>"Fevers and Mirrors"</f>
        <v>Fevers and Mirrors</v>
      </c>
    </row>
    <row r="6147" spans="1:4" x14ac:dyDescent="0.2">
      <c r="A6147" t="str">
        <f>"6146"</f>
        <v>6146</v>
      </c>
      <c r="B6147" t="str">
        <f>"0.05"</f>
        <v>0.05</v>
      </c>
      <c r="C6147" t="str">
        <f>"98"</f>
        <v>98</v>
      </c>
      <c r="D6147" t="str">
        <f>"...And the Coat and Hat"</f>
        <v>...And the Coat and Hat</v>
      </c>
    </row>
    <row r="6148" spans="1:4" x14ac:dyDescent="0.2">
      <c r="A6148" t="str">
        <f>"6147"</f>
        <v>6147</v>
      </c>
      <c r="B6148" t="str">
        <f>"0.69"</f>
        <v>0.69</v>
      </c>
      <c r="C6148" t="str">
        <f>"66"</f>
        <v>66</v>
      </c>
      <c r="D6148" t="str">
        <f>"Wishville"</f>
        <v>Wishville</v>
      </c>
    </row>
    <row r="6149" spans="1:4" x14ac:dyDescent="0.2">
      <c r="A6149" t="str">
        <f>"6148"</f>
        <v>6148</v>
      </c>
      <c r="B6149" t="str">
        <f>"-0.1"</f>
        <v>-0.1</v>
      </c>
      <c r="C6149" t="str">
        <f>"70"</f>
        <v>70</v>
      </c>
      <c r="D6149" t="str">
        <f>"Will Save Us All"</f>
        <v>Will Save Us All</v>
      </c>
    </row>
    <row r="6150" spans="1:4" x14ac:dyDescent="0.2">
      <c r="A6150" t="str">
        <f>"6149"</f>
        <v>6149</v>
      </c>
      <c r="B6150" t="str">
        <f>"0.31"</f>
        <v>0.31</v>
      </c>
      <c r="C6150" t="str">
        <f>"88"</f>
        <v>88</v>
      </c>
      <c r="D6150" t="str">
        <f>"Wasp Star: Apple Venus Vol. 2"</f>
        <v>Wasp Star: Apple Venus Vol. 2</v>
      </c>
    </row>
    <row r="6151" spans="1:4" x14ac:dyDescent="0.2">
      <c r="A6151" t="str">
        <f>"6150"</f>
        <v>6150</v>
      </c>
      <c r="B6151" t="str">
        <f>"0"</f>
        <v>0</v>
      </c>
      <c r="C6151" t="str">
        <f>"66"</f>
        <v>66</v>
      </c>
      <c r="D6151" t="str">
        <f>"Surrendered"</f>
        <v>Surrendered</v>
      </c>
    </row>
    <row r="6152" spans="1:4" x14ac:dyDescent="0.2">
      <c r="A6152" t="str">
        <f>"6151"</f>
        <v>6151</v>
      </c>
      <c r="B6152" t="str">
        <f>"-0.31"</f>
        <v>-0.31</v>
      </c>
      <c r="C6152" t="str">
        <f>"116"</f>
        <v>116</v>
      </c>
      <c r="D6152" t="str">
        <f>"Supermodified"</f>
        <v>Supermodified</v>
      </c>
    </row>
    <row r="6153" spans="1:4" x14ac:dyDescent="0.2">
      <c r="A6153" t="str">
        <f>"6152"</f>
        <v>6152</v>
      </c>
      <c r="B6153" t="str">
        <f>"0.18"</f>
        <v>0.18</v>
      </c>
      <c r="C6153" t="str">
        <f>"49"</f>
        <v>49</v>
      </c>
      <c r="D6153" t="str">
        <f>"Split EP"</f>
        <v>Split EP</v>
      </c>
    </row>
    <row r="6154" spans="1:4" x14ac:dyDescent="0.2">
      <c r="A6154" t="str">
        <f>"6153"</f>
        <v>6153</v>
      </c>
      <c r="B6154" t="str">
        <f>"0.2"</f>
        <v>0.2</v>
      </c>
      <c r="C6154" t="str">
        <f>"129"</f>
        <v>129</v>
      </c>
      <c r="D6154" t="s">
        <v>229</v>
      </c>
    </row>
    <row r="6155" spans="1:4" x14ac:dyDescent="0.2">
      <c r="A6155" t="str">
        <f>"6154"</f>
        <v>6154</v>
      </c>
      <c r="B6155" t="str">
        <f>"-0.09"</f>
        <v>-0.09</v>
      </c>
      <c r="C6155" t="str">
        <f>"56"</f>
        <v>56</v>
      </c>
      <c r="D6155" t="str">
        <f>"Excuses for Travellers"</f>
        <v>Excuses for Travellers</v>
      </c>
    </row>
    <row r="6156" spans="1:4" x14ac:dyDescent="0.2">
      <c r="A6156" t="str">
        <f>"6155"</f>
        <v>6155</v>
      </c>
      <c r="B6156" t="str">
        <f>"-0.18"</f>
        <v>-0.18</v>
      </c>
      <c r="C6156" t="str">
        <f>"43"</f>
        <v>43</v>
      </c>
      <c r="D6156" t="str">
        <f>"The Virgin Suicides"</f>
        <v>The Virgin Suicides</v>
      </c>
    </row>
    <row r="6157" spans="1:4" x14ac:dyDescent="0.2">
      <c r="A6157" t="str">
        <f>"6156"</f>
        <v>6156</v>
      </c>
      <c r="B6157" t="str">
        <f>"-0.31"</f>
        <v>-0.31</v>
      </c>
      <c r="C6157" t="str">
        <f>"101"</f>
        <v>101</v>
      </c>
      <c r="D6157" t="str">
        <f>"Tides"</f>
        <v>Tides</v>
      </c>
    </row>
    <row r="6158" spans="1:4" x14ac:dyDescent="0.2">
      <c r="A6158" t="str">
        <f>"6157"</f>
        <v>6157</v>
      </c>
      <c r="B6158" t="str">
        <f>"-0.21"</f>
        <v>-0.21</v>
      </c>
      <c r="C6158" t="str">
        <f>"91"</f>
        <v>91</v>
      </c>
      <c r="D6158" t="str">
        <f>"Volume One"</f>
        <v>Volume One</v>
      </c>
    </row>
    <row r="6159" spans="1:4" x14ac:dyDescent="0.2">
      <c r="A6159" t="str">
        <f>"6158"</f>
        <v>6158</v>
      </c>
      <c r="B6159" t="str">
        <f>"0.16"</f>
        <v>0.16</v>
      </c>
      <c r="C6159" t="str">
        <f>"110"</f>
        <v>110</v>
      </c>
      <c r="D6159" t="str">
        <f>"The Great Eastern"</f>
        <v>The Great Eastern</v>
      </c>
    </row>
    <row r="6160" spans="1:4" x14ac:dyDescent="0.2">
      <c r="A6160" t="str">
        <f>"6159"</f>
        <v>6159</v>
      </c>
      <c r="B6160" t="str">
        <f>"1.02"</f>
        <v>1.02</v>
      </c>
      <c r="C6160" t="str">
        <f>"52"</f>
        <v>52</v>
      </c>
      <c r="D6160" t="str">
        <f>"The Geometrid"</f>
        <v>The Geometrid</v>
      </c>
    </row>
    <row r="6161" spans="1:4" x14ac:dyDescent="0.2">
      <c r="A6161" t="str">
        <f>"6160"</f>
        <v>6160</v>
      </c>
      <c r="B6161" t="str">
        <f>"-0.57"</f>
        <v>-0.57</v>
      </c>
      <c r="C6161" t="str">
        <f>"74"</f>
        <v>74</v>
      </c>
      <c r="D6161" t="str">
        <f>"Survival Sickness"</f>
        <v>Survival Sickness</v>
      </c>
    </row>
    <row r="6162" spans="1:4" x14ac:dyDescent="0.2">
      <c r="A6162" t="str">
        <f>"6161"</f>
        <v>6161</v>
      </c>
      <c r="B6162" t="str">
        <f>"0.23"</f>
        <v>0.23</v>
      </c>
      <c r="C6162" t="str">
        <f>"71"</f>
        <v>71</v>
      </c>
      <c r="D6162" t="str">
        <f>"Oddities"</f>
        <v>Oddities</v>
      </c>
    </row>
    <row r="6163" spans="1:4" x14ac:dyDescent="0.2">
      <c r="A6163" t="str">
        <f>"6162"</f>
        <v>6162</v>
      </c>
      <c r="B6163" t="str">
        <f>"-1.43"</f>
        <v>-1.43</v>
      </c>
      <c r="C6163" t="str">
        <f>"91"</f>
        <v>91</v>
      </c>
      <c r="D6163" t="str">
        <f>"Nipples"</f>
        <v>Nipples</v>
      </c>
    </row>
    <row r="6164" spans="1:4" x14ac:dyDescent="0.2">
      <c r="A6164" t="str">
        <f>"6163"</f>
        <v>6163</v>
      </c>
      <c r="B6164" t="str">
        <f>"0.15"</f>
        <v>0.15</v>
      </c>
      <c r="C6164" t="str">
        <f>"73"</f>
        <v>73</v>
      </c>
      <c r="D6164" t="str">
        <f>"Mystery White Boy"</f>
        <v>Mystery White Boy</v>
      </c>
    </row>
    <row r="6165" spans="1:4" x14ac:dyDescent="0.2">
      <c r="A6165" t="str">
        <f>"6164"</f>
        <v>6164</v>
      </c>
      <c r="B6165" t="str">
        <f>"0.64"</f>
        <v>0.64</v>
      </c>
      <c r="C6165" t="str">
        <f>"86"</f>
        <v>86</v>
      </c>
      <c r="D6165" t="str">
        <f>"Hot Rail"</f>
        <v>Hot Rail</v>
      </c>
    </row>
    <row r="6166" spans="1:4" x14ac:dyDescent="0.2">
      <c r="A6166" t="str">
        <f>"6165"</f>
        <v>6165</v>
      </c>
      <c r="B6166" t="str">
        <f>"0.76"</f>
        <v>0.76</v>
      </c>
      <c r="C6166" t="str">
        <f>"60"</f>
        <v>60</v>
      </c>
      <c r="D6166" t="s">
        <v>230</v>
      </c>
    </row>
    <row r="6167" spans="1:4" x14ac:dyDescent="0.2">
      <c r="A6167" t="str">
        <f>"6166"</f>
        <v>6166</v>
      </c>
      <c r="B6167" t="str">
        <f>"-0.14"</f>
        <v>-0.14</v>
      </c>
      <c r="C6167" t="str">
        <f>"124"</f>
        <v>124</v>
      </c>
      <c r="D6167" t="str">
        <f>"100 Broken Windows"</f>
        <v>100 Broken Windows</v>
      </c>
    </row>
    <row r="6168" spans="1:4" x14ac:dyDescent="0.2">
      <c r="A6168" t="str">
        <f>"6167"</f>
        <v>6167</v>
      </c>
      <c r="B6168" t="str">
        <f>"-0.41"</f>
        <v>-0.41</v>
      </c>
      <c r="C6168" t="str">
        <f>"148"</f>
        <v>148</v>
      </c>
      <c r="D6168" t="str">
        <f>"Black Market Music"</f>
        <v>Black Market Music</v>
      </c>
    </row>
    <row r="6169" spans="1:4" x14ac:dyDescent="0.2">
      <c r="A6169" t="str">
        <f>"6168"</f>
        <v>6168</v>
      </c>
      <c r="B6169" t="str">
        <f>"-0.01"</f>
        <v>-0.01</v>
      </c>
      <c r="C6169" t="str">
        <f>"90"</f>
        <v>90</v>
      </c>
      <c r="D6169" t="str">
        <f>"Smile"</f>
        <v>Smile</v>
      </c>
    </row>
    <row r="6170" spans="1:4" x14ac:dyDescent="0.2">
      <c r="A6170" t="str">
        <f>"6169"</f>
        <v>6169</v>
      </c>
      <c r="B6170" t="str">
        <f>"-0.65"</f>
        <v>-0.65</v>
      </c>
      <c r="C6170" t="str">
        <f>"52"</f>
        <v>52</v>
      </c>
      <c r="D6170" t="str">
        <f>"You Can Always Get What You Want"</f>
        <v>You Can Always Get What You Want</v>
      </c>
    </row>
    <row r="6171" spans="1:4" x14ac:dyDescent="0.2">
      <c r="A6171" t="str">
        <f>"6170"</f>
        <v>6170</v>
      </c>
      <c r="B6171" t="str">
        <f>"-0.57"</f>
        <v>-0.57</v>
      </c>
      <c r="C6171" t="str">
        <f>"76"</f>
        <v>76</v>
      </c>
      <c r="D6171" t="str">
        <f>"Synesthesia"</f>
        <v>Synesthesia</v>
      </c>
    </row>
    <row r="6172" spans="1:4" x14ac:dyDescent="0.2">
      <c r="A6172" t="str">
        <f>"6171"</f>
        <v>6171</v>
      </c>
      <c r="B6172" t="str">
        <f>"0.37"</f>
        <v>0.37</v>
      </c>
      <c r="C6172" t="str">
        <f>"139"</f>
        <v>139</v>
      </c>
      <c r="D6172" t="str">
        <f>"Internal Wrangler"</f>
        <v>Internal Wrangler</v>
      </c>
    </row>
    <row r="6173" spans="1:4" x14ac:dyDescent="0.2">
      <c r="A6173" t="str">
        <f>"6172"</f>
        <v>6172</v>
      </c>
      <c r="B6173" t="str">
        <f>"-0.28"</f>
        <v>-0.28</v>
      </c>
      <c r="C6173" t="str">
        <f>"99"</f>
        <v>99</v>
      </c>
      <c r="D6173" t="str">
        <f>"The Facts of Life"</f>
        <v>The Facts of Life</v>
      </c>
    </row>
    <row r="6174" spans="1:4" x14ac:dyDescent="0.2">
      <c r="A6174" t="str">
        <f>"6173"</f>
        <v>6173</v>
      </c>
      <c r="B6174" t="str">
        <f>"-0.98"</f>
        <v>-0.98</v>
      </c>
      <c r="C6174" t="str">
        <f>"99"</f>
        <v>99</v>
      </c>
      <c r="D6174" t="str">
        <f>"XTRMNTR"</f>
        <v>XTRMNTR</v>
      </c>
    </row>
    <row r="6175" spans="1:4" x14ac:dyDescent="0.2">
      <c r="A6175" t="str">
        <f>"6174"</f>
        <v>6174</v>
      </c>
      <c r="B6175" t="str">
        <f>"-0.07"</f>
        <v>-0.07</v>
      </c>
      <c r="C6175" t="str">
        <f>"61"</f>
        <v>61</v>
      </c>
      <c r="D6175" t="str">
        <f>"White Pepper"</f>
        <v>White Pepper</v>
      </c>
    </row>
    <row r="6176" spans="1:4" x14ac:dyDescent="0.2">
      <c r="A6176" t="str">
        <f>"6175"</f>
        <v>6175</v>
      </c>
      <c r="B6176" t="str">
        <f>"-0.07"</f>
        <v>-0.07</v>
      </c>
      <c r="C6176" t="str">
        <f>"17"</f>
        <v>17</v>
      </c>
      <c r="D6176" t="str">
        <f>"The Quick and the Dead"</f>
        <v>The Quick and the Dead</v>
      </c>
    </row>
    <row r="6177" spans="1:4" x14ac:dyDescent="0.2">
      <c r="A6177" t="str">
        <f>"6176"</f>
        <v>6176</v>
      </c>
      <c r="B6177" t="str">
        <f>"-0.48"</f>
        <v>-0.48</v>
      </c>
      <c r="C6177" t="str">
        <f>"78"</f>
        <v>78</v>
      </c>
      <c r="D6177" t="str">
        <f>"The Proximity Effect"</f>
        <v>The Proximity Effect</v>
      </c>
    </row>
    <row r="6178" spans="1:4" x14ac:dyDescent="0.2">
      <c r="A6178" t="str">
        <f>"6177"</f>
        <v>6177</v>
      </c>
      <c r="B6178" t="str">
        <f>"0.75"</f>
        <v>0.75</v>
      </c>
      <c r="C6178" t="str">
        <f>"112"</f>
        <v>112</v>
      </c>
      <c r="D6178" t="str">
        <f>"Summer Winners/Summer Losers"</f>
        <v>Summer Winners/Summer Losers</v>
      </c>
    </row>
    <row r="6179" spans="1:4" x14ac:dyDescent="0.2">
      <c r="A6179" t="str">
        <f>"6178"</f>
        <v>6178</v>
      </c>
      <c r="B6179" t="str">
        <f>"-0.52"</f>
        <v>-0.52</v>
      </c>
      <c r="C6179" t="str">
        <f>"110"</f>
        <v>110</v>
      </c>
      <c r="D6179" t="str">
        <f>"Stray Blues: A Collection of B-Sides"</f>
        <v>Stray Blues: A Collection of B-Sides</v>
      </c>
    </row>
    <row r="6180" spans="1:4" x14ac:dyDescent="0.2">
      <c r="A6180" t="str">
        <f>"6179"</f>
        <v>6179</v>
      </c>
      <c r="B6180" t="str">
        <f>"-0.72"</f>
        <v>-0.72</v>
      </c>
      <c r="C6180" t="str">
        <f>"117"</f>
        <v>117</v>
      </c>
      <c r="D6180" t="str">
        <f>"NYC Ghosts &amp; Flowers"</f>
        <v>NYC Ghosts &amp; Flowers</v>
      </c>
    </row>
    <row r="6181" spans="1:4" x14ac:dyDescent="0.2">
      <c r="A6181" t="str">
        <f>"6180"</f>
        <v>6180</v>
      </c>
      <c r="B6181" t="str">
        <f>"-0.28"</f>
        <v>-0.28</v>
      </c>
      <c r="C6181" t="str">
        <f>"97"</f>
        <v>97</v>
      </c>
      <c r="D6181" t="str">
        <f>"It's Very Stimulating EP"</f>
        <v>It's Very Stimulating EP</v>
      </c>
    </row>
    <row r="6182" spans="1:4" x14ac:dyDescent="0.2">
      <c r="A6182" t="str">
        <f>"6181"</f>
        <v>6181</v>
      </c>
      <c r="B6182" t="str">
        <f>"-0.66"</f>
        <v>-0.66</v>
      </c>
      <c r="C6182" t="str">
        <f>"37"</f>
        <v>37</v>
      </c>
      <c r="D6182" t="s">
        <v>231</v>
      </c>
    </row>
    <row r="6183" spans="1:4" x14ac:dyDescent="0.2">
      <c r="A6183" t="str">
        <f>"6182"</f>
        <v>6182</v>
      </c>
      <c r="B6183" t="str">
        <f>"-0.46"</f>
        <v>-0.46</v>
      </c>
      <c r="C6183" t="str">
        <f>"52"</f>
        <v>52</v>
      </c>
      <c r="D6183" t="str">
        <f>"In Session"</f>
        <v>In Session</v>
      </c>
    </row>
    <row r="6184" spans="1:4" x14ac:dyDescent="0.2">
      <c r="A6184" t="str">
        <f>"6183"</f>
        <v>6183</v>
      </c>
      <c r="B6184" t="str">
        <f>"1.13"</f>
        <v>1.13</v>
      </c>
      <c r="C6184" t="str">
        <f>"56"</f>
        <v>56</v>
      </c>
      <c r="D6184" t="s">
        <v>232</v>
      </c>
    </row>
    <row r="6185" spans="1:4" x14ac:dyDescent="0.2">
      <c r="A6185" t="str">
        <f>"6184"</f>
        <v>6184</v>
      </c>
      <c r="B6185" t="str">
        <f>"-0.98"</f>
        <v>-0.98</v>
      </c>
      <c r="C6185" t="str">
        <f>"85"</f>
        <v>85</v>
      </c>
      <c r="D6185" t="str">
        <f>"Electric Pink EP"</f>
        <v>Electric Pink EP</v>
      </c>
    </row>
    <row r="6186" spans="1:4" x14ac:dyDescent="0.2">
      <c r="A6186" t="str">
        <f>"6185"</f>
        <v>6185</v>
      </c>
      <c r="B6186" t="str">
        <f>"-0.17"</f>
        <v>-0.17</v>
      </c>
      <c r="C6186" t="str">
        <f>"59"</f>
        <v>59</v>
      </c>
      <c r="D6186" t="str">
        <f>"Automatic Midnight"</f>
        <v>Automatic Midnight</v>
      </c>
    </row>
    <row r="6187" spans="1:4" x14ac:dyDescent="0.2">
      <c r="A6187" t="str">
        <f>"6186"</f>
        <v>6186</v>
      </c>
      <c r="B6187" t="str">
        <f>"-0.36"</f>
        <v>-0.36</v>
      </c>
      <c r="C6187" t="str">
        <f>"67"</f>
        <v>67</v>
      </c>
      <c r="D6187" t="str">
        <f>"All Hands on the Bad One"</f>
        <v>All Hands on the Bad One</v>
      </c>
    </row>
    <row r="6188" spans="1:4" x14ac:dyDescent="0.2">
      <c r="A6188" t="str">
        <f>"6187"</f>
        <v>6187</v>
      </c>
      <c r="B6188" t="str">
        <f>"-0.45"</f>
        <v>-0.45</v>
      </c>
      <c r="C6188" t="str">
        <f>"56"</f>
        <v>56</v>
      </c>
      <c r="D6188" t="str">
        <f>"Making Paper"</f>
        <v>Making Paper</v>
      </c>
    </row>
    <row r="6189" spans="1:4" x14ac:dyDescent="0.2">
      <c r="A6189" t="str">
        <f>"6188"</f>
        <v>6188</v>
      </c>
      <c r="B6189" t="str">
        <f>"0.16"</f>
        <v>0.16</v>
      </c>
      <c r="C6189" t="str">
        <f>"74"</f>
        <v>74</v>
      </c>
      <c r="D6189" t="str">
        <f>"MACHINA II/The Friends and Enemies of Modern Music"</f>
        <v>MACHINA II/The Friends and Enemies of Modern Music</v>
      </c>
    </row>
    <row r="6190" spans="1:4" x14ac:dyDescent="0.2">
      <c r="A6190" t="str">
        <f>"6189"</f>
        <v>6189</v>
      </c>
      <c r="B6190" t="str">
        <f>"-0.51"</f>
        <v>-0.51</v>
      </c>
      <c r="C6190" t="str">
        <f>"111"</f>
        <v>111</v>
      </c>
      <c r="D6190" t="str">
        <f>"Living in the Flood"</f>
        <v>Living in the Flood</v>
      </c>
    </row>
    <row r="6191" spans="1:4" x14ac:dyDescent="0.2">
      <c r="A6191" t="str">
        <f>"6190"</f>
        <v>6190</v>
      </c>
      <c r="B6191" t="str">
        <f>"0.59"</f>
        <v>0.59</v>
      </c>
      <c r="C6191" t="str">
        <f>"107"</f>
        <v>107</v>
      </c>
      <c r="D6191" t="str">
        <f>"Hold on Hope EP"</f>
        <v>Hold on Hope EP</v>
      </c>
    </row>
    <row r="6192" spans="1:4" x14ac:dyDescent="0.2">
      <c r="A6192" t="str">
        <f>"6191"</f>
        <v>6191</v>
      </c>
      <c r="B6192" t="str">
        <f>"-0.71"</f>
        <v>-0.71</v>
      </c>
      <c r="C6192" t="str">
        <f>"86"</f>
        <v>86</v>
      </c>
      <c r="D6192" t="str">
        <f>"He Has Left Us Alone but Shafts of Light Sometimes Grace the Corners of Our Rooms"</f>
        <v>He Has Left Us Alone but Shafts of Light Sometimes Grace the Corners of Our Rooms</v>
      </c>
    </row>
    <row r="6193" spans="1:4" x14ac:dyDescent="0.2">
      <c r="A6193" t="str">
        <f>"6192"</f>
        <v>6192</v>
      </c>
      <c r="B6193" t="str">
        <f>"0.86"</f>
        <v>0.86</v>
      </c>
      <c r="C6193" t="str">
        <f>"18"</f>
        <v>18</v>
      </c>
      <c r="D6193" t="str">
        <f>"Animals"</f>
        <v>Animals</v>
      </c>
    </row>
    <row r="6194" spans="1:4" x14ac:dyDescent="0.2">
      <c r="A6194" t="str">
        <f>"6193"</f>
        <v>6193</v>
      </c>
      <c r="B6194" t="str">
        <f>"0.14"</f>
        <v>0.14</v>
      </c>
      <c r="C6194" t="str">
        <f>"101"</f>
        <v>101</v>
      </c>
      <c r="D6194" t="str">
        <f>"Bedhead Loved Macha EP"</f>
        <v>Bedhead Loved Macha EP</v>
      </c>
    </row>
    <row r="6195" spans="1:4" x14ac:dyDescent="0.2">
      <c r="A6195" t="str">
        <f>"6194"</f>
        <v>6194</v>
      </c>
      <c r="B6195" t="str">
        <f>"-0.16"</f>
        <v>-0.16</v>
      </c>
      <c r="C6195" t="str">
        <f>"70"</f>
        <v>70</v>
      </c>
      <c r="D6195" t="str">
        <f>"Rock Star God"</f>
        <v>Rock Star God</v>
      </c>
    </row>
    <row r="6196" spans="1:4" x14ac:dyDescent="0.2">
      <c r="A6196" t="str">
        <f>"6195"</f>
        <v>6195</v>
      </c>
      <c r="B6196" t="str">
        <f>"0.32"</f>
        <v>0.32</v>
      </c>
      <c r="C6196" t="str">
        <f>"45"</f>
        <v>45</v>
      </c>
      <c r="D6196" t="str">
        <f>"Pastoral Composure"</f>
        <v>Pastoral Composure</v>
      </c>
    </row>
    <row r="6197" spans="1:4" x14ac:dyDescent="0.2">
      <c r="A6197" t="str">
        <f>"6196"</f>
        <v>6196</v>
      </c>
      <c r="B6197" t="str">
        <f>"0.09"</f>
        <v>0.09</v>
      </c>
      <c r="C6197" t="str">
        <f>"61"</f>
        <v>61</v>
      </c>
      <c r="D6197" t="str">
        <f>"Live"</f>
        <v>Live</v>
      </c>
    </row>
    <row r="6198" spans="1:4" x14ac:dyDescent="0.2">
      <c r="A6198" t="str">
        <f>"6197"</f>
        <v>6197</v>
      </c>
      <c r="B6198" t="str">
        <f>"0.18"</f>
        <v>0.18</v>
      </c>
      <c r="C6198" t="str">
        <f>"66"</f>
        <v>66</v>
      </c>
      <c r="D6198" t="str">
        <f>"Good Looking Blues"</f>
        <v>Good Looking Blues</v>
      </c>
    </row>
    <row r="6199" spans="1:4" x14ac:dyDescent="0.2">
      <c r="A6199" t="str">
        <f>"6198"</f>
        <v>6198</v>
      </c>
      <c r="B6199" t="str">
        <f>"-0.54"</f>
        <v>-0.54</v>
      </c>
      <c r="C6199" t="str">
        <f>"95"</f>
        <v>95</v>
      </c>
      <c r="D6199" t="str">
        <f>"Alive Before the Iceberg"</f>
        <v>Alive Before the Iceberg</v>
      </c>
    </row>
    <row r="6200" spans="1:4" x14ac:dyDescent="0.2">
      <c r="A6200" t="str">
        <f>"6199"</f>
        <v>6199</v>
      </c>
      <c r="B6200" t="str">
        <f>"-0.34"</f>
        <v>-0.34</v>
      </c>
      <c r="C6200" t="str">
        <f>"118"</f>
        <v>118</v>
      </c>
      <c r="D6200" t="str">
        <f>"The Embassy Tapes"</f>
        <v>The Embassy Tapes</v>
      </c>
    </row>
    <row r="6201" spans="1:4" x14ac:dyDescent="0.2">
      <c r="A6201" t="str">
        <f>"6200"</f>
        <v>6200</v>
      </c>
      <c r="B6201" t="str">
        <f>"-0.78"</f>
        <v>-0.78</v>
      </c>
      <c r="C6201" t="str">
        <f>"55"</f>
        <v>55</v>
      </c>
      <c r="D6201" t="str">
        <f>"Vagabond Ways"</f>
        <v>Vagabond Ways</v>
      </c>
    </row>
    <row r="6202" spans="1:4" x14ac:dyDescent="0.2">
      <c r="A6202" t="str">
        <f>"6201"</f>
        <v>6201</v>
      </c>
      <c r="B6202" t="str">
        <f>"-0.48"</f>
        <v>-0.48</v>
      </c>
      <c r="C6202" t="str">
        <f>"86"</f>
        <v>86</v>
      </c>
      <c r="D6202" t="str">
        <f>"Come to Where I'm From"</f>
        <v>Come to Where I'm From</v>
      </c>
    </row>
    <row r="6203" spans="1:4" x14ac:dyDescent="0.2">
      <c r="A6203" t="str">
        <f>"6202"</f>
        <v>6202</v>
      </c>
      <c r="B6203" t="str">
        <f>"0.46"</f>
        <v>0.46</v>
      </c>
      <c r="C6203" t="str">
        <f>"42"</f>
        <v>42</v>
      </c>
      <c r="D6203" t="str">
        <f>"The Imp Years EP"</f>
        <v>The Imp Years EP</v>
      </c>
    </row>
    <row r="6204" spans="1:4" x14ac:dyDescent="0.2">
      <c r="A6204" t="str">
        <f>"6203"</f>
        <v>6203</v>
      </c>
      <c r="B6204" t="str">
        <f>"-0.16"</f>
        <v>-0.16</v>
      </c>
      <c r="C6204" t="str">
        <f>"59"</f>
        <v>59</v>
      </c>
      <c r="D6204" t="str">
        <f>"Golden Greats"</f>
        <v>Golden Greats</v>
      </c>
    </row>
    <row r="6205" spans="1:4" x14ac:dyDescent="0.2">
      <c r="A6205" t="str">
        <f>"6204"</f>
        <v>6204</v>
      </c>
      <c r="B6205" t="str">
        <f>"-0.89"</f>
        <v>-0.89</v>
      </c>
      <c r="C6205" t="str">
        <f>"53"</f>
        <v>53</v>
      </c>
      <c r="D6205" t="str">
        <f>"The Man Who"</f>
        <v>The Man Who</v>
      </c>
    </row>
    <row r="6206" spans="1:4" x14ac:dyDescent="0.2">
      <c r="A6206" t="str">
        <f>"6205"</f>
        <v>6205</v>
      </c>
      <c r="B6206" t="str">
        <f>"-0.84"</f>
        <v>-0.84</v>
      </c>
      <c r="C6206" t="str">
        <f>"50"</f>
        <v>50</v>
      </c>
      <c r="D6206" t="str">
        <f>"The For Carnation"</f>
        <v>The For Carnation</v>
      </c>
    </row>
    <row r="6207" spans="1:4" x14ac:dyDescent="0.2">
      <c r="A6207" t="str">
        <f>"6206"</f>
        <v>6206</v>
      </c>
      <c r="B6207" t="str">
        <f>"0.05"</f>
        <v>0.05</v>
      </c>
      <c r="C6207" t="str">
        <f>"84"</f>
        <v>84</v>
      </c>
      <c r="D6207" t="str">
        <f>"Pop"</f>
        <v>Pop</v>
      </c>
    </row>
    <row r="6208" spans="1:4" x14ac:dyDescent="0.2">
      <c r="A6208" t="str">
        <f>"6207"</f>
        <v>6207</v>
      </c>
      <c r="B6208" t="str">
        <f>"-0.73"</f>
        <v>-0.73</v>
      </c>
      <c r="C6208" t="str">
        <f>"106"</f>
        <v>106</v>
      </c>
      <c r="D6208" t="str">
        <f>"La Sirena de Pecera"</f>
        <v>La Sirena de Pecera</v>
      </c>
    </row>
    <row r="6209" spans="1:4" x14ac:dyDescent="0.2">
      <c r="A6209" t="str">
        <f>"6208"</f>
        <v>6208</v>
      </c>
      <c r="B6209" t="str">
        <f>"0.76"</f>
        <v>0.76</v>
      </c>
      <c r="C6209" t="str">
        <f>"56"</f>
        <v>56</v>
      </c>
      <c r="D6209" t="str">
        <f>"Journey Inwards"</f>
        <v>Journey Inwards</v>
      </c>
    </row>
    <row r="6210" spans="1:4" x14ac:dyDescent="0.2">
      <c r="A6210" t="str">
        <f>"6209"</f>
        <v>6209</v>
      </c>
      <c r="B6210" t="str">
        <f>"0.32"</f>
        <v>0.32</v>
      </c>
      <c r="C6210" t="str">
        <f>"54"</f>
        <v>54</v>
      </c>
      <c r="D6210" t="s">
        <v>233</v>
      </c>
    </row>
    <row r="6211" spans="1:4" x14ac:dyDescent="0.2">
      <c r="A6211" t="str">
        <f>"6210"</f>
        <v>6210</v>
      </c>
      <c r="B6211" t="str">
        <f>"0.29"</f>
        <v>0.29</v>
      </c>
      <c r="C6211" t="str">
        <f>"48"</f>
        <v>48</v>
      </c>
      <c r="D6211" t="str">
        <f>"We Have the Facts and We're Voting Yes"</f>
        <v>We Have the Facts and We're Voting Yes</v>
      </c>
    </row>
    <row r="6212" spans="1:4" x14ac:dyDescent="0.2">
      <c r="A6212" t="str">
        <f>"6211"</f>
        <v>6211</v>
      </c>
      <c r="B6212" t="str">
        <f>"-0.06"</f>
        <v>-0.06</v>
      </c>
      <c r="C6212" t="str">
        <f>"67"</f>
        <v>67</v>
      </c>
      <c r="D6212" t="str">
        <f>"The Noise Made by People"</f>
        <v>The Noise Made by People</v>
      </c>
    </row>
    <row r="6213" spans="1:4" x14ac:dyDescent="0.2">
      <c r="A6213" t="str">
        <f>"6212"</f>
        <v>6212</v>
      </c>
      <c r="B6213" t="str">
        <f>"-0.41"</f>
        <v>-0.41</v>
      </c>
      <c r="C6213" t="str">
        <f>"66"</f>
        <v>66</v>
      </c>
      <c r="D6213" t="str">
        <f>"The Covers Record"</f>
        <v>The Covers Record</v>
      </c>
    </row>
    <row r="6214" spans="1:4" x14ac:dyDescent="0.2">
      <c r="A6214" t="str">
        <f>"6213"</f>
        <v>6213</v>
      </c>
      <c r="B6214" t="str">
        <f>"-0.26"</f>
        <v>-0.26</v>
      </c>
      <c r="C6214" t="str">
        <f>"42"</f>
        <v>42</v>
      </c>
      <c r="D6214" t="str">
        <f>"Rainbows and Robots"</f>
        <v>Rainbows and Robots</v>
      </c>
    </row>
    <row r="6215" spans="1:4" x14ac:dyDescent="0.2">
      <c r="A6215" t="str">
        <f>"6214"</f>
        <v>6214</v>
      </c>
      <c r="B6215" t="str">
        <f>"0.84"</f>
        <v>0.84</v>
      </c>
      <c r="C6215" t="str">
        <f>"71"</f>
        <v>71</v>
      </c>
      <c r="D6215" t="str">
        <f>"Permutation"</f>
        <v>Permutation</v>
      </c>
    </row>
    <row r="6216" spans="1:4" x14ac:dyDescent="0.2">
      <c r="A6216" t="str">
        <f>"6215"</f>
        <v>6215</v>
      </c>
      <c r="B6216" t="str">
        <f>"0.47"</f>
        <v>0.47</v>
      </c>
      <c r="C6216" t="str">
        <f>"50"</f>
        <v>50</v>
      </c>
      <c r="D6216" t="str">
        <f>"One More Reason to Forget"</f>
        <v>One More Reason to Forget</v>
      </c>
    </row>
    <row r="6217" spans="1:4" x14ac:dyDescent="0.2">
      <c r="A6217" t="str">
        <f>"6216"</f>
        <v>6216</v>
      </c>
      <c r="B6217" t="str">
        <f>"0.09"</f>
        <v>0.09</v>
      </c>
      <c r="C6217" t="str">
        <f>"91"</f>
        <v>91</v>
      </c>
      <c r="D6217" t="str">
        <f>"Figure 8"</f>
        <v>Figure 8</v>
      </c>
    </row>
    <row r="6218" spans="1:4" x14ac:dyDescent="0.2">
      <c r="A6218" t="str">
        <f>"6217"</f>
        <v>6217</v>
      </c>
      <c r="B6218" t="str">
        <f>"-0.17"</f>
        <v>-0.17</v>
      </c>
      <c r="C6218" t="str">
        <f>"79"</f>
        <v>79</v>
      </c>
      <c r="D6218" t="str">
        <f>"Dongs of Sevotion"</f>
        <v>Dongs of Sevotion</v>
      </c>
    </row>
    <row r="6219" spans="1:4" x14ac:dyDescent="0.2">
      <c r="A6219" t="str">
        <f>"6218"</f>
        <v>6218</v>
      </c>
      <c r="B6219" t="str">
        <f>"-0.98"</f>
        <v>-0.98</v>
      </c>
      <c r="C6219" t="str">
        <f>"67"</f>
        <v>67</v>
      </c>
      <c r="D6219" t="str">
        <f>"Distorted Ghost EP"</f>
        <v>Distorted Ghost EP</v>
      </c>
    </row>
    <row r="6220" spans="1:4" x14ac:dyDescent="0.2">
      <c r="A6220" t="str">
        <f>"6219"</f>
        <v>6219</v>
      </c>
      <c r="B6220" t="str">
        <f>"-0.61"</f>
        <v>-0.61</v>
      </c>
      <c r="C6220" t="str">
        <f>"70"</f>
        <v>70</v>
      </c>
      <c r="D6220" t="str">
        <f>"We're All in This Alone"</f>
        <v>We're All in This Alone</v>
      </c>
    </row>
    <row r="6221" spans="1:4" x14ac:dyDescent="0.2">
      <c r="A6221" t="str">
        <f>"6220"</f>
        <v>6220</v>
      </c>
      <c r="B6221" t="str">
        <f>"0.18"</f>
        <v>0.18</v>
      </c>
      <c r="C6221" t="str">
        <f>"102"</f>
        <v>102</v>
      </c>
      <c r="D6221" t="str">
        <f>"On the Floor at the Boutique"</f>
        <v>On the Floor at the Boutique</v>
      </c>
    </row>
    <row r="6222" spans="1:4" x14ac:dyDescent="0.2">
      <c r="A6222" t="str">
        <f>"6221"</f>
        <v>6221</v>
      </c>
      <c r="B6222" t="str">
        <f>"-0.71"</f>
        <v>-0.71</v>
      </c>
      <c r="C6222" t="str">
        <f>"75"</f>
        <v>75</v>
      </c>
      <c r="D6222" t="s">
        <v>234</v>
      </c>
    </row>
    <row r="6223" spans="1:4" x14ac:dyDescent="0.2">
      <c r="A6223" t="str">
        <f>"6222"</f>
        <v>6222</v>
      </c>
      <c r="B6223" t="str">
        <f>"-0.22"</f>
        <v>-0.22</v>
      </c>
      <c r="C6223" t="str">
        <f>"79"</f>
        <v>79</v>
      </c>
      <c r="D6223" t="str">
        <f>"Like Water for Chocolate"</f>
        <v>Like Water for Chocolate</v>
      </c>
    </row>
    <row r="6224" spans="1:4" x14ac:dyDescent="0.2">
      <c r="A6224" t="str">
        <f>"6223"</f>
        <v>6223</v>
      </c>
      <c r="B6224" t="str">
        <f>"-0.81"</f>
        <v>-0.81</v>
      </c>
      <c r="C6224" t="str">
        <f>"45"</f>
        <v>45</v>
      </c>
      <c r="D6224" t="str">
        <f>"Like Someone In Love EP"</f>
        <v>Like Someone In Love EP</v>
      </c>
    </row>
    <row r="6225" spans="1:4" x14ac:dyDescent="0.2">
      <c r="A6225" t="str">
        <f>"6224"</f>
        <v>6224</v>
      </c>
      <c r="B6225" t="str">
        <f>"-0.37"</f>
        <v>-0.37</v>
      </c>
      <c r="C6225" t="str">
        <f>"96"</f>
        <v>96</v>
      </c>
      <c r="D6225" t="str">
        <f>"High Fidelity OST"</f>
        <v>High Fidelity OST</v>
      </c>
    </row>
    <row r="6226" spans="1:4" x14ac:dyDescent="0.2">
      <c r="A6226" t="str">
        <f>"6225"</f>
        <v>6225</v>
      </c>
      <c r="B6226" t="str">
        <f>"-0.67"</f>
        <v>-0.67</v>
      </c>
      <c r="C6226" t="str">
        <f>"43"</f>
        <v>43</v>
      </c>
      <c r="D6226" t="str">
        <f>"Goodbye Enemy Airship the Landlord is Dead"</f>
        <v>Goodbye Enemy Airship the Landlord is Dead</v>
      </c>
    </row>
    <row r="6227" spans="1:4" x14ac:dyDescent="0.2">
      <c r="A6227" t="str">
        <f>"6226"</f>
        <v>6226</v>
      </c>
      <c r="B6227" t="str">
        <f>"0.47"</f>
        <v>0.47</v>
      </c>
      <c r="C6227" t="str">
        <f>"51"</f>
        <v>51</v>
      </c>
      <c r="D6227" t="str">
        <f>"Treader"</f>
        <v>Treader</v>
      </c>
    </row>
    <row r="6228" spans="1:4" x14ac:dyDescent="0.2">
      <c r="A6228" t="str">
        <f>"6227"</f>
        <v>6227</v>
      </c>
      <c r="B6228" t="str">
        <f>"0.01"</f>
        <v>0.01</v>
      </c>
      <c r="C6228" t="str">
        <f>"66"</f>
        <v>66</v>
      </c>
      <c r="D6228" t="str">
        <f>"The Death of Quickspace"</f>
        <v>The Death of Quickspace</v>
      </c>
    </row>
    <row r="6229" spans="1:4" x14ac:dyDescent="0.2">
      <c r="A6229" t="str">
        <f>"6228"</f>
        <v>6228</v>
      </c>
      <c r="B6229" t="str">
        <f>"-0.84"</f>
        <v>-0.84</v>
      </c>
      <c r="C6229" t="str">
        <f>"50"</f>
        <v>50</v>
      </c>
      <c r="D6229" t="str">
        <f>"The Closer You Get"</f>
        <v>The Closer You Get</v>
      </c>
    </row>
    <row r="6230" spans="1:4" x14ac:dyDescent="0.2">
      <c r="A6230" t="str">
        <f>"6229"</f>
        <v>6229</v>
      </c>
      <c r="B6230" t="str">
        <f>"-0.48"</f>
        <v>-0.48</v>
      </c>
      <c r="C6230" t="str">
        <f>"111"</f>
        <v>111</v>
      </c>
      <c r="D6230" t="str">
        <f>"Gung Ho"</f>
        <v>Gung Ho</v>
      </c>
    </row>
    <row r="6231" spans="1:4" x14ac:dyDescent="0.2">
      <c r="A6231" t="str">
        <f>"6230"</f>
        <v>6230</v>
      </c>
      <c r="B6231" t="str">
        <f>"-0.36"</f>
        <v>-0.36</v>
      </c>
      <c r="C6231" t="str">
        <f>"34"</f>
        <v>34</v>
      </c>
      <c r="D6231" t="str">
        <f>"Expensive Shit/He Miss Road"</f>
        <v>Expensive Shit/He Miss Road</v>
      </c>
    </row>
    <row r="6232" spans="1:4" x14ac:dyDescent="0.2">
      <c r="A6232" t="str">
        <f>"6231"</f>
        <v>6231</v>
      </c>
      <c r="B6232" t="str">
        <f>"-0.13"</f>
        <v>-0.13</v>
      </c>
      <c r="C6232" t="str">
        <f>"82"</f>
        <v>82</v>
      </c>
      <c r="D6232" t="str">
        <f>"Dream All Day: The Best of..."</f>
        <v>Dream All Day: The Best of...</v>
      </c>
    </row>
    <row r="6233" spans="1:4" x14ac:dyDescent="0.2">
      <c r="A6233" t="str">
        <f>"6232"</f>
        <v>6232</v>
      </c>
      <c r="B6233" t="str">
        <f>"0.7"</f>
        <v>0.7</v>
      </c>
      <c r="C6233" t="str">
        <f>"65"</f>
        <v>65</v>
      </c>
      <c r="D6233" t="str">
        <f>"Beachwood Sparks"</f>
        <v>Beachwood Sparks</v>
      </c>
    </row>
    <row r="6234" spans="1:4" x14ac:dyDescent="0.2">
      <c r="A6234" t="str">
        <f>"6233"</f>
        <v>6233</v>
      </c>
      <c r="B6234" t="str">
        <f>"-0.5"</f>
        <v>-0.5</v>
      </c>
      <c r="C6234" t="str">
        <f>"75"</f>
        <v>75</v>
      </c>
      <c r="D6234" t="str">
        <f>"Community Music"</f>
        <v>Community Music</v>
      </c>
    </row>
    <row r="6235" spans="1:4" x14ac:dyDescent="0.2">
      <c r="A6235" t="str">
        <f>"6234"</f>
        <v>6234</v>
      </c>
      <c r="B6235" t="str">
        <f>"0.19"</f>
        <v>0.19</v>
      </c>
      <c r="C6235" t="str">
        <f>"16"</f>
        <v>16</v>
      </c>
      <c r="D6235" t="str">
        <f>"Califone EP"</f>
        <v>Califone EP</v>
      </c>
    </row>
    <row r="6236" spans="1:4" x14ac:dyDescent="0.2">
      <c r="A6236" t="str">
        <f>"6235"</f>
        <v>6235</v>
      </c>
      <c r="B6236" t="str">
        <f>"-0.78"</f>
        <v>-0.78</v>
      </c>
      <c r="C6236" t="str">
        <f>"44"</f>
        <v>44</v>
      </c>
      <c r="D6236" t="str">
        <f>"One on One"</f>
        <v>One on One</v>
      </c>
    </row>
    <row r="6237" spans="1:4" x14ac:dyDescent="0.2">
      <c r="A6237" t="str">
        <f>"6236"</f>
        <v>6236</v>
      </c>
      <c r="B6237" t="str">
        <f>"-0.04"</f>
        <v>-0.04</v>
      </c>
      <c r="C6237" t="str">
        <f>"110"</f>
        <v>110</v>
      </c>
      <c r="D6237" t="str">
        <f>"My Solo Project"</f>
        <v>My Solo Project</v>
      </c>
    </row>
    <row r="6238" spans="1:4" x14ac:dyDescent="0.2">
      <c r="A6238" t="str">
        <f>"6237"</f>
        <v>6237</v>
      </c>
      <c r="B6238" t="str">
        <f>"-0.21"</f>
        <v>-0.21</v>
      </c>
      <c r="C6238" t="str">
        <f>"74"</f>
        <v>74</v>
      </c>
      <c r="D6238" t="str">
        <f>"Come Clean"</f>
        <v>Come Clean</v>
      </c>
    </row>
    <row r="6239" spans="1:4" x14ac:dyDescent="0.2">
      <c r="A6239" t="str">
        <f>"6238"</f>
        <v>6238</v>
      </c>
      <c r="B6239" t="str">
        <f>"-1.07"</f>
        <v>-1.07</v>
      </c>
      <c r="C6239" t="str">
        <f>"23"</f>
        <v>23</v>
      </c>
      <c r="D6239" t="str">
        <f>"Guarapero"</f>
        <v>Guarapero</v>
      </c>
    </row>
    <row r="6240" spans="1:4" x14ac:dyDescent="0.2">
      <c r="A6240" t="str">
        <f>"6239"</f>
        <v>6239</v>
      </c>
      <c r="B6240" t="str">
        <f>"-1.14"</f>
        <v>-1.14</v>
      </c>
      <c r="C6240" t="str">
        <f>"88"</f>
        <v>88</v>
      </c>
      <c r="D6240" t="str">
        <f>"Welcome to the Afterfuture"</f>
        <v>Welcome to the Afterfuture</v>
      </c>
    </row>
    <row r="6241" spans="1:4" x14ac:dyDescent="0.2">
      <c r="A6241" t="str">
        <f>"6240"</f>
        <v>6240</v>
      </c>
      <c r="B6241" t="str">
        <f>"-0.11"</f>
        <v>-0.11</v>
      </c>
      <c r="C6241" t="str">
        <f>"88"</f>
        <v>88</v>
      </c>
      <c r="D6241" t="str">
        <f>"Mountains"</f>
        <v>Mountains</v>
      </c>
    </row>
    <row r="6242" spans="1:4" x14ac:dyDescent="0.2">
      <c r="A6242" t="str">
        <f>"6241"</f>
        <v>6241</v>
      </c>
      <c r="B6242" t="str">
        <f>"-0.29"</f>
        <v>-0.29</v>
      </c>
      <c r="C6242" t="str">
        <f>"34"</f>
        <v>34</v>
      </c>
      <c r="D6242" t="str">
        <f>"Get In"</f>
        <v>Get In</v>
      </c>
    </row>
    <row r="6243" spans="1:4" x14ac:dyDescent="0.2">
      <c r="A6243" t="str">
        <f>"6242"</f>
        <v>6242</v>
      </c>
      <c r="B6243" t="str">
        <f>"-0.93"</f>
        <v>-0.93</v>
      </c>
      <c r="C6243" t="str">
        <f>"20"</f>
        <v>20</v>
      </c>
      <c r="D6243" t="str">
        <f>"As If Apart"</f>
        <v>As If Apart</v>
      </c>
    </row>
    <row r="6244" spans="1:4" x14ac:dyDescent="0.2">
      <c r="A6244" t="str">
        <f>"6243"</f>
        <v>6243</v>
      </c>
      <c r="B6244" t="str">
        <f>"-0.53"</f>
        <v>-0.53</v>
      </c>
      <c r="C6244" t="str">
        <f>"41"</f>
        <v>41</v>
      </c>
      <c r="D6244" t="str">
        <f>"In Movement"</f>
        <v>In Movement</v>
      </c>
    </row>
    <row r="6245" spans="1:4" x14ac:dyDescent="0.2">
      <c r="A6245" t="str">
        <f>"6244"</f>
        <v>6244</v>
      </c>
      <c r="B6245" t="str">
        <f>"0.92"</f>
        <v>0.92</v>
      </c>
      <c r="C6245" t="str">
        <f>"66"</f>
        <v>66</v>
      </c>
      <c r="D6245" t="str">
        <f>"Cluster 71"</f>
        <v>Cluster 71</v>
      </c>
    </row>
    <row r="6246" spans="1:4" x14ac:dyDescent="0.2">
      <c r="A6246" t="str">
        <f>"6245"</f>
        <v>6245</v>
      </c>
      <c r="B6246" t="str">
        <f>"-0.61"</f>
        <v>-0.61</v>
      </c>
      <c r="C6246" t="str">
        <f>"42"</f>
        <v>42</v>
      </c>
      <c r="D6246" t="str">
        <f>"songs from wonder.land"</f>
        <v>songs from wonder.land</v>
      </c>
    </row>
    <row r="6247" spans="1:4" x14ac:dyDescent="0.2">
      <c r="A6247" t="str">
        <f>"6246"</f>
        <v>6246</v>
      </c>
      <c r="B6247" t="str">
        <f>"1.08"</f>
        <v>1.08</v>
      </c>
      <c r="C6247" t="str">
        <f>"34"</f>
        <v>34</v>
      </c>
      <c r="D6247" t="str">
        <f>"Luck or Magic"</f>
        <v>Luck or Magic</v>
      </c>
    </row>
    <row r="6248" spans="1:4" x14ac:dyDescent="0.2">
      <c r="A6248" t="str">
        <f>"6247"</f>
        <v>6247</v>
      </c>
      <c r="B6248" t="str">
        <f>"0.38"</f>
        <v>0.38</v>
      </c>
      <c r="C6248" t="str">
        <f>"28"</f>
        <v>28</v>
      </c>
      <c r="D6248" t="str">
        <f>"Beloved"</f>
        <v>Beloved</v>
      </c>
    </row>
    <row r="6249" spans="1:4" x14ac:dyDescent="0.2">
      <c r="A6249" t="str">
        <f>"6248"</f>
        <v>6248</v>
      </c>
      <c r="B6249" t="str">
        <f>"-0.42"</f>
        <v>-0.42</v>
      </c>
      <c r="C6249" t="str">
        <f>"45"</f>
        <v>45</v>
      </c>
      <c r="D6249" t="str">
        <f>"Paradise"</f>
        <v>Paradise</v>
      </c>
    </row>
    <row r="6250" spans="1:4" x14ac:dyDescent="0.2">
      <c r="A6250" t="str">
        <f>"6249"</f>
        <v>6249</v>
      </c>
      <c r="B6250" t="str">
        <f>"-0.24"</f>
        <v>-0.24</v>
      </c>
      <c r="C6250" t="str">
        <f>"36"</f>
        <v>36</v>
      </c>
      <c r="D6250" t="str">
        <f>"Another Splash of Colour - New Psychedelia in Britain 1980-1985"</f>
        <v>Another Splash of Colour - New Psychedelia in Britain 1980-1985</v>
      </c>
    </row>
    <row r="6251" spans="1:4" x14ac:dyDescent="0.2">
      <c r="A6251" t="str">
        <f>"6250"</f>
        <v>6250</v>
      </c>
      <c r="B6251" t="str">
        <f>"0.16"</f>
        <v>0.16</v>
      </c>
      <c r="C6251" t="str">
        <f>"43"</f>
        <v>43</v>
      </c>
      <c r="D6251" t="str">
        <f>"Broken by Whispers"</f>
        <v>Broken by Whispers</v>
      </c>
    </row>
    <row r="6252" spans="1:4" x14ac:dyDescent="0.2">
      <c r="A6252" t="str">
        <f>"6251"</f>
        <v>6251</v>
      </c>
      <c r="B6252" t="str">
        <f>"-0.05"</f>
        <v>-0.05</v>
      </c>
      <c r="C6252" t="str">
        <f>"67"</f>
        <v>67</v>
      </c>
      <c r="D6252" t="str">
        <f>"Vision Creation Newsun"</f>
        <v>Vision Creation Newsun</v>
      </c>
    </row>
    <row r="6253" spans="1:4" x14ac:dyDescent="0.2">
      <c r="A6253" t="str">
        <f>"6252"</f>
        <v>6252</v>
      </c>
      <c r="B6253" t="str">
        <f>"-0.35"</f>
        <v>-0.35</v>
      </c>
      <c r="C6253" t="str">
        <f>"76"</f>
        <v>76</v>
      </c>
      <c r="D6253" t="str">
        <f>"Two Against Nature"</f>
        <v>Two Against Nature</v>
      </c>
    </row>
    <row r="6254" spans="1:4" x14ac:dyDescent="0.2">
      <c r="A6254" t="str">
        <f>"6253"</f>
        <v>6253</v>
      </c>
      <c r="B6254" t="str">
        <f>"0.86"</f>
        <v>0.86</v>
      </c>
      <c r="C6254" t="str">
        <f>"57"</f>
        <v>57</v>
      </c>
      <c r="D6254" t="str">
        <f>"The Virgin Suicides"</f>
        <v>The Virgin Suicides</v>
      </c>
    </row>
    <row r="6255" spans="1:4" x14ac:dyDescent="0.2">
      <c r="A6255" t="str">
        <f>"6254"</f>
        <v>6254</v>
      </c>
      <c r="B6255" t="str">
        <f>"-0.96"</f>
        <v>-0.96</v>
      </c>
      <c r="C6255" t="str">
        <f>"51"</f>
        <v>51</v>
      </c>
      <c r="D6255" t="str">
        <f>"Receive the Flame"</f>
        <v>Receive the Flame</v>
      </c>
    </row>
    <row r="6256" spans="1:4" x14ac:dyDescent="0.2">
      <c r="A6256" t="str">
        <f>"6255"</f>
        <v>6255</v>
      </c>
      <c r="B6256" t="str">
        <f>"0.46"</f>
        <v>0.46</v>
      </c>
      <c r="C6256" t="str">
        <f>"55"</f>
        <v>55</v>
      </c>
      <c r="D6256" t="str">
        <f>"Niun Niggung"</f>
        <v>Niun Niggung</v>
      </c>
    </row>
    <row r="6257" spans="1:4" x14ac:dyDescent="0.2">
      <c r="A6257" t="str">
        <f>"6256"</f>
        <v>6256</v>
      </c>
      <c r="B6257" t="str">
        <f>"-0.39"</f>
        <v>-0.39</v>
      </c>
      <c r="C6257" t="str">
        <f>"78"</f>
        <v>78</v>
      </c>
      <c r="D6257" t="str">
        <f>"NakedSelf"</f>
        <v>NakedSelf</v>
      </c>
    </row>
    <row r="6258" spans="1:4" x14ac:dyDescent="0.2">
      <c r="A6258" t="str">
        <f>"6257"</f>
        <v>6257</v>
      </c>
      <c r="B6258" t="str">
        <f>"0.15"</f>
        <v>0.15</v>
      </c>
      <c r="C6258" t="str">
        <f>"124"</f>
        <v>124</v>
      </c>
      <c r="D6258" t="str">
        <f>"Believo!"</f>
        <v>Believo!</v>
      </c>
    </row>
    <row r="6259" spans="1:4" x14ac:dyDescent="0.2">
      <c r="A6259" t="str">
        <f>"6258"</f>
        <v>6258</v>
      </c>
      <c r="B6259" t="str">
        <f>"-0.05"</f>
        <v>-0.05</v>
      </c>
      <c r="C6259" t="str">
        <f>"92"</f>
        <v>92</v>
      </c>
      <c r="D6259" t="str">
        <f>"And Then Nothing Turned Itself Inside-Out"</f>
        <v>And Then Nothing Turned Itself Inside-Out</v>
      </c>
    </row>
    <row r="6260" spans="1:4" x14ac:dyDescent="0.2">
      <c r="A6260" t="str">
        <f>"6259"</f>
        <v>6259</v>
      </c>
      <c r="B6260" t="str">
        <f>"-1.36"</f>
        <v>-1.36</v>
      </c>
      <c r="C6260" t="str">
        <f>"75"</f>
        <v>75</v>
      </c>
      <c r="D6260" t="str">
        <f>"Vue"</f>
        <v>Vue</v>
      </c>
    </row>
    <row r="6261" spans="1:4" x14ac:dyDescent="0.2">
      <c r="A6261" t="str">
        <f>"6260"</f>
        <v>6260</v>
      </c>
      <c r="B6261" t="str">
        <f>"-1.33"</f>
        <v>-1.33</v>
      </c>
      <c r="C6261" t="str">
        <f>"46"</f>
        <v>46</v>
      </c>
      <c r="D6261" t="str">
        <f>"Tragic Epilogue"</f>
        <v>Tragic Epilogue</v>
      </c>
    </row>
    <row r="6262" spans="1:4" x14ac:dyDescent="0.2">
      <c r="A6262" t="str">
        <f>"6261"</f>
        <v>6261</v>
      </c>
      <c r="B6262" t="str">
        <f>"1.25"</f>
        <v>1.25</v>
      </c>
      <c r="C6262" t="str">
        <f>"57"</f>
        <v>57</v>
      </c>
      <c r="D6262" t="str">
        <f>"The Big Dig"</f>
        <v>The Big Dig</v>
      </c>
    </row>
    <row r="6263" spans="1:4" x14ac:dyDescent="0.2">
      <c r="A6263" t="str">
        <f>"6262"</f>
        <v>6262</v>
      </c>
      <c r="B6263" t="str">
        <f>"-0.89"</f>
        <v>-0.89</v>
      </c>
      <c r="C6263" t="str">
        <f>"78"</f>
        <v>78</v>
      </c>
      <c r="D6263" t="str">
        <f>"DDD"</f>
        <v>DDD</v>
      </c>
    </row>
    <row r="6264" spans="1:4" x14ac:dyDescent="0.2">
      <c r="A6264" t="str">
        <f>"6263"</f>
        <v>6263</v>
      </c>
      <c r="B6264" t="str">
        <f>"0.83"</f>
        <v>0.83</v>
      </c>
      <c r="C6264" t="str">
        <f>"78"</f>
        <v>78</v>
      </c>
      <c r="D6264" t="str">
        <f>"BBC Sessions"</f>
        <v>BBC Sessions</v>
      </c>
    </row>
    <row r="6265" spans="1:4" x14ac:dyDescent="0.2">
      <c r="A6265" t="str">
        <f>"6264"</f>
        <v>6264</v>
      </c>
      <c r="B6265" t="str">
        <f>"-0.59"</f>
        <v>-0.59</v>
      </c>
      <c r="C6265" t="str">
        <f>"58"</f>
        <v>58</v>
      </c>
      <c r="D6265" t="str">
        <f>"Heartbreaker (Deluxe Reissue)"</f>
        <v>Heartbreaker (Deluxe Reissue)</v>
      </c>
    </row>
    <row r="6266" spans="1:4" x14ac:dyDescent="0.2">
      <c r="A6266" t="str">
        <f>"6265"</f>
        <v>6265</v>
      </c>
      <c r="B6266" t="str">
        <f>"-0.51"</f>
        <v>-0.51</v>
      </c>
      <c r="C6266" t="str">
        <f>"38"</f>
        <v>38</v>
      </c>
      <c r="D6266" t="str">
        <f>"Konnichiwa"</f>
        <v>Konnichiwa</v>
      </c>
    </row>
    <row r="6267" spans="1:4" x14ac:dyDescent="0.2">
      <c r="A6267" t="str">
        <f>"6266"</f>
        <v>6266</v>
      </c>
      <c r="B6267" t="str">
        <f>"1.22"</f>
        <v>1.22</v>
      </c>
      <c r="C6267" t="str">
        <f>"35"</f>
        <v>35</v>
      </c>
      <c r="D6267" t="str">
        <f>"The Heart Speaks in Whispers"</f>
        <v>The Heart Speaks in Whispers</v>
      </c>
    </row>
    <row r="6268" spans="1:4" x14ac:dyDescent="0.2">
      <c r="A6268" t="str">
        <f>"6267"</f>
        <v>6267</v>
      </c>
      <c r="B6268" t="str">
        <f>"-0.15"</f>
        <v>-0.15</v>
      </c>
      <c r="C6268" t="str">
        <f>"32"</f>
        <v>32</v>
      </c>
      <c r="D6268" t="str">
        <f>"Bloom Forever"</f>
        <v>Bloom Forever</v>
      </c>
    </row>
    <row r="6269" spans="1:4" x14ac:dyDescent="0.2">
      <c r="A6269" t="str">
        <f>"6268"</f>
        <v>6268</v>
      </c>
      <c r="B6269" t="str">
        <f>"0.54"</f>
        <v>0.54</v>
      </c>
      <c r="C6269" t="str">
        <f>"47"</f>
        <v>47</v>
      </c>
      <c r="D6269" t="str">
        <f>"99.9%"</f>
        <v>99.9%</v>
      </c>
    </row>
    <row r="6270" spans="1:4" x14ac:dyDescent="0.2">
      <c r="A6270" t="str">
        <f>"6269"</f>
        <v>6269</v>
      </c>
      <c r="B6270" t="str">
        <f>"0.23"</f>
        <v>0.23</v>
      </c>
      <c r="C6270" t="str">
        <f>"35"</f>
        <v>35</v>
      </c>
      <c r="D6270" t="str">
        <f>"Under the Sun"</f>
        <v>Under the Sun</v>
      </c>
    </row>
    <row r="6271" spans="1:4" x14ac:dyDescent="0.2">
      <c r="A6271" t="str">
        <f>"6270"</f>
        <v>6270</v>
      </c>
      <c r="B6271" t="str">
        <f>"0.08"</f>
        <v>0.08</v>
      </c>
      <c r="C6271" t="str">
        <f>"21"</f>
        <v>21</v>
      </c>
      <c r="D6271" t="str">
        <f>"Down in Heaven"</f>
        <v>Down in Heaven</v>
      </c>
    </row>
    <row r="6272" spans="1:4" x14ac:dyDescent="0.2">
      <c r="A6272" t="str">
        <f>"6271"</f>
        <v>6271</v>
      </c>
      <c r="B6272" t="str">
        <f>"0.98"</f>
        <v>0.98</v>
      </c>
      <c r="C6272" t="str">
        <f>"36"</f>
        <v>36</v>
      </c>
      <c r="D6272" t="str">
        <f>"55"</f>
        <v>55</v>
      </c>
    </row>
    <row r="6273" spans="1:4" x14ac:dyDescent="0.2">
      <c r="A6273" t="str">
        <f>"6272"</f>
        <v>6272</v>
      </c>
      <c r="B6273" t="str">
        <f>"-0.68"</f>
        <v>-0.68</v>
      </c>
      <c r="C6273" t="str">
        <f>"36"</f>
        <v>36</v>
      </c>
      <c r="D6273" t="str">
        <f>"Bottomless Pit"</f>
        <v>Bottomless Pit</v>
      </c>
    </row>
    <row r="6274" spans="1:4" x14ac:dyDescent="0.2">
      <c r="A6274" t="str">
        <f>"6273"</f>
        <v>6273</v>
      </c>
      <c r="B6274" t="str">
        <f>"-0.48"</f>
        <v>-0.48</v>
      </c>
      <c r="C6274" t="str">
        <f>"49"</f>
        <v>49</v>
      </c>
      <c r="D6274" t="str">
        <f>"Electronica 2: The Heart of Noise"</f>
        <v>Electronica 2: The Heart of Noise</v>
      </c>
    </row>
    <row r="6275" spans="1:4" x14ac:dyDescent="0.2">
      <c r="A6275" t="str">
        <f>"6274"</f>
        <v>6274</v>
      </c>
      <c r="B6275" t="str">
        <f>"0.64"</f>
        <v>0.64</v>
      </c>
      <c r="C6275" t="str">
        <f>"18"</f>
        <v>18</v>
      </c>
      <c r="D6275" t="str">
        <f>"Get Gone"</f>
        <v>Get Gone</v>
      </c>
    </row>
    <row r="6276" spans="1:4" x14ac:dyDescent="0.2">
      <c r="A6276" t="str">
        <f>"6275"</f>
        <v>6275</v>
      </c>
      <c r="B6276" t="str">
        <f>"-0.59"</f>
        <v>-0.59</v>
      </c>
      <c r="C6276" t="str">
        <f>"58"</f>
        <v>58</v>
      </c>
      <c r="D6276" t="str">
        <f>"Heartbreaker (Deluxe Reissue)"</f>
        <v>Heartbreaker (Deluxe Reissue)</v>
      </c>
    </row>
    <row r="6277" spans="1:4" x14ac:dyDescent="0.2">
      <c r="A6277" t="str">
        <f>"6276"</f>
        <v>6276</v>
      </c>
      <c r="B6277" t="str">
        <f>"-0.51"</f>
        <v>-0.51</v>
      </c>
      <c r="C6277" t="str">
        <f>"38"</f>
        <v>38</v>
      </c>
      <c r="D6277" t="str">
        <f>"Konnichiwa"</f>
        <v>Konnichiwa</v>
      </c>
    </row>
    <row r="6278" spans="1:4" x14ac:dyDescent="0.2">
      <c r="A6278" t="str">
        <f>"6277"</f>
        <v>6277</v>
      </c>
      <c r="B6278" t="str">
        <f>"1.22"</f>
        <v>1.22</v>
      </c>
      <c r="C6278" t="str">
        <f>"35"</f>
        <v>35</v>
      </c>
      <c r="D6278" t="str">
        <f>"The Heart Speaks in Whispers"</f>
        <v>The Heart Speaks in Whispers</v>
      </c>
    </row>
    <row r="6279" spans="1:4" x14ac:dyDescent="0.2">
      <c r="A6279" t="str">
        <f>"6278"</f>
        <v>6278</v>
      </c>
      <c r="B6279" t="str">
        <f>"-0.15"</f>
        <v>-0.15</v>
      </c>
      <c r="C6279" t="str">
        <f>"32"</f>
        <v>32</v>
      </c>
      <c r="D6279" t="str">
        <f>"Bloom Forever"</f>
        <v>Bloom Forever</v>
      </c>
    </row>
    <row r="6280" spans="1:4" x14ac:dyDescent="0.2">
      <c r="A6280" t="str">
        <f>"6279"</f>
        <v>6279</v>
      </c>
      <c r="B6280" t="str">
        <f>"0.54"</f>
        <v>0.54</v>
      </c>
      <c r="C6280" t="str">
        <f>"47"</f>
        <v>47</v>
      </c>
      <c r="D6280" t="str">
        <f>"99.9%"</f>
        <v>99.9%</v>
      </c>
    </row>
    <row r="6281" spans="1:4" x14ac:dyDescent="0.2">
      <c r="A6281" t="str">
        <f>"6280"</f>
        <v>6280</v>
      </c>
      <c r="B6281" t="str">
        <f>"0.23"</f>
        <v>0.23</v>
      </c>
      <c r="C6281" t="str">
        <f>"35"</f>
        <v>35</v>
      </c>
      <c r="D6281" t="str">
        <f>"Under the Sun"</f>
        <v>Under the Sun</v>
      </c>
    </row>
    <row r="6282" spans="1:4" x14ac:dyDescent="0.2">
      <c r="A6282" t="str">
        <f>"6281"</f>
        <v>6281</v>
      </c>
      <c r="B6282" t="str">
        <f>"0.08"</f>
        <v>0.08</v>
      </c>
      <c r="C6282" t="str">
        <f>"21"</f>
        <v>21</v>
      </c>
      <c r="D6282" t="str">
        <f>"Down in Heaven"</f>
        <v>Down in Heaven</v>
      </c>
    </row>
    <row r="6283" spans="1:4" x14ac:dyDescent="0.2">
      <c r="A6283" t="str">
        <f>"6282"</f>
        <v>6282</v>
      </c>
      <c r="B6283" t="str">
        <f>"0.98"</f>
        <v>0.98</v>
      </c>
      <c r="C6283" t="str">
        <f>"36"</f>
        <v>36</v>
      </c>
      <c r="D6283" t="str">
        <f>"55"</f>
        <v>55</v>
      </c>
    </row>
    <row r="6284" spans="1:4" x14ac:dyDescent="0.2">
      <c r="A6284" t="str">
        <f>"6283"</f>
        <v>6283</v>
      </c>
      <c r="B6284" t="str">
        <f>"-0.68"</f>
        <v>-0.68</v>
      </c>
      <c r="C6284" t="str">
        <f>"36"</f>
        <v>36</v>
      </c>
      <c r="D6284" t="str">
        <f>"Bottomless Pit"</f>
        <v>Bottomless Pit</v>
      </c>
    </row>
    <row r="6285" spans="1:4" x14ac:dyDescent="0.2">
      <c r="A6285" t="str">
        <f>"6284"</f>
        <v>6284</v>
      </c>
      <c r="B6285" t="str">
        <f>"-0.48"</f>
        <v>-0.48</v>
      </c>
      <c r="C6285" t="str">
        <f>"49"</f>
        <v>49</v>
      </c>
      <c r="D6285" t="str">
        <f>"Electronica 2: The Heart of Noise"</f>
        <v>Electronica 2: The Heart of Noise</v>
      </c>
    </row>
    <row r="6286" spans="1:4" x14ac:dyDescent="0.2">
      <c r="A6286" t="str">
        <f>"6285"</f>
        <v>6285</v>
      </c>
      <c r="B6286" t="str">
        <f>"-0.29"</f>
        <v>-0.29</v>
      </c>
      <c r="C6286" t="str">
        <f>"34"</f>
        <v>34</v>
      </c>
      <c r="D6286" t="str">
        <f>"Get In"</f>
        <v>Get In</v>
      </c>
    </row>
    <row r="6287" spans="1:4" x14ac:dyDescent="0.2">
      <c r="A6287" t="str">
        <f>"6286"</f>
        <v>6286</v>
      </c>
      <c r="B6287" t="str">
        <f>"0.64"</f>
        <v>0.64</v>
      </c>
      <c r="C6287" t="str">
        <f>"18"</f>
        <v>18</v>
      </c>
      <c r="D6287" t="str">
        <f>"Get Gone"</f>
        <v>Get Gone</v>
      </c>
    </row>
    <row r="6288" spans="1:4" x14ac:dyDescent="0.2">
      <c r="A6288" t="str">
        <f>"6287"</f>
        <v>6287</v>
      </c>
      <c r="B6288" t="str">
        <f>"-0.93"</f>
        <v>-0.93</v>
      </c>
      <c r="C6288" t="str">
        <f>"67"</f>
        <v>67</v>
      </c>
      <c r="D6288" t="str">
        <f>"A Moon Shaped Pool"</f>
        <v>A Moon Shaped Pool</v>
      </c>
    </row>
    <row r="6289" spans="1:4" x14ac:dyDescent="0.2">
      <c r="A6289" t="str">
        <f>"6288"</f>
        <v>6288</v>
      </c>
      <c r="B6289" t="str">
        <f>"0.09"</f>
        <v>0.09</v>
      </c>
      <c r="C6289" t="str">
        <f>"35"</f>
        <v>35</v>
      </c>
      <c r="D6289" t="str">
        <f>"Spiritual Songs for Lovers to Sing"</f>
        <v>Spiritual Songs for Lovers to Sing</v>
      </c>
    </row>
    <row r="6290" spans="1:4" x14ac:dyDescent="0.2">
      <c r="A6290" t="str">
        <f>"6289"</f>
        <v>6289</v>
      </c>
      <c r="B6290" t="str">
        <f>"1.73"</f>
        <v>1.73</v>
      </c>
      <c r="C6290" t="str">
        <f>"34"</f>
        <v>34</v>
      </c>
      <c r="D6290" t="str">
        <f>"Take Me to the Alley"</f>
        <v>Take Me to the Alley</v>
      </c>
    </row>
    <row r="6291" spans="1:4" x14ac:dyDescent="0.2">
      <c r="A6291" t="str">
        <f>"6290"</f>
        <v>6290</v>
      </c>
      <c r="B6291" t="str">
        <f>"1.13"</f>
        <v>1.13</v>
      </c>
      <c r="C6291" t="str">
        <f>"22"</f>
        <v>22</v>
      </c>
      <c r="D6291" t="str">
        <f>"The Things That We Are Made Of"</f>
        <v>The Things That We Are Made Of</v>
      </c>
    </row>
    <row r="6292" spans="1:4" x14ac:dyDescent="0.2">
      <c r="A6292" t="str">
        <f>"6291"</f>
        <v>6291</v>
      </c>
      <c r="B6292" t="str">
        <f>"0.27"</f>
        <v>0.27</v>
      </c>
      <c r="C6292" t="str">
        <f>"59"</f>
        <v>59</v>
      </c>
      <c r="D6292" t="str">
        <f>"The Colour in Anything"</f>
        <v>The Colour in Anything</v>
      </c>
    </row>
    <row r="6293" spans="1:4" x14ac:dyDescent="0.2">
      <c r="A6293" t="str">
        <f>"6292"</f>
        <v>6292</v>
      </c>
      <c r="B6293" t="str">
        <f>"0.51"</f>
        <v>0.51</v>
      </c>
      <c r="C6293" t="str">
        <f>"33"</f>
        <v>33</v>
      </c>
      <c r="D6293" t="str">
        <f>"Cult Following"</f>
        <v>Cult Following</v>
      </c>
    </row>
    <row r="6294" spans="1:4" x14ac:dyDescent="0.2">
      <c r="A6294" t="str">
        <f>"6293"</f>
        <v>6293</v>
      </c>
      <c r="B6294" t="str">
        <f>"0.05"</f>
        <v>0.05</v>
      </c>
      <c r="C6294" t="str">
        <f>"30"</f>
        <v>30</v>
      </c>
      <c r="D6294" t="str">
        <f>"Kindness for Weakness"</f>
        <v>Kindness for Weakness</v>
      </c>
    </row>
    <row r="6295" spans="1:4" x14ac:dyDescent="0.2">
      <c r="A6295" t="str">
        <f>"6294"</f>
        <v>6294</v>
      </c>
      <c r="B6295" t="str">
        <f>"0.43"</f>
        <v>0.43</v>
      </c>
      <c r="C6295" t="str">
        <f>"37"</f>
        <v>37</v>
      </c>
      <c r="D6295" t="str">
        <f>"For Good"</f>
        <v>For Good</v>
      </c>
    </row>
    <row r="6296" spans="1:4" x14ac:dyDescent="0.2">
      <c r="A6296" t="str">
        <f>"6295"</f>
        <v>6295</v>
      </c>
      <c r="B6296" t="str">
        <f>"0.13"</f>
        <v>0.13</v>
      </c>
      <c r="C6296" t="str">
        <f>"37"</f>
        <v>37</v>
      </c>
      <c r="D6296" t="str">
        <f>"Will"</f>
        <v>Will</v>
      </c>
    </row>
    <row r="6297" spans="1:4" x14ac:dyDescent="0.2">
      <c r="A6297" t="str">
        <f>"6296"</f>
        <v>6296</v>
      </c>
      <c r="B6297" t="str">
        <f>"0.34"</f>
        <v>0.34</v>
      </c>
      <c r="C6297" t="str">
        <f>"26"</f>
        <v>26</v>
      </c>
      <c r="D6297" t="str">
        <f>"Island Universe Story: Selected Works"</f>
        <v>Island Universe Story: Selected Works</v>
      </c>
    </row>
    <row r="6298" spans="1:4" x14ac:dyDescent="0.2">
      <c r="A6298" t="str">
        <f>"6297"</f>
        <v>6297</v>
      </c>
      <c r="B6298" t="str">
        <f>"-0.68"</f>
        <v>-0.68</v>
      </c>
      <c r="C6298" t="str">
        <f>"28"</f>
        <v>28</v>
      </c>
      <c r="D6298" t="str">
        <f>"Piatto D'Oro"</f>
        <v>Piatto D'Oro</v>
      </c>
    </row>
    <row r="6299" spans="1:4" x14ac:dyDescent="0.2">
      <c r="A6299" t="str">
        <f>"6298"</f>
        <v>6298</v>
      </c>
      <c r="B6299" t="str">
        <f>"0.28"</f>
        <v>0.28</v>
      </c>
      <c r="C6299" t="str">
        <f>"30"</f>
        <v>30</v>
      </c>
      <c r="D6299" t="str">
        <f>"Terminal Redux"</f>
        <v>Terminal Redux</v>
      </c>
    </row>
    <row r="6300" spans="1:4" x14ac:dyDescent="0.2">
      <c r="A6300" t="str">
        <f>"6299"</f>
        <v>6299</v>
      </c>
      <c r="B6300" t="str">
        <f>"-0.38"</f>
        <v>-0.38</v>
      </c>
      <c r="C6300" t="str">
        <f>"27"</f>
        <v>27</v>
      </c>
      <c r="D6300" t="str">
        <f>"Trágame Tierra"</f>
        <v>Trágame Tierra</v>
      </c>
    </row>
    <row r="6301" spans="1:4" x14ac:dyDescent="0.2">
      <c r="A6301" t="str">
        <f>"6300"</f>
        <v>6300</v>
      </c>
      <c r="B6301" t="str">
        <f>"-0.74"</f>
        <v>-0.74</v>
      </c>
      <c r="C6301" t="str">
        <f>"105"</f>
        <v>105</v>
      </c>
      <c r="D6301" t="str">
        <f>"HOPELESSNESS"</f>
        <v>HOPELESSNESS</v>
      </c>
    </row>
    <row r="6302" spans="1:4" x14ac:dyDescent="0.2">
      <c r="A6302" t="str">
        <f>"6301"</f>
        <v>6301</v>
      </c>
      <c r="B6302" t="str">
        <f>"-0.34"</f>
        <v>-0.34</v>
      </c>
      <c r="C6302" t="str">
        <f>"37"</f>
        <v>37</v>
      </c>
      <c r="D6302" t="str">
        <f>"White Hot Moon"</f>
        <v>White Hot Moon</v>
      </c>
    </row>
    <row r="6303" spans="1:4" x14ac:dyDescent="0.2">
      <c r="A6303" t="str">
        <f>"6302"</f>
        <v>6302</v>
      </c>
      <c r="B6303" t="str">
        <f>"-0.06"</f>
        <v>-0.06</v>
      </c>
      <c r="C6303" t="str">
        <f>"36"</f>
        <v>36</v>
      </c>
      <c r="D6303" t="str">
        <f>"Junjo Presents: Wins the World Cup"</f>
        <v>Junjo Presents: Wins the World Cup</v>
      </c>
    </row>
    <row r="6304" spans="1:4" x14ac:dyDescent="0.2">
      <c r="A6304" t="str">
        <f>"6303"</f>
        <v>6303</v>
      </c>
      <c r="B6304" t="str">
        <f>"0.13"</f>
        <v>0.13</v>
      </c>
      <c r="C6304" t="str">
        <f>"25"</f>
        <v>25</v>
      </c>
      <c r="D6304" t="str">
        <f>"Guided Meditation"</f>
        <v>Guided Meditation</v>
      </c>
    </row>
    <row r="6305" spans="1:4" x14ac:dyDescent="0.2">
      <c r="A6305" t="str">
        <f>"6304"</f>
        <v>6304</v>
      </c>
      <c r="B6305" t="str">
        <f>"-0.31"</f>
        <v>-0.31</v>
      </c>
      <c r="C6305" t="str">
        <f>"29"</f>
        <v>29</v>
      </c>
      <c r="D6305" t="str">
        <f>"The Impossible Kid"</f>
        <v>The Impossible Kid</v>
      </c>
    </row>
    <row r="6306" spans="1:4" x14ac:dyDescent="0.2">
      <c r="A6306" t="str">
        <f>"6305"</f>
        <v>6305</v>
      </c>
      <c r="B6306" t="str">
        <f>"0.01"</f>
        <v>0.01</v>
      </c>
      <c r="C6306" t="str">
        <f>"53"</f>
        <v>53</v>
      </c>
      <c r="D6306" t="str">
        <f>"Egyptian Lover 1983-1988"</f>
        <v>Egyptian Lover 1983-1988</v>
      </c>
    </row>
    <row r="6307" spans="1:4" x14ac:dyDescent="0.2">
      <c r="A6307" t="str">
        <f>"6306"</f>
        <v>6306</v>
      </c>
      <c r="B6307" t="str">
        <f>"-0.2"</f>
        <v>-0.2</v>
      </c>
      <c r="C6307" t="str">
        <f>"31"</f>
        <v>31</v>
      </c>
      <c r="D6307" t="str">
        <f>"Nonagon Infinity"</f>
        <v>Nonagon Infinity</v>
      </c>
    </row>
    <row r="6308" spans="1:4" x14ac:dyDescent="0.2">
      <c r="A6308" t="str">
        <f>"6307"</f>
        <v>6307</v>
      </c>
      <c r="B6308" t="str">
        <f>"-0.2"</f>
        <v>-0.2</v>
      </c>
      <c r="C6308" t="str">
        <f>"28"</f>
        <v>28</v>
      </c>
      <c r="D6308" t="str">
        <f>"Blue Wave"</f>
        <v>Blue Wave</v>
      </c>
    </row>
    <row r="6309" spans="1:4" x14ac:dyDescent="0.2">
      <c r="A6309" t="str">
        <f>"6308"</f>
        <v>6308</v>
      </c>
      <c r="B6309" t="str">
        <f>"0.28"</f>
        <v>0.28</v>
      </c>
      <c r="C6309" t="str">
        <f>"23"</f>
        <v>23</v>
      </c>
      <c r="D6309" t="str">
        <f>"Honey"</f>
        <v>Honey</v>
      </c>
    </row>
    <row r="6310" spans="1:4" x14ac:dyDescent="0.2">
      <c r="A6310" t="str">
        <f>"6309"</f>
        <v>6309</v>
      </c>
      <c r="B6310" t="str">
        <f>"-0.07"</f>
        <v>-0.07</v>
      </c>
      <c r="C6310" t="str">
        <f>"74"</f>
        <v>74</v>
      </c>
      <c r="D6310" t="str">
        <f>"Close To the Noise Floor - Formative UK Electronica 1975 - 1984"</f>
        <v>Close To the Noise Floor - Formative UK Electronica 1975 - 1984</v>
      </c>
    </row>
    <row r="6311" spans="1:4" x14ac:dyDescent="0.2">
      <c r="A6311" t="str">
        <f>"6310"</f>
        <v>6310</v>
      </c>
      <c r="B6311" t="str">
        <f>"0.15"</f>
        <v>0.15</v>
      </c>
      <c r="C6311" t="str">
        <f>"23"</f>
        <v>23</v>
      </c>
      <c r="D6311" t="str">
        <f>"Crime Cutz"</f>
        <v>Crime Cutz</v>
      </c>
    </row>
    <row r="6312" spans="1:4" x14ac:dyDescent="0.2">
      <c r="A6312" t="str">
        <f>"6311"</f>
        <v>6311</v>
      </c>
      <c r="B6312" t="str">
        <f>"0.04"</f>
        <v>0.04</v>
      </c>
      <c r="C6312" t="str">
        <f>"24"</f>
        <v>24</v>
      </c>
      <c r="D6312" t="str">
        <f>"Testarossa"</f>
        <v>Testarossa</v>
      </c>
    </row>
    <row r="6313" spans="1:4" x14ac:dyDescent="0.2">
      <c r="A6313" t="str">
        <f>"6312"</f>
        <v>6312</v>
      </c>
      <c r="B6313" t="str">
        <f>"0.46"</f>
        <v>0.46</v>
      </c>
      <c r="C6313" t="str">
        <f>"52"</f>
        <v>52</v>
      </c>
      <c r="D6313" t="str">
        <f>"Gala"</f>
        <v>Gala</v>
      </c>
    </row>
    <row r="6314" spans="1:4" x14ac:dyDescent="0.2">
      <c r="A6314" t="str">
        <f>"6313"</f>
        <v>6313</v>
      </c>
      <c r="B6314" t="str">
        <f>"-0.13"</f>
        <v>-0.13</v>
      </c>
      <c r="C6314" t="str">
        <f>"55"</f>
        <v>55</v>
      </c>
      <c r="D6314" t="str">
        <f>"VIEWS"</f>
        <v>VIEWS</v>
      </c>
    </row>
    <row r="6315" spans="1:4" x14ac:dyDescent="0.2">
      <c r="A6315" t="str">
        <f>"6314"</f>
        <v>6314</v>
      </c>
      <c r="B6315" t="str">
        <f>"0.42"</f>
        <v>0.42</v>
      </c>
      <c r="C6315" t="str">
        <f>"32"</f>
        <v>32</v>
      </c>
      <c r="D6315" t="str">
        <f>"DJ Koze Presents Pampa Vol. 1"</f>
        <v>DJ Koze Presents Pampa Vol. 1</v>
      </c>
    </row>
    <row r="6316" spans="1:4" x14ac:dyDescent="0.2">
      <c r="A6316" t="str">
        <f>"6315"</f>
        <v>6315</v>
      </c>
      <c r="B6316" t="str">
        <f>"1.09"</f>
        <v>1.09</v>
      </c>
      <c r="C6316" t="str">
        <f>"31"</f>
        <v>31</v>
      </c>
      <c r="D6316" t="str">
        <f>"The Feminine: Act I"</f>
        <v>The Feminine: Act I</v>
      </c>
    </row>
    <row r="6317" spans="1:4" x14ac:dyDescent="0.2">
      <c r="A6317" t="str">
        <f>"6316"</f>
        <v>6316</v>
      </c>
      <c r="B6317" t="str">
        <f>"0.7"</f>
        <v>0.7</v>
      </c>
      <c r="C6317" t="str">
        <f>"34"</f>
        <v>34</v>
      </c>
      <c r="D6317" t="str">
        <f>"Modernists"</f>
        <v>Modernists</v>
      </c>
    </row>
    <row r="6318" spans="1:4" x14ac:dyDescent="0.2">
      <c r="A6318" t="str">
        <f>"6317"</f>
        <v>6317</v>
      </c>
      <c r="B6318" t="str">
        <f>"0.33"</f>
        <v>0.33</v>
      </c>
      <c r="C6318" t="str">
        <f>"53"</f>
        <v>53</v>
      </c>
      <c r="D6318" t="str">
        <f>"Sign ""O"" the Times"</f>
        <v>Sign "O" the Times</v>
      </c>
    </row>
    <row r="6319" spans="1:4" x14ac:dyDescent="0.2">
      <c r="A6319" t="str">
        <f>"6318"</f>
        <v>6318</v>
      </c>
      <c r="B6319" t="str">
        <f>"-0.66"</f>
        <v>-0.66</v>
      </c>
      <c r="C6319" t="str">
        <f>"30"</f>
        <v>30</v>
      </c>
      <c r="D6319" t="str">
        <f>"1999"</f>
        <v>1999</v>
      </c>
    </row>
    <row r="6320" spans="1:4" x14ac:dyDescent="0.2">
      <c r="A6320" t="str">
        <f>"6319"</f>
        <v>6319</v>
      </c>
      <c r="B6320" t="str">
        <f>"0.45"</f>
        <v>0.45</v>
      </c>
      <c r="C6320" t="str">
        <f>"37"</f>
        <v>37</v>
      </c>
      <c r="D6320" t="str">
        <f>"Parade"</f>
        <v>Parade</v>
      </c>
    </row>
    <row r="6321" spans="1:4" x14ac:dyDescent="0.2">
      <c r="A6321" t="str">
        <f>"6320"</f>
        <v>6320</v>
      </c>
      <c r="B6321" t="str">
        <f>"-0.02"</f>
        <v>-0.02</v>
      </c>
      <c r="C6321" t="str">
        <f>"98"</f>
        <v>98</v>
      </c>
      <c r="D6321" t="str">
        <f>"Diamonds and Pearls"</f>
        <v>Diamonds and Pearls</v>
      </c>
    </row>
    <row r="6322" spans="1:4" x14ac:dyDescent="0.2">
      <c r="A6322" t="str">
        <f>"6321"</f>
        <v>6321</v>
      </c>
      <c r="B6322" t="str">
        <f>"-0.55"</f>
        <v>-0.55</v>
      </c>
      <c r="C6322" t="str">
        <f>"95"</f>
        <v>95</v>
      </c>
      <c r="D6322" t="str">
        <f>"Purple Rain"</f>
        <v>Purple Rain</v>
      </c>
    </row>
    <row r="6323" spans="1:4" x14ac:dyDescent="0.2">
      <c r="A6323" t="str">
        <f>"6322"</f>
        <v>6322</v>
      </c>
      <c r="B6323" t="str">
        <f>"-0.71"</f>
        <v>-0.71</v>
      </c>
      <c r="C6323" t="str">
        <f>"68"</f>
        <v>68</v>
      </c>
      <c r="D6323" t="str">
        <f>"Dirty Mind"</f>
        <v>Dirty Mind</v>
      </c>
    </row>
    <row r="6324" spans="1:4" x14ac:dyDescent="0.2">
      <c r="A6324" t="str">
        <f>"6323"</f>
        <v>6323</v>
      </c>
      <c r="B6324" t="str">
        <f>"-0.57"</f>
        <v>-0.57</v>
      </c>
      <c r="C6324" t="str">
        <f>"77"</f>
        <v>77</v>
      </c>
      <c r="D6324" t="str">
        <f>"Controversy"</f>
        <v>Controversy</v>
      </c>
    </row>
    <row r="6325" spans="1:4" x14ac:dyDescent="0.2">
      <c r="A6325" t="str">
        <f>"6324"</f>
        <v>6324</v>
      </c>
      <c r="B6325" t="str">
        <f>"0.27"</f>
        <v>0.27</v>
      </c>
      <c r="C6325" t="str">
        <f>"81"</f>
        <v>81</v>
      </c>
      <c r="D6325" t="str">
        <f>"Around the World in a Day"</f>
        <v>Around the World in a Day</v>
      </c>
    </row>
    <row r="6326" spans="1:4" x14ac:dyDescent="0.2">
      <c r="A6326" t="str">
        <f>"6325"</f>
        <v>6325</v>
      </c>
      <c r="B6326" t="str">
        <f>"0.36"</f>
        <v>0.36</v>
      </c>
      <c r="C6326" t="str">
        <f>"26"</f>
        <v>26</v>
      </c>
      <c r="D6326" t="str">
        <f>"Nocturnal Koreans"</f>
        <v>Nocturnal Koreans</v>
      </c>
    </row>
    <row r="6327" spans="1:4" x14ac:dyDescent="0.2">
      <c r="A6327" t="str">
        <f>"6326"</f>
        <v>6326</v>
      </c>
      <c r="B6327" t="str">
        <f>"-0.26"</f>
        <v>-0.26</v>
      </c>
      <c r="C6327" t="str">
        <f>"28"</f>
        <v>28</v>
      </c>
      <c r="D6327" t="str">
        <f>"All Jokes Aside"</f>
        <v>All Jokes Aside</v>
      </c>
    </row>
    <row r="6328" spans="1:4" x14ac:dyDescent="0.2">
      <c r="A6328" t="str">
        <f>"6327"</f>
        <v>6327</v>
      </c>
      <c r="B6328" t="str">
        <f>"-0.04"</f>
        <v>-0.04</v>
      </c>
      <c r="C6328" t="str">
        <f>"35"</f>
        <v>35</v>
      </c>
      <c r="D6328" t="str">
        <f>"Asphalt for Eden"</f>
        <v>Asphalt for Eden</v>
      </c>
    </row>
    <row r="6329" spans="1:4" x14ac:dyDescent="0.2">
      <c r="A6329" t="str">
        <f>"6328"</f>
        <v>6328</v>
      </c>
      <c r="B6329" t="str">
        <f>"-0.21"</f>
        <v>-0.21</v>
      </c>
      <c r="C6329" t="str">
        <f>"26"</f>
        <v>26</v>
      </c>
      <c r="D6329" t="str">
        <f>"Interventions"</f>
        <v>Interventions</v>
      </c>
    </row>
    <row r="6330" spans="1:4" x14ac:dyDescent="0.2">
      <c r="A6330" t="str">
        <f>"6329"</f>
        <v>6329</v>
      </c>
      <c r="B6330" t="str">
        <f>"0.16"</f>
        <v>0.16</v>
      </c>
      <c r="C6330" t="str">
        <f>"33"</f>
        <v>33</v>
      </c>
      <c r="D6330" t="str">
        <f>"The Ship"</f>
        <v>The Ship</v>
      </c>
    </row>
    <row r="6331" spans="1:4" x14ac:dyDescent="0.2">
      <c r="A6331" t="str">
        <f>"6330"</f>
        <v>6330</v>
      </c>
      <c r="B6331" t="str">
        <f>"0.67"</f>
        <v>0.67</v>
      </c>
      <c r="C6331" t="str">
        <f>"34"</f>
        <v>34</v>
      </c>
      <c r="D6331" t="str">
        <f>"Balter / Saunier"</f>
        <v>Balter / Saunier</v>
      </c>
    </row>
    <row r="6332" spans="1:4" x14ac:dyDescent="0.2">
      <c r="A6332" t="str">
        <f>"6331"</f>
        <v>6331</v>
      </c>
      <c r="B6332" t="str">
        <f>"0.25"</f>
        <v>0.25</v>
      </c>
      <c r="C6332" t="str">
        <f>"22"</f>
        <v>22</v>
      </c>
      <c r="D6332" t="str">
        <f>"Triangle"</f>
        <v>Triangle</v>
      </c>
    </row>
    <row r="6333" spans="1:4" x14ac:dyDescent="0.2">
      <c r="A6333" t="str">
        <f>"6332"</f>
        <v>6332</v>
      </c>
      <c r="B6333" t="str">
        <f>"-0.4"</f>
        <v>-0.4</v>
      </c>
      <c r="C6333" t="str">
        <f>"22"</f>
        <v>22</v>
      </c>
      <c r="D6333" t="str">
        <f>"The Stone Junction"</f>
        <v>The Stone Junction</v>
      </c>
    </row>
    <row r="6334" spans="1:4" x14ac:dyDescent="0.2">
      <c r="A6334" t="str">
        <f>"6333"</f>
        <v>6333</v>
      </c>
      <c r="B6334" t="str">
        <f>"0.51"</f>
        <v>0.51</v>
      </c>
      <c r="C6334" t="str">
        <f>"49"</f>
        <v>49</v>
      </c>
      <c r="D6334" t="str">
        <f>"Lemonade"</f>
        <v>Lemonade</v>
      </c>
    </row>
    <row r="6335" spans="1:4" x14ac:dyDescent="0.2">
      <c r="A6335" t="str">
        <f>"6334"</f>
        <v>6334</v>
      </c>
      <c r="B6335" t="str">
        <f>"-0.48"</f>
        <v>-0.48</v>
      </c>
      <c r="C6335" t="str">
        <f>"35"</f>
        <v>35</v>
      </c>
      <c r="D6335" t="str">
        <f>"Always Strive and Prosper"</f>
        <v>Always Strive and Prosper</v>
      </c>
    </row>
    <row r="6336" spans="1:4" x14ac:dyDescent="0.2">
      <c r="A6336" t="str">
        <f>"6335"</f>
        <v>6335</v>
      </c>
      <c r="B6336" t="str">
        <f>"-0.4"</f>
        <v>-0.4</v>
      </c>
      <c r="C6336" t="str">
        <f>"24"</f>
        <v>24</v>
      </c>
      <c r="D6336" t="str">
        <f>"New Misery"</f>
        <v>New Misery</v>
      </c>
    </row>
    <row r="6337" spans="1:4" x14ac:dyDescent="0.2">
      <c r="A6337" t="str">
        <f>"6336"</f>
        <v>6336</v>
      </c>
      <c r="B6337" t="str">
        <f>"0.63"</f>
        <v>0.63</v>
      </c>
      <c r="C6337" t="str">
        <f>"19"</f>
        <v>19</v>
      </c>
      <c r="D6337" t="str">
        <f>"Double Ecstasy EP"</f>
        <v>Double Ecstasy EP</v>
      </c>
    </row>
    <row r="6338" spans="1:4" x14ac:dyDescent="0.2">
      <c r="A6338" t="str">
        <f>"6337"</f>
        <v>6337</v>
      </c>
      <c r="B6338" t="str">
        <f>"-0.79"</f>
        <v>-0.79</v>
      </c>
      <c r="C6338" t="str">
        <f>"21"</f>
        <v>21</v>
      </c>
      <c r="D6338" t="str">
        <f>"Too Many Voices"</f>
        <v>Too Many Voices</v>
      </c>
    </row>
    <row r="6339" spans="1:4" x14ac:dyDescent="0.2">
      <c r="A6339" t="str">
        <f>"6338"</f>
        <v>6338</v>
      </c>
      <c r="B6339" t="str">
        <f>"0.59"</f>
        <v>0.59</v>
      </c>
      <c r="C6339" t="str">
        <f>"61"</f>
        <v>61</v>
      </c>
      <c r="D6339" t="str">
        <f>"At Last!"</f>
        <v>At Last!</v>
      </c>
    </row>
    <row r="6340" spans="1:4" x14ac:dyDescent="0.2">
      <c r="A6340" t="str">
        <f>"6339"</f>
        <v>6339</v>
      </c>
      <c r="B6340" t="str">
        <f>"-0.07"</f>
        <v>-0.07</v>
      </c>
      <c r="C6340" t="str">
        <f>"54"</f>
        <v>54</v>
      </c>
      <c r="D6340" t="str">
        <f>"Bergtatt"</f>
        <v>Bergtatt</v>
      </c>
    </row>
    <row r="6341" spans="1:4" x14ac:dyDescent="0.2">
      <c r="A6341" t="str">
        <f>"6340"</f>
        <v>6340</v>
      </c>
      <c r="B6341" t="str">
        <f>"-0.08"</f>
        <v>-0.08</v>
      </c>
      <c r="C6341" t="str">
        <f>"28"</f>
        <v>28</v>
      </c>
      <c r="D6341" t="str">
        <f>"Dolls of Highland"</f>
        <v>Dolls of Highland</v>
      </c>
    </row>
    <row r="6342" spans="1:4" x14ac:dyDescent="0.2">
      <c r="A6342" t="str">
        <f>"6341"</f>
        <v>6341</v>
      </c>
      <c r="B6342" t="str">
        <f>"-1.01"</f>
        <v>-1.01</v>
      </c>
      <c r="C6342" t="str">
        <f>"23"</f>
        <v>23</v>
      </c>
      <c r="D6342" t="str">
        <f>"Delusions of Grand Fur"</f>
        <v>Delusions of Grand Fur</v>
      </c>
    </row>
    <row r="6343" spans="1:4" x14ac:dyDescent="0.2">
      <c r="A6343" t="str">
        <f>"6342"</f>
        <v>6342</v>
      </c>
      <c r="B6343" t="str">
        <f>"0.47"</f>
        <v>0.47</v>
      </c>
      <c r="C6343" t="str">
        <f>"35"</f>
        <v>35</v>
      </c>
      <c r="D6343" t="str">
        <f>"Lost Themes II"</f>
        <v>Lost Themes II</v>
      </c>
    </row>
    <row r="6344" spans="1:4" x14ac:dyDescent="0.2">
      <c r="A6344" t="str">
        <f>"6343"</f>
        <v>6343</v>
      </c>
      <c r="B6344" t="str">
        <f>"0.97"</f>
        <v>0.97</v>
      </c>
      <c r="C6344" t="str">
        <f>"49"</f>
        <v>49</v>
      </c>
      <c r="D6344" t="str">
        <f>"Some Other Time: the Lost Session from the Black Forest"</f>
        <v>Some Other Time: the Lost Session from the Black Forest</v>
      </c>
    </row>
    <row r="6345" spans="1:4" x14ac:dyDescent="0.2">
      <c r="A6345" t="str">
        <f>"6344"</f>
        <v>6344</v>
      </c>
      <c r="B6345" t="str">
        <f>"-0.74"</f>
        <v>-0.74</v>
      </c>
      <c r="C6345" t="str">
        <f>"35"</f>
        <v>35</v>
      </c>
      <c r="D6345" t="str">
        <f>"Rosecrans"</f>
        <v>Rosecrans</v>
      </c>
    </row>
    <row r="6346" spans="1:4" x14ac:dyDescent="0.2">
      <c r="A6346" t="str">
        <f>"6345"</f>
        <v>6345</v>
      </c>
      <c r="B6346" t="str">
        <f>"1.51"</f>
        <v>1.51</v>
      </c>
      <c r="C6346" t="str">
        <f>"21"</f>
        <v>21</v>
      </c>
      <c r="D6346" t="str">
        <f>"Waltzed in from the Rumbling"</f>
        <v>Waltzed in from the Rumbling</v>
      </c>
    </row>
    <row r="6347" spans="1:4" x14ac:dyDescent="0.2">
      <c r="A6347" t="str">
        <f>"6346"</f>
        <v>6346</v>
      </c>
      <c r="B6347" t="str">
        <f>"0.08"</f>
        <v>0.08</v>
      </c>
      <c r="C6347" t="str">
        <f>"64"</f>
        <v>64</v>
      </c>
      <c r="D6347" t="str">
        <f>"Blood Visions"</f>
        <v>Blood Visions</v>
      </c>
    </row>
    <row r="6348" spans="1:4" x14ac:dyDescent="0.2">
      <c r="A6348" t="str">
        <f>"6347"</f>
        <v>6347</v>
      </c>
      <c r="B6348" t="str">
        <f>"0.05"</f>
        <v>0.05</v>
      </c>
      <c r="C6348" t="str">
        <f>"25"</f>
        <v>25</v>
      </c>
      <c r="D6348" t="str">
        <f>"Konono N°1 Meets Batida"</f>
        <v>Konono N°1 Meets Batida</v>
      </c>
    </row>
    <row r="6349" spans="1:4" x14ac:dyDescent="0.2">
      <c r="A6349" t="str">
        <f>"6348"</f>
        <v>6348</v>
      </c>
      <c r="B6349" t="str">
        <f>"-0.75"</f>
        <v>-0.75</v>
      </c>
      <c r="C6349" t="str">
        <f>"19"</f>
        <v>19</v>
      </c>
      <c r="D6349" t="str">
        <f>"The Future of Death"</f>
        <v>The Future of Death</v>
      </c>
    </row>
    <row r="6350" spans="1:4" x14ac:dyDescent="0.2">
      <c r="A6350" t="str">
        <f>"6349"</f>
        <v>6349</v>
      </c>
      <c r="B6350" t="str">
        <f>"0.61"</f>
        <v>0.61</v>
      </c>
      <c r="C6350" t="str">
        <f>"35"</f>
        <v>35</v>
      </c>
      <c r="D6350" t="str">
        <f>"It Kindly Stopped for Me"</f>
        <v>It Kindly Stopped for Me</v>
      </c>
    </row>
    <row r="6351" spans="1:4" x14ac:dyDescent="0.2">
      <c r="A6351" t="str">
        <f>"6350"</f>
        <v>6350</v>
      </c>
      <c r="B6351" t="str">
        <f>"0.42"</f>
        <v>0.42</v>
      </c>
      <c r="C6351" t="str">
        <f>"31"</f>
        <v>31</v>
      </c>
      <c r="D6351" t="str">
        <f>"Please Be Honest"</f>
        <v>Please Be Honest</v>
      </c>
    </row>
    <row r="6352" spans="1:4" x14ac:dyDescent="0.2">
      <c r="A6352" t="str">
        <f>"6351"</f>
        <v>6351</v>
      </c>
      <c r="B6352" t="str">
        <f>"1.04"</f>
        <v>1.04</v>
      </c>
      <c r="C6352" t="str">
        <f>"40"</f>
        <v>40</v>
      </c>
      <c r="D6352" t="str">
        <f>"Tower of Meaning"</f>
        <v>Tower of Meaning</v>
      </c>
    </row>
    <row r="6353" spans="1:4" x14ac:dyDescent="0.2">
      <c r="A6353" t="str">
        <f>"6352"</f>
        <v>6352</v>
      </c>
      <c r="B6353" t="str">
        <f>"0.58"</f>
        <v>0.58</v>
      </c>
      <c r="C6353" t="str">
        <f>"24"</f>
        <v>24</v>
      </c>
      <c r="D6353" t="str">
        <f>"Phases"</f>
        <v>Phases</v>
      </c>
    </row>
    <row r="6354" spans="1:4" x14ac:dyDescent="0.2">
      <c r="A6354" t="str">
        <f>"6353"</f>
        <v>6353</v>
      </c>
      <c r="B6354" t="str">
        <f>"0.52"</f>
        <v>0.52</v>
      </c>
      <c r="C6354" t="str">
        <f>"33"</f>
        <v>33</v>
      </c>
      <c r="D6354" t="str">
        <f>"Yoyogi Park"</f>
        <v>Yoyogi Park</v>
      </c>
    </row>
    <row r="6355" spans="1:4" x14ac:dyDescent="0.2">
      <c r="A6355" t="str">
        <f>"6354"</f>
        <v>6354</v>
      </c>
      <c r="B6355" t="str">
        <f>"0.08"</f>
        <v>0.08</v>
      </c>
      <c r="C6355" t="str">
        <f>"48"</f>
        <v>48</v>
      </c>
      <c r="D6355" t="str">
        <f>"The Diary"</f>
        <v>The Diary</v>
      </c>
    </row>
    <row r="6356" spans="1:4" x14ac:dyDescent="0.2">
      <c r="A6356" t="str">
        <f>"6355"</f>
        <v>6355</v>
      </c>
      <c r="B6356" t="str">
        <f>"0.13"</f>
        <v>0.13</v>
      </c>
      <c r="C6356" t="str">
        <f>"33"</f>
        <v>33</v>
      </c>
      <c r="D6356" t="s">
        <v>235</v>
      </c>
    </row>
    <row r="6357" spans="1:4" x14ac:dyDescent="0.2">
      <c r="A6357" t="str">
        <f>"6356"</f>
        <v>6356</v>
      </c>
      <c r="B6357" t="str">
        <f>"0.75"</f>
        <v>0.75</v>
      </c>
      <c r="C6357" t="str">
        <f>"60"</f>
        <v>60</v>
      </c>
      <c r="D6357" t="s">
        <v>236</v>
      </c>
    </row>
    <row r="6358" spans="1:4" x14ac:dyDescent="0.2">
      <c r="A6358" t="str">
        <f>"6357"</f>
        <v>6357</v>
      </c>
      <c r="B6358" t="str">
        <f>"0.95"</f>
        <v>0.95</v>
      </c>
      <c r="C6358" t="str">
        <f>"28"</f>
        <v>28</v>
      </c>
      <c r="D6358" t="str">
        <f>"BIS: 001-020"</f>
        <v>BIS: 001-020</v>
      </c>
    </row>
    <row r="6359" spans="1:4" x14ac:dyDescent="0.2">
      <c r="A6359" t="str">
        <f>"6358"</f>
        <v>6358</v>
      </c>
      <c r="B6359" t="str">
        <f>"1.27"</f>
        <v>1.27</v>
      </c>
      <c r="C6359" t="str">
        <f>"29"</f>
        <v>29</v>
      </c>
      <c r="D6359" t="str">
        <f>"A Sailor's Guide to Earth"</f>
        <v>A Sailor's Guide to Earth</v>
      </c>
    </row>
    <row r="6360" spans="1:4" x14ac:dyDescent="0.2">
      <c r="A6360" t="str">
        <f>"6359"</f>
        <v>6359</v>
      </c>
      <c r="B6360" t="str">
        <f>"0.54"</f>
        <v>0.54</v>
      </c>
      <c r="C6360" t="str">
        <f>"32"</f>
        <v>32</v>
      </c>
      <c r="D6360" t="str">
        <f>"Blind Spot EP"</f>
        <v>Blind Spot EP</v>
      </c>
    </row>
    <row r="6361" spans="1:4" x14ac:dyDescent="0.2">
      <c r="A6361" t="str">
        <f>"6360"</f>
        <v>6360</v>
      </c>
      <c r="B6361" t="str">
        <f>"-0.16"</f>
        <v>-0.16</v>
      </c>
      <c r="C6361" t="str">
        <f>"26"</f>
        <v>26</v>
      </c>
      <c r="D6361" t="str">
        <f>"Become Alive"</f>
        <v>Become Alive</v>
      </c>
    </row>
    <row r="6362" spans="1:4" x14ac:dyDescent="0.2">
      <c r="A6362" t="str">
        <f>"6361"</f>
        <v>6361</v>
      </c>
      <c r="B6362" t="str">
        <f>"-0.63"</f>
        <v>-0.63</v>
      </c>
      <c r="C6362" t="str">
        <f>"51"</f>
        <v>51</v>
      </c>
      <c r="D6362" t="str">
        <f>"印象III : なんとなく、パブロ (Imagining “The Life of Pablo”)"</f>
        <v>印象III : なんとなく、パブロ (Imagining “The Life of Pablo”)</v>
      </c>
    </row>
    <row r="6363" spans="1:4" x14ac:dyDescent="0.2">
      <c r="A6363" t="str">
        <f>"6362"</f>
        <v>6362</v>
      </c>
      <c r="B6363" t="str">
        <f>"-0.8"</f>
        <v>-0.8</v>
      </c>
      <c r="C6363" t="str">
        <f>"27"</f>
        <v>27</v>
      </c>
      <c r="D6363" t="str">
        <f>"Sleep Cycle"</f>
        <v>Sleep Cycle</v>
      </c>
    </row>
    <row r="6364" spans="1:4" x14ac:dyDescent="0.2">
      <c r="A6364" t="str">
        <f>"6363"</f>
        <v>6363</v>
      </c>
      <c r="B6364" t="str">
        <f>"1.34"</f>
        <v>1.34</v>
      </c>
      <c r="C6364" t="str">
        <f>"25"</f>
        <v>25</v>
      </c>
      <c r="D6364" t="str">
        <f>"Love Letter for Fire"</f>
        <v>Love Letter for Fire</v>
      </c>
    </row>
    <row r="6365" spans="1:4" x14ac:dyDescent="0.2">
      <c r="A6365" t="str">
        <f>"6364"</f>
        <v>6364</v>
      </c>
      <c r="B6365" t="str">
        <f>"-0.31"</f>
        <v>-0.31</v>
      </c>
      <c r="C6365" t="str">
        <f>"17"</f>
        <v>17</v>
      </c>
      <c r="D6365" t="str">
        <f>"Welcome the Worms"</f>
        <v>Welcome the Worms</v>
      </c>
    </row>
    <row r="6366" spans="1:4" x14ac:dyDescent="0.2">
      <c r="A6366" t="str">
        <f>"6365"</f>
        <v>6365</v>
      </c>
      <c r="B6366" t="str">
        <f>"0.33"</f>
        <v>0.33</v>
      </c>
      <c r="C6366" t="str">
        <f>"28"</f>
        <v>28</v>
      </c>
      <c r="D6366" t="str">
        <f>"Don't Look Down"</f>
        <v>Don't Look Down</v>
      </c>
    </row>
    <row r="6367" spans="1:4" x14ac:dyDescent="0.2">
      <c r="A6367" t="str">
        <f>"6366"</f>
        <v>6366</v>
      </c>
      <c r="B6367" t="str">
        <f>"0.6"</f>
        <v>0.6</v>
      </c>
      <c r="C6367" t="str">
        <f>"31"</f>
        <v>31</v>
      </c>
      <c r="D6367" t="str">
        <f>"Missed Calls"</f>
        <v>Missed Calls</v>
      </c>
    </row>
    <row r="6368" spans="1:4" x14ac:dyDescent="0.2">
      <c r="A6368" t="str">
        <f>"6367"</f>
        <v>6367</v>
      </c>
      <c r="B6368" t="str">
        <f>"0.77"</f>
        <v>0.77</v>
      </c>
      <c r="C6368" t="str">
        <f>"34"</f>
        <v>34</v>
      </c>
      <c r="D6368" t="str">
        <f>"Singing Saw"</f>
        <v>Singing Saw</v>
      </c>
    </row>
    <row r="6369" spans="1:4" x14ac:dyDescent="0.2">
      <c r="A6369" t="str">
        <f>"6368"</f>
        <v>6368</v>
      </c>
      <c r="B6369" t="str">
        <f>"0.82"</f>
        <v>0.82</v>
      </c>
      <c r="C6369" t="str">
        <f>"36"</f>
        <v>36</v>
      </c>
      <c r="D6369" t="str">
        <f>"Sorrow - A Reimagining of Gorecki's 3rd Symphony"</f>
        <v>Sorrow - A Reimagining of Gorecki's 3rd Symphony</v>
      </c>
    </row>
    <row r="6370" spans="1:4" x14ac:dyDescent="0.2">
      <c r="A6370" t="str">
        <f>"6369"</f>
        <v>6369</v>
      </c>
      <c r="B6370" t="str">
        <f>"0.08"</f>
        <v>0.08</v>
      </c>
      <c r="C6370" t="str">
        <f>"27"</f>
        <v>27</v>
      </c>
      <c r="D6370" t="str">
        <f>"Layers"</f>
        <v>Layers</v>
      </c>
    </row>
    <row r="6371" spans="1:4" x14ac:dyDescent="0.2">
      <c r="A6371" t="str">
        <f>"6370"</f>
        <v>6370</v>
      </c>
      <c r="B6371" t="str">
        <f>"-0.38"</f>
        <v>-0.38</v>
      </c>
      <c r="C6371" t="str">
        <f>"37"</f>
        <v>37</v>
      </c>
      <c r="D6371" t="str">
        <f>"Crab Day"</f>
        <v>Crab Day</v>
      </c>
    </row>
    <row r="6372" spans="1:4" x14ac:dyDescent="0.2">
      <c r="A6372" t="str">
        <f>"6371"</f>
        <v>6371</v>
      </c>
      <c r="B6372" t="str">
        <f>"-0.04"</f>
        <v>-0.04</v>
      </c>
      <c r="C6372" t="str">
        <f>"27"</f>
        <v>27</v>
      </c>
      <c r="D6372" t="str">
        <f>"YYY EP"</f>
        <v>YYY EP</v>
      </c>
    </row>
    <row r="6373" spans="1:4" x14ac:dyDescent="0.2">
      <c r="A6373" t="str">
        <f>"6372"</f>
        <v>6372</v>
      </c>
      <c r="B6373" t="str">
        <f>"-1.08"</f>
        <v>-1.08</v>
      </c>
      <c r="C6373" t="str">
        <f>"64"</f>
        <v>64</v>
      </c>
      <c r="D6373" t="str">
        <f>"The Hope Six Demolition Project"</f>
        <v>The Hope Six Demolition Project</v>
      </c>
    </row>
    <row r="6374" spans="1:4" x14ac:dyDescent="0.2">
      <c r="A6374" t="str">
        <f>"6373"</f>
        <v>6373</v>
      </c>
      <c r="B6374" t="str">
        <f>"-0.3"</f>
        <v>-0.3</v>
      </c>
      <c r="C6374" t="str">
        <f>"36"</f>
        <v>36</v>
      </c>
      <c r="D6374" t="str">
        <f>"Plays the Music of Twin Peaks"</f>
        <v>Plays the Music of Twin Peaks</v>
      </c>
    </row>
    <row r="6375" spans="1:4" x14ac:dyDescent="0.2">
      <c r="A6375" t="str">
        <f>"6374"</f>
        <v>6374</v>
      </c>
      <c r="B6375" t="str">
        <f>"-0.39"</f>
        <v>-0.39</v>
      </c>
      <c r="C6375" t="str">
        <f>"29"</f>
        <v>29</v>
      </c>
      <c r="D6375" t="str">
        <f>"Year of the Rabbit"</f>
        <v>Year of the Rabbit</v>
      </c>
    </row>
    <row r="6376" spans="1:4" x14ac:dyDescent="0.2">
      <c r="A6376" t="str">
        <f>"6375"</f>
        <v>6375</v>
      </c>
      <c r="B6376" t="str">
        <f>"0.9"</f>
        <v>0.9</v>
      </c>
      <c r="C6376" t="str">
        <f>"23"</f>
        <v>23</v>
      </c>
      <c r="D6376" t="str">
        <f>"Fever Dream"</f>
        <v>Fever Dream</v>
      </c>
    </row>
    <row r="6377" spans="1:4" x14ac:dyDescent="0.2">
      <c r="A6377" t="str">
        <f>"6376"</f>
        <v>6376</v>
      </c>
      <c r="B6377" t="str">
        <f>"-1.22"</f>
        <v>-1.22</v>
      </c>
      <c r="C6377" t="str">
        <f>"29"</f>
        <v>29</v>
      </c>
      <c r="D6377" t="str">
        <f>"Controlling Body"</f>
        <v>Controlling Body</v>
      </c>
    </row>
    <row r="6378" spans="1:4" x14ac:dyDescent="0.2">
      <c r="A6378" t="str">
        <f>"6377"</f>
        <v>6377</v>
      </c>
      <c r="B6378" t="str">
        <f>"-0.73"</f>
        <v>-0.73</v>
      </c>
      <c r="C6378" t="str">
        <f>"64"</f>
        <v>64</v>
      </c>
      <c r="D6378" t="str">
        <f>"Kill 'Em All"</f>
        <v>Kill 'Em All</v>
      </c>
    </row>
    <row r="6379" spans="1:4" x14ac:dyDescent="0.2">
      <c r="A6379" t="str">
        <f>"6378"</f>
        <v>6378</v>
      </c>
      <c r="B6379" t="str">
        <f>"0.55"</f>
        <v>0.55</v>
      </c>
      <c r="C6379" t="str">
        <f>"27"</f>
        <v>27</v>
      </c>
      <c r="D6379" t="str">
        <f>"Everybody's Heart Is Broken Now"</f>
        <v>Everybody's Heart Is Broken Now</v>
      </c>
    </row>
    <row r="6380" spans="1:4" x14ac:dyDescent="0.2">
      <c r="A6380" t="str">
        <f>"6379"</f>
        <v>6379</v>
      </c>
      <c r="B6380" t="str">
        <f>"-0.29"</f>
        <v>-0.29</v>
      </c>
      <c r="C6380" t="str">
        <f>"30"</f>
        <v>30</v>
      </c>
      <c r="D6380" t="str">
        <f>"Nat Love"</f>
        <v>Nat Love</v>
      </c>
    </row>
    <row r="6381" spans="1:4" x14ac:dyDescent="0.2">
      <c r="A6381" t="str">
        <f>"6380"</f>
        <v>6380</v>
      </c>
      <c r="B6381" t="str">
        <f>"-0.61"</f>
        <v>-0.61</v>
      </c>
      <c r="C6381" t="str">
        <f>"38"</f>
        <v>38</v>
      </c>
      <c r="D6381" t="str">
        <f>"Outer Heaven"</f>
        <v>Outer Heaven</v>
      </c>
    </row>
    <row r="6382" spans="1:4" x14ac:dyDescent="0.2">
      <c r="A6382" t="str">
        <f>"6381"</f>
        <v>6381</v>
      </c>
      <c r="B6382" t="str">
        <f>"0.94"</f>
        <v>0.94</v>
      </c>
      <c r="C6382" t="str">
        <f>"32"</f>
        <v>32</v>
      </c>
      <c r="D6382" t="str">
        <f>"Commitment to Complications"</f>
        <v>Commitment to Complications</v>
      </c>
    </row>
    <row r="6383" spans="1:4" x14ac:dyDescent="0.2">
      <c r="A6383" t="str">
        <f>"6382"</f>
        <v>6382</v>
      </c>
      <c r="B6383" t="str">
        <f>"-0.78"</f>
        <v>-0.78</v>
      </c>
      <c r="C6383" t="str">
        <f>"29"</f>
        <v>29</v>
      </c>
      <c r="D6383" t="str">
        <f>"Gore"</f>
        <v>Gore</v>
      </c>
    </row>
    <row r="6384" spans="1:4" x14ac:dyDescent="0.2">
      <c r="A6384" t="str">
        <f>"6383"</f>
        <v>6383</v>
      </c>
      <c r="B6384" t="str">
        <f>"-0.27"</f>
        <v>-0.27</v>
      </c>
      <c r="C6384" t="str">
        <f>"28"</f>
        <v>28</v>
      </c>
      <c r="D6384" t="str">
        <f>"EARS"</f>
        <v>EARS</v>
      </c>
    </row>
    <row r="6385" spans="1:4" x14ac:dyDescent="0.2">
      <c r="A6385" t="str">
        <f>"6384"</f>
        <v>6384</v>
      </c>
      <c r="B6385" t="str">
        <f>"0.46"</f>
        <v>0.46</v>
      </c>
      <c r="C6385" t="str">
        <f>"32"</f>
        <v>32</v>
      </c>
      <c r="D6385" t="str">
        <f>"Standards"</f>
        <v>Standards</v>
      </c>
    </row>
    <row r="6386" spans="1:4" x14ac:dyDescent="0.2">
      <c r="A6386" t="str">
        <f>"6385"</f>
        <v>6385</v>
      </c>
      <c r="B6386" t="str">
        <f>"0.3"</f>
        <v>0.3</v>
      </c>
      <c r="C6386" t="str">
        <f>"33"</f>
        <v>33</v>
      </c>
      <c r="D6386" t="str">
        <f>"Ology"</f>
        <v>Ology</v>
      </c>
    </row>
    <row r="6387" spans="1:4" x14ac:dyDescent="0.2">
      <c r="A6387" t="str">
        <f>"6386"</f>
        <v>6386</v>
      </c>
      <c r="B6387" t="str">
        <f>"-0.17"</f>
        <v>-0.17</v>
      </c>
      <c r="C6387" t="str">
        <f>"27"</f>
        <v>27</v>
      </c>
      <c r="D6387" t="str">
        <f>"Psychic Lovers"</f>
        <v>Psychic Lovers</v>
      </c>
    </row>
    <row r="6388" spans="1:4" x14ac:dyDescent="0.2">
      <c r="A6388" t="str">
        <f>"6387"</f>
        <v>6387</v>
      </c>
      <c r="B6388" t="str">
        <f>"-0.49"</f>
        <v>-0.49</v>
      </c>
      <c r="C6388" t="str">
        <f>"34"</f>
        <v>34</v>
      </c>
      <c r="D6388" t="str">
        <f>"Junk"</f>
        <v>Junk</v>
      </c>
    </row>
    <row r="6389" spans="1:4" x14ac:dyDescent="0.2">
      <c r="A6389" t="str">
        <f>"6388"</f>
        <v>6388</v>
      </c>
      <c r="B6389" t="str">
        <f>"-0.6"</f>
        <v>-0.6</v>
      </c>
      <c r="C6389" t="str">
        <f>"39"</f>
        <v>39</v>
      </c>
      <c r="D6389" t="str">
        <f>"Afterlife"</f>
        <v>Afterlife</v>
      </c>
    </row>
    <row r="6390" spans="1:4" x14ac:dyDescent="0.2">
      <c r="A6390" t="str">
        <f>"6389"</f>
        <v>6389</v>
      </c>
      <c r="B6390" t="str">
        <f>"-0.71"</f>
        <v>-0.71</v>
      </c>
      <c r="C6390" t="str">
        <f>"36"</f>
        <v>36</v>
      </c>
      <c r="D6390" t="str">
        <f>"Painting of a Panic Attack"</f>
        <v>Painting of a Panic Attack</v>
      </c>
    </row>
    <row r="6391" spans="1:4" x14ac:dyDescent="0.2">
      <c r="A6391" t="str">
        <f>"6390"</f>
        <v>6390</v>
      </c>
      <c r="B6391" t="str">
        <f>"1.22"</f>
        <v>1.22</v>
      </c>
      <c r="C6391" t="str">
        <f>"29"</f>
        <v>29</v>
      </c>
      <c r="D6391" t="str">
        <f>"More Issues Than Vogue"</f>
        <v>More Issues Than Vogue</v>
      </c>
    </row>
    <row r="6392" spans="1:4" x14ac:dyDescent="0.2">
      <c r="A6392" t="str">
        <f>"6391"</f>
        <v>6391</v>
      </c>
      <c r="B6392" t="str">
        <f>"0.41"</f>
        <v>0.41</v>
      </c>
      <c r="C6392" t="str">
        <f>"20"</f>
        <v>20</v>
      </c>
      <c r="D6392" t="str">
        <f>"Azel"</f>
        <v>Azel</v>
      </c>
    </row>
    <row r="6393" spans="1:4" x14ac:dyDescent="0.2">
      <c r="A6393" t="str">
        <f>"6392"</f>
        <v>6392</v>
      </c>
      <c r="B6393" t="str">
        <f>"0.22"</f>
        <v>0.22</v>
      </c>
      <c r="C6393" t="str">
        <f>"68"</f>
        <v>68</v>
      </c>
      <c r="D6393" t="str">
        <f>"Human Performance"</f>
        <v>Human Performance</v>
      </c>
    </row>
    <row r="6394" spans="1:4" x14ac:dyDescent="0.2">
      <c r="A6394" t="str">
        <f>"6393"</f>
        <v>6393</v>
      </c>
      <c r="B6394" t="str">
        <f>"-0.84"</f>
        <v>-0.84</v>
      </c>
      <c r="C6394" t="str">
        <f>"21"</f>
        <v>21</v>
      </c>
      <c r="D6394" t="str">
        <f>"Atomic"</f>
        <v>Atomic</v>
      </c>
    </row>
    <row r="6395" spans="1:4" x14ac:dyDescent="0.2">
      <c r="A6395" t="str">
        <f>"6394"</f>
        <v>6394</v>
      </c>
      <c r="B6395" t="str">
        <f>"0.72"</f>
        <v>0.72</v>
      </c>
      <c r="C6395" t="str">
        <f>"36"</f>
        <v>36</v>
      </c>
      <c r="D6395" t="str">
        <f>"Velvet Portraits"</f>
        <v>Velvet Portraits</v>
      </c>
    </row>
    <row r="6396" spans="1:4" x14ac:dyDescent="0.2">
      <c r="A6396" t="str">
        <f>"6395"</f>
        <v>6395</v>
      </c>
      <c r="B6396" t="str">
        <f>"-0.1"</f>
        <v>-0.1</v>
      </c>
      <c r="C6396" t="str">
        <f>"28"</f>
        <v>28</v>
      </c>
      <c r="D6396" t="str">
        <f>"Lost Time"</f>
        <v>Lost Time</v>
      </c>
    </row>
    <row r="6397" spans="1:4" x14ac:dyDescent="0.2">
      <c r="A6397" t="str">
        <f>"6396"</f>
        <v>6396</v>
      </c>
      <c r="B6397" t="str">
        <f>"0.63"</f>
        <v>0.63</v>
      </c>
      <c r="C6397" t="str">
        <f>"49"</f>
        <v>49</v>
      </c>
      <c r="D6397" t="str">
        <f>"Djungelns Lag"</f>
        <v>Djungelns Lag</v>
      </c>
    </row>
    <row r="6398" spans="1:4" x14ac:dyDescent="0.2">
      <c r="A6398" t="str">
        <f>"6397"</f>
        <v>6397</v>
      </c>
      <c r="B6398" t="str">
        <f>"-0.5"</f>
        <v>-0.5</v>
      </c>
      <c r="C6398" t="str">
        <f>"42"</f>
        <v>42</v>
      </c>
      <c r="D6398" t="str">
        <f>"Love Streams"</f>
        <v>Love Streams</v>
      </c>
    </row>
    <row r="6399" spans="1:4" x14ac:dyDescent="0.2">
      <c r="A6399" t="str">
        <f>"6398"</f>
        <v>6398</v>
      </c>
      <c r="B6399" t="str">
        <f>"-0.19"</f>
        <v>-0.19</v>
      </c>
      <c r="C6399" t="str">
        <f>"23"</f>
        <v>23</v>
      </c>
      <c r="D6399" t="str">
        <f>"Interview 2016"</f>
        <v>Interview 2016</v>
      </c>
    </row>
    <row r="6400" spans="1:4" x14ac:dyDescent="0.2">
      <c r="A6400" t="str">
        <f>"6399"</f>
        <v>6399</v>
      </c>
      <c r="B6400" t="str">
        <f>"1.02"</f>
        <v>1.02</v>
      </c>
      <c r="C6400" t="str">
        <f>"23"</f>
        <v>23</v>
      </c>
      <c r="D6400" t="str">
        <f>"City Sun Eater in the River of Light"</f>
        <v>City Sun Eater in the River of Light</v>
      </c>
    </row>
    <row r="6401" spans="1:4" x14ac:dyDescent="0.2">
      <c r="A6401" t="str">
        <f>"6400"</f>
        <v>6400</v>
      </c>
      <c r="B6401" t="str">
        <f>"0.13"</f>
        <v>0.13</v>
      </c>
      <c r="C6401" t="str">
        <f>"32"</f>
        <v>32</v>
      </c>
      <c r="D6401" t="str">
        <f>"Twenty88"</f>
        <v>Twenty88</v>
      </c>
    </row>
    <row r="6402" spans="1:4" x14ac:dyDescent="0.2">
      <c r="A6402" t="str">
        <f>"6401"</f>
        <v>6401</v>
      </c>
      <c r="B6402" t="str">
        <f>"0.1"</f>
        <v>0.1</v>
      </c>
      <c r="C6402" t="str">
        <f>"28"</f>
        <v>28</v>
      </c>
      <c r="D6402" t="str">
        <f>"Further"</f>
        <v>Further</v>
      </c>
    </row>
    <row r="6403" spans="1:4" x14ac:dyDescent="0.2">
      <c r="A6403" t="str">
        <f>"6402"</f>
        <v>6402</v>
      </c>
      <c r="B6403" t="str">
        <f>"-0.05"</f>
        <v>-0.05</v>
      </c>
      <c r="C6403" t="str">
        <f>"38"</f>
        <v>38</v>
      </c>
      <c r="D6403" t="str">
        <f>"Halfaxa"</f>
        <v>Halfaxa</v>
      </c>
    </row>
    <row r="6404" spans="1:4" x14ac:dyDescent="0.2">
      <c r="A6404" t="str">
        <f>"6403"</f>
        <v>6403</v>
      </c>
      <c r="B6404" t="str">
        <f>"-0.13"</f>
        <v>-0.13</v>
      </c>
      <c r="C6404" t="str">
        <f>"24"</f>
        <v>24</v>
      </c>
      <c r="D6404" t="str">
        <f>"I AKA I"</f>
        <v>I AKA I</v>
      </c>
    </row>
    <row r="6405" spans="1:4" x14ac:dyDescent="0.2">
      <c r="A6405" t="str">
        <f>"6404"</f>
        <v>6404</v>
      </c>
      <c r="B6405" t="str">
        <f>"0.68"</f>
        <v>0.68</v>
      </c>
      <c r="C6405" t="str">
        <f>"47"</f>
        <v>47</v>
      </c>
      <c r="D6405" t="str">
        <f>"Are You Serious"</f>
        <v>Are You Serious</v>
      </c>
    </row>
    <row r="6406" spans="1:4" x14ac:dyDescent="0.2">
      <c r="A6406" t="str">
        <f>"6405"</f>
        <v>6405</v>
      </c>
      <c r="B6406" t="str">
        <f>"0.48"</f>
        <v>0.48</v>
      </c>
      <c r="C6406" t="str">
        <f>"34"</f>
        <v>34</v>
      </c>
      <c r="D6406" t="str">
        <f>"It's the Big Joyous Celebration"</f>
        <v>It's the Big Joyous Celebration</v>
      </c>
    </row>
    <row r="6407" spans="1:4" x14ac:dyDescent="0.2">
      <c r="A6407" t="str">
        <f>"6406"</f>
        <v>6406</v>
      </c>
      <c r="B6407" t="str">
        <f>"0.67"</f>
        <v>0.67</v>
      </c>
      <c r="C6407" t="str">
        <f>"33"</f>
        <v>33</v>
      </c>
      <c r="D6407" t="str">
        <f>"Old Locks and Irregular Verbs"</f>
        <v>Old Locks and Irregular Verbs</v>
      </c>
    </row>
    <row r="6408" spans="1:4" x14ac:dyDescent="0.2">
      <c r="A6408" t="str">
        <f>"6407"</f>
        <v>6407</v>
      </c>
      <c r="B6408" t="str">
        <f>"0.15"</f>
        <v>0.15</v>
      </c>
      <c r="C6408" t="str">
        <f>"55"</f>
        <v>55</v>
      </c>
      <c r="D6408" t="str">
        <f>"Sept. 5th"</f>
        <v>Sept. 5th</v>
      </c>
    </row>
    <row r="6409" spans="1:4" x14ac:dyDescent="0.2">
      <c r="A6409" t="str">
        <f>"6408"</f>
        <v>6408</v>
      </c>
      <c r="B6409" t="str">
        <f>"-0.1"</f>
        <v>-0.1</v>
      </c>
      <c r="C6409" t="str">
        <f>"32"</f>
        <v>32</v>
      </c>
      <c r="D6409" t="str">
        <f>"Amen &amp; Goodbye"</f>
        <v>Amen &amp; Goodbye</v>
      </c>
    </row>
    <row r="6410" spans="1:4" x14ac:dyDescent="0.2">
      <c r="A6410" t="str">
        <f>"6409"</f>
        <v>6409</v>
      </c>
      <c r="B6410" t="str">
        <f>"0.36"</f>
        <v>0.36</v>
      </c>
      <c r="C6410" t="str">
        <f>"41"</f>
        <v>41</v>
      </c>
      <c r="D6410" t="str">
        <f>"Everything You've Come to Expect"</f>
        <v>Everything You've Come to Expect</v>
      </c>
    </row>
    <row r="6411" spans="1:4" x14ac:dyDescent="0.2">
      <c r="A6411" t="str">
        <f>"6410"</f>
        <v>6410</v>
      </c>
      <c r="B6411" t="str">
        <f>"0.75"</f>
        <v>0.75</v>
      </c>
      <c r="C6411" t="str">
        <f>"21"</f>
        <v>21</v>
      </c>
      <c r="D6411" t="str">
        <f>"Pussy's Dead"</f>
        <v>Pussy's Dead</v>
      </c>
    </row>
    <row r="6412" spans="1:4" x14ac:dyDescent="0.2">
      <c r="A6412" t="str">
        <f>"6411"</f>
        <v>6411</v>
      </c>
      <c r="B6412" t="str">
        <f>"0.72"</f>
        <v>0.72</v>
      </c>
      <c r="C6412" t="str">
        <f>"30"</f>
        <v>30</v>
      </c>
      <c r="D6412" t="str">
        <f>"Patch the Sky"</f>
        <v>Patch the Sky</v>
      </c>
    </row>
    <row r="6413" spans="1:4" x14ac:dyDescent="0.2">
      <c r="A6413" t="str">
        <f>"6412"</f>
        <v>6412</v>
      </c>
      <c r="B6413" t="str">
        <f>"0.01"</f>
        <v>0.01</v>
      </c>
      <c r="C6413" t="str">
        <f>"41"</f>
        <v>41</v>
      </c>
      <c r="D6413" t="str">
        <f>"The Follower"</f>
        <v>The Follower</v>
      </c>
    </row>
    <row r="6414" spans="1:4" x14ac:dyDescent="0.2">
      <c r="A6414" t="str">
        <f>"6413"</f>
        <v>6413</v>
      </c>
      <c r="B6414" t="str">
        <f>"1.25"</f>
        <v>1.25</v>
      </c>
      <c r="C6414" t="str">
        <f>"33"</f>
        <v>33</v>
      </c>
      <c r="D6414" t="str">
        <f>"Rojus"</f>
        <v>Rojus</v>
      </c>
    </row>
    <row r="6415" spans="1:4" x14ac:dyDescent="0.2">
      <c r="A6415" t="str">
        <f>"6414"</f>
        <v>6414</v>
      </c>
      <c r="B6415" t="str">
        <f>"0.02"</f>
        <v>0.02</v>
      </c>
      <c r="C6415" t="str">
        <f>"34"</f>
        <v>34</v>
      </c>
      <c r="D6415" t="str">
        <f>"Super"</f>
        <v>Super</v>
      </c>
    </row>
    <row r="6416" spans="1:4" x14ac:dyDescent="0.2">
      <c r="A6416" t="str">
        <f>"6415"</f>
        <v>6415</v>
      </c>
      <c r="B6416" t="str">
        <f>"0.45"</f>
        <v>0.45</v>
      </c>
      <c r="C6416" t="str">
        <f>"44"</f>
        <v>44</v>
      </c>
      <c r="D6416" t="str">
        <f>"All Empires Fall"</f>
        <v>All Empires Fall</v>
      </c>
    </row>
    <row r="6417" spans="1:4" x14ac:dyDescent="0.2">
      <c r="A6417" t="str">
        <f>"6416"</f>
        <v>6416</v>
      </c>
      <c r="B6417" t="str">
        <f>"-0.09"</f>
        <v>-0.09</v>
      </c>
      <c r="C6417" t="str">
        <f>"21"</f>
        <v>21</v>
      </c>
      <c r="D6417" t="str">
        <f>"Silicon Tare EP"</f>
        <v>Silicon Tare EP</v>
      </c>
    </row>
    <row r="6418" spans="1:4" x14ac:dyDescent="0.2">
      <c r="A6418" t="str">
        <f>"6417"</f>
        <v>6417</v>
      </c>
      <c r="B6418" t="str">
        <f>"0.85"</f>
        <v>0.85</v>
      </c>
      <c r="C6418" t="str">
        <f>"33"</f>
        <v>33</v>
      </c>
      <c r="D6418" t="str">
        <f>"Next Thing"</f>
        <v>Next Thing</v>
      </c>
    </row>
    <row r="6419" spans="1:4" x14ac:dyDescent="0.2">
      <c r="A6419" t="str">
        <f>"6418"</f>
        <v>6418</v>
      </c>
      <c r="B6419" t="str">
        <f>"-0.36"</f>
        <v>-0.36</v>
      </c>
      <c r="C6419" t="str">
        <f>"28"</f>
        <v>28</v>
      </c>
      <c r="D6419" t="str">
        <f>"Eric Bachmann"</f>
        <v>Eric Bachmann</v>
      </c>
    </row>
    <row r="6420" spans="1:4" x14ac:dyDescent="0.2">
      <c r="A6420" t="str">
        <f>"6419"</f>
        <v>6419</v>
      </c>
      <c r="B6420" t="str">
        <f>"0.65"</f>
        <v>0.65</v>
      </c>
      <c r="C6420" t="str">
        <f>"24"</f>
        <v>24</v>
      </c>
      <c r="D6420" t="str">
        <f>"The Rebellion Sessions"</f>
        <v>The Rebellion Sessions</v>
      </c>
    </row>
    <row r="6421" spans="1:4" x14ac:dyDescent="0.2">
      <c r="A6421" t="str">
        <f>"6420"</f>
        <v>6420</v>
      </c>
      <c r="B6421" t="str">
        <f>"-0.6"</f>
        <v>-0.6</v>
      </c>
      <c r="C6421" t="str">
        <f>"30"</f>
        <v>30</v>
      </c>
      <c r="D6421" t="str">
        <f>""</f>
        <v/>
      </c>
    </row>
    <row r="6422" spans="1:4" x14ac:dyDescent="0.2">
      <c r="A6422" t="str">
        <f>"6421"</f>
        <v>6421</v>
      </c>
      <c r="B6422" t="str">
        <f>"0.58"</f>
        <v>0.58</v>
      </c>
      <c r="C6422" t="str">
        <f>"38"</f>
        <v>38</v>
      </c>
      <c r="D6422" t="str">
        <f>"Fleeting"</f>
        <v>Fleeting</v>
      </c>
    </row>
    <row r="6423" spans="1:4" x14ac:dyDescent="0.2">
      <c r="A6423" t="str">
        <f>"6422"</f>
        <v>6422</v>
      </c>
      <c r="B6423" t="str">
        <f>"0.52"</f>
        <v>0.52</v>
      </c>
      <c r="C6423" t="str">
        <f>"21"</f>
        <v>21</v>
      </c>
      <c r="D6423" t="str">
        <f>"Slay-Z"</f>
        <v>Slay-Z</v>
      </c>
    </row>
    <row r="6424" spans="1:4" x14ac:dyDescent="0.2">
      <c r="A6424" t="str">
        <f>"6423"</f>
        <v>6423</v>
      </c>
      <c r="B6424" t="str">
        <f>"1.15"</f>
        <v>1.15</v>
      </c>
      <c r="C6424" t="str">
        <f>"30"</f>
        <v>30</v>
      </c>
      <c r="D6424" t="str">
        <f>"Changes"</f>
        <v>Changes</v>
      </c>
    </row>
    <row r="6425" spans="1:4" x14ac:dyDescent="0.2">
      <c r="A6425" t="str">
        <f>"6424"</f>
        <v>6424</v>
      </c>
      <c r="B6425" t="str">
        <f>"-0.14"</f>
        <v>-0.14</v>
      </c>
      <c r="C6425" t="str">
        <f>"26"</f>
        <v>26</v>
      </c>
      <c r="D6425" t="str">
        <f>"IV"</f>
        <v>IV</v>
      </c>
    </row>
    <row r="6426" spans="1:4" x14ac:dyDescent="0.2">
      <c r="A6426" t="str">
        <f>"6425"</f>
        <v>6425</v>
      </c>
      <c r="B6426" t="str">
        <f>"0.19"</f>
        <v>0.19</v>
      </c>
      <c r="C6426" t="str">
        <f>"39"</f>
        <v>39</v>
      </c>
      <c r="D6426" t="str">
        <f>"Three Men and a Baby"</f>
        <v>Three Men and a Baby</v>
      </c>
    </row>
    <row r="6427" spans="1:4" x14ac:dyDescent="0.2">
      <c r="A6427" t="str">
        <f>"6426"</f>
        <v>6426</v>
      </c>
      <c r="B6427" t="str">
        <f>"0.31"</f>
        <v>0.31</v>
      </c>
      <c r="C6427" t="str">
        <f>"30"</f>
        <v>30</v>
      </c>
      <c r="D6427" t="s">
        <v>237</v>
      </c>
    </row>
    <row r="6428" spans="1:4" x14ac:dyDescent="0.2">
      <c r="A6428" t="str">
        <f>"6427"</f>
        <v>6427</v>
      </c>
      <c r="B6428" t="str">
        <f>"-0.27"</f>
        <v>-0.27</v>
      </c>
      <c r="C6428" t="str">
        <f>"38"</f>
        <v>38</v>
      </c>
      <c r="D6428" t="str">
        <f>"Weezer (White Album)"</f>
        <v>Weezer (White Album)</v>
      </c>
    </row>
    <row r="6429" spans="1:4" x14ac:dyDescent="0.2">
      <c r="A6429" t="str">
        <f>"6428"</f>
        <v>6428</v>
      </c>
      <c r="B6429" t="str">
        <f>"0.41"</f>
        <v>0.41</v>
      </c>
      <c r="C6429" t="str">
        <f>"31"</f>
        <v>31</v>
      </c>
      <c r="D6429" t="str">
        <f>"Slime Season 3"</f>
        <v>Slime Season 3</v>
      </c>
    </row>
    <row r="6430" spans="1:4" x14ac:dyDescent="0.2">
      <c r="A6430" t="str">
        <f>"6429"</f>
        <v>6429</v>
      </c>
      <c r="B6430" t="str">
        <f>"0.65"</f>
        <v>0.65</v>
      </c>
      <c r="C6430" t="str">
        <f>"32"</f>
        <v>32</v>
      </c>
      <c r="D6430" t="str">
        <f>"A Mineral Love"</f>
        <v>A Mineral Love</v>
      </c>
    </row>
    <row r="6431" spans="1:4" x14ac:dyDescent="0.2">
      <c r="A6431" t="str">
        <f>"6430"</f>
        <v>6430</v>
      </c>
      <c r="B6431" t="str">
        <f>"0.65"</f>
        <v>0.65</v>
      </c>
      <c r="C6431" t="str">
        <f>"36"</f>
        <v>36</v>
      </c>
      <c r="D6431" t="str">
        <f>"Empire Builder"</f>
        <v>Empire Builder</v>
      </c>
    </row>
    <row r="6432" spans="1:4" x14ac:dyDescent="0.2">
      <c r="A6432" t="str">
        <f>"6431"</f>
        <v>6431</v>
      </c>
      <c r="B6432" t="str">
        <f>"1.02"</f>
        <v>1.02</v>
      </c>
      <c r="C6432" t="str">
        <f>"32"</f>
        <v>32</v>
      </c>
      <c r="D6432" t="str">
        <f>"Living Life Golden"</f>
        <v>Living Life Golden</v>
      </c>
    </row>
    <row r="6433" spans="1:4" x14ac:dyDescent="0.2">
      <c r="A6433" t="str">
        <f>"6432"</f>
        <v>6432</v>
      </c>
      <c r="B6433" t="str">
        <f>"-0.35"</f>
        <v>-0.35</v>
      </c>
      <c r="C6433" t="str">
        <f>"35"</f>
        <v>35</v>
      </c>
      <c r="D6433" t="str">
        <f>"Mind of Mine"</f>
        <v>Mind of Mine</v>
      </c>
    </row>
    <row r="6434" spans="1:4" x14ac:dyDescent="0.2">
      <c r="A6434" t="str">
        <f>"6433"</f>
        <v>6433</v>
      </c>
      <c r="B6434" t="str">
        <f>"0.09"</f>
        <v>0.09</v>
      </c>
      <c r="C6434" t="str">
        <f>"23"</f>
        <v>23</v>
      </c>
      <c r="D6434" t="str">
        <f>"III (Moderat)"</f>
        <v>III (Moderat)</v>
      </c>
    </row>
    <row r="6435" spans="1:4" x14ac:dyDescent="0.2">
      <c r="A6435" t="str">
        <f>"6434"</f>
        <v>6434</v>
      </c>
      <c r="B6435" t="str">
        <f>"-0.14"</f>
        <v>-0.14</v>
      </c>
      <c r="C6435" t="str">
        <f>"34"</f>
        <v>34</v>
      </c>
      <c r="D6435" t="str">
        <f>"Venis"</f>
        <v>Venis</v>
      </c>
    </row>
    <row r="6436" spans="1:4" x14ac:dyDescent="0.2">
      <c r="A6436" t="str">
        <f>"6435"</f>
        <v>6435</v>
      </c>
      <c r="B6436" t="str">
        <f>"-0.26"</f>
        <v>-0.26</v>
      </c>
      <c r="C6436" t="str">
        <f>"37"</f>
        <v>37</v>
      </c>
      <c r="D6436" t="str">
        <f>"Psychopomp"</f>
        <v>Psychopomp</v>
      </c>
    </row>
    <row r="6437" spans="1:4" x14ac:dyDescent="0.2">
      <c r="A6437" t="str">
        <f>"6436"</f>
        <v>6436</v>
      </c>
      <c r="B6437" t="str">
        <f>"-0.23"</f>
        <v>-0.23</v>
      </c>
      <c r="C6437" t="str">
        <f>"30"</f>
        <v>30</v>
      </c>
      <c r="D6437" t="str">
        <f>"The Terminator OST"</f>
        <v>The Terminator OST</v>
      </c>
    </row>
    <row r="6438" spans="1:4" x14ac:dyDescent="0.2">
      <c r="A6438" t="str">
        <f>"6437"</f>
        <v>6437</v>
      </c>
      <c r="B6438" t="str">
        <f>"0.16"</f>
        <v>0.16</v>
      </c>
      <c r="C6438" t="str">
        <f>"32"</f>
        <v>32</v>
      </c>
      <c r="D6438" t="str">
        <f>"The Wilderness"</f>
        <v>The Wilderness</v>
      </c>
    </row>
    <row r="6439" spans="1:4" x14ac:dyDescent="0.2">
      <c r="A6439" t="str">
        <f>"6438"</f>
        <v>6438</v>
      </c>
      <c r="B6439" t="str">
        <f>"0.56"</f>
        <v>0.56</v>
      </c>
      <c r="C6439" t="str">
        <f>"29"</f>
        <v>29</v>
      </c>
      <c r="D6439" t="str">
        <f>"Dame Fortune"</f>
        <v>Dame Fortune</v>
      </c>
    </row>
    <row r="6440" spans="1:4" x14ac:dyDescent="0.2">
      <c r="A6440" t="str">
        <f>"6439"</f>
        <v>6439</v>
      </c>
      <c r="B6440" t="str">
        <f>"-0.44"</f>
        <v>-0.44</v>
      </c>
      <c r="C6440" t="str">
        <f>"26"</f>
        <v>26</v>
      </c>
      <c r="D6440" t="str">
        <f>"Genesis"</f>
        <v>Genesis</v>
      </c>
    </row>
    <row r="6441" spans="1:4" x14ac:dyDescent="0.2">
      <c r="A6441" t="str">
        <f>"6440"</f>
        <v>6440</v>
      </c>
      <c r="B6441" t="str">
        <f>"0.45"</f>
        <v>0.45</v>
      </c>
      <c r="C6441" t="str">
        <f>"91"</f>
        <v>91</v>
      </c>
      <c r="D6441" t="str">
        <f>"3 Compositions (EEMHM) 2011"</f>
        <v>3 Compositions (EEMHM) 2011</v>
      </c>
    </row>
    <row r="6442" spans="1:4" x14ac:dyDescent="0.2">
      <c r="A6442" t="str">
        <f>"6441"</f>
        <v>6441</v>
      </c>
      <c r="B6442" t="str">
        <f>"-0.84"</f>
        <v>-0.84</v>
      </c>
      <c r="C6442" t="str">
        <f>"28"</f>
        <v>28</v>
      </c>
      <c r="D6442" t="str">
        <f>"Wuthering Drum"</f>
        <v>Wuthering Drum</v>
      </c>
    </row>
    <row r="6443" spans="1:4" x14ac:dyDescent="0.2">
      <c r="A6443" t="str">
        <f>"6442"</f>
        <v>6442</v>
      </c>
      <c r="B6443" t="str">
        <f>"1.01"</f>
        <v>1.01</v>
      </c>
      <c r="C6443" t="str">
        <f>"39"</f>
        <v>39</v>
      </c>
      <c r="D6443" t="str">
        <f>"Genius of Time"</f>
        <v>Genius of Time</v>
      </c>
    </row>
    <row r="6444" spans="1:4" x14ac:dyDescent="0.2">
      <c r="A6444" t="str">
        <f>"6443"</f>
        <v>6443</v>
      </c>
      <c r="B6444" t="str">
        <f>"-0.85"</f>
        <v>-0.85</v>
      </c>
      <c r="C6444" t="str">
        <f>"49"</f>
        <v>49</v>
      </c>
      <c r="D6444" t="str">
        <f>"Slow Forever"</f>
        <v>Slow Forever</v>
      </c>
    </row>
    <row r="6445" spans="1:4" x14ac:dyDescent="0.2">
      <c r="A6445" t="str">
        <f>"6444"</f>
        <v>6444</v>
      </c>
      <c r="B6445" t="str">
        <f>"0.48"</f>
        <v>0.48</v>
      </c>
      <c r="C6445" t="str">
        <f>"27"</f>
        <v>27</v>
      </c>
      <c r="D6445" t="str">
        <f>"Scenes 2012-2015"</f>
        <v>Scenes 2012-2015</v>
      </c>
    </row>
    <row r="6446" spans="1:4" x14ac:dyDescent="0.2">
      <c r="A6446" t="str">
        <f>"6445"</f>
        <v>6445</v>
      </c>
      <c r="B6446" t="str">
        <f>"-1.24"</f>
        <v>-1.24</v>
      </c>
      <c r="C6446" t="str">
        <f>"37"</f>
        <v>37</v>
      </c>
      <c r="D6446" t="str">
        <f>"BBF Hosted by DJ Escrow"</f>
        <v>BBF Hosted by DJ Escrow</v>
      </c>
    </row>
    <row r="6447" spans="1:4" x14ac:dyDescent="0.2">
      <c r="A6447" t="str">
        <f>"6446"</f>
        <v>6446</v>
      </c>
      <c r="B6447" t="str">
        <f>"-0.28"</f>
        <v>-0.28</v>
      </c>
      <c r="C6447" t="str">
        <f>"25"</f>
        <v>25</v>
      </c>
      <c r="D6447" t="str">
        <f>"Kouen Kyoudai"</f>
        <v>Kouen Kyoudai</v>
      </c>
    </row>
    <row r="6448" spans="1:4" x14ac:dyDescent="0.2">
      <c r="A6448" t="str">
        <f>"6447"</f>
        <v>6447</v>
      </c>
      <c r="B6448" t="str">
        <f>"1.13"</f>
        <v>1.13</v>
      </c>
      <c r="C6448" t="str">
        <f>"32"</f>
        <v>32</v>
      </c>
      <c r="D6448" t="str">
        <f>"A Good Night in the Ghetto"</f>
        <v>A Good Night in the Ghetto</v>
      </c>
    </row>
    <row r="6449" spans="1:4" x14ac:dyDescent="0.2">
      <c r="A6449" t="str">
        <f>"6448"</f>
        <v>6448</v>
      </c>
      <c r="B6449" t="str">
        <f>"-0.27"</f>
        <v>-0.27</v>
      </c>
      <c r="C6449" t="str">
        <f>"22"</f>
        <v>22</v>
      </c>
      <c r="D6449" t="str">
        <f>"We Disappear"</f>
        <v>We Disappear</v>
      </c>
    </row>
    <row r="6450" spans="1:4" x14ac:dyDescent="0.2">
      <c r="A6450" t="str">
        <f>"6449"</f>
        <v>6449</v>
      </c>
      <c r="B6450" t="str">
        <f>"-1.64"</f>
        <v>-1.64</v>
      </c>
      <c r="C6450" t="str">
        <f>"32"</f>
        <v>32</v>
      </c>
      <c r="D6450" t="str">
        <f>"I'm a Piece of Shit"</f>
        <v>I'm a Piece of Shit</v>
      </c>
    </row>
    <row r="6451" spans="1:4" x14ac:dyDescent="0.2">
      <c r="A6451" t="str">
        <f>"6450"</f>
        <v>6450</v>
      </c>
      <c r="B6451" t="str">
        <f>"-0.13"</f>
        <v>-0.13</v>
      </c>
      <c r="C6451" t="str">
        <f>"22"</f>
        <v>22</v>
      </c>
      <c r="D6451" t="str">
        <f>"Midwest Farmer's Daughter"</f>
        <v>Midwest Farmer's Daughter</v>
      </c>
    </row>
    <row r="6452" spans="1:4" x14ac:dyDescent="0.2">
      <c r="A6452" t="str">
        <f>"6451"</f>
        <v>6451</v>
      </c>
      <c r="B6452" t="str">
        <f>"-0.83"</f>
        <v>-0.83</v>
      </c>
      <c r="C6452" t="str">
        <f>"43"</f>
        <v>43</v>
      </c>
      <c r="D6452" t="str">
        <f>"AS EP"</f>
        <v>AS EP</v>
      </c>
    </row>
    <row r="6453" spans="1:4" x14ac:dyDescent="0.2">
      <c r="A6453" t="str">
        <f>"6452"</f>
        <v>6452</v>
      </c>
      <c r="B6453" t="str">
        <f>"0.85"</f>
        <v>0.85</v>
      </c>
      <c r="C6453" t="str">
        <f>"37"</f>
        <v>37</v>
      </c>
      <c r="D6453" t="str">
        <f>"A Cosmic Rhythm With Each Stroke"</f>
        <v>A Cosmic Rhythm With Each Stroke</v>
      </c>
    </row>
    <row r="6454" spans="1:4" x14ac:dyDescent="0.2">
      <c r="A6454" t="str">
        <f>"6453"</f>
        <v>6453</v>
      </c>
      <c r="B6454" t="str">
        <f>"0.24"</f>
        <v>0.24</v>
      </c>
      <c r="C6454" t="str">
        <f>"29"</f>
        <v>29</v>
      </c>
      <c r="D6454" t="str">
        <f>"Vroom Vroom EP"</f>
        <v>Vroom Vroom EP</v>
      </c>
    </row>
    <row r="6455" spans="1:4" x14ac:dyDescent="0.2">
      <c r="A6455" t="str">
        <f>"6454"</f>
        <v>6454</v>
      </c>
      <c r="B6455" t="str">
        <f>"0.3"</f>
        <v>0.3</v>
      </c>
      <c r="C6455" t="str">
        <f>"44"</f>
        <v>44</v>
      </c>
      <c r="D6455" t="str">
        <f>"Aa"</f>
        <v>Aa</v>
      </c>
    </row>
    <row r="6456" spans="1:4" x14ac:dyDescent="0.2">
      <c r="A6456" t="str">
        <f>"6455"</f>
        <v>6455</v>
      </c>
      <c r="B6456" t="str">
        <f>"-0.48"</f>
        <v>-0.48</v>
      </c>
      <c r="C6456" t="str">
        <f>"16"</f>
        <v>16</v>
      </c>
      <c r="D6456" t="str">
        <f>"Thug Talk"</f>
        <v>Thug Talk</v>
      </c>
    </row>
    <row r="6457" spans="1:4" x14ac:dyDescent="0.2">
      <c r="A6457" t="str">
        <f>"6456"</f>
        <v>6456</v>
      </c>
      <c r="B6457" t="str">
        <f>"0.42"</f>
        <v>0.42</v>
      </c>
      <c r="C6457" t="str">
        <f>"27"</f>
        <v>27</v>
      </c>
      <c r="D6457" t="str">
        <f>"Crucial EP"</f>
        <v>Crucial EP</v>
      </c>
    </row>
    <row r="6458" spans="1:4" x14ac:dyDescent="0.2">
      <c r="A6458" t="str">
        <f>"6457"</f>
        <v>6457</v>
      </c>
      <c r="B6458" t="str">
        <f>"-0.15"</f>
        <v>-0.15</v>
      </c>
      <c r="C6458" t="str">
        <f>"25"</f>
        <v>25</v>
      </c>
      <c r="D6458" t="str">
        <f>"Drink More Water 6"</f>
        <v>Drink More Water 6</v>
      </c>
    </row>
    <row r="6459" spans="1:4" x14ac:dyDescent="0.2">
      <c r="A6459" t="str">
        <f>"6458"</f>
        <v>6458</v>
      </c>
      <c r="B6459" t="str">
        <f>"0.64"</f>
        <v>0.64</v>
      </c>
      <c r="C6459" t="str">
        <f>"38"</f>
        <v>38</v>
      </c>
      <c r="D6459" t="str">
        <f>"Hitch"</f>
        <v>Hitch</v>
      </c>
    </row>
    <row r="6460" spans="1:4" x14ac:dyDescent="0.2">
      <c r="A6460" t="str">
        <f>"6459"</f>
        <v>6459</v>
      </c>
      <c r="B6460" t="str">
        <f>"0.77"</f>
        <v>0.77</v>
      </c>
      <c r="C6460" t="str">
        <f>"29"</f>
        <v>29</v>
      </c>
      <c r="D6460" t="str">
        <f>"Good Grief"</f>
        <v>Good Grief</v>
      </c>
    </row>
    <row r="6461" spans="1:4" x14ac:dyDescent="0.2">
      <c r="A6461" t="str">
        <f>"6460"</f>
        <v>6460</v>
      </c>
      <c r="B6461" t="str">
        <f>"-1.36"</f>
        <v>-1.36</v>
      </c>
      <c r="C6461" t="str">
        <f>"17"</f>
        <v>17</v>
      </c>
      <c r="D6461" t="str">
        <f>"One Day You Will Ache Like I Ache"</f>
        <v>One Day You Will Ache Like I Ache</v>
      </c>
    </row>
    <row r="6462" spans="1:4" x14ac:dyDescent="0.2">
      <c r="A6462" t="str">
        <f>"6461"</f>
        <v>6461</v>
      </c>
      <c r="B6462" t="str">
        <f>"-0.57"</f>
        <v>-0.57</v>
      </c>
      <c r="C6462" t="str">
        <f>"34"</f>
        <v>34</v>
      </c>
      <c r="D6462" t="str">
        <f>"Grapefruit"</f>
        <v>Grapefruit</v>
      </c>
    </row>
    <row r="6463" spans="1:4" x14ac:dyDescent="0.2">
      <c r="A6463" t="str">
        <f>"6462"</f>
        <v>6462</v>
      </c>
      <c r="B6463" t="str">
        <f>"0.45"</f>
        <v>0.45</v>
      </c>
      <c r="C6463" t="str">
        <f>"41"</f>
        <v>41</v>
      </c>
      <c r="D6463" t="str">
        <f>"This Is What the Truth Feels Like"</f>
        <v>This Is What the Truth Feels Like</v>
      </c>
    </row>
    <row r="6464" spans="1:4" x14ac:dyDescent="0.2">
      <c r="A6464" t="str">
        <f>"6463"</f>
        <v>6463</v>
      </c>
      <c r="B6464" t="str">
        <f>"0.5"</f>
        <v>0.5</v>
      </c>
      <c r="C6464" t="str">
        <f>"37"</f>
        <v>37</v>
      </c>
      <c r="D6464" t="str">
        <f>"Gensho"</f>
        <v>Gensho</v>
      </c>
    </row>
    <row r="6465" spans="1:4" x14ac:dyDescent="0.2">
      <c r="A6465" t="str">
        <f>"6464"</f>
        <v>6464</v>
      </c>
      <c r="B6465" t="str">
        <f>"-0.28"</f>
        <v>-0.28</v>
      </c>
      <c r="C6465" t="str">
        <f>"28"</f>
        <v>28</v>
      </c>
      <c r="D6465" t="str">
        <f>"Talk Tight"</f>
        <v>Talk Tight</v>
      </c>
    </row>
    <row r="6466" spans="1:4" x14ac:dyDescent="0.2">
      <c r="A6466" t="str">
        <f>"6465"</f>
        <v>6465</v>
      </c>
      <c r="B6466" t="str">
        <f>"0.96"</f>
        <v>0.96</v>
      </c>
      <c r="C6466" t="str">
        <f>"29"</f>
        <v>29</v>
      </c>
      <c r="D6466" t="str">
        <f>"Trekkie Trax the Best 2012 - 2015"</f>
        <v>Trekkie Trax the Best 2012 - 2015</v>
      </c>
    </row>
    <row r="6467" spans="1:4" x14ac:dyDescent="0.2">
      <c r="A6467" t="str">
        <f>"6466"</f>
        <v>6466</v>
      </c>
      <c r="B6467" t="str">
        <f>"-0.62"</f>
        <v>-0.62</v>
      </c>
      <c r="C6467" t="str">
        <f>"33"</f>
        <v>33</v>
      </c>
      <c r="D6467" t="str">
        <f>"Hella Personal Film Festival"</f>
        <v>Hella Personal Film Festival</v>
      </c>
    </row>
    <row r="6468" spans="1:4" x14ac:dyDescent="0.2">
      <c r="A6468" t="str">
        <f>"6467"</f>
        <v>6467</v>
      </c>
      <c r="B6468" t="str">
        <f>"1.91"</f>
        <v>1.91</v>
      </c>
      <c r="C6468" t="str">
        <f>"40"</f>
        <v>40</v>
      </c>
      <c r="D6468" t="str">
        <f>"Epic Jammers and Fortunate Little Ditties"</f>
        <v>Epic Jammers and Fortunate Little Ditties</v>
      </c>
    </row>
    <row r="6469" spans="1:4" x14ac:dyDescent="0.2">
      <c r="A6469" t="str">
        <f>"6468"</f>
        <v>6468</v>
      </c>
      <c r="B6469" t="str">
        <f>"-0.24"</f>
        <v>-0.24</v>
      </c>
      <c r="C6469" t="str">
        <f>"25"</f>
        <v>25</v>
      </c>
      <c r="D6469" t="str">
        <f>"Compassion"</f>
        <v>Compassion</v>
      </c>
    </row>
    <row r="6470" spans="1:4" x14ac:dyDescent="0.2">
      <c r="A6470" t="str">
        <f>"6469"</f>
        <v>6469</v>
      </c>
      <c r="B6470" t="str">
        <f>"0.05"</f>
        <v>0.05</v>
      </c>
      <c r="C6470" t="str">
        <f>"24"</f>
        <v>24</v>
      </c>
      <c r="D6470" t="str">
        <f>"Up to Anything"</f>
        <v>Up to Anything</v>
      </c>
    </row>
    <row r="6471" spans="1:4" x14ac:dyDescent="0.2">
      <c r="A6471" t="str">
        <f>"6470"</f>
        <v>6470</v>
      </c>
      <c r="B6471" t="str">
        <f>"-0.43"</f>
        <v>-0.43</v>
      </c>
      <c r="C6471" t="str">
        <f>"28"</f>
        <v>28</v>
      </c>
      <c r="D6471" t="str">
        <f>"Wolves of Want"</f>
        <v>Wolves of Want</v>
      </c>
    </row>
    <row r="6472" spans="1:4" x14ac:dyDescent="0.2">
      <c r="A6472" t="str">
        <f>"6471"</f>
        <v>6471</v>
      </c>
      <c r="B6472" t="str">
        <f>"-0.35"</f>
        <v>-0.35</v>
      </c>
      <c r="C6472" t="str">
        <f>"19"</f>
        <v>19</v>
      </c>
      <c r="D6472" t="str">
        <f>"The Great Destroyer"</f>
        <v>The Great Destroyer</v>
      </c>
    </row>
    <row r="6473" spans="1:4" x14ac:dyDescent="0.2">
      <c r="A6473" t="str">
        <f>"6472"</f>
        <v>6472</v>
      </c>
      <c r="B6473" t="str">
        <f>"0.38"</f>
        <v>0.38</v>
      </c>
      <c r="C6473" t="str">
        <f>"20"</f>
        <v>20</v>
      </c>
      <c r="D6473" t="str">
        <f>"Chaosmosis"</f>
        <v>Chaosmosis</v>
      </c>
    </row>
    <row r="6474" spans="1:4" x14ac:dyDescent="0.2">
      <c r="A6474" t="str">
        <f>"6473"</f>
        <v>6473</v>
      </c>
      <c r="B6474" t="str">
        <f>"0.17"</f>
        <v>0.17</v>
      </c>
      <c r="C6474" t="str">
        <f>"23"</f>
        <v>23</v>
      </c>
      <c r="D6474" t="str">
        <f>"Lil Boat"</f>
        <v>Lil Boat</v>
      </c>
    </row>
    <row r="6475" spans="1:4" x14ac:dyDescent="0.2">
      <c r="A6475" t="str">
        <f>"6474"</f>
        <v>6474</v>
      </c>
      <c r="B6475" t="str">
        <f>"1.18"</f>
        <v>1.18</v>
      </c>
      <c r="C6475" t="str">
        <f>"14"</f>
        <v>14</v>
      </c>
      <c r="D6475" t="str">
        <f>"Full Circle"</f>
        <v>Full Circle</v>
      </c>
    </row>
    <row r="6476" spans="1:4" x14ac:dyDescent="0.2">
      <c r="A6476" t="str">
        <f>"6475"</f>
        <v>6475</v>
      </c>
      <c r="B6476" t="str">
        <f>"-0.39"</f>
        <v>-0.39</v>
      </c>
      <c r="C6476" t="str">
        <f>"19"</f>
        <v>19</v>
      </c>
      <c r="D6476" t="str">
        <f>"Wayfaring Strangers: Cosmic American Music"</f>
        <v>Wayfaring Strangers: Cosmic American Music</v>
      </c>
    </row>
    <row r="6477" spans="1:4" x14ac:dyDescent="0.2">
      <c r="A6477" t="str">
        <f>"6476"</f>
        <v>6476</v>
      </c>
      <c r="B6477" t="str">
        <f>"0.61"</f>
        <v>0.61</v>
      </c>
      <c r="C6477" t="str">
        <f>"32"</f>
        <v>32</v>
      </c>
      <c r="D6477" t="str">
        <f>"The Rarity of Experience"</f>
        <v>The Rarity of Experience</v>
      </c>
    </row>
    <row r="6478" spans="1:4" x14ac:dyDescent="0.2">
      <c r="A6478" t="str">
        <f>"6477"</f>
        <v>6477</v>
      </c>
      <c r="B6478" t="str">
        <f>"-0.78"</f>
        <v>-0.78</v>
      </c>
      <c r="C6478" t="str">
        <f>"22"</f>
        <v>22</v>
      </c>
      <c r="D6478" t="str">
        <f>"You and I"</f>
        <v>You and I</v>
      </c>
    </row>
    <row r="6479" spans="1:4" x14ac:dyDescent="0.2">
      <c r="A6479" t="str">
        <f>"6478"</f>
        <v>6478</v>
      </c>
      <c r="B6479" t="str">
        <f>"-0.46"</f>
        <v>-0.46</v>
      </c>
      <c r="C6479" t="str">
        <f>"35"</f>
        <v>35</v>
      </c>
      <c r="D6479" t="str">
        <f>"3001: A Laced Odyssey"</f>
        <v>3001: A Laced Odyssey</v>
      </c>
    </row>
    <row r="6480" spans="1:4" x14ac:dyDescent="0.2">
      <c r="A6480" t="str">
        <f>"6479"</f>
        <v>6479</v>
      </c>
      <c r="B6480" t="str">
        <f>"0.13"</f>
        <v>0.13</v>
      </c>
      <c r="C6480" t="str">
        <f>"31"</f>
        <v>31</v>
      </c>
      <c r="D6480" t="str">
        <f>"Time For a Witness"</f>
        <v>Time For a Witness</v>
      </c>
    </row>
    <row r="6481" spans="1:4" x14ac:dyDescent="0.2">
      <c r="A6481" t="str">
        <f>"6480"</f>
        <v>6480</v>
      </c>
      <c r="B6481" t="str">
        <f>"-1.12"</f>
        <v>-1.12</v>
      </c>
      <c r="C6481" t="str">
        <f>"23"</f>
        <v>23</v>
      </c>
      <c r="D6481" t="str">
        <f>"For A Reason"</f>
        <v>For A Reason</v>
      </c>
    </row>
    <row r="6482" spans="1:4" x14ac:dyDescent="0.2">
      <c r="A6482" t="str">
        <f>"6481"</f>
        <v>6481</v>
      </c>
      <c r="B6482" t="str">
        <f>"-0.38"</f>
        <v>-0.38</v>
      </c>
      <c r="C6482" t="str">
        <f>"29"</f>
        <v>29</v>
      </c>
      <c r="D6482" t="str">
        <f>"Sign of the Cross Every Mile to the Border"</f>
        <v>Sign of the Cross Every Mile to the Border</v>
      </c>
    </row>
    <row r="6483" spans="1:4" x14ac:dyDescent="0.2">
      <c r="A6483" t="str">
        <f>"6482"</f>
        <v>6482</v>
      </c>
      <c r="B6483" t="str">
        <f>"0.72"</f>
        <v>0.72</v>
      </c>
      <c r="C6483" t="str">
        <f>"32"</f>
        <v>32</v>
      </c>
      <c r="D6483" t="s">
        <v>238</v>
      </c>
    </row>
    <row r="6484" spans="1:4" x14ac:dyDescent="0.2">
      <c r="A6484" t="str">
        <f>"6483"</f>
        <v>6483</v>
      </c>
      <c r="B6484" t="str">
        <f>"-1.08"</f>
        <v>-1.08</v>
      </c>
      <c r="C6484" t="str">
        <f>"24"</f>
        <v>24</v>
      </c>
      <c r="D6484" t="str">
        <f>"No One Deserves Happiness"</f>
        <v>No One Deserves Happiness</v>
      </c>
    </row>
    <row r="6485" spans="1:4" x14ac:dyDescent="0.2">
      <c r="A6485" t="str">
        <f>"6484"</f>
        <v>6484</v>
      </c>
      <c r="B6485" t="str">
        <f>"-0.16"</f>
        <v>-0.16</v>
      </c>
      <c r="C6485" t="str">
        <f>"28"</f>
        <v>28</v>
      </c>
      <c r="D6485" t="str">
        <f>"Bothic"</f>
        <v>Bothic</v>
      </c>
    </row>
    <row r="6486" spans="1:4" x14ac:dyDescent="0.2">
      <c r="A6486" t="str">
        <f>"6485"</f>
        <v>6485</v>
      </c>
      <c r="B6486" t="str">
        <f>"0.4"</f>
        <v>0.4</v>
      </c>
      <c r="C6486" t="str">
        <f>"22"</f>
        <v>22</v>
      </c>
      <c r="D6486" t="str">
        <f>"Horse Jumper of Love"</f>
        <v>Horse Jumper of Love</v>
      </c>
    </row>
    <row r="6487" spans="1:4" x14ac:dyDescent="0.2">
      <c r="A6487" t="str">
        <f>"6486"</f>
        <v>6486</v>
      </c>
      <c r="B6487" t="str">
        <f>"-0.08"</f>
        <v>-0.08</v>
      </c>
      <c r="C6487" t="str">
        <f>"23"</f>
        <v>23</v>
      </c>
      <c r="D6487" t="str">
        <f>"The Sentence"</f>
        <v>The Sentence</v>
      </c>
    </row>
    <row r="6488" spans="1:4" x14ac:dyDescent="0.2">
      <c r="A6488" t="str">
        <f>"6487"</f>
        <v>6487</v>
      </c>
      <c r="B6488" t="str">
        <f>"-0.55"</f>
        <v>-0.55</v>
      </c>
      <c r="C6488" t="str">
        <f>"39"</f>
        <v>39</v>
      </c>
      <c r="D6488" t="str">
        <f>"III EP"</f>
        <v>III EP</v>
      </c>
    </row>
    <row r="6489" spans="1:4" x14ac:dyDescent="0.2">
      <c r="A6489" t="str">
        <f>"6488"</f>
        <v>6488</v>
      </c>
      <c r="B6489" t="str">
        <f>"0.31"</f>
        <v>0.31</v>
      </c>
      <c r="C6489" t="str">
        <f>"26"</f>
        <v>26</v>
      </c>
      <c r="D6489" t="str">
        <f>"The Last Panthers"</f>
        <v>The Last Panthers</v>
      </c>
    </row>
    <row r="6490" spans="1:4" x14ac:dyDescent="0.2">
      <c r="A6490" t="str">
        <f>"6489"</f>
        <v>6489</v>
      </c>
      <c r="B6490" t="str">
        <f>"1.14"</f>
        <v>1.14</v>
      </c>
      <c r="C6490" t="str">
        <f>"28"</f>
        <v>28</v>
      </c>
      <c r="D6490" t="str">
        <f>"Trotro"</f>
        <v>Trotro</v>
      </c>
    </row>
    <row r="6491" spans="1:4" x14ac:dyDescent="0.2">
      <c r="A6491" t="str">
        <f>"6490"</f>
        <v>6490</v>
      </c>
      <c r="B6491" t="str">
        <f>"-0.71"</f>
        <v>-0.71</v>
      </c>
      <c r="C6491" t="str">
        <f>"22"</f>
        <v>22</v>
      </c>
      <c r="D6491" t="str">
        <f>"Mercy EP"</f>
        <v>Mercy EP</v>
      </c>
    </row>
    <row r="6492" spans="1:4" x14ac:dyDescent="0.2">
      <c r="A6492" t="str">
        <f>"6491"</f>
        <v>6491</v>
      </c>
      <c r="B6492" t="str">
        <f>"-0.68"</f>
        <v>-0.68</v>
      </c>
      <c r="C6492" t="str">
        <f>"36"</f>
        <v>36</v>
      </c>
      <c r="D6492" t="str">
        <f>"Transition"</f>
        <v>Transition</v>
      </c>
    </row>
    <row r="6493" spans="1:4" x14ac:dyDescent="0.2">
      <c r="A6493" t="str">
        <f>"6492"</f>
        <v>6492</v>
      </c>
      <c r="B6493" t="str">
        <f>"1.18"</f>
        <v>1.18</v>
      </c>
      <c r="C6493" t="str">
        <f>"27"</f>
        <v>27</v>
      </c>
      <c r="D6493" t="str">
        <f>"Potential"</f>
        <v>Potential</v>
      </c>
    </row>
    <row r="6494" spans="1:4" x14ac:dyDescent="0.2">
      <c r="A6494" t="str">
        <f>"6493"</f>
        <v>6493</v>
      </c>
      <c r="B6494" t="str">
        <f>"-0.6"</f>
        <v>-0.6</v>
      </c>
      <c r="C6494" t="str">
        <f>"29"</f>
        <v>29</v>
      </c>
      <c r="D6494" t="str">
        <f>"Long Way Home"</f>
        <v>Long Way Home</v>
      </c>
    </row>
    <row r="6495" spans="1:4" x14ac:dyDescent="0.2">
      <c r="A6495" t="str">
        <f>"6494"</f>
        <v>6494</v>
      </c>
      <c r="B6495" t="str">
        <f>"0.05"</f>
        <v>0.05</v>
      </c>
      <c r="C6495" t="str">
        <f>"25"</f>
        <v>25</v>
      </c>
      <c r="D6495" t="str">
        <f>"More Rain"</f>
        <v>More Rain</v>
      </c>
    </row>
    <row r="6496" spans="1:4" x14ac:dyDescent="0.2">
      <c r="A6496" t="str">
        <f>"6495"</f>
        <v>6495</v>
      </c>
      <c r="B6496" t="str">
        <f>"-0.65"</f>
        <v>-0.65</v>
      </c>
      <c r="C6496" t="str">
        <f>"23"</f>
        <v>23</v>
      </c>
      <c r="D6496" t="str">
        <f>"Before a Million Universes"</f>
        <v>Before a Million Universes</v>
      </c>
    </row>
    <row r="6497" spans="1:4" x14ac:dyDescent="0.2">
      <c r="A6497" t="str">
        <f>"6496"</f>
        <v>6496</v>
      </c>
      <c r="B6497" t="str">
        <f>"-0.42"</f>
        <v>-0.42</v>
      </c>
      <c r="C6497" t="str">
        <f>"18"</f>
        <v>18</v>
      </c>
      <c r="D6497" t="str">
        <f>"Oh Inhuman Spectacle"</f>
        <v>Oh Inhuman Spectacle</v>
      </c>
    </row>
    <row r="6498" spans="1:4" x14ac:dyDescent="0.2">
      <c r="A6498" t="str">
        <f>"6497"</f>
        <v>6497</v>
      </c>
      <c r="B6498" t="str">
        <f>"0"</f>
        <v>0</v>
      </c>
      <c r="C6498" t="str">
        <f>"40"</f>
        <v>40</v>
      </c>
      <c r="D6498" t="str">
        <f>"Post Pop Depression"</f>
        <v>Post Pop Depression</v>
      </c>
    </row>
    <row r="6499" spans="1:4" x14ac:dyDescent="0.2">
      <c r="A6499" t="str">
        <f>"6498"</f>
        <v>6498</v>
      </c>
      <c r="B6499" t="str">
        <f>"-0.3"</f>
        <v>-0.3</v>
      </c>
      <c r="C6499" t="str">
        <f>"29"</f>
        <v>29</v>
      </c>
      <c r="D6499" t="str">
        <f>"Brute"</f>
        <v>Brute</v>
      </c>
    </row>
    <row r="6500" spans="1:4" x14ac:dyDescent="0.2">
      <c r="A6500" t="str">
        <f>"6499"</f>
        <v>6499</v>
      </c>
      <c r="B6500" t="str">
        <f>"0.72"</f>
        <v>0.72</v>
      </c>
      <c r="C6500" t="str">
        <f>"26"</f>
        <v>26</v>
      </c>
      <c r="D6500" t="str">
        <f>"No Fantasy Required"</f>
        <v>No Fantasy Required</v>
      </c>
    </row>
    <row r="6501" spans="1:4" x14ac:dyDescent="0.2">
      <c r="A6501" t="str">
        <f>"6500"</f>
        <v>6500</v>
      </c>
      <c r="B6501" t="str">
        <f>"-0.32"</f>
        <v>-0.32</v>
      </c>
      <c r="C6501" t="str">
        <f>"26"</f>
        <v>26</v>
      </c>
      <c r="D6501" t="str">
        <f>"Paid For It"</f>
        <v>Paid For It</v>
      </c>
    </row>
    <row r="6502" spans="1:4" x14ac:dyDescent="0.2">
      <c r="A6502" t="str">
        <f>"6501"</f>
        <v>6501</v>
      </c>
      <c r="B6502" t="str">
        <f>"-0.32"</f>
        <v>-0.32</v>
      </c>
      <c r="C6502" t="str">
        <f>"30"</f>
        <v>30</v>
      </c>
      <c r="D6502" t="str">
        <f>"Jettison The Valley"</f>
        <v>Jettison The Valley</v>
      </c>
    </row>
    <row r="6503" spans="1:4" x14ac:dyDescent="0.2">
      <c r="A6503" t="str">
        <f>"6502"</f>
        <v>6502</v>
      </c>
      <c r="B6503" t="str">
        <f>"0.25"</f>
        <v>0.25</v>
      </c>
      <c r="C6503" t="str">
        <f>"47"</f>
        <v>47</v>
      </c>
      <c r="D6503" t="str">
        <f>"Glitterbust"</f>
        <v>Glitterbust</v>
      </c>
    </row>
    <row r="6504" spans="1:4" x14ac:dyDescent="0.2">
      <c r="A6504" t="str">
        <f>"6503"</f>
        <v>6503</v>
      </c>
      <c r="B6504" t="str">
        <f>"-0.23"</f>
        <v>-0.23</v>
      </c>
      <c r="C6504" t="str">
        <f>"35"</f>
        <v>35</v>
      </c>
      <c r="D6504" t="str">
        <f>"Collegrove"</f>
        <v>Collegrove</v>
      </c>
    </row>
    <row r="6505" spans="1:4" x14ac:dyDescent="0.2">
      <c r="A6505" t="str">
        <f>"6504"</f>
        <v>6504</v>
      </c>
      <c r="B6505" t="str">
        <f>"0.71"</f>
        <v>0.71</v>
      </c>
      <c r="C6505" t="str">
        <f>"19"</f>
        <v>19</v>
      </c>
      <c r="D6505" t="str">
        <f>"Empire Underground EP"</f>
        <v>Empire Underground EP</v>
      </c>
    </row>
    <row r="6506" spans="1:4" x14ac:dyDescent="0.2">
      <c r="A6506" t="str">
        <f>"6505"</f>
        <v>6505</v>
      </c>
      <c r="B6506" t="str">
        <f>"-0.47"</f>
        <v>-0.47</v>
      </c>
      <c r="C6506" t="str">
        <f>"28"</f>
        <v>28</v>
      </c>
      <c r="D6506" t="str">
        <f>"Forever Sounds"</f>
        <v>Forever Sounds</v>
      </c>
    </row>
    <row r="6507" spans="1:4" x14ac:dyDescent="0.2">
      <c r="A6507" t="str">
        <f>"6506"</f>
        <v>6506</v>
      </c>
      <c r="B6507" t="str">
        <f>"0.08"</f>
        <v>0.08</v>
      </c>
      <c r="C6507" t="str">
        <f>"27"</f>
        <v>27</v>
      </c>
      <c r="D6507" t="str">
        <f>"Fovere"</f>
        <v>Fovere</v>
      </c>
    </row>
    <row r="6508" spans="1:4" x14ac:dyDescent="0.2">
      <c r="A6508" t="str">
        <f>"6507"</f>
        <v>6507</v>
      </c>
      <c r="B6508" t="str">
        <f>"-0.48"</f>
        <v>-0.48</v>
      </c>
      <c r="C6508" t="str">
        <f>"40"</f>
        <v>40</v>
      </c>
      <c r="D6508" t="str">
        <f>"untitled unmastered."</f>
        <v>untitled unmastered.</v>
      </c>
    </row>
    <row r="6509" spans="1:4" x14ac:dyDescent="0.2">
      <c r="A6509" t="str">
        <f>"6508"</f>
        <v>6508</v>
      </c>
      <c r="B6509" t="str">
        <f>"-1.47"</f>
        <v>-1.47</v>
      </c>
      <c r="C6509" t="str">
        <f>"28"</f>
        <v>28</v>
      </c>
      <c r="D6509" t="str">
        <f>"United Crushers"</f>
        <v>United Crushers</v>
      </c>
    </row>
    <row r="6510" spans="1:4" x14ac:dyDescent="0.2">
      <c r="A6510" t="str">
        <f>"6509"</f>
        <v>6509</v>
      </c>
      <c r="B6510" t="str">
        <f>"0.67"</f>
        <v>0.67</v>
      </c>
      <c r="C6510" t="str">
        <f>"25"</f>
        <v>25</v>
      </c>
      <c r="D6510" t="str">
        <f>"He Has Risen"</f>
        <v>He Has Risen</v>
      </c>
    </row>
    <row r="6511" spans="1:4" x14ac:dyDescent="0.2">
      <c r="A6511" t="str">
        <f>"6510"</f>
        <v>6510</v>
      </c>
      <c r="B6511" t="str">
        <f>"-0.43"</f>
        <v>-0.43</v>
      </c>
      <c r="C6511" t="str">
        <f>"20"</f>
        <v>20</v>
      </c>
      <c r="D6511" t="str">
        <f>"When You Walk a Long Distance You Are Tired"</f>
        <v>When You Walk a Long Distance You Are Tired</v>
      </c>
    </row>
    <row r="6512" spans="1:4" x14ac:dyDescent="0.2">
      <c r="A6512" t="str">
        <f>"6511"</f>
        <v>6511</v>
      </c>
      <c r="B6512" t="str">
        <f>"0.3"</f>
        <v>0.3</v>
      </c>
      <c r="C6512" t="str">
        <f>"20"</f>
        <v>20</v>
      </c>
      <c r="D6512" t="str">
        <f>"Blue Cheese"</f>
        <v>Blue Cheese</v>
      </c>
    </row>
    <row r="6513" spans="1:4" x14ac:dyDescent="0.2">
      <c r="A6513" t="str">
        <f>"6512"</f>
        <v>6512</v>
      </c>
      <c r="B6513" t="str">
        <f>"-0.51"</f>
        <v>-0.51</v>
      </c>
      <c r="C6513" t="str">
        <f>"32"</f>
        <v>32</v>
      </c>
      <c r="D6513" t="str">
        <f>"Varmints"</f>
        <v>Varmints</v>
      </c>
    </row>
    <row r="6514" spans="1:4" x14ac:dyDescent="0.2">
      <c r="A6514" t="str">
        <f>"6513"</f>
        <v>6513</v>
      </c>
      <c r="B6514" t="str">
        <f>"-0.77"</f>
        <v>-0.77</v>
      </c>
      <c r="C6514" t="str">
        <f>"29"</f>
        <v>29</v>
      </c>
      <c r="D6514" t="str">
        <f>"Hiperasia"</f>
        <v>Hiperasia</v>
      </c>
    </row>
    <row r="6515" spans="1:4" x14ac:dyDescent="0.2">
      <c r="A6515" t="str">
        <f>"6514"</f>
        <v>6514</v>
      </c>
      <c r="B6515" t="str">
        <f>"0.17"</f>
        <v>0.17</v>
      </c>
      <c r="C6515" t="str">
        <f>"23"</f>
        <v>23</v>
      </c>
      <c r="D6515" t="str">
        <f>"A Man Alive"</f>
        <v>A Man Alive</v>
      </c>
    </row>
    <row r="6516" spans="1:4" x14ac:dyDescent="0.2">
      <c r="A6516" t="str">
        <f>"6515"</f>
        <v>6515</v>
      </c>
      <c r="B6516" t="str">
        <f>"0.13"</f>
        <v>0.13</v>
      </c>
      <c r="C6516" t="str">
        <f>"22"</f>
        <v>22</v>
      </c>
      <c r="D6516" t="str">
        <f>"Surface Noise"</f>
        <v>Surface Noise</v>
      </c>
    </row>
    <row r="6517" spans="1:4" x14ac:dyDescent="0.2">
      <c r="A6517" t="str">
        <f>"6516"</f>
        <v>6516</v>
      </c>
      <c r="B6517" t="str">
        <f>"0.42"</f>
        <v>0.42</v>
      </c>
      <c r="C6517" t="str">
        <f>"37"</f>
        <v>37</v>
      </c>
      <c r="D6517" t="str">
        <f>"At the Dam"</f>
        <v>At the Dam</v>
      </c>
    </row>
    <row r="6518" spans="1:4" x14ac:dyDescent="0.2">
      <c r="A6518" t="str">
        <f>"6517"</f>
        <v>6517</v>
      </c>
      <c r="B6518" t="str">
        <f>"0.6"</f>
        <v>0.6</v>
      </c>
      <c r="C6518" t="str">
        <f>"43"</f>
        <v>43</v>
      </c>
      <c r="D6518" t="str">
        <f>"Emily's D+Evolution"</f>
        <v>Emily's D+Evolution</v>
      </c>
    </row>
    <row r="6519" spans="1:4" x14ac:dyDescent="0.2">
      <c r="A6519" t="str">
        <f>"6518"</f>
        <v>6518</v>
      </c>
      <c r="B6519" t="str">
        <f>"0.77"</f>
        <v>0.77</v>
      </c>
      <c r="C6519" t="str">
        <f>"33"</f>
        <v>33</v>
      </c>
      <c r="D6519" t="str">
        <f>"Belgica Original Soundtrack"</f>
        <v>Belgica Original Soundtrack</v>
      </c>
    </row>
    <row r="6520" spans="1:4" x14ac:dyDescent="0.2">
      <c r="A6520" t="str">
        <f>"6519"</f>
        <v>6519</v>
      </c>
      <c r="B6520" t="str">
        <f>"-0.13"</f>
        <v>-0.13</v>
      </c>
      <c r="C6520" t="str">
        <f>"23"</f>
        <v>23</v>
      </c>
      <c r="D6520" t="str">
        <f>"The Ridge"</f>
        <v>The Ridge</v>
      </c>
    </row>
    <row r="6521" spans="1:4" x14ac:dyDescent="0.2">
      <c r="A6521" t="str">
        <f>"6520"</f>
        <v>6520</v>
      </c>
      <c r="B6521" t="str">
        <f>"1.17"</f>
        <v>1.17</v>
      </c>
      <c r="C6521" t="str">
        <f>"34"</f>
        <v>34</v>
      </c>
      <c r="D6521" t="str">
        <f>"Zelalem"</f>
        <v>Zelalem</v>
      </c>
    </row>
    <row r="6522" spans="1:4" x14ac:dyDescent="0.2">
      <c r="A6522" t="str">
        <f>"6521"</f>
        <v>6521</v>
      </c>
      <c r="B6522" t="str">
        <f>"-0.2"</f>
        <v>-0.2</v>
      </c>
      <c r="C6522" t="str">
        <f>"27"</f>
        <v>27</v>
      </c>
      <c r="D6522" t="str">
        <f>"Under Summer"</f>
        <v>Under Summer</v>
      </c>
    </row>
    <row r="6523" spans="1:4" x14ac:dyDescent="0.2">
      <c r="A6523" t="str">
        <f>"6522"</f>
        <v>6522</v>
      </c>
      <c r="B6523" t="str">
        <f>"0.84"</f>
        <v>0.84</v>
      </c>
      <c r="C6523" t="str">
        <f>"33"</f>
        <v>33</v>
      </c>
      <c r="D6523" t="str">
        <f>"Full Circle"</f>
        <v>Full Circle</v>
      </c>
    </row>
    <row r="6524" spans="1:4" x14ac:dyDescent="0.2">
      <c r="A6524" t="str">
        <f>"6523"</f>
        <v>6523</v>
      </c>
      <c r="B6524" t="str">
        <f>"0.04"</f>
        <v>0.04</v>
      </c>
      <c r="C6524" t="str">
        <f>"22"</f>
        <v>22</v>
      </c>
      <c r="D6524" t="str">
        <f>"We Can Do Anything"</f>
        <v>We Can Do Anything</v>
      </c>
    </row>
    <row r="6525" spans="1:4" x14ac:dyDescent="0.2">
      <c r="A6525" t="str">
        <f>"6524"</f>
        <v>6524</v>
      </c>
      <c r="B6525" t="str">
        <f>"0.16"</f>
        <v>0.16</v>
      </c>
      <c r="C6525" t="str">
        <f>"26"</f>
        <v>26</v>
      </c>
      <c r="D6525" t="str">
        <f>"Heron Oblivion"</f>
        <v>Heron Oblivion</v>
      </c>
    </row>
    <row r="6526" spans="1:4" x14ac:dyDescent="0.2">
      <c r="A6526" t="str">
        <f>"6525"</f>
        <v>6525</v>
      </c>
      <c r="B6526" t="str">
        <f>"0.27"</f>
        <v>0.27</v>
      </c>
      <c r="C6526" t="str">
        <f>"31"</f>
        <v>31</v>
      </c>
      <c r="D6526" t="str">
        <f>"Petrol"</f>
        <v>Petrol</v>
      </c>
    </row>
    <row r="6527" spans="1:4" x14ac:dyDescent="0.2">
      <c r="A6527" t="str">
        <f>"6526"</f>
        <v>6526</v>
      </c>
      <c r="B6527" t="str">
        <f>"-0.33"</f>
        <v>-0.33</v>
      </c>
      <c r="C6527" t="str">
        <f>"25"</f>
        <v>25</v>
      </c>
      <c r="D6527" t="str">
        <f>"Värähtelijä"</f>
        <v>Värähtelijä</v>
      </c>
    </row>
    <row r="6528" spans="1:4" x14ac:dyDescent="0.2">
      <c r="A6528" t="str">
        <f>"6527"</f>
        <v>6527</v>
      </c>
      <c r="B6528" t="str">
        <f>"0.5"</f>
        <v>0.5</v>
      </c>
      <c r="C6528" t="str">
        <f>"49"</f>
        <v>49</v>
      </c>
      <c r="D6528" t="str">
        <f>"Bowie At The Beeb"</f>
        <v>Bowie At The Beeb</v>
      </c>
    </row>
    <row r="6529" spans="1:4" x14ac:dyDescent="0.2">
      <c r="A6529" t="str">
        <f>"6528"</f>
        <v>6528</v>
      </c>
      <c r="B6529" t="str">
        <f>"0.85"</f>
        <v>0.85</v>
      </c>
      <c r="C6529" t="str">
        <f>"25"</f>
        <v>25</v>
      </c>
      <c r="D6529" t="str">
        <f>"Arcology"</f>
        <v>Arcology</v>
      </c>
    </row>
    <row r="6530" spans="1:4" x14ac:dyDescent="0.2">
      <c r="A6530" t="str">
        <f>"6529"</f>
        <v>6529</v>
      </c>
      <c r="B6530" t="str">
        <f>"0.27"</f>
        <v>0.27</v>
      </c>
      <c r="C6530" t="str">
        <f>"28"</f>
        <v>28</v>
      </c>
      <c r="D6530" t="str">
        <f>"Music for Listening to Music to"</f>
        <v>Music for Listening to Music to</v>
      </c>
    </row>
    <row r="6531" spans="1:4" x14ac:dyDescent="0.2">
      <c r="A6531" t="str">
        <f>"6530"</f>
        <v>6530</v>
      </c>
      <c r="B6531" t="str">
        <f>"-0.79"</f>
        <v>-0.79</v>
      </c>
      <c r="C6531" t="str">
        <f>"33"</f>
        <v>33</v>
      </c>
      <c r="D6531" t="str">
        <f>"Lullabies for the Broken Brain"</f>
        <v>Lullabies for the Broken Brain</v>
      </c>
    </row>
    <row r="6532" spans="1:4" x14ac:dyDescent="0.2">
      <c r="A6532" t="str">
        <f>"6531"</f>
        <v>6531</v>
      </c>
      <c r="B6532" t="str">
        <f>"-0.66"</f>
        <v>-0.66</v>
      </c>
      <c r="C6532" t="str">
        <f>"27"</f>
        <v>27</v>
      </c>
      <c r="D6532" t="str">
        <f>"January Sun"</f>
        <v>January Sun</v>
      </c>
    </row>
    <row r="6533" spans="1:4" x14ac:dyDescent="0.2">
      <c r="A6533" t="str">
        <f>"6532"</f>
        <v>6532</v>
      </c>
      <c r="B6533" t="str">
        <f>"-0.25"</f>
        <v>-0.25</v>
      </c>
      <c r="C6533" t="str">
        <f>"23"</f>
        <v>23</v>
      </c>
      <c r="D6533" t="str">
        <f>"LNZNDRF"</f>
        <v>LNZNDRF</v>
      </c>
    </row>
    <row r="6534" spans="1:4" x14ac:dyDescent="0.2">
      <c r="A6534" t="str">
        <f>"6533"</f>
        <v>6533</v>
      </c>
      <c r="B6534" t="str">
        <f>"1.61"</f>
        <v>1.61</v>
      </c>
      <c r="C6534" t="str">
        <f>"21"</f>
        <v>21</v>
      </c>
      <c r="D6534" t="str">
        <f>"Outer Acid EP"</f>
        <v>Outer Acid EP</v>
      </c>
    </row>
    <row r="6535" spans="1:4" x14ac:dyDescent="0.2">
      <c r="A6535" t="str">
        <f>"6534"</f>
        <v>6534</v>
      </c>
      <c r="B6535" t="str">
        <f>"-0.73"</f>
        <v>-0.73</v>
      </c>
      <c r="C6535" t="str">
        <f>"34"</f>
        <v>34</v>
      </c>
      <c r="D6535" t="str">
        <f>"HXLT"</f>
        <v>HXLT</v>
      </c>
    </row>
    <row r="6536" spans="1:4" x14ac:dyDescent="0.2">
      <c r="A6536" t="str">
        <f>"6535"</f>
        <v>6535</v>
      </c>
      <c r="B6536" t="str">
        <f>"-0.01"</f>
        <v>-0.01</v>
      </c>
      <c r="C6536" t="str">
        <f>"25"</f>
        <v>25</v>
      </c>
      <c r="D6536" t="str">
        <f>"Plaza"</f>
        <v>Plaza</v>
      </c>
    </row>
    <row r="6537" spans="1:4" x14ac:dyDescent="0.2">
      <c r="A6537" t="str">
        <f>"6536"</f>
        <v>6536</v>
      </c>
      <c r="B6537" t="str">
        <f>"0.64"</f>
        <v>0.64</v>
      </c>
      <c r="C6537" t="str">
        <f>"28"</f>
        <v>28</v>
      </c>
      <c r="D6537" t="str">
        <f>"Carta"</f>
        <v>Carta</v>
      </c>
    </row>
    <row r="6538" spans="1:4" x14ac:dyDescent="0.2">
      <c r="A6538" t="str">
        <f>"6537"</f>
        <v>6537</v>
      </c>
      <c r="B6538" t="str">
        <f>"-0.62"</f>
        <v>-0.62</v>
      </c>
      <c r="C6538" t="str">
        <f>"33"</f>
        <v>33</v>
      </c>
      <c r="D6538" t="str">
        <f>"Get Disowned"</f>
        <v>Get Disowned</v>
      </c>
    </row>
    <row r="6539" spans="1:4" x14ac:dyDescent="0.2">
      <c r="A6539" t="str">
        <f>"6538"</f>
        <v>6538</v>
      </c>
      <c r="B6539" t="str">
        <f>"0.29"</f>
        <v>0.29</v>
      </c>
      <c r="C6539" t="str">
        <f>"22"</f>
        <v>22</v>
      </c>
      <c r="D6539" t="str">
        <f>"Jerome Raheem Fortune"</f>
        <v>Jerome Raheem Fortune</v>
      </c>
    </row>
    <row r="6540" spans="1:4" x14ac:dyDescent="0.2">
      <c r="A6540" t="str">
        <f>"6539"</f>
        <v>6539</v>
      </c>
      <c r="B6540" t="str">
        <f>"-0.83"</f>
        <v>-0.83</v>
      </c>
      <c r="C6540" t="str">
        <f>"24"</f>
        <v>24</v>
      </c>
      <c r="D6540" t="str">
        <f>"Stranger Things"</f>
        <v>Stranger Things</v>
      </c>
    </row>
    <row r="6541" spans="1:4" x14ac:dyDescent="0.2">
      <c r="A6541" t="str">
        <f>"6540"</f>
        <v>6540</v>
      </c>
      <c r="B6541" t="str">
        <f>"0.67"</f>
        <v>0.67</v>
      </c>
      <c r="C6541" t="str">
        <f>"34"</f>
        <v>34</v>
      </c>
      <c r="D6541" t="str">
        <f>"Nine Track Mind"</f>
        <v>Nine Track Mind</v>
      </c>
    </row>
    <row r="6542" spans="1:4" x14ac:dyDescent="0.2">
      <c r="A6542" t="str">
        <f>"6541"</f>
        <v>6541</v>
      </c>
      <c r="B6542" t="str">
        <f>"-0.18"</f>
        <v>-0.18</v>
      </c>
      <c r="C6542" t="str">
        <f>"29"</f>
        <v>29</v>
      </c>
      <c r="D6542" t="str">
        <f>"Felt Like Cappin"</f>
        <v>Felt Like Cappin</v>
      </c>
    </row>
    <row r="6543" spans="1:4" x14ac:dyDescent="0.2">
      <c r="A6543" t="str">
        <f>"6542"</f>
        <v>6542</v>
      </c>
      <c r="B6543" t="str">
        <f>"1.52"</f>
        <v>1.52</v>
      </c>
      <c r="C6543" t="str">
        <f>"42"</f>
        <v>42</v>
      </c>
      <c r="D6543" t="str">
        <f>"We Are KING"</f>
        <v>We Are KING</v>
      </c>
    </row>
    <row r="6544" spans="1:4" x14ac:dyDescent="0.2">
      <c r="A6544" t="str">
        <f>"6543"</f>
        <v>6543</v>
      </c>
      <c r="B6544" t="str">
        <f>"-0.34"</f>
        <v>-0.34</v>
      </c>
      <c r="C6544" t="str">
        <f>"42"</f>
        <v>42</v>
      </c>
      <c r="D6544" t="str">
        <f>"Past Cloaks"</f>
        <v>Past Cloaks</v>
      </c>
    </row>
    <row r="6545" spans="1:4" x14ac:dyDescent="0.2">
      <c r="A6545" t="str">
        <f>"6544"</f>
        <v>6544</v>
      </c>
      <c r="B6545" t="str">
        <f>"-0.99"</f>
        <v>-0.99</v>
      </c>
      <c r="C6545" t="str">
        <f>"44"</f>
        <v>44</v>
      </c>
      <c r="D6545" t="str">
        <f>"Is the Is Are"</f>
        <v>Is the Is Are</v>
      </c>
    </row>
    <row r="6546" spans="1:4" x14ac:dyDescent="0.2">
      <c r="A6546" t="str">
        <f>"6545"</f>
        <v>6545</v>
      </c>
      <c r="B6546" t="str">
        <f>"-1.52"</f>
        <v>-1.52</v>
      </c>
      <c r="C6546" t="str">
        <f>"15"</f>
        <v>15</v>
      </c>
      <c r="D6546" t="str">
        <f>"Cellar EP"</f>
        <v>Cellar EP</v>
      </c>
    </row>
    <row r="6547" spans="1:4" x14ac:dyDescent="0.2">
      <c r="A6547" t="str">
        <f>"6546"</f>
        <v>6546</v>
      </c>
      <c r="B6547" t="str">
        <f>"0"</f>
        <v>0</v>
      </c>
      <c r="C6547" t="str">
        <f>"38"</f>
        <v>38</v>
      </c>
      <c r="D6547" t="str">
        <f>"God Don't Never Change: The Songs of Blind Willie Johnson"</f>
        <v>God Don't Never Change: The Songs of Blind Willie Johnson</v>
      </c>
    </row>
    <row r="6548" spans="1:4" x14ac:dyDescent="0.2">
      <c r="A6548" t="str">
        <f>"6547"</f>
        <v>6547</v>
      </c>
      <c r="B6548" t="str">
        <f>"-0.78"</f>
        <v>-0.78</v>
      </c>
      <c r="C6548" t="str">
        <f>"93"</f>
        <v>93</v>
      </c>
      <c r="D6548" t="str">
        <f>"This Unruly Mess I've Made"</f>
        <v>This Unruly Mess I've Made</v>
      </c>
    </row>
    <row r="6549" spans="1:4" x14ac:dyDescent="0.2">
      <c r="A6549" t="str">
        <f>"6548"</f>
        <v>6548</v>
      </c>
      <c r="B6549" t="str">
        <f>"-0.71"</f>
        <v>-0.71</v>
      </c>
      <c r="C6549" t="str">
        <f>"29"</f>
        <v>29</v>
      </c>
      <c r="D6549" t="str">
        <f>"No Burden"</f>
        <v>No Burden</v>
      </c>
    </row>
    <row r="6550" spans="1:4" x14ac:dyDescent="0.2">
      <c r="A6550" t="str">
        <f>"6549"</f>
        <v>6549</v>
      </c>
      <c r="B6550" t="str">
        <f>"-0.25"</f>
        <v>-0.25</v>
      </c>
      <c r="C6550" t="str">
        <f>"22"</f>
        <v>22</v>
      </c>
      <c r="D6550" t="str">
        <f>"Grandfeathered"</f>
        <v>Grandfeathered</v>
      </c>
    </row>
    <row r="6551" spans="1:4" x14ac:dyDescent="0.2">
      <c r="A6551" t="str">
        <f>"6550"</f>
        <v>6550</v>
      </c>
      <c r="B6551" t="str">
        <f>"-0.55"</f>
        <v>-0.55</v>
      </c>
      <c r="C6551" t="str">
        <f>"31"</f>
        <v>31</v>
      </c>
      <c r="D6551" t="str">
        <f>"Eraser Stargazer"</f>
        <v>Eraser Stargazer</v>
      </c>
    </row>
    <row r="6552" spans="1:4" x14ac:dyDescent="0.2">
      <c r="A6552" t="str">
        <f>"6551"</f>
        <v>6551</v>
      </c>
      <c r="B6552" t="str">
        <f>"1.01"</f>
        <v>1.01</v>
      </c>
      <c r="C6552" t="str">
        <f>"25"</f>
        <v>25</v>
      </c>
      <c r="D6552" t="str">
        <f>"Drumkit Quartets"</f>
        <v>Drumkit Quartets</v>
      </c>
    </row>
    <row r="6553" spans="1:4" x14ac:dyDescent="0.2">
      <c r="A6553" t="str">
        <f>"6552"</f>
        <v>6552</v>
      </c>
      <c r="B6553" t="str">
        <f>"0.56"</f>
        <v>0.56</v>
      </c>
      <c r="C6553" t="str">
        <f>"59"</f>
        <v>59</v>
      </c>
      <c r="D6553" t="s">
        <v>239</v>
      </c>
    </row>
    <row r="6554" spans="1:4" x14ac:dyDescent="0.2">
      <c r="A6554" t="str">
        <f>"6553"</f>
        <v>6553</v>
      </c>
      <c r="B6554" t="str">
        <f>"0.64"</f>
        <v>0.64</v>
      </c>
      <c r="C6554" t="str">
        <f>"30"</f>
        <v>30</v>
      </c>
      <c r="D6554" t="str">
        <f>"In My Mind"</f>
        <v>In My Mind</v>
      </c>
    </row>
    <row r="6555" spans="1:4" x14ac:dyDescent="0.2">
      <c r="A6555" t="str">
        <f>"6554"</f>
        <v>6554</v>
      </c>
      <c r="B6555" t="str">
        <f>"-0.06"</f>
        <v>-0.06</v>
      </c>
      <c r="C6555" t="str">
        <f>"31"</f>
        <v>31</v>
      </c>
      <c r="D6555" t="str">
        <f>"Music for a New Society"</f>
        <v>Music for a New Society</v>
      </c>
    </row>
    <row r="6556" spans="1:4" x14ac:dyDescent="0.2">
      <c r="A6556" t="str">
        <f>"6555"</f>
        <v>6555</v>
      </c>
      <c r="B6556" t="str">
        <f>"-0.5"</f>
        <v>-0.5</v>
      </c>
      <c r="C6556" t="str">
        <f>"26"</f>
        <v>26</v>
      </c>
      <c r="D6556" t="str">
        <f>"Principe del Norte"</f>
        <v>Principe del Norte</v>
      </c>
    </row>
    <row r="6557" spans="1:4" x14ac:dyDescent="0.2">
      <c r="A6557" t="str">
        <f>"6556"</f>
        <v>6556</v>
      </c>
      <c r="B6557" t="str">
        <f>"-1.45"</f>
        <v>-1.45</v>
      </c>
      <c r="C6557" t="str">
        <f>"34"</f>
        <v>34</v>
      </c>
      <c r="D6557" t="str">
        <f>"Wave Gods"</f>
        <v>Wave Gods</v>
      </c>
    </row>
    <row r="6558" spans="1:4" x14ac:dyDescent="0.2">
      <c r="A6558" t="str">
        <f>"6557"</f>
        <v>6557</v>
      </c>
      <c r="B6558" t="str">
        <f>"0.14"</f>
        <v>0.14</v>
      </c>
      <c r="C6558" t="str">
        <f>"73"</f>
        <v>73</v>
      </c>
      <c r="D6558" t="str">
        <f>"Off the Wall"</f>
        <v>Off the Wall</v>
      </c>
    </row>
    <row r="6559" spans="1:4" x14ac:dyDescent="0.2">
      <c r="A6559" t="str">
        <f>"6558"</f>
        <v>6558</v>
      </c>
      <c r="B6559" t="str">
        <f>"0.11"</f>
        <v>0.11</v>
      </c>
      <c r="C6559" t="str">
        <f>"33"</f>
        <v>33</v>
      </c>
      <c r="D6559" t="str">
        <f>"George Fest: A Night to Celebrate the Music of George Harrison"</f>
        <v>George Fest: A Night to Celebrate the Music of George Harrison</v>
      </c>
    </row>
    <row r="6560" spans="1:4" x14ac:dyDescent="0.2">
      <c r="A6560" t="str">
        <f>"6559"</f>
        <v>6559</v>
      </c>
      <c r="B6560" t="str">
        <f>"0.17"</f>
        <v>0.17</v>
      </c>
      <c r="C6560" t="str">
        <f>"20"</f>
        <v>20</v>
      </c>
      <c r="D6560" t="str">
        <f>"Going Down in History"</f>
        <v>Going Down in History</v>
      </c>
    </row>
    <row r="6561" spans="1:4" x14ac:dyDescent="0.2">
      <c r="A6561" t="str">
        <f>"6560"</f>
        <v>6560</v>
      </c>
      <c r="B6561" t="str">
        <f>"0.35"</f>
        <v>0.35</v>
      </c>
      <c r="C6561" t="str">
        <f>"33"</f>
        <v>33</v>
      </c>
      <c r="D6561" t="str">
        <f>"Euphoria EP"</f>
        <v>Euphoria EP</v>
      </c>
    </row>
    <row r="6562" spans="1:4" x14ac:dyDescent="0.2">
      <c r="A6562" t="str">
        <f>"6561"</f>
        <v>6561</v>
      </c>
      <c r="B6562" t="str">
        <f>"-0.43"</f>
        <v>-0.43</v>
      </c>
      <c r="C6562" t="str">
        <f>"30"</f>
        <v>30</v>
      </c>
      <c r="D6562" t="str">
        <f>"Talk to Me So I Can Fall Asleep"</f>
        <v>Talk to Me So I Can Fall Asleep</v>
      </c>
    </row>
    <row r="6563" spans="1:4" x14ac:dyDescent="0.2">
      <c r="A6563" t="str">
        <f>"6562"</f>
        <v>6562</v>
      </c>
      <c r="B6563" t="str">
        <f>"0.91"</f>
        <v>0.91</v>
      </c>
      <c r="C6563" t="str">
        <f>"25"</f>
        <v>25</v>
      </c>
      <c r="D6563" t="str">
        <f>"99¢"</f>
        <v>99¢</v>
      </c>
    </row>
    <row r="6564" spans="1:4" x14ac:dyDescent="0.2">
      <c r="A6564" t="str">
        <f>"6563"</f>
        <v>6563</v>
      </c>
      <c r="B6564" t="str">
        <f>"0.75"</f>
        <v>0.75</v>
      </c>
      <c r="C6564" t="str">
        <f>"28"</f>
        <v>28</v>
      </c>
      <c r="D6564" t="str">
        <f>"The Art of Hustle"</f>
        <v>The Art of Hustle</v>
      </c>
    </row>
    <row r="6565" spans="1:4" x14ac:dyDescent="0.2">
      <c r="A6565" t="str">
        <f>"6564"</f>
        <v>6564</v>
      </c>
      <c r="B6565" t="str">
        <f>"0.45"</f>
        <v>0.45</v>
      </c>
      <c r="C6565" t="str">
        <f>"22"</f>
        <v>22</v>
      </c>
      <c r="D6565" t="str">
        <f>"Songs From the Shoebox"</f>
        <v>Songs From the Shoebox</v>
      </c>
    </row>
    <row r="6566" spans="1:4" x14ac:dyDescent="0.2">
      <c r="A6566" t="str">
        <f>"6565"</f>
        <v>6565</v>
      </c>
      <c r="B6566" t="str">
        <f>"-0.54"</f>
        <v>-0.54</v>
      </c>
      <c r="C6566" t="str">
        <f>"25"</f>
        <v>25</v>
      </c>
      <c r="D6566" t="str">
        <f>"Higher Power"</f>
        <v>Higher Power</v>
      </c>
    </row>
    <row r="6567" spans="1:4" x14ac:dyDescent="0.2">
      <c r="A6567" t="str">
        <f>"6566"</f>
        <v>6566</v>
      </c>
      <c r="B6567" t="str">
        <f>"0.07"</f>
        <v>0.07</v>
      </c>
      <c r="C6567" t="str">
        <f>"34"</f>
        <v>34</v>
      </c>
      <c r="D6567" t="str">
        <f>"Outdoor Museum of Fractals / 555Hz"</f>
        <v>Outdoor Museum of Fractals / 555Hz</v>
      </c>
    </row>
    <row r="6568" spans="1:4" x14ac:dyDescent="0.2">
      <c r="A6568" t="str">
        <f>"6567"</f>
        <v>6567</v>
      </c>
      <c r="B6568" t="str">
        <f>"1.01"</f>
        <v>1.01</v>
      </c>
      <c r="C6568" t="str">
        <f>"32"</f>
        <v>32</v>
      </c>
      <c r="D6568" t="str">
        <f>"Star Wars Headspace"</f>
        <v>Star Wars Headspace</v>
      </c>
    </row>
    <row r="6569" spans="1:4" x14ac:dyDescent="0.2">
      <c r="A6569" t="str">
        <f>"6568"</f>
        <v>6568</v>
      </c>
      <c r="B6569" t="str">
        <f>"0.25"</f>
        <v>0.25</v>
      </c>
      <c r="C6569" t="str">
        <f>"22"</f>
        <v>22</v>
      </c>
      <c r="D6569" t="str">
        <f>"Void Beats / Invocation Trex"</f>
        <v>Void Beats / Invocation Trex</v>
      </c>
    </row>
    <row r="6570" spans="1:4" x14ac:dyDescent="0.2">
      <c r="A6570" t="str">
        <f>"6569"</f>
        <v>6569</v>
      </c>
      <c r="B6570" t="str">
        <f>"0.76"</f>
        <v>0.76</v>
      </c>
      <c r="C6570" t="str">
        <f>"23"</f>
        <v>23</v>
      </c>
      <c r="D6570" t="str">
        <f>"Love Yes"</f>
        <v>Love Yes</v>
      </c>
    </row>
    <row r="6571" spans="1:4" x14ac:dyDescent="0.2">
      <c r="A6571" t="str">
        <f>"6570"</f>
        <v>6570</v>
      </c>
      <c r="B6571" t="str">
        <f>"-0.98"</f>
        <v>-0.98</v>
      </c>
      <c r="C6571" t="str">
        <f>"27"</f>
        <v>27</v>
      </c>
      <c r="D6571" t="str">
        <f>"Death Index"</f>
        <v>Death Index</v>
      </c>
    </row>
    <row r="6572" spans="1:4" x14ac:dyDescent="0.2">
      <c r="A6572" t="str">
        <f>"6571"</f>
        <v>6571</v>
      </c>
      <c r="B6572" t="str">
        <f>"0.24"</f>
        <v>0.24</v>
      </c>
      <c r="C6572" t="str">
        <f>"26"</f>
        <v>26</v>
      </c>
      <c r="D6572" t="str">
        <f>"Traditional Synthesizer Music"</f>
        <v>Traditional Synthesizer Music</v>
      </c>
    </row>
    <row r="6573" spans="1:4" x14ac:dyDescent="0.2">
      <c r="A6573" t="str">
        <f>"6572"</f>
        <v>6572</v>
      </c>
      <c r="B6573" t="str">
        <f>"0.01"</f>
        <v>0.01</v>
      </c>
      <c r="C6573" t="str">
        <f>"42"</f>
        <v>42</v>
      </c>
      <c r="D6573" t="str">
        <f>"Jesu/Sun Kil Moon"</f>
        <v>Jesu/Sun Kil Moon</v>
      </c>
    </row>
    <row r="6574" spans="1:4" x14ac:dyDescent="0.2">
      <c r="A6574" t="str">
        <f>"6573"</f>
        <v>6573</v>
      </c>
      <c r="B6574" t="str">
        <f>"0.51"</f>
        <v>0.51</v>
      </c>
      <c r="C6574" t="str">
        <f>"33"</f>
        <v>33</v>
      </c>
      <c r="D6574" t="str">
        <f>"Seth Bogart"</f>
        <v>Seth Bogart</v>
      </c>
    </row>
    <row r="6575" spans="1:4" x14ac:dyDescent="0.2">
      <c r="A6575" t="str">
        <f>"6574"</f>
        <v>6574</v>
      </c>
      <c r="B6575" t="str">
        <f>"1"</f>
        <v>1</v>
      </c>
      <c r="C6575" t="str">
        <f>"25"</f>
        <v>25</v>
      </c>
      <c r="D6575" t="str">
        <f>"Need Your Light"</f>
        <v>Need Your Light</v>
      </c>
    </row>
    <row r="6576" spans="1:4" x14ac:dyDescent="0.2">
      <c r="A6576" t="str">
        <f>"6575"</f>
        <v>6575</v>
      </c>
      <c r="B6576" t="str">
        <f>"-0.28"</f>
        <v>-0.28</v>
      </c>
      <c r="C6576" t="str">
        <f>"25"</f>
        <v>25</v>
      </c>
      <c r="D6576" t="str">
        <f>"Breadwoman &amp; Other Tales"</f>
        <v>Breadwoman &amp; Other Tales</v>
      </c>
    </row>
    <row r="6577" spans="1:4" x14ac:dyDescent="0.2">
      <c r="A6577" t="str">
        <f>"6576"</f>
        <v>6576</v>
      </c>
      <c r="B6577" t="str">
        <f>"0.45"</f>
        <v>0.45</v>
      </c>
      <c r="C6577" t="str">
        <f>"21"</f>
        <v>21</v>
      </c>
      <c r="D6577" t="str">
        <f>"Majid Jordan"</f>
        <v>Majid Jordan</v>
      </c>
    </row>
    <row r="6578" spans="1:4" x14ac:dyDescent="0.2">
      <c r="A6578" t="str">
        <f>"6577"</f>
        <v>6577</v>
      </c>
      <c r="B6578" t="str">
        <f>"0.55"</f>
        <v>0.55</v>
      </c>
      <c r="C6578" t="str">
        <f>"16"</f>
        <v>16</v>
      </c>
      <c r="D6578" t="str">
        <f>"The Heretic's Bargain"</f>
        <v>The Heretic's Bargain</v>
      </c>
    </row>
    <row r="6579" spans="1:4" x14ac:dyDescent="0.2">
      <c r="A6579" t="str">
        <f>"6578"</f>
        <v>6578</v>
      </c>
      <c r="B6579" t="str">
        <f>"0.74"</f>
        <v>0.74</v>
      </c>
      <c r="C6579" t="str">
        <f>"55"</f>
        <v>55</v>
      </c>
      <c r="D6579" t="str">
        <f>"Life of Pause"</f>
        <v>Life of Pause</v>
      </c>
    </row>
    <row r="6580" spans="1:4" x14ac:dyDescent="0.2">
      <c r="A6580" t="str">
        <f>"6579"</f>
        <v>6579</v>
      </c>
      <c r="B6580" t="str">
        <f>"-0.47"</f>
        <v>-0.47</v>
      </c>
      <c r="C6580" t="str">
        <f>"35"</f>
        <v>35</v>
      </c>
      <c r="D6580" t="str">
        <f>"Ultimate Care II"</f>
        <v>Ultimate Care II</v>
      </c>
    </row>
    <row r="6581" spans="1:4" x14ac:dyDescent="0.2">
      <c r="A6581" t="str">
        <f>"6580"</f>
        <v>6580</v>
      </c>
      <c r="B6581" t="str">
        <f>"0.43"</f>
        <v>0.43</v>
      </c>
      <c r="C6581" t="str">
        <f>"39"</f>
        <v>39</v>
      </c>
      <c r="D6581" t="str">
        <f>"Livin' on a High Note"</f>
        <v>Livin' on a High Note</v>
      </c>
    </row>
    <row r="6582" spans="1:4" x14ac:dyDescent="0.2">
      <c r="A6582" t="str">
        <f>"6581"</f>
        <v>6581</v>
      </c>
      <c r="B6582" t="str">
        <f>"0.58"</f>
        <v>0.58</v>
      </c>
      <c r="C6582" t="str">
        <f>"32"</f>
        <v>32</v>
      </c>
      <c r="D6582" t="str">
        <f>"Phase"</f>
        <v>Phase</v>
      </c>
    </row>
    <row r="6583" spans="1:4" x14ac:dyDescent="0.2">
      <c r="A6583" t="str">
        <f>"6582"</f>
        <v>6582</v>
      </c>
      <c r="B6583" t="str">
        <f>"-0.02"</f>
        <v>-0.02</v>
      </c>
      <c r="C6583" t="str">
        <f>"23"</f>
        <v>23</v>
      </c>
      <c r="D6583" t="str">
        <f>"Mowing"</f>
        <v>Mowing</v>
      </c>
    </row>
    <row r="6584" spans="1:4" x14ac:dyDescent="0.2">
      <c r="A6584" t="str">
        <f>"6583"</f>
        <v>6583</v>
      </c>
      <c r="B6584" t="str">
        <f>"-0.1"</f>
        <v>-0.1</v>
      </c>
      <c r="C6584" t="str">
        <f>"29"</f>
        <v>29</v>
      </c>
      <c r="D6584" t="str">
        <f>"DJ-Kicks"</f>
        <v>DJ-Kicks</v>
      </c>
    </row>
    <row r="6585" spans="1:4" x14ac:dyDescent="0.2">
      <c r="A6585" t="str">
        <f>"6584"</f>
        <v>6584</v>
      </c>
      <c r="B6585" t="str">
        <f>"0.55"</f>
        <v>0.55</v>
      </c>
      <c r="C6585" t="str">
        <f>"27"</f>
        <v>27</v>
      </c>
      <c r="D6585" t="str">
        <f>"How to Dance"</f>
        <v>How to Dance</v>
      </c>
    </row>
    <row r="6586" spans="1:4" x14ac:dyDescent="0.2">
      <c r="A6586" t="str">
        <f>"6585"</f>
        <v>6585</v>
      </c>
      <c r="B6586" t="str">
        <f>"-0.4"</f>
        <v>-0.4</v>
      </c>
      <c r="C6586" t="str">
        <f>"30"</f>
        <v>30</v>
      </c>
      <c r="D6586" t="str">
        <f>"Ritualize"</f>
        <v>Ritualize</v>
      </c>
    </row>
    <row r="6587" spans="1:4" x14ac:dyDescent="0.2">
      <c r="A6587" t="str">
        <f>"6586"</f>
        <v>6586</v>
      </c>
      <c r="B6587" t="str">
        <f>"0.02"</f>
        <v>0.02</v>
      </c>
      <c r="C6587" t="str">
        <f>"33"</f>
        <v>33</v>
      </c>
      <c r="D6587" t="str">
        <f>"Daze"</f>
        <v>Daze</v>
      </c>
    </row>
    <row r="6588" spans="1:4" x14ac:dyDescent="0.2">
      <c r="A6588" t="str">
        <f>"6587"</f>
        <v>6587</v>
      </c>
      <c r="B6588" t="str">
        <f>"0.14"</f>
        <v>0.14</v>
      </c>
      <c r="C6588" t="str">
        <f>"43"</f>
        <v>43</v>
      </c>
      <c r="D6588" t="str">
        <f>"Benny..."</f>
        <v>Benny...</v>
      </c>
    </row>
    <row r="6589" spans="1:4" x14ac:dyDescent="0.2">
      <c r="A6589" t="str">
        <f>"6588"</f>
        <v>6588</v>
      </c>
      <c r="B6589" t="str">
        <f>"0.27"</f>
        <v>0.27</v>
      </c>
      <c r="C6589" t="str">
        <f>"44"</f>
        <v>44</v>
      </c>
      <c r="D6589" t="str">
        <f>"Painting With"</f>
        <v>Painting With</v>
      </c>
    </row>
    <row r="6590" spans="1:4" x14ac:dyDescent="0.2">
      <c r="A6590" t="str">
        <f>"6589"</f>
        <v>6589</v>
      </c>
      <c r="B6590" t="str">
        <f>"1.04"</f>
        <v>1.04</v>
      </c>
      <c r="C6590" t="str">
        <f>"26"</f>
        <v>26</v>
      </c>
      <c r="D6590" t="str">
        <f>"Basar"</f>
        <v>Basar</v>
      </c>
    </row>
    <row r="6591" spans="1:4" x14ac:dyDescent="0.2">
      <c r="A6591" t="str">
        <f>"6590"</f>
        <v>6590</v>
      </c>
      <c r="B6591" t="str">
        <f>"-0.5"</f>
        <v>-0.5</v>
      </c>
      <c r="C6591" t="str">
        <f>"19"</f>
        <v>19</v>
      </c>
      <c r="D6591" t="str">
        <f>"neo"</f>
        <v>neo</v>
      </c>
    </row>
    <row r="6592" spans="1:4" x14ac:dyDescent="0.2">
      <c r="A6592" t="str">
        <f>"6591"</f>
        <v>6591</v>
      </c>
      <c r="B6592" t="str">
        <f>"0.73"</f>
        <v>0.73</v>
      </c>
      <c r="C6592" t="str">
        <f>"37"</f>
        <v>37</v>
      </c>
      <c r="D6592" t="str">
        <f>"Né So"</f>
        <v>Né So</v>
      </c>
    </row>
    <row r="6593" spans="1:4" x14ac:dyDescent="0.2">
      <c r="A6593" t="str">
        <f>"6592"</f>
        <v>6592</v>
      </c>
      <c r="B6593" t="str">
        <f>"-0.33"</f>
        <v>-0.33</v>
      </c>
      <c r="C6593" t="str">
        <f>"28"</f>
        <v>28</v>
      </c>
      <c r="D6593" t="str">
        <f>"Under the Perspective Tree EP"</f>
        <v>Under the Perspective Tree EP</v>
      </c>
    </row>
    <row r="6594" spans="1:4" x14ac:dyDescent="0.2">
      <c r="A6594" t="str">
        <f>"6593"</f>
        <v>6593</v>
      </c>
      <c r="B6594" t="str">
        <f>"-0.43"</f>
        <v>-0.43</v>
      </c>
      <c r="C6594" t="str">
        <f>"86"</f>
        <v>86</v>
      </c>
      <c r="D6594" t="str">
        <f>"The Life of Pablo"</f>
        <v>The Life of Pablo</v>
      </c>
    </row>
    <row r="6595" spans="1:4" x14ac:dyDescent="0.2">
      <c r="A6595" t="str">
        <f>"6594"</f>
        <v>6594</v>
      </c>
      <c r="B6595" t="str">
        <f>"-1.08"</f>
        <v>-1.08</v>
      </c>
      <c r="C6595" t="str">
        <f>"24"</f>
        <v>24</v>
      </c>
      <c r="D6595" t="str">
        <f>"Skifflin'"</f>
        <v>Skifflin'</v>
      </c>
    </row>
    <row r="6596" spans="1:4" x14ac:dyDescent="0.2">
      <c r="A6596" t="str">
        <f>"6595"</f>
        <v>6595</v>
      </c>
      <c r="B6596" t="str">
        <f>"0.49"</f>
        <v>0.49</v>
      </c>
      <c r="C6596" t="str">
        <f>"28"</f>
        <v>28</v>
      </c>
      <c r="D6596" t="str">
        <f>"On Vacation"</f>
        <v>On Vacation</v>
      </c>
    </row>
    <row r="6597" spans="1:4" x14ac:dyDescent="0.2">
      <c r="A6597" t="str">
        <f>"6596"</f>
        <v>6596</v>
      </c>
      <c r="B6597" t="str">
        <f>"1.03"</f>
        <v>1.03</v>
      </c>
      <c r="C6597" t="str">
        <f>"21"</f>
        <v>21</v>
      </c>
      <c r="D6597" t="str">
        <f>"Holographic"</f>
        <v>Holographic</v>
      </c>
    </row>
    <row r="6598" spans="1:4" x14ac:dyDescent="0.2">
      <c r="A6598" t="str">
        <f>"6597"</f>
        <v>6597</v>
      </c>
      <c r="B6598" t="str">
        <f>"-0.76"</f>
        <v>-0.76</v>
      </c>
      <c r="C6598" t="str">
        <f>"24"</f>
        <v>24</v>
      </c>
      <c r="D6598" t="str">
        <f>"Landless"</f>
        <v>Landless</v>
      </c>
    </row>
    <row r="6599" spans="1:4" x14ac:dyDescent="0.2">
      <c r="A6599" t="str">
        <f>"6598"</f>
        <v>6598</v>
      </c>
      <c r="B6599" t="str">
        <f>"0.5"</f>
        <v>0.5</v>
      </c>
      <c r="C6599" t="str">
        <f>"29"</f>
        <v>29</v>
      </c>
      <c r="D6599" t="str">
        <f>"Khalifa"</f>
        <v>Khalifa</v>
      </c>
    </row>
    <row r="6600" spans="1:4" x14ac:dyDescent="0.2">
      <c r="A6600" t="str">
        <f>"6599"</f>
        <v>6599</v>
      </c>
      <c r="B6600" t="str">
        <f>"-0.9"</f>
        <v>-0.9</v>
      </c>
      <c r="C6600" t="str">
        <f>"24"</f>
        <v>24</v>
      </c>
      <c r="D6600" t="str">
        <f>"Out My Feelings (In My Past)"</f>
        <v>Out My Feelings (In My Past)</v>
      </c>
    </row>
    <row r="6601" spans="1:4" x14ac:dyDescent="0.2">
      <c r="A6601" t="str">
        <f>"6600"</f>
        <v>6600</v>
      </c>
      <c r="B6601" t="str">
        <f>"0.63"</f>
        <v>0.63</v>
      </c>
      <c r="C6601" t="str">
        <f>"21"</f>
        <v>21</v>
      </c>
      <c r="D6601" t="str">
        <f>"Commontime"</f>
        <v>Commontime</v>
      </c>
    </row>
    <row r="6602" spans="1:4" x14ac:dyDescent="0.2">
      <c r="A6602" t="str">
        <f>"6601"</f>
        <v>6601</v>
      </c>
      <c r="B6602" t="str">
        <f>"-0.4"</f>
        <v>-0.4</v>
      </c>
      <c r="C6602" t="str">
        <f>"28"</f>
        <v>28</v>
      </c>
      <c r="D6602" t="str">
        <f>"Rot Forever"</f>
        <v>Rot Forever</v>
      </c>
    </row>
    <row r="6603" spans="1:4" x14ac:dyDescent="0.2">
      <c r="A6603" t="str">
        <f>"6602"</f>
        <v>6602</v>
      </c>
      <c r="B6603" t="str">
        <f>"0.36"</f>
        <v>0.36</v>
      </c>
      <c r="C6603" t="str">
        <f>"21"</f>
        <v>21</v>
      </c>
      <c r="D6603" t="str">
        <f>"Personal Life"</f>
        <v>Personal Life</v>
      </c>
    </row>
    <row r="6604" spans="1:4" x14ac:dyDescent="0.2">
      <c r="A6604" t="str">
        <f>"6603"</f>
        <v>6603</v>
      </c>
      <c r="B6604" t="str">
        <f>"0.33"</f>
        <v>0.33</v>
      </c>
      <c r="C6604" t="str">
        <f>"42"</f>
        <v>42</v>
      </c>
      <c r="D6604" t="str">
        <f>"A Minor Thought"</f>
        <v>A Minor Thought</v>
      </c>
    </row>
    <row r="6605" spans="1:4" x14ac:dyDescent="0.2">
      <c r="A6605" t="str">
        <f>"6604"</f>
        <v>6604</v>
      </c>
      <c r="B6605" t="str">
        <f>"-0.61"</f>
        <v>-0.61</v>
      </c>
      <c r="C6605" t="str">
        <f>"24"</f>
        <v>24</v>
      </c>
      <c r="D6605" t="str">
        <f>"EVOL"</f>
        <v>EVOL</v>
      </c>
    </row>
    <row r="6606" spans="1:4" x14ac:dyDescent="0.2">
      <c r="A6606" t="str">
        <f>"6605"</f>
        <v>6605</v>
      </c>
      <c r="B6606" t="str">
        <f>"-1.49"</f>
        <v>-1.49</v>
      </c>
      <c r="C6606" t="str">
        <f>"32"</f>
        <v>32</v>
      </c>
      <c r="D6606" t="str">
        <f>"Wriggling"</f>
        <v>Wriggling</v>
      </c>
    </row>
    <row r="6607" spans="1:4" x14ac:dyDescent="0.2">
      <c r="A6607" t="str">
        <f>"6606"</f>
        <v>6606</v>
      </c>
      <c r="B6607" t="str">
        <f>"1.19"</f>
        <v>1.19</v>
      </c>
      <c r="C6607" t="str">
        <f>"26"</f>
        <v>26</v>
      </c>
      <c r="D6607" t="str">
        <f>"Wraptaypes"</f>
        <v>Wraptaypes</v>
      </c>
    </row>
    <row r="6608" spans="1:4" x14ac:dyDescent="0.2">
      <c r="A6608" t="str">
        <f>"6607"</f>
        <v>6607</v>
      </c>
      <c r="B6608" t="str">
        <f>"0.44"</f>
        <v>0.44</v>
      </c>
      <c r="C6608" t="str">
        <f>"36"</f>
        <v>36</v>
      </c>
      <c r="D6608" t="str">
        <f>"My Wild West"</f>
        <v>My Wild West</v>
      </c>
    </row>
    <row r="6609" spans="1:4" x14ac:dyDescent="0.2">
      <c r="A6609" t="str">
        <f>"6608"</f>
        <v>6608</v>
      </c>
      <c r="B6609" t="str">
        <f>"-1.11"</f>
        <v>-1.11</v>
      </c>
      <c r="C6609" t="str">
        <f>"33"</f>
        <v>33</v>
      </c>
      <c r="D6609" t="str">
        <f>"Janus"</f>
        <v>Janus</v>
      </c>
    </row>
    <row r="6610" spans="1:4" x14ac:dyDescent="0.2">
      <c r="A6610" t="str">
        <f>"6609"</f>
        <v>6609</v>
      </c>
      <c r="B6610" t="str">
        <f>"0.53"</f>
        <v>0.53</v>
      </c>
      <c r="C6610" t="str">
        <f>"41"</f>
        <v>41</v>
      </c>
      <c r="D6610" t="str">
        <f>"Heaven Adores You Soundtrack"</f>
        <v>Heaven Adores You Soundtrack</v>
      </c>
    </row>
    <row r="6611" spans="1:4" x14ac:dyDescent="0.2">
      <c r="A6611" t="str">
        <f>"6610"</f>
        <v>6610</v>
      </c>
      <c r="B6611" t="str">
        <f>"-0.11"</f>
        <v>-0.11</v>
      </c>
      <c r="C6611" t="str">
        <f>"28"</f>
        <v>28</v>
      </c>
      <c r="D6611" t="str">
        <f>"Cardinal"</f>
        <v>Cardinal</v>
      </c>
    </row>
    <row r="6612" spans="1:4" x14ac:dyDescent="0.2">
      <c r="A6612" t="str">
        <f>"6611"</f>
        <v>6611</v>
      </c>
      <c r="B6612" t="str">
        <f>"0.81"</f>
        <v>0.81</v>
      </c>
      <c r="C6612" t="str">
        <f>"30"</f>
        <v>30</v>
      </c>
      <c r="D6612" t="str">
        <f>"Super Saiyan Vol. 3"</f>
        <v>Super Saiyan Vol. 3</v>
      </c>
    </row>
    <row r="6613" spans="1:4" x14ac:dyDescent="0.2">
      <c r="A6613" t="str">
        <f>"6612"</f>
        <v>6612</v>
      </c>
      <c r="B6613" t="str">
        <f>"0.34"</f>
        <v>0.34</v>
      </c>
      <c r="C6613" t="str">
        <f>"32"</f>
        <v>32</v>
      </c>
      <c r="D6613" t="str">
        <f>"Voix"</f>
        <v>Voix</v>
      </c>
    </row>
    <row r="6614" spans="1:4" x14ac:dyDescent="0.2">
      <c r="A6614" t="str">
        <f>"6613"</f>
        <v>6613</v>
      </c>
      <c r="B6614" t="str">
        <f>"-0.64"</f>
        <v>-0.64</v>
      </c>
      <c r="C6614" t="str">
        <f>"24"</f>
        <v>24</v>
      </c>
      <c r="D6614" t="str">
        <f>"Why the Mountains Are Black: Primeval Greek Village Music"</f>
        <v>Why the Mountains Are Black: Primeval Greek Village Music</v>
      </c>
    </row>
    <row r="6615" spans="1:4" x14ac:dyDescent="0.2">
      <c r="A6615" t="str">
        <f>"6614"</f>
        <v>6614</v>
      </c>
      <c r="B6615" t="str">
        <f>"0.24"</f>
        <v>0.24</v>
      </c>
      <c r="C6615" t="str">
        <f>"28"</f>
        <v>28</v>
      </c>
      <c r="D6615" t="str">
        <f>"I'm Up"</f>
        <v>I'm Up</v>
      </c>
    </row>
    <row r="6616" spans="1:4" x14ac:dyDescent="0.2">
      <c r="A6616" t="str">
        <f>"6615"</f>
        <v>6615</v>
      </c>
      <c r="B6616" t="str">
        <f>"0.57"</f>
        <v>0.57</v>
      </c>
      <c r="C6616" t="str">
        <f>"37"</f>
        <v>37</v>
      </c>
      <c r="D6616" t="str">
        <f>"SVIIB"</f>
        <v>SVIIB</v>
      </c>
    </row>
    <row r="6617" spans="1:4" x14ac:dyDescent="0.2">
      <c r="A6617" t="str">
        <f>"6616"</f>
        <v>6616</v>
      </c>
      <c r="B6617" t="str">
        <f>"0.59"</f>
        <v>0.59</v>
      </c>
      <c r="C6617" t="str">
        <f>"39"</f>
        <v>39</v>
      </c>
      <c r="D6617" t="str">
        <f>"The Gamble"</f>
        <v>The Gamble</v>
      </c>
    </row>
    <row r="6618" spans="1:4" x14ac:dyDescent="0.2">
      <c r="A6618" t="str">
        <f>"6617"</f>
        <v>6617</v>
      </c>
      <c r="B6618" t="str">
        <f>"0.76"</f>
        <v>0.76</v>
      </c>
      <c r="C6618" t="str">
        <f>"27"</f>
        <v>27</v>
      </c>
      <c r="D6618" t="str">
        <f>"Man Made Object"</f>
        <v>Man Made Object</v>
      </c>
    </row>
    <row r="6619" spans="1:4" x14ac:dyDescent="0.2">
      <c r="A6619" t="str">
        <f>"6618"</f>
        <v>6618</v>
      </c>
      <c r="B6619" t="str">
        <f>"-0.33"</f>
        <v>-0.33</v>
      </c>
      <c r="C6619" t="str">
        <f>"29"</f>
        <v>29</v>
      </c>
      <c r="D6619" t="str">
        <f>"All I Need"</f>
        <v>All I Need</v>
      </c>
    </row>
    <row r="6620" spans="1:4" x14ac:dyDescent="0.2">
      <c r="A6620" t="str">
        <f>"6619"</f>
        <v>6619</v>
      </c>
      <c r="B6620" t="str">
        <f>"0.45"</f>
        <v>0.45</v>
      </c>
      <c r="C6620" t="str">
        <f>"38"</f>
        <v>38</v>
      </c>
      <c r="D6620" t="str">
        <f>"Pool"</f>
        <v>Pool</v>
      </c>
    </row>
    <row r="6621" spans="1:4" x14ac:dyDescent="0.2">
      <c r="A6621" t="str">
        <f>"6620"</f>
        <v>6620</v>
      </c>
      <c r="B6621" t="str">
        <f>"-0.89"</f>
        <v>-0.89</v>
      </c>
      <c r="C6621" t="str">
        <f>"41"</f>
        <v>41</v>
      </c>
      <c r="D6621" t="str">
        <f>"Who the Fuck Is Chris Spencer??"</f>
        <v>Who the Fuck Is Chris Spencer??</v>
      </c>
    </row>
    <row r="6622" spans="1:4" x14ac:dyDescent="0.2">
      <c r="A6622" t="str">
        <f>"6621"</f>
        <v>6621</v>
      </c>
      <c r="B6622" t="str">
        <f>"-0.59"</f>
        <v>-0.59</v>
      </c>
      <c r="C6622" t="str">
        <f>"27"</f>
        <v>27</v>
      </c>
      <c r="D6622" t="str">
        <f>"Milk ‘N’ Cookies Box Set"</f>
        <v>Milk ‘N’ Cookies Box Set</v>
      </c>
    </row>
    <row r="6623" spans="1:4" x14ac:dyDescent="0.2">
      <c r="A6623" t="str">
        <f>"6622"</f>
        <v>6622</v>
      </c>
      <c r="B6623" t="str">
        <f>"-0.36"</f>
        <v>-0.36</v>
      </c>
      <c r="C6623" t="str">
        <f>"17"</f>
        <v>17</v>
      </c>
      <c r="D6623" t="str">
        <f>"Long Time Traveller"</f>
        <v>Long Time Traveller</v>
      </c>
    </row>
    <row r="6624" spans="1:4" x14ac:dyDescent="0.2">
      <c r="A6624" t="str">
        <f>"6623"</f>
        <v>6623</v>
      </c>
      <c r="B6624" t="str">
        <f>"0.16"</f>
        <v>0.16</v>
      </c>
      <c r="C6624" t="str">
        <f>"25"</f>
        <v>25</v>
      </c>
      <c r="D6624" t="str">
        <f>"Demain Est Une Autre Nuit"</f>
        <v>Demain Est Une Autre Nuit</v>
      </c>
    </row>
    <row r="6625" spans="1:4" x14ac:dyDescent="0.2">
      <c r="A6625" t="str">
        <f>"6624"</f>
        <v>6624</v>
      </c>
      <c r="B6625" t="str">
        <f>"-0.94"</f>
        <v>-0.94</v>
      </c>
      <c r="C6625" t="str">
        <f>"27"</f>
        <v>27</v>
      </c>
      <c r="D6625" t="str">
        <f>"Ritual Spirit EP"</f>
        <v>Ritual Spirit EP</v>
      </c>
    </row>
    <row r="6626" spans="1:4" x14ac:dyDescent="0.2">
      <c r="A6626" t="str">
        <f>"6625"</f>
        <v>6625</v>
      </c>
      <c r="B6626" t="str">
        <f>"0.01"</f>
        <v>0.01</v>
      </c>
      <c r="C6626" t="str">
        <f>"35"</f>
        <v>35</v>
      </c>
      <c r="D6626" t="str">
        <f>"Opus"</f>
        <v>Opus</v>
      </c>
    </row>
    <row r="6627" spans="1:4" x14ac:dyDescent="0.2">
      <c r="A6627" t="str">
        <f>"6626"</f>
        <v>6626</v>
      </c>
      <c r="B6627" t="str">
        <f>"0.51"</f>
        <v>0.51</v>
      </c>
      <c r="C6627" t="str">
        <f>"16"</f>
        <v>16</v>
      </c>
      <c r="D6627" t="str">
        <f>"Wabi-Sabi"</f>
        <v>Wabi-Sabi</v>
      </c>
    </row>
    <row r="6628" spans="1:4" x14ac:dyDescent="0.2">
      <c r="A6628" t="str">
        <f>"6627"</f>
        <v>6627</v>
      </c>
      <c r="B6628" t="str">
        <f>"0.74"</f>
        <v>0.74</v>
      </c>
      <c r="C6628" t="str">
        <f>"37"</f>
        <v>37</v>
      </c>
      <c r="D6628" t="str">
        <f>"Thought Rock Fish Scale"</f>
        <v>Thought Rock Fish Scale</v>
      </c>
    </row>
    <row r="6629" spans="1:4" x14ac:dyDescent="0.2">
      <c r="A6629" t="str">
        <f>"6628"</f>
        <v>6628</v>
      </c>
      <c r="B6629" t="str">
        <f>"0.15"</f>
        <v>0.15</v>
      </c>
      <c r="C6629" t="str">
        <f>"33"</f>
        <v>33</v>
      </c>
      <c r="D6629" t="str">
        <f>"Love Over Will"</f>
        <v>Love Over Will</v>
      </c>
    </row>
    <row r="6630" spans="1:4" x14ac:dyDescent="0.2">
      <c r="A6630" t="str">
        <f>"6629"</f>
        <v>6629</v>
      </c>
      <c r="B6630" t="str">
        <f>"0.73"</f>
        <v>0.73</v>
      </c>
      <c r="C6630" t="str">
        <f>"36"</f>
        <v>36</v>
      </c>
      <c r="D6630" t="str">
        <f>"Islah"</f>
        <v>Islah</v>
      </c>
    </row>
    <row r="6631" spans="1:4" x14ac:dyDescent="0.2">
      <c r="A6631" t="str">
        <f>"6630"</f>
        <v>6630</v>
      </c>
      <c r="B6631" t="str">
        <f>"1.28"</f>
        <v>1.28</v>
      </c>
      <c r="C6631" t="str">
        <f>"21"</f>
        <v>21</v>
      </c>
      <c r="D6631" t="str">
        <f>"Big Black Coat"</f>
        <v>Big Black Coat</v>
      </c>
    </row>
    <row r="6632" spans="1:4" x14ac:dyDescent="0.2">
      <c r="A6632" t="str">
        <f>"6631"</f>
        <v>6631</v>
      </c>
      <c r="B6632" t="str">
        <f>"0.79"</f>
        <v>0.79</v>
      </c>
      <c r="C6632" t="str">
        <f>"18"</f>
        <v>18</v>
      </c>
      <c r="D6632" t="str">
        <f>"Stand Up and Speak"</f>
        <v>Stand Up and Speak</v>
      </c>
    </row>
    <row r="6633" spans="1:4" x14ac:dyDescent="0.2">
      <c r="A6633" t="str">
        <f>"6632"</f>
        <v>6632</v>
      </c>
      <c r="B6633" t="str">
        <f>"-0.52"</f>
        <v>-0.52</v>
      </c>
      <c r="C6633" t="str">
        <f>"39"</f>
        <v>39</v>
      </c>
      <c r="D6633" t="str">
        <f>"SeeFu Lilac"</f>
        <v>SeeFu Lilac</v>
      </c>
    </row>
    <row r="6634" spans="1:4" x14ac:dyDescent="0.2">
      <c r="A6634" t="str">
        <f>"6633"</f>
        <v>6633</v>
      </c>
      <c r="B6634" t="str">
        <f>"1.33"</f>
        <v>1.33</v>
      </c>
      <c r="C6634" t="str">
        <f>"24"</f>
        <v>24</v>
      </c>
      <c r="D6634" t="str">
        <f>"Scheherazade"</f>
        <v>Scheherazade</v>
      </c>
    </row>
    <row r="6635" spans="1:4" x14ac:dyDescent="0.2">
      <c r="A6635" t="str">
        <f>"6634"</f>
        <v>6634</v>
      </c>
      <c r="B6635" t="str">
        <f>"0.39"</f>
        <v>0.39</v>
      </c>
      <c r="C6635" t="str">
        <f>"96"</f>
        <v>96</v>
      </c>
      <c r="D6635" t="str">
        <f>"Still in a Dream: A Story of Shoegaze 1988-1995"</f>
        <v>Still in a Dream: A Story of Shoegaze 1988-1995</v>
      </c>
    </row>
    <row r="6636" spans="1:4" x14ac:dyDescent="0.2">
      <c r="A6636" t="str">
        <f>"6635"</f>
        <v>6635</v>
      </c>
      <c r="B6636" t="str">
        <f>"0.19"</f>
        <v>0.19</v>
      </c>
      <c r="C6636" t="str">
        <f>"28"</f>
        <v>28</v>
      </c>
      <c r="D6636" t="str">
        <f>"Pillars of Ash"</f>
        <v>Pillars of Ash</v>
      </c>
    </row>
    <row r="6637" spans="1:4" x14ac:dyDescent="0.2">
      <c r="A6637" t="str">
        <f>"6636"</f>
        <v>6636</v>
      </c>
      <c r="B6637" t="str">
        <f>"0.18"</f>
        <v>0.18</v>
      </c>
      <c r="C6637" t="str">
        <f>"19"</f>
        <v>19</v>
      </c>
      <c r="D6637" t="str">
        <f>"Jream House"</f>
        <v>Jream House</v>
      </c>
    </row>
    <row r="6638" spans="1:4" x14ac:dyDescent="0.2">
      <c r="A6638" t="str">
        <f>"6637"</f>
        <v>6637</v>
      </c>
      <c r="B6638" t="str">
        <f>"-0.47"</f>
        <v>-0.47</v>
      </c>
      <c r="C6638" t="str">
        <f>"39"</f>
        <v>39</v>
      </c>
      <c r="D6638" t="str">
        <f>"ANTI"</f>
        <v>ANTI</v>
      </c>
    </row>
    <row r="6639" spans="1:4" x14ac:dyDescent="0.2">
      <c r="A6639" t="str">
        <f>"6638"</f>
        <v>6638</v>
      </c>
      <c r="B6639" t="str">
        <f>"0.07"</f>
        <v>0.07</v>
      </c>
      <c r="C6639" t="str">
        <f>"33"</f>
        <v>33</v>
      </c>
      <c r="D6639" t="str">
        <f>"The Ghosts of Highway 20"</f>
        <v>The Ghosts of Highway 20</v>
      </c>
    </row>
    <row r="6640" spans="1:4" x14ac:dyDescent="0.2">
      <c r="A6640" t="str">
        <f>"6639"</f>
        <v>6639</v>
      </c>
      <c r="B6640" t="str">
        <f>"-0.08"</f>
        <v>-0.08</v>
      </c>
      <c r="C6640" t="str">
        <f>"33"</f>
        <v>33</v>
      </c>
      <c r="D6640" t="str">
        <f>"MartyrLoserKing"</f>
        <v>MartyrLoserKing</v>
      </c>
    </row>
    <row r="6641" spans="1:4" x14ac:dyDescent="0.2">
      <c r="A6641" t="str">
        <f>"6640"</f>
        <v>6640</v>
      </c>
      <c r="B6641" t="str">
        <f>"0.73"</f>
        <v>0.73</v>
      </c>
      <c r="C6641" t="str">
        <f>"26"</f>
        <v>26</v>
      </c>
      <c r="D6641" t="str">
        <f>"Begin"</f>
        <v>Begin</v>
      </c>
    </row>
    <row r="6642" spans="1:4" x14ac:dyDescent="0.2">
      <c r="A6642" t="str">
        <f>"6641"</f>
        <v>6641</v>
      </c>
      <c r="B6642" t="str">
        <f>"-0.74"</f>
        <v>-0.74</v>
      </c>
      <c r="C6642" t="str">
        <f>"42"</f>
        <v>42</v>
      </c>
      <c r="D6642" t="str">
        <f>"My Life in a Hole in the Ground"</f>
        <v>My Life in a Hole in the Ground</v>
      </c>
    </row>
    <row r="6643" spans="1:4" x14ac:dyDescent="0.2">
      <c r="A6643" t="str">
        <f>"6642"</f>
        <v>6642</v>
      </c>
      <c r="B6643" t="str">
        <f>"0.25"</f>
        <v>0.25</v>
      </c>
      <c r="C6643" t="str">
        <f>"26"</f>
        <v>26</v>
      </c>
      <c r="D6643" t="str">
        <f>"Young Rich Ni$$a$ 2"</f>
        <v>Young Rich Ni$$a$ 2</v>
      </c>
    </row>
    <row r="6644" spans="1:4" x14ac:dyDescent="0.2">
      <c r="A6644" t="str">
        <f>"6643"</f>
        <v>6643</v>
      </c>
      <c r="B6644" t="str">
        <f>"0.18"</f>
        <v>0.18</v>
      </c>
      <c r="C6644" t="str">
        <f>"22"</f>
        <v>22</v>
      </c>
      <c r="D6644" t="str">
        <f>"Human Ceremony"</f>
        <v>Human Ceremony</v>
      </c>
    </row>
    <row r="6645" spans="1:4" x14ac:dyDescent="0.2">
      <c r="A6645" t="str">
        <f>"6644"</f>
        <v>6644</v>
      </c>
      <c r="B6645" t="str">
        <f>"-0.35"</f>
        <v>-0.35</v>
      </c>
      <c r="C6645" t="str">
        <f>"32"</f>
        <v>32</v>
      </c>
      <c r="D6645" t="str">
        <f>"From Farthest Known Objects"</f>
        <v>From Farthest Known Objects</v>
      </c>
    </row>
    <row r="6646" spans="1:4" x14ac:dyDescent="0.2">
      <c r="A6646" t="str">
        <f>"6645"</f>
        <v>6645</v>
      </c>
      <c r="B6646" t="str">
        <f>"0.71"</f>
        <v>0.71</v>
      </c>
      <c r="C6646" t="str">
        <f>"32"</f>
        <v>32</v>
      </c>
      <c r="D6646" t="str">
        <f>"Songs in the Key of Animals"</f>
        <v>Songs in the Key of Animals</v>
      </c>
    </row>
    <row r="6647" spans="1:4" x14ac:dyDescent="0.2">
      <c r="A6647" t="str">
        <f>"6646"</f>
        <v>6646</v>
      </c>
      <c r="B6647" t="str">
        <f>"-0.1"</f>
        <v>-0.1</v>
      </c>
      <c r="C6647" t="str">
        <f>"23"</f>
        <v>23</v>
      </c>
      <c r="D6647" t="str">
        <f>"ATGCLVLSSCAP"</f>
        <v>ATGCLVLSSCAP</v>
      </c>
    </row>
    <row r="6648" spans="1:4" x14ac:dyDescent="0.2">
      <c r="A6648" t="str">
        <f>"6647"</f>
        <v>6647</v>
      </c>
      <c r="B6648" t="str">
        <f>"0.48"</f>
        <v>0.48</v>
      </c>
      <c r="C6648" t="str">
        <f>"23"</f>
        <v>23</v>
      </c>
      <c r="D6648" t="str">
        <f>"This Is Acting"</f>
        <v>This Is Acting</v>
      </c>
    </row>
    <row r="6649" spans="1:4" x14ac:dyDescent="0.2">
      <c r="A6649" t="str">
        <f>"6648"</f>
        <v>6648</v>
      </c>
      <c r="B6649" t="str">
        <f>"0.44"</f>
        <v>0.44</v>
      </c>
      <c r="C6649" t="str">
        <f>"52"</f>
        <v>52</v>
      </c>
      <c r="D6649" t="str">
        <f>"The Very Special World of Lee Hazlewood"</f>
        <v>The Very Special World of Lee Hazlewood</v>
      </c>
    </row>
    <row r="6650" spans="1:4" x14ac:dyDescent="0.2">
      <c r="A6650" t="str">
        <f>"6649"</f>
        <v>6649</v>
      </c>
      <c r="B6650" t="str">
        <f>"-0.13"</f>
        <v>-0.13</v>
      </c>
      <c r="C6650" t="str">
        <f>"31"</f>
        <v>31</v>
      </c>
      <c r="D6650" t="str">
        <f>"Suicide Songs"</f>
        <v>Suicide Songs</v>
      </c>
    </row>
    <row r="6651" spans="1:4" x14ac:dyDescent="0.2">
      <c r="A6651" t="str">
        <f>"6650"</f>
        <v>6650</v>
      </c>
      <c r="B6651" t="str">
        <f>"-1.11"</f>
        <v>-1.11</v>
      </c>
      <c r="C6651" t="str">
        <f>"30"</f>
        <v>30</v>
      </c>
      <c r="D6651" t="str">
        <f>"Original Machines"</f>
        <v>Original Machines</v>
      </c>
    </row>
    <row r="6652" spans="1:4" x14ac:dyDescent="0.2">
      <c r="A6652" t="str">
        <f>"6651"</f>
        <v>6651</v>
      </c>
      <c r="B6652" t="str">
        <f>"0.35"</f>
        <v>0.35</v>
      </c>
      <c r="C6652" t="str">
        <f>"17"</f>
        <v>17</v>
      </c>
      <c r="D6652" t="str">
        <f>"Promise Everything"</f>
        <v>Promise Everything</v>
      </c>
    </row>
    <row r="6653" spans="1:4" x14ac:dyDescent="0.2">
      <c r="A6653" t="str">
        <f>"6652"</f>
        <v>6652</v>
      </c>
      <c r="B6653" t="str">
        <f>"-0.04"</f>
        <v>-0.04</v>
      </c>
      <c r="C6653" t="str">
        <f>"26"</f>
        <v>26</v>
      </c>
      <c r="D6653" t="str">
        <f>"Hymns"</f>
        <v>Hymns</v>
      </c>
    </row>
    <row r="6654" spans="1:4" x14ac:dyDescent="0.2">
      <c r="A6654" t="str">
        <f>"6653"</f>
        <v>6653</v>
      </c>
      <c r="B6654" t="str">
        <f>"-0.37"</f>
        <v>-0.37</v>
      </c>
      <c r="C6654" t="str">
        <f>"26"</f>
        <v>26</v>
      </c>
      <c r="D6654" t="str">
        <f>"Nevermen"</f>
        <v>Nevermen</v>
      </c>
    </row>
    <row r="6655" spans="1:4" x14ac:dyDescent="0.2">
      <c r="A6655" t="str">
        <f>"6654"</f>
        <v>6654</v>
      </c>
      <c r="B6655" t="str">
        <f>"-0.67"</f>
        <v>-0.67</v>
      </c>
      <c r="C6655" t="str">
        <f>"26"</f>
        <v>26</v>
      </c>
      <c r="D6655" t="str">
        <f>"Third Law"</f>
        <v>Third Law</v>
      </c>
    </row>
    <row r="6656" spans="1:4" x14ac:dyDescent="0.2">
      <c r="A6656" t="str">
        <f>"6655"</f>
        <v>6655</v>
      </c>
      <c r="B6656" t="str">
        <f>"0.77"</f>
        <v>0.77</v>
      </c>
      <c r="C6656" t="str">
        <f>"25"</f>
        <v>25</v>
      </c>
      <c r="D6656" t="str">
        <f>"Night Fiction"</f>
        <v>Night Fiction</v>
      </c>
    </row>
    <row r="6657" spans="1:4" x14ac:dyDescent="0.2">
      <c r="A6657" t="str">
        <f>"6656"</f>
        <v>6656</v>
      </c>
      <c r="B6657" t="str">
        <f>"1.35"</f>
        <v>1.35</v>
      </c>
      <c r="C6657" t="str">
        <f>"24"</f>
        <v>24</v>
      </c>
      <c r="D6657" t="str">
        <f>"Brawther &amp; Alixkun Present Once Upon a Time in Japan"</f>
        <v>Brawther &amp; Alixkun Present Once Upon a Time in Japan</v>
      </c>
    </row>
    <row r="6658" spans="1:4" x14ac:dyDescent="0.2">
      <c r="A6658" t="str">
        <f>"6657"</f>
        <v>6657</v>
      </c>
      <c r="B6658" t="str">
        <f>"0.73"</f>
        <v>0.73</v>
      </c>
      <c r="C6658" t="str">
        <f>"43"</f>
        <v>43</v>
      </c>
      <c r="D6658" t="str">
        <f>"Don't You"</f>
        <v>Don't You</v>
      </c>
    </row>
    <row r="6659" spans="1:4" x14ac:dyDescent="0.2">
      <c r="A6659" t="str">
        <f>"6658"</f>
        <v>6658</v>
      </c>
      <c r="B6659" t="str">
        <f>"0.47"</f>
        <v>0.47</v>
      </c>
      <c r="C6659" t="str">
        <f>"31"</f>
        <v>31</v>
      </c>
      <c r="D6659" t="str">
        <f>"The Waiting Room"</f>
        <v>The Waiting Room</v>
      </c>
    </row>
    <row r="6660" spans="1:4" x14ac:dyDescent="0.2">
      <c r="A6660" t="str">
        <f>"6659"</f>
        <v>6659</v>
      </c>
      <c r="B6660" t="str">
        <f>"-1.15"</f>
        <v>-1.15</v>
      </c>
      <c r="C6660" t="str">
        <f>"52"</f>
        <v>52</v>
      </c>
      <c r="D6660" t="str">
        <f>"This Heat"</f>
        <v>This Heat</v>
      </c>
    </row>
    <row r="6661" spans="1:4" x14ac:dyDescent="0.2">
      <c r="A6661" t="str">
        <f>"6660"</f>
        <v>6660</v>
      </c>
      <c r="B6661" t="str">
        <f>"0.33"</f>
        <v>0.33</v>
      </c>
      <c r="C6661" t="str">
        <f>"52"</f>
        <v>52</v>
      </c>
      <c r="D6661" t="str">
        <f>"The Sound of Durban Vol. 1"</f>
        <v>The Sound of Durban Vol. 1</v>
      </c>
    </row>
    <row r="6662" spans="1:4" x14ac:dyDescent="0.2">
      <c r="A6662" t="str">
        <f>"6661"</f>
        <v>6661</v>
      </c>
      <c r="B6662" t="str">
        <f>"0.07"</f>
        <v>0.07</v>
      </c>
      <c r="C6662" t="str">
        <f>"24"</f>
        <v>24</v>
      </c>
      <c r="D6662" t="str">
        <f>"Palana"</f>
        <v>Palana</v>
      </c>
    </row>
    <row r="6663" spans="1:4" x14ac:dyDescent="0.2">
      <c r="A6663" t="str">
        <f>"6662"</f>
        <v>6662</v>
      </c>
      <c r="B6663" t="str">
        <f>"0.26"</f>
        <v>0.26</v>
      </c>
      <c r="C6663" t="str">
        <f>"32"</f>
        <v>32</v>
      </c>
      <c r="D6663" t="str">
        <f>"Wait &amp; See EP"</f>
        <v>Wait &amp; See EP</v>
      </c>
    </row>
    <row r="6664" spans="1:4" x14ac:dyDescent="0.2">
      <c r="A6664" t="str">
        <f>"6663"</f>
        <v>6663</v>
      </c>
      <c r="B6664" t="str">
        <f>"1.13"</f>
        <v>1.13</v>
      </c>
      <c r="C6664" t="str">
        <f>"27"</f>
        <v>27</v>
      </c>
      <c r="D6664" t="str">
        <f>"Jet Plane and Oxbow"</f>
        <v>Jet Plane and Oxbow</v>
      </c>
    </row>
    <row r="6665" spans="1:4" x14ac:dyDescent="0.2">
      <c r="A6665" t="str">
        <f>"6664"</f>
        <v>6664</v>
      </c>
      <c r="B6665" t="str">
        <f>"-0.7"</f>
        <v>-0.7</v>
      </c>
      <c r="C6665" t="str">
        <f>"32"</f>
        <v>32</v>
      </c>
      <c r="D6665" t="str">
        <f>"Pond Scum"</f>
        <v>Pond Scum</v>
      </c>
    </row>
    <row r="6666" spans="1:4" x14ac:dyDescent="0.2">
      <c r="A6666" t="str">
        <f>"6665"</f>
        <v>6665</v>
      </c>
      <c r="B6666" t="str">
        <f>"0.11"</f>
        <v>0.11</v>
      </c>
      <c r="C6666" t="str">
        <f>"31"</f>
        <v>31</v>
      </c>
      <c r="D6666" t="str">
        <f>"The Birds Outside Sang"</f>
        <v>The Birds Outside Sang</v>
      </c>
    </row>
    <row r="6667" spans="1:4" x14ac:dyDescent="0.2">
      <c r="A6667" t="str">
        <f>"6666"</f>
        <v>6666</v>
      </c>
      <c r="B6667" t="str">
        <f>"0.13"</f>
        <v>0.13</v>
      </c>
      <c r="C6667" t="str">
        <f>"19"</f>
        <v>19</v>
      </c>
      <c r="D6667" t="str">
        <f>"Paradise"</f>
        <v>Paradise</v>
      </c>
    </row>
    <row r="6668" spans="1:4" x14ac:dyDescent="0.2">
      <c r="A6668" t="str">
        <f>"6667"</f>
        <v>6667</v>
      </c>
      <c r="B6668" t="str">
        <f>"0.38"</f>
        <v>0.38</v>
      </c>
      <c r="C6668" t="str">
        <f>"71"</f>
        <v>71</v>
      </c>
      <c r="D6668" t="str">
        <f>"""Heroes"""</f>
        <v>"Heroes"</v>
      </c>
    </row>
    <row r="6669" spans="1:4" x14ac:dyDescent="0.2">
      <c r="A6669" t="str">
        <f>"6668"</f>
        <v>6668</v>
      </c>
      <c r="B6669" t="str">
        <f>"-0.61"</f>
        <v>-0.61</v>
      </c>
      <c r="C6669" t="str">
        <f>"44"</f>
        <v>44</v>
      </c>
      <c r="D6669" t="str">
        <f>"Lodger"</f>
        <v>Lodger</v>
      </c>
    </row>
    <row r="6670" spans="1:4" x14ac:dyDescent="0.2">
      <c r="A6670" t="str">
        <f>"6669"</f>
        <v>6669</v>
      </c>
      <c r="B6670" t="str">
        <f>"-0.34"</f>
        <v>-0.34</v>
      </c>
      <c r="C6670" t="str">
        <f>"43"</f>
        <v>43</v>
      </c>
      <c r="D6670" t="str">
        <f>"Low"</f>
        <v>Low</v>
      </c>
    </row>
    <row r="6671" spans="1:4" x14ac:dyDescent="0.2">
      <c r="A6671" t="str">
        <f>"6670"</f>
        <v>6670</v>
      </c>
      <c r="B6671" t="str">
        <f>"-0.4"</f>
        <v>-0.4</v>
      </c>
      <c r="C6671" t="str">
        <f>"62"</f>
        <v>62</v>
      </c>
      <c r="D6671" t="str">
        <f>"Diamond Dogs"</f>
        <v>Diamond Dogs</v>
      </c>
    </row>
    <row r="6672" spans="1:4" x14ac:dyDescent="0.2">
      <c r="A6672" t="str">
        <f>"6671"</f>
        <v>6671</v>
      </c>
      <c r="B6672" t="str">
        <f>"0.45"</f>
        <v>0.45</v>
      </c>
      <c r="C6672" t="str">
        <f>"56"</f>
        <v>56</v>
      </c>
      <c r="D6672" t="str">
        <f>"Young Americans"</f>
        <v>Young Americans</v>
      </c>
    </row>
    <row r="6673" spans="1:4" x14ac:dyDescent="0.2">
      <c r="A6673" t="str">
        <f>"6672"</f>
        <v>6672</v>
      </c>
      <c r="B6673" t="str">
        <f>"-0.24"</f>
        <v>-0.24</v>
      </c>
      <c r="C6673" t="str">
        <f>"37"</f>
        <v>37</v>
      </c>
      <c r="D6673" t="str">
        <f>"Purple Reign"</f>
        <v>Purple Reign</v>
      </c>
    </row>
    <row r="6674" spans="1:4" x14ac:dyDescent="0.2">
      <c r="A6674" t="str">
        <f>"6673"</f>
        <v>6673</v>
      </c>
      <c r="B6674" t="str">
        <f>"1.66"</f>
        <v>1.66</v>
      </c>
      <c r="C6674" t="str">
        <f>"25"</f>
        <v>25</v>
      </c>
      <c r="D6674" t="str">
        <f>"Something About April II"</f>
        <v>Something About April II</v>
      </c>
    </row>
    <row r="6675" spans="1:4" x14ac:dyDescent="0.2">
      <c r="A6675" t="str">
        <f>"6674"</f>
        <v>6674</v>
      </c>
      <c r="B6675" t="str">
        <f>"0.15"</f>
        <v>0.15</v>
      </c>
      <c r="C6675" t="str">
        <f>"31"</f>
        <v>31</v>
      </c>
      <c r="D6675" t="str">
        <f>"AGE 101: DROP X"</f>
        <v>AGE 101: DROP X</v>
      </c>
    </row>
    <row r="6676" spans="1:4" x14ac:dyDescent="0.2">
      <c r="A6676" t="str">
        <f>"6675"</f>
        <v>6675</v>
      </c>
      <c r="B6676" t="str">
        <f>"0.16"</f>
        <v>0.16</v>
      </c>
      <c r="C6676" t="str">
        <f>"29"</f>
        <v>29</v>
      </c>
      <c r="D6676" t="str">
        <f>"The New Toronto"</f>
        <v>The New Toronto</v>
      </c>
    </row>
    <row r="6677" spans="1:4" x14ac:dyDescent="0.2">
      <c r="A6677" t="str">
        <f>"6676"</f>
        <v>6676</v>
      </c>
      <c r="B6677" t="str">
        <f>"-0.64"</f>
        <v>-0.64</v>
      </c>
      <c r="C6677" t="str">
        <f>"33"</f>
        <v>33</v>
      </c>
      <c r="D6677" t="str">
        <f>"Cuzznz"</f>
        <v>Cuzznz</v>
      </c>
    </row>
    <row r="6678" spans="1:4" x14ac:dyDescent="0.2">
      <c r="A6678" t="str">
        <f>"6677"</f>
        <v>6677</v>
      </c>
      <c r="B6678" t="str">
        <f>"-0.5"</f>
        <v>-0.5</v>
      </c>
      <c r="C6678" t="str">
        <f>"40"</f>
        <v>40</v>
      </c>
      <c r="D6678" t="str">
        <f>"Moth"</f>
        <v>Moth</v>
      </c>
    </row>
    <row r="6679" spans="1:4" x14ac:dyDescent="0.2">
      <c r="A6679" t="str">
        <f>"6678"</f>
        <v>6678</v>
      </c>
      <c r="B6679" t="str">
        <f>"-0.22"</f>
        <v>-0.22</v>
      </c>
      <c r="C6679" t="str">
        <f>"28"</f>
        <v>28</v>
      </c>
      <c r="D6679" t="str">
        <f>"New View"</f>
        <v>New View</v>
      </c>
    </row>
    <row r="6680" spans="1:4" x14ac:dyDescent="0.2">
      <c r="A6680" t="str">
        <f>"6679"</f>
        <v>6679</v>
      </c>
      <c r="B6680" t="str">
        <f>"-0.71"</f>
        <v>-0.71</v>
      </c>
      <c r="C6680" t="str">
        <f>"33"</f>
        <v>33</v>
      </c>
      <c r="D6680" t="str">
        <f>"Night Thoughts"</f>
        <v>Night Thoughts</v>
      </c>
    </row>
    <row r="6681" spans="1:4" x14ac:dyDescent="0.2">
      <c r="A6681" t="str">
        <f>"6680"</f>
        <v>6680</v>
      </c>
      <c r="B6681" t="str">
        <f>"-0.09"</f>
        <v>-0.09</v>
      </c>
      <c r="C6681" t="str">
        <f>"62"</f>
        <v>62</v>
      </c>
      <c r="D6681" t="str">
        <f>"School Girl Distortional Addict"</f>
        <v>School Girl Distortional Addict</v>
      </c>
    </row>
    <row r="6682" spans="1:4" x14ac:dyDescent="0.2">
      <c r="A6682" t="str">
        <f>"6681"</f>
        <v>6681</v>
      </c>
      <c r="B6682" t="str">
        <f>"0.6"</f>
        <v>0.6</v>
      </c>
      <c r="C6682" t="str">
        <f>"25"</f>
        <v>25</v>
      </c>
      <c r="D6682" t="str">
        <f>"Here Come the Rattling Trees"</f>
        <v>Here Come the Rattling Trees</v>
      </c>
    </row>
    <row r="6683" spans="1:4" x14ac:dyDescent="0.2">
      <c r="A6683" t="str">
        <f>"6682"</f>
        <v>6682</v>
      </c>
      <c r="B6683" t="str">
        <f>"0.02"</f>
        <v>0.02</v>
      </c>
      <c r="C6683" t="str">
        <f>"35"</f>
        <v>35</v>
      </c>
      <c r="D6683" t="str">
        <f>"Emotional Mugger"</f>
        <v>Emotional Mugger</v>
      </c>
    </row>
    <row r="6684" spans="1:4" x14ac:dyDescent="0.2">
      <c r="A6684" t="str">
        <f>"6683"</f>
        <v>6683</v>
      </c>
      <c r="B6684" t="str">
        <f>"0.14"</f>
        <v>0.14</v>
      </c>
      <c r="C6684" t="str">
        <f>"21"</f>
        <v>21</v>
      </c>
      <c r="D6684" t="str">
        <f>"The Catastrophist"</f>
        <v>The Catastrophist</v>
      </c>
    </row>
    <row r="6685" spans="1:4" x14ac:dyDescent="0.2">
      <c r="A6685" t="str">
        <f>"6684"</f>
        <v>6684</v>
      </c>
      <c r="B6685" t="str">
        <f>"0.09"</f>
        <v>0.09</v>
      </c>
      <c r="C6685" t="str">
        <f>"28"</f>
        <v>28</v>
      </c>
      <c r="D6685" t="str">
        <f>"Northern Lights"</f>
        <v>Northern Lights</v>
      </c>
    </row>
    <row r="6686" spans="1:4" x14ac:dyDescent="0.2">
      <c r="A6686" t="str">
        <f>"6685"</f>
        <v>6685</v>
      </c>
      <c r="B6686" t="str">
        <f>"-1.44"</f>
        <v>-1.44</v>
      </c>
      <c r="C6686" t="str">
        <f>"19"</f>
        <v>19</v>
      </c>
      <c r="D6686" t="str">
        <f>"Songs for Our Mothers"</f>
        <v>Songs for Our Mothers</v>
      </c>
    </row>
    <row r="6687" spans="1:4" x14ac:dyDescent="0.2">
      <c r="A6687" t="str">
        <f>"6686"</f>
        <v>6686</v>
      </c>
      <c r="B6687" t="str">
        <f>"0.11"</f>
        <v>0.11</v>
      </c>
      <c r="C6687" t="str">
        <f>"24"</f>
        <v>24</v>
      </c>
      <c r="D6687" t="str">
        <f>"Not to Disappear"</f>
        <v>Not to Disappear</v>
      </c>
    </row>
    <row r="6688" spans="1:4" x14ac:dyDescent="0.2">
      <c r="A6688" t="str">
        <f>"6687"</f>
        <v>6687</v>
      </c>
      <c r="B6688" t="str">
        <f>"0.59"</f>
        <v>0.59</v>
      </c>
      <c r="C6688" t="str">
        <f>"32"</f>
        <v>32</v>
      </c>
      <c r="D6688" t="str">
        <f>"Adore Life"</f>
        <v>Adore Life</v>
      </c>
    </row>
    <row r="6689" spans="1:4" x14ac:dyDescent="0.2">
      <c r="A6689" t="str">
        <f>"6688"</f>
        <v>6688</v>
      </c>
      <c r="B6689" t="str">
        <f>"-0.41"</f>
        <v>-0.41</v>
      </c>
      <c r="C6689" t="str">
        <f>"36"</f>
        <v>36</v>
      </c>
      <c r="D6689" t="str">
        <f>"Bells/Prophecy"</f>
        <v>Bells/Prophecy</v>
      </c>
    </row>
    <row r="6690" spans="1:4" x14ac:dyDescent="0.2">
      <c r="A6690" t="str">
        <f>"6689"</f>
        <v>6689</v>
      </c>
      <c r="B6690" t="str">
        <f>"0.13"</f>
        <v>0.13</v>
      </c>
      <c r="C6690" t="str">
        <f>"25"</f>
        <v>25</v>
      </c>
      <c r="D6690" t="str">
        <f>"A Coliseum Complex Museum"</f>
        <v>A Coliseum Complex Museum</v>
      </c>
    </row>
    <row r="6691" spans="1:4" x14ac:dyDescent="0.2">
      <c r="A6691" t="str">
        <f>"6690"</f>
        <v>6690</v>
      </c>
      <c r="B6691" t="str">
        <f>"-0.28"</f>
        <v>-0.28</v>
      </c>
      <c r="C6691" t="str">
        <f>"30"</f>
        <v>30</v>
      </c>
      <c r="D6691" t="str">
        <f>"Ou"</f>
        <v>Ou</v>
      </c>
    </row>
    <row r="6692" spans="1:4" x14ac:dyDescent="0.2">
      <c r="A6692" t="str">
        <f>"6691"</f>
        <v>6691</v>
      </c>
      <c r="B6692" t="str">
        <f>"1.02"</f>
        <v>1.02</v>
      </c>
      <c r="C6692" t="str">
        <f>"17"</f>
        <v>17</v>
      </c>
      <c r="D6692" t="str">
        <f>"Agony Planet"</f>
        <v>Agony Planet</v>
      </c>
    </row>
    <row r="6693" spans="1:4" x14ac:dyDescent="0.2">
      <c r="A6693" t="str">
        <f>"6692"</f>
        <v>6692</v>
      </c>
      <c r="B6693" t="str">
        <f>"1.16"</f>
        <v>1.16</v>
      </c>
      <c r="C6693" t="str">
        <f>"22"</f>
        <v>22</v>
      </c>
      <c r="D6693" t="str">
        <f>"Hallucinogen Remixes"</f>
        <v>Hallucinogen Remixes</v>
      </c>
    </row>
    <row r="6694" spans="1:4" x14ac:dyDescent="0.2">
      <c r="A6694" t="str">
        <f>"6693"</f>
        <v>6693</v>
      </c>
      <c r="B6694" t="str">
        <f>"-0.01"</f>
        <v>-0.01</v>
      </c>
      <c r="C6694" t="str">
        <f>"41"</f>
        <v>41</v>
      </c>
      <c r="D6694" t="str">
        <f>"King Stays King"</f>
        <v>King Stays King</v>
      </c>
    </row>
    <row r="6695" spans="1:4" x14ac:dyDescent="0.2">
      <c r="A6695" t="str">
        <f>"6694"</f>
        <v>6694</v>
      </c>
      <c r="B6695" t="str">
        <f>"-0.73"</f>
        <v>-0.73</v>
      </c>
      <c r="C6695" t="str">
        <f>"30"</f>
        <v>30</v>
      </c>
      <c r="D6695" t="str">
        <f>"Hyperion EP"</f>
        <v>Hyperion EP</v>
      </c>
    </row>
    <row r="6696" spans="1:4" x14ac:dyDescent="0.2">
      <c r="A6696" t="str">
        <f>"6695"</f>
        <v>6695</v>
      </c>
      <c r="B6696" t="str">
        <f>"1.24"</f>
        <v>1.24</v>
      </c>
      <c r="C6696" t="str">
        <f>"26"</f>
        <v>26</v>
      </c>
      <c r="D6696" t="str">
        <f>"COVERGIRL"</f>
        <v>COVERGIRL</v>
      </c>
    </row>
    <row r="6697" spans="1:4" x14ac:dyDescent="0.2">
      <c r="A6697" t="str">
        <f>"6696"</f>
        <v>6696</v>
      </c>
      <c r="B6697" t="str">
        <f>"-1.03"</f>
        <v>-1.03</v>
      </c>
      <c r="C6697" t="str">
        <f>"29"</f>
        <v>29</v>
      </c>
      <c r="D6697" t="str">
        <f>"Bloodiest"</f>
        <v>Bloodiest</v>
      </c>
    </row>
    <row r="6698" spans="1:4" x14ac:dyDescent="0.2">
      <c r="A6698" t="str">
        <f>"6697"</f>
        <v>6697</v>
      </c>
      <c r="B6698" t="str">
        <f>"-0.61"</f>
        <v>-0.61</v>
      </c>
      <c r="C6698" t="str">
        <f>"31"</f>
        <v>31</v>
      </c>
      <c r="D6698" t="str">
        <f>"The Return of the Dragon (The Abstract Went on Vacation)"</f>
        <v>The Return of the Dragon (The Abstract Went on Vacation)</v>
      </c>
    </row>
    <row r="6699" spans="1:4" x14ac:dyDescent="0.2">
      <c r="A6699" t="str">
        <f>"6698"</f>
        <v>6698</v>
      </c>
      <c r="B6699" t="str">
        <f>"-1.22"</f>
        <v>-1.22</v>
      </c>
      <c r="C6699" t="str">
        <f>"33"</f>
        <v>33</v>
      </c>
      <c r="D6699" t="str">
        <f>"Live at Moe"</f>
        <v>Live at Moe</v>
      </c>
    </row>
    <row r="6700" spans="1:4" x14ac:dyDescent="0.2">
      <c r="A6700" t="str">
        <f>"6699"</f>
        <v>6699</v>
      </c>
      <c r="B6700" t="str">
        <f>"-0.79"</f>
        <v>-0.79</v>
      </c>
      <c r="C6700" t="str">
        <f>"24"</f>
        <v>24</v>
      </c>
      <c r="D6700" t="str">
        <f>"Free Crack 3"</f>
        <v>Free Crack 3</v>
      </c>
    </row>
    <row r="6701" spans="1:4" x14ac:dyDescent="0.2">
      <c r="A6701" t="str">
        <f>"6700"</f>
        <v>6700</v>
      </c>
      <c r="B6701" t="str">
        <f>"-0.98"</f>
        <v>-0.98</v>
      </c>
      <c r="C6701" t="str">
        <f>"29"</f>
        <v>29</v>
      </c>
      <c r="D6701" t="str">
        <f>"Chasms"</f>
        <v>Chasms</v>
      </c>
    </row>
    <row r="6702" spans="1:4" x14ac:dyDescent="0.2">
      <c r="A6702" t="str">
        <f>"6701"</f>
        <v>6701</v>
      </c>
      <c r="B6702" t="str">
        <f>"-0.27"</f>
        <v>-0.27</v>
      </c>
      <c r="C6702" t="str">
        <f>"34"</f>
        <v>34</v>
      </c>
      <c r="D6702" t="str">
        <f>"Shame"</f>
        <v>Shame</v>
      </c>
    </row>
    <row r="6703" spans="1:4" x14ac:dyDescent="0.2">
      <c r="A6703" t="str">
        <f>"6702"</f>
        <v>6702</v>
      </c>
      <c r="B6703" t="str">
        <f>"0.44"</f>
        <v>0.44</v>
      </c>
      <c r="C6703" t="str">
        <f>"24"</f>
        <v>24</v>
      </c>
      <c r="D6703" t="str">
        <f>"Rubble Kings: The Album"</f>
        <v>Rubble Kings: The Album</v>
      </c>
    </row>
    <row r="6704" spans="1:4" x14ac:dyDescent="0.2">
      <c r="A6704" t="str">
        <f>"6703"</f>
        <v>6703</v>
      </c>
      <c r="B6704" t="str">
        <f>"-0.08"</f>
        <v>-0.08</v>
      </c>
      <c r="C6704" t="str">
        <f>"30"</f>
        <v>30</v>
      </c>
      <c r="D6704" t="str">
        <f>"WALL EP"</f>
        <v>WALL EP</v>
      </c>
    </row>
    <row r="6705" spans="1:4" x14ac:dyDescent="0.2">
      <c r="A6705" t="str">
        <f>"6704"</f>
        <v>6704</v>
      </c>
      <c r="B6705" t="str">
        <f>"1.09"</f>
        <v>1.09</v>
      </c>
      <c r="C6705" t="str">
        <f>"26"</f>
        <v>26</v>
      </c>
      <c r="D6705" t="str">
        <f>"From My Mind to Yours"</f>
        <v>From My Mind to Yours</v>
      </c>
    </row>
    <row r="6706" spans="1:4" x14ac:dyDescent="0.2">
      <c r="A6706" t="str">
        <f>"6705"</f>
        <v>6705</v>
      </c>
      <c r="B6706" t="str">
        <f>"-0.78"</f>
        <v>-0.78</v>
      </c>
      <c r="C6706" t="str">
        <f>"23"</f>
        <v>23</v>
      </c>
      <c r="D6706" t="str">
        <f>"Nucleus"</f>
        <v>Nucleus</v>
      </c>
    </row>
    <row r="6707" spans="1:4" x14ac:dyDescent="0.2">
      <c r="A6707" t="str">
        <f>"6706"</f>
        <v>6706</v>
      </c>
      <c r="B6707" t="str">
        <f>"0.32"</f>
        <v>0.32</v>
      </c>
      <c r="C6707" t="str">
        <f>"28"</f>
        <v>28</v>
      </c>
      <c r="D6707" t="str">
        <f>"Nothin Personal"</f>
        <v>Nothin Personal</v>
      </c>
    </row>
    <row r="6708" spans="1:4" x14ac:dyDescent="0.2">
      <c r="A6708" t="str">
        <f>"6707"</f>
        <v>6707</v>
      </c>
      <c r="B6708" t="str">
        <f>"-0.67"</f>
        <v>-0.67</v>
      </c>
      <c r="C6708" t="str">
        <f>"37"</f>
        <v>37</v>
      </c>
      <c r="D6708" t="str">
        <f>"Thugged Out Pissed Off"</f>
        <v>Thugged Out Pissed Off</v>
      </c>
    </row>
    <row r="6709" spans="1:4" x14ac:dyDescent="0.2">
      <c r="A6709" t="str">
        <f>"6708"</f>
        <v>6708</v>
      </c>
      <c r="B6709" t="str">
        <f>"0.71"</f>
        <v>0.71</v>
      </c>
      <c r="C6709" t="str">
        <f>"38"</f>
        <v>38</v>
      </c>
      <c r="D6709" t="str">
        <f>"Another Side"</f>
        <v>Another Side</v>
      </c>
    </row>
    <row r="6710" spans="1:4" x14ac:dyDescent="0.2">
      <c r="A6710" t="str">
        <f>"6709"</f>
        <v>6709</v>
      </c>
      <c r="B6710" t="str">
        <f>"-0.08"</f>
        <v>-0.08</v>
      </c>
      <c r="C6710" t="str">
        <f>"24"</f>
        <v>24</v>
      </c>
      <c r="D6710" t="str">
        <f>"Where Have You Been All My Life?"</f>
        <v>Where Have You Been All My Life?</v>
      </c>
    </row>
    <row r="6711" spans="1:4" x14ac:dyDescent="0.2">
      <c r="A6711" t="str">
        <f>"6710"</f>
        <v>6710</v>
      </c>
      <c r="B6711" t="str">
        <f>"-0.94"</f>
        <v>-0.94</v>
      </c>
      <c r="C6711" t="str">
        <f>"20"</f>
        <v>20</v>
      </c>
      <c r="D6711" t="str">
        <f>"Fun for Family &amp; Friends EP"</f>
        <v>Fun for Family &amp; Friends EP</v>
      </c>
    </row>
    <row r="6712" spans="1:4" x14ac:dyDescent="0.2">
      <c r="A6712" t="str">
        <f>"6711"</f>
        <v>6711</v>
      </c>
      <c r="B6712" t="str">
        <f>"0.12"</f>
        <v>0.12</v>
      </c>
      <c r="C6712" t="str">
        <f>"34"</f>
        <v>34</v>
      </c>
      <c r="D6712" t="str">
        <f>"The Middle Sister"</f>
        <v>The Middle Sister</v>
      </c>
    </row>
    <row r="6713" spans="1:4" x14ac:dyDescent="0.2">
      <c r="A6713" t="str">
        <f>"6712"</f>
        <v>6712</v>
      </c>
      <c r="B6713" t="str">
        <f>"1.12"</f>
        <v>1.12</v>
      </c>
      <c r="C6713" t="str">
        <f>"43"</f>
        <v>43</v>
      </c>
      <c r="D6713" t="str">
        <f>"Malibu"</f>
        <v>Malibu</v>
      </c>
    </row>
    <row r="6714" spans="1:4" x14ac:dyDescent="0.2">
      <c r="A6714" t="str">
        <f>"6713"</f>
        <v>6713</v>
      </c>
      <c r="B6714" t="str">
        <f>"0.72"</f>
        <v>0.72</v>
      </c>
      <c r="C6714" t="str">
        <f>"17"</f>
        <v>17</v>
      </c>
      <c r="D6714" t="str">
        <f>"An Abundance of Strawberries"</f>
        <v>An Abundance of Strawberries</v>
      </c>
    </row>
    <row r="6715" spans="1:4" x14ac:dyDescent="0.2">
      <c r="A6715" t="str">
        <f>"6714"</f>
        <v>6714</v>
      </c>
      <c r="B6715" t="str">
        <f>"0.27"</f>
        <v>0.27</v>
      </c>
      <c r="C6715" t="str">
        <f>"29"</f>
        <v>29</v>
      </c>
      <c r="D6715" t="str">
        <f>"Strictly Mood II Swing"</f>
        <v>Strictly Mood II Swing</v>
      </c>
    </row>
    <row r="6716" spans="1:4" x14ac:dyDescent="0.2">
      <c r="A6716" t="str">
        <f>"6715"</f>
        <v>6715</v>
      </c>
      <c r="B6716" t="str">
        <f>"-0.43"</f>
        <v>-0.43</v>
      </c>
      <c r="C6716" t="str">
        <f>"26"</f>
        <v>26</v>
      </c>
      <c r="D6716" t="str">
        <f>"The Provider"</f>
        <v>The Provider</v>
      </c>
    </row>
    <row r="6717" spans="1:4" x14ac:dyDescent="0.2">
      <c r="A6717" t="str">
        <f>"6716"</f>
        <v>6716</v>
      </c>
      <c r="B6717" t="str">
        <f>"-0.08"</f>
        <v>-0.08</v>
      </c>
      <c r="C6717" t="str">
        <f>"26"</f>
        <v>26</v>
      </c>
      <c r="D6717" t="str">
        <f>"Cautionary Tale"</f>
        <v>Cautionary Tale</v>
      </c>
    </row>
    <row r="6718" spans="1:4" x14ac:dyDescent="0.2">
      <c r="A6718" t="str">
        <f>"6717"</f>
        <v>6717</v>
      </c>
      <c r="B6718" t="str">
        <f>"-0.04"</f>
        <v>-0.04</v>
      </c>
      <c r="C6718" t="str">
        <f>"34"</f>
        <v>34</v>
      </c>
      <c r="D6718" t="str">
        <f>"HITNRUN Phase Two"</f>
        <v>HITNRUN Phase Two</v>
      </c>
    </row>
    <row r="6719" spans="1:4" x14ac:dyDescent="0.2">
      <c r="A6719" t="str">
        <f>"6718"</f>
        <v>6718</v>
      </c>
      <c r="B6719" t="str">
        <f>"0.53"</f>
        <v>0.53</v>
      </c>
      <c r="C6719" t="str">
        <f>"30"</f>
        <v>30</v>
      </c>
      <c r="D6719" t="str">
        <f>"5 O'Clock Shadow"</f>
        <v>5 O'Clock Shadow</v>
      </c>
    </row>
    <row r="6720" spans="1:4" x14ac:dyDescent="0.2">
      <c r="A6720" t="str">
        <f>"6719"</f>
        <v>6719</v>
      </c>
      <c r="B6720" t="str">
        <f>"0.05"</f>
        <v>0.05</v>
      </c>
      <c r="C6720" t="str">
        <f>"23"</f>
        <v>23</v>
      </c>
      <c r="D6720" t="str">
        <f>"300 Days 300 Nights"</f>
        <v>300 Days 300 Nights</v>
      </c>
    </row>
    <row r="6721" spans="1:4" x14ac:dyDescent="0.2">
      <c r="A6721" t="str">
        <f>"6720"</f>
        <v>6720</v>
      </c>
      <c r="B6721" t="str">
        <f>"0.38"</f>
        <v>0.38</v>
      </c>
      <c r="C6721" t="str">
        <f>"49"</f>
        <v>49</v>
      </c>
      <c r="D6721" t="str">
        <f>"1993-1997"</f>
        <v>1993-1997</v>
      </c>
    </row>
    <row r="6722" spans="1:4" x14ac:dyDescent="0.2">
      <c r="A6722" t="str">
        <f>"6721"</f>
        <v>6721</v>
      </c>
      <c r="B6722" t="str">
        <f>"0.56"</f>
        <v>0.56</v>
      </c>
      <c r="C6722" t="str">
        <f>"25"</f>
        <v>25</v>
      </c>
      <c r="D6722" t="str">
        <f>"Sorry for the Late Reply: Various Remixes for Various Reasons"</f>
        <v>Sorry for the Late Reply: Various Remixes for Various Reasons</v>
      </c>
    </row>
    <row r="6723" spans="1:4" x14ac:dyDescent="0.2">
      <c r="A6723" t="str">
        <f>"6722"</f>
        <v>6722</v>
      </c>
      <c r="B6723" t="str">
        <f>"-0.88"</f>
        <v>-0.88</v>
      </c>
      <c r="C6723" t="str">
        <f>"48"</f>
        <v>48</v>
      </c>
      <c r="D6723" t="str">
        <f>"Blackstar"</f>
        <v>Blackstar</v>
      </c>
    </row>
    <row r="6724" spans="1:4" x14ac:dyDescent="0.2">
      <c r="A6724" t="str">
        <f>"6723"</f>
        <v>6723</v>
      </c>
      <c r="B6724" t="str">
        <f>"-0.98"</f>
        <v>-0.98</v>
      </c>
      <c r="C6724" t="str">
        <f>"30"</f>
        <v>30</v>
      </c>
      <c r="D6724" t="str">
        <f>"Nobody 2"</f>
        <v>Nobody 2</v>
      </c>
    </row>
    <row r="6725" spans="1:4" x14ac:dyDescent="0.2">
      <c r="A6725" t="str">
        <f>"6724"</f>
        <v>6724</v>
      </c>
      <c r="B6725" t="str">
        <f>"0.38"</f>
        <v>0.38</v>
      </c>
      <c r="C6725" t="str">
        <f>"28"</f>
        <v>28</v>
      </c>
      <c r="D6725" t="str">
        <f>"Ardipithecus"</f>
        <v>Ardipithecus</v>
      </c>
    </row>
    <row r="6726" spans="1:4" x14ac:dyDescent="0.2">
      <c r="A6726" t="str">
        <f>"6725"</f>
        <v>6725</v>
      </c>
      <c r="B6726" t="str">
        <f>"0.06"</f>
        <v>0.06</v>
      </c>
      <c r="C6726" t="str">
        <f>"35"</f>
        <v>35</v>
      </c>
      <c r="D6726" t="str">
        <f>"In My Feelings (Going' Thru It)"</f>
        <v>In My Feelings (Going' Thru It)</v>
      </c>
    </row>
    <row r="6727" spans="1:4" x14ac:dyDescent="0.2">
      <c r="A6727" t="str">
        <f>"6726"</f>
        <v>6726</v>
      </c>
      <c r="B6727" t="str">
        <f>"-0.16"</f>
        <v>-0.16</v>
      </c>
      <c r="C6727" t="str">
        <f>"30"</f>
        <v>30</v>
      </c>
      <c r="D6727" t="str">
        <f>"Film Music"</f>
        <v>Film Music</v>
      </c>
    </row>
    <row r="6728" spans="1:4" x14ac:dyDescent="0.2">
      <c r="A6728" t="str">
        <f>"6727"</f>
        <v>6727</v>
      </c>
      <c r="B6728" t="str">
        <f>"-1.17"</f>
        <v>-1.17</v>
      </c>
      <c r="C6728" t="str">
        <f>"28"</f>
        <v>28</v>
      </c>
      <c r="D6728" t="str">
        <f>"Speedin' Bullet 2 Heaven"</f>
        <v>Speedin' Bullet 2 Heaven</v>
      </c>
    </row>
    <row r="6729" spans="1:4" x14ac:dyDescent="0.2">
      <c r="A6729" t="str">
        <f>"6728"</f>
        <v>6728</v>
      </c>
      <c r="B6729" t="str">
        <f>"1.95"</f>
        <v>1.95</v>
      </c>
      <c r="C6729" t="str">
        <f>"32"</f>
        <v>32</v>
      </c>
      <c r="D6729" t="str">
        <f>"From Joy"</f>
        <v>From Joy</v>
      </c>
    </row>
    <row r="6730" spans="1:4" x14ac:dyDescent="0.2">
      <c r="A6730" t="str">
        <f>"6729"</f>
        <v>6729</v>
      </c>
      <c r="B6730" t="str">
        <f>"0.04"</f>
        <v>0.04</v>
      </c>
      <c r="C6730" t="str">
        <f>"33"</f>
        <v>33</v>
      </c>
      <c r="D6730" t="str">
        <f>"Dreamville II: Revenge of the Dreamers"</f>
        <v>Dreamville II: Revenge of the Dreamers</v>
      </c>
    </row>
    <row r="6731" spans="1:4" x14ac:dyDescent="0.2">
      <c r="A6731" t="str">
        <f>"6730"</f>
        <v>6730</v>
      </c>
      <c r="B6731" t="str">
        <f>"-0.94"</f>
        <v>-0.94</v>
      </c>
      <c r="C6731" t="str">
        <f>"28"</f>
        <v>28</v>
      </c>
      <c r="D6731" t="str">
        <f>"T r i s h EP"</f>
        <v>T r i s h EP</v>
      </c>
    </row>
    <row r="6732" spans="1:4" x14ac:dyDescent="0.2">
      <c r="A6732" t="str">
        <f>"6731"</f>
        <v>6731</v>
      </c>
      <c r="B6732" t="str">
        <f>"0.81"</f>
        <v>0.81</v>
      </c>
      <c r="C6732" t="str">
        <f>"26"</f>
        <v>26</v>
      </c>
      <c r="D6732" t="str">
        <f>"The Bell"</f>
        <v>The Bell</v>
      </c>
    </row>
    <row r="6733" spans="1:4" x14ac:dyDescent="0.2">
      <c r="A6733" t="str">
        <f>"6732"</f>
        <v>6732</v>
      </c>
      <c r="B6733" t="str">
        <f>"-0.13"</f>
        <v>-0.13</v>
      </c>
      <c r="C6733" t="str">
        <f>"32"</f>
        <v>32</v>
      </c>
      <c r="D6733" t="str">
        <f>"The Hateful Eight OST"</f>
        <v>The Hateful Eight OST</v>
      </c>
    </row>
    <row r="6734" spans="1:4" x14ac:dyDescent="0.2">
      <c r="A6734" t="str">
        <f>"6733"</f>
        <v>6733</v>
      </c>
      <c r="B6734" t="str">
        <f>"0.67"</f>
        <v>0.67</v>
      </c>
      <c r="C6734" t="str">
        <f>"23"</f>
        <v>23</v>
      </c>
      <c r="D6734" t="str">
        <f>"Leave Me Alone"</f>
        <v>Leave Me Alone</v>
      </c>
    </row>
    <row r="6735" spans="1:4" x14ac:dyDescent="0.2">
      <c r="A6735" t="str">
        <f>"6734"</f>
        <v>6734</v>
      </c>
      <c r="B6735" t="str">
        <f>"0.46"</f>
        <v>0.46</v>
      </c>
      <c r="C6735" t="str">
        <f>"23"</f>
        <v>23</v>
      </c>
      <c r="D6735" t="str">
        <f>"This Thing Called Life"</f>
        <v>This Thing Called Life</v>
      </c>
    </row>
    <row r="6736" spans="1:4" x14ac:dyDescent="0.2">
      <c r="A6736" t="str">
        <f>"6735"</f>
        <v>6735</v>
      </c>
      <c r="B6736" t="str">
        <f>"-0.95"</f>
        <v>-0.95</v>
      </c>
      <c r="C6736" t="str">
        <f>"27"</f>
        <v>27</v>
      </c>
      <c r="D6736" t="str">
        <f>"Why Pay More?"</f>
        <v>Why Pay More?</v>
      </c>
    </row>
    <row r="6737" spans="1:4" x14ac:dyDescent="0.2">
      <c r="A6737" t="str">
        <f>"6736"</f>
        <v>6736</v>
      </c>
      <c r="B6737" t="str">
        <f>"0.32"</f>
        <v>0.32</v>
      </c>
      <c r="C6737" t="str">
        <f>"27"</f>
        <v>27</v>
      </c>
      <c r="D6737" t="str">
        <f>"America's Greatest Hits"</f>
        <v>America's Greatest Hits</v>
      </c>
    </row>
    <row r="6738" spans="1:4" x14ac:dyDescent="0.2">
      <c r="A6738" t="str">
        <f>"6737"</f>
        <v>6737</v>
      </c>
      <c r="B6738" t="str">
        <f>"-0.83"</f>
        <v>-0.83</v>
      </c>
      <c r="C6738" t="str">
        <f>"48"</f>
        <v>48</v>
      </c>
      <c r="D6738" t="str">
        <f>"Darkest Before Dawn"</f>
        <v>Darkest Before Dawn</v>
      </c>
    </row>
    <row r="6739" spans="1:4" x14ac:dyDescent="0.2">
      <c r="A6739" t="str">
        <f>"6738"</f>
        <v>6738</v>
      </c>
      <c r="B6739" t="str">
        <f>"0.84"</f>
        <v>0.84</v>
      </c>
      <c r="C6739" t="str">
        <f>"58"</f>
        <v>58</v>
      </c>
      <c r="D6739" t="str">
        <f>"Screamadelica"</f>
        <v>Screamadelica</v>
      </c>
    </row>
    <row r="6740" spans="1:4" x14ac:dyDescent="0.2">
      <c r="A6740" t="str">
        <f>"6739"</f>
        <v>6739</v>
      </c>
      <c r="B6740" t="str">
        <f>"0.96"</f>
        <v>0.96</v>
      </c>
      <c r="C6740" t="str">
        <f>"13"</f>
        <v>13</v>
      </c>
      <c r="D6740" t="str">
        <f>"Lice EP"</f>
        <v>Lice EP</v>
      </c>
    </row>
    <row r="6741" spans="1:4" x14ac:dyDescent="0.2">
      <c r="A6741" t="str">
        <f>"6740"</f>
        <v>6740</v>
      </c>
      <c r="B6741" t="str">
        <f>"-0.83"</f>
        <v>-0.83</v>
      </c>
      <c r="C6741" t="str">
        <f>"19"</f>
        <v>19</v>
      </c>
      <c r="D6741" t="str">
        <f>"Live 1977-1979"</f>
        <v>Live 1977-1979</v>
      </c>
    </row>
    <row r="6742" spans="1:4" x14ac:dyDescent="0.2">
      <c r="A6742" t="str">
        <f>"6741"</f>
        <v>6741</v>
      </c>
      <c r="B6742" t="str">
        <f>"-0.38"</f>
        <v>-0.38</v>
      </c>
      <c r="C6742" t="str">
        <f>"34"</f>
        <v>34</v>
      </c>
      <c r="D6742" t="str">
        <f>"The Revenant OST"</f>
        <v>The Revenant OST</v>
      </c>
    </row>
    <row r="6743" spans="1:4" x14ac:dyDescent="0.2">
      <c r="A6743" t="str">
        <f>"6742"</f>
        <v>6742</v>
      </c>
      <c r="B6743" t="str">
        <f>"-0.21"</f>
        <v>-0.21</v>
      </c>
      <c r="C6743" t="str">
        <f>"35"</f>
        <v>35</v>
      </c>
      <c r="D6743" t="str">
        <f>"A New Place 2 Drown"</f>
        <v>A New Place 2 Drown</v>
      </c>
    </row>
    <row r="6744" spans="1:4" x14ac:dyDescent="0.2">
      <c r="A6744" t="str">
        <f>"6743"</f>
        <v>6743</v>
      </c>
      <c r="B6744" t="str">
        <f>"-0.85"</f>
        <v>-0.85</v>
      </c>
      <c r="C6744" t="str">
        <f>"28"</f>
        <v>28</v>
      </c>
      <c r="D6744" t="str">
        <f>"Lil Me"</f>
        <v>Lil Me</v>
      </c>
    </row>
    <row r="6745" spans="1:4" x14ac:dyDescent="0.2">
      <c r="A6745" t="str">
        <f>"6744"</f>
        <v>6744</v>
      </c>
      <c r="B6745" t="str">
        <f>"0.36"</f>
        <v>0.36</v>
      </c>
      <c r="C6745" t="str">
        <f>"56"</f>
        <v>56</v>
      </c>
      <c r="D6745" t="str">
        <f>"Complete Works"</f>
        <v>Complete Works</v>
      </c>
    </row>
    <row r="6746" spans="1:4" x14ac:dyDescent="0.2">
      <c r="A6746" t="str">
        <f>"6745"</f>
        <v>6745</v>
      </c>
      <c r="B6746" t="str">
        <f>"0.28"</f>
        <v>0.28</v>
      </c>
      <c r="C6746" t="str">
        <f>"29"</f>
        <v>29</v>
      </c>
      <c r="D6746" t="str">
        <f>"Try to Be Hopeful"</f>
        <v>Try to Be Hopeful</v>
      </c>
    </row>
    <row r="6747" spans="1:4" x14ac:dyDescent="0.2">
      <c r="A6747" t="str">
        <f>"6746"</f>
        <v>6746</v>
      </c>
      <c r="B6747" t="str">
        <f>"0.33"</f>
        <v>0.33</v>
      </c>
      <c r="C6747" t="str">
        <f>"37"</f>
        <v>37</v>
      </c>
      <c r="D6747" t="str">
        <f>"Christians Catch Hell: Gospel Roots 1976-79"</f>
        <v>Christians Catch Hell: Gospel Roots 1976-79</v>
      </c>
    </row>
    <row r="6748" spans="1:4" x14ac:dyDescent="0.2">
      <c r="A6748" t="str">
        <f>"6747"</f>
        <v>6747</v>
      </c>
      <c r="B6748" t="str">
        <f>"0.21"</f>
        <v>0.21</v>
      </c>
      <c r="C6748" t="str">
        <f>"45"</f>
        <v>45</v>
      </c>
      <c r="D6748" t="str">
        <f>"Purple"</f>
        <v>Purple</v>
      </c>
    </row>
    <row r="6749" spans="1:4" x14ac:dyDescent="0.2">
      <c r="A6749" t="str">
        <f>"6748"</f>
        <v>6748</v>
      </c>
      <c r="B6749" t="str">
        <f>"0.4"</f>
        <v>0.4</v>
      </c>
      <c r="C6749" t="str">
        <f>"44"</f>
        <v>44</v>
      </c>
      <c r="D6749" t="str">
        <f>"Black Market"</f>
        <v>Black Market</v>
      </c>
    </row>
    <row r="6750" spans="1:4" x14ac:dyDescent="0.2">
      <c r="A6750" t="str">
        <f>"6749"</f>
        <v>6749</v>
      </c>
      <c r="B6750" t="str">
        <f>"0.12"</f>
        <v>0.12</v>
      </c>
      <c r="C6750" t="str">
        <f>"29"</f>
        <v>29</v>
      </c>
      <c r="D6750" t="str">
        <f>"Big GRRRL Small World"</f>
        <v>Big GRRRL Small World</v>
      </c>
    </row>
    <row r="6751" spans="1:4" x14ac:dyDescent="0.2">
      <c r="A6751" t="str">
        <f>"6750"</f>
        <v>6750</v>
      </c>
      <c r="B6751" t="str">
        <f>"-0.49"</f>
        <v>-0.49</v>
      </c>
      <c r="C6751" t="str">
        <f>"24"</f>
        <v>24</v>
      </c>
      <c r="D6751" t="str">
        <f>"Long Live The Pimp"</f>
        <v>Long Live The Pimp</v>
      </c>
    </row>
    <row r="6752" spans="1:4" x14ac:dyDescent="0.2">
      <c r="A6752" t="str">
        <f>"6751"</f>
        <v>6751</v>
      </c>
      <c r="B6752" t="str">
        <f>"0.08"</f>
        <v>0.08</v>
      </c>
      <c r="C6752" t="str">
        <f>"27"</f>
        <v>27</v>
      </c>
      <c r="D6752" t="str">
        <f>"When It's Dark Out"</f>
        <v>When It's Dark Out</v>
      </c>
    </row>
    <row r="6753" spans="1:4" x14ac:dyDescent="0.2">
      <c r="A6753" t="str">
        <f>"6752"</f>
        <v>6752</v>
      </c>
      <c r="B6753" t="str">
        <f>"0.27"</f>
        <v>0.27</v>
      </c>
      <c r="C6753" t="str">
        <f>"44"</f>
        <v>44</v>
      </c>
      <c r="D6753" t="str">
        <f>"Late Nights: The Album"</f>
        <v>Late Nights: The Album</v>
      </c>
    </row>
    <row r="6754" spans="1:4" x14ac:dyDescent="0.2">
      <c r="A6754" t="str">
        <f>"6753"</f>
        <v>6753</v>
      </c>
      <c r="B6754" t="str">
        <f>"-1.49"</f>
        <v>-1.49</v>
      </c>
      <c r="C6754" t="str">
        <f>"28"</f>
        <v>28</v>
      </c>
      <c r="D6754" t="str">
        <f>"#HORROR OST"</f>
        <v>#HORROR OST</v>
      </c>
    </row>
    <row r="6755" spans="1:4" x14ac:dyDescent="0.2">
      <c r="A6755" t="str">
        <f>"6754"</f>
        <v>6754</v>
      </c>
      <c r="B6755" t="str">
        <f>"-0.28"</f>
        <v>-0.28</v>
      </c>
      <c r="C6755" t="str">
        <f>"15"</f>
        <v>15</v>
      </c>
      <c r="D6755" t="str">
        <f>"Glamorous Damage"</f>
        <v>Glamorous Damage</v>
      </c>
    </row>
    <row r="6756" spans="1:4" x14ac:dyDescent="0.2">
      <c r="A6756" t="str">
        <f>"6755"</f>
        <v>6755</v>
      </c>
      <c r="B6756" t="str">
        <f>"-0.21"</f>
        <v>-0.21</v>
      </c>
      <c r="C6756" t="str">
        <f>"32"</f>
        <v>32</v>
      </c>
      <c r="D6756" t="str">
        <f>"City Lake"</f>
        <v>City Lake</v>
      </c>
    </row>
    <row r="6757" spans="1:4" x14ac:dyDescent="0.2">
      <c r="A6757" t="str">
        <f>"6756"</f>
        <v>6756</v>
      </c>
      <c r="B6757" t="str">
        <f>"-0.13"</f>
        <v>-0.13</v>
      </c>
      <c r="C6757" t="str">
        <f>"26"</f>
        <v>26</v>
      </c>
      <c r="D6757" t="str">
        <f>"Technoself"</f>
        <v>Technoself</v>
      </c>
    </row>
    <row r="6758" spans="1:4" x14ac:dyDescent="0.2">
      <c r="A6758" t="str">
        <f>"6757"</f>
        <v>6757</v>
      </c>
      <c r="B6758" t="str">
        <f>"-0.58"</f>
        <v>-0.58</v>
      </c>
      <c r="C6758" t="str">
        <f>"38"</f>
        <v>38</v>
      </c>
      <c r="D6758" t="str">
        <f>"Chi-Raq OST"</f>
        <v>Chi-Raq OST</v>
      </c>
    </row>
    <row r="6759" spans="1:4" x14ac:dyDescent="0.2">
      <c r="A6759" t="str">
        <f>"6758"</f>
        <v>6758</v>
      </c>
      <c r="B6759" t="str">
        <f>"0.64"</f>
        <v>0.64</v>
      </c>
      <c r="C6759" t="str">
        <f>"24"</f>
        <v>24</v>
      </c>
      <c r="D6759" t="str">
        <f>"The Complete Matrix Tapes"</f>
        <v>The Complete Matrix Tapes</v>
      </c>
    </row>
    <row r="6760" spans="1:4" x14ac:dyDescent="0.2">
      <c r="A6760" t="str">
        <f>"6759"</f>
        <v>6759</v>
      </c>
      <c r="B6760" t="str">
        <f>"-0.38"</f>
        <v>-0.38</v>
      </c>
      <c r="C6760" t="str">
        <f>"26"</f>
        <v>26</v>
      </c>
      <c r="D6760" t="str">
        <f>"right on!"</f>
        <v>right on!</v>
      </c>
    </row>
    <row r="6761" spans="1:4" x14ac:dyDescent="0.2">
      <c r="A6761" t="str">
        <f>"6760"</f>
        <v>6760</v>
      </c>
      <c r="B6761" t="str">
        <f>"0.62"</f>
        <v>0.62</v>
      </c>
      <c r="C6761" t="str">
        <f>"25"</f>
        <v>25</v>
      </c>
      <c r="D6761" t="s">
        <v>240</v>
      </c>
    </row>
    <row r="6762" spans="1:4" x14ac:dyDescent="0.2">
      <c r="A6762" t="str">
        <f>"6761"</f>
        <v>6761</v>
      </c>
      <c r="B6762" t="str">
        <f>"0.6"</f>
        <v>0.6</v>
      </c>
      <c r="C6762" t="str">
        <f>"33"</f>
        <v>33</v>
      </c>
      <c r="D6762" t="str">
        <f>"Before Nostromo"</f>
        <v>Before Nostromo</v>
      </c>
    </row>
    <row r="6763" spans="1:4" x14ac:dyDescent="0.2">
      <c r="A6763" t="str">
        <f>"6762"</f>
        <v>6762</v>
      </c>
      <c r="B6763" t="str">
        <f>"-0.38"</f>
        <v>-0.38</v>
      </c>
      <c r="C6763" t="str">
        <f>"53"</f>
        <v>53</v>
      </c>
      <c r="D6763" t="str">
        <f>"The Ties That Bind: The River Collection"</f>
        <v>The Ties That Bind: The River Collection</v>
      </c>
    </row>
    <row r="6764" spans="1:4" x14ac:dyDescent="0.2">
      <c r="A6764" t="str">
        <f>"6763"</f>
        <v>6763</v>
      </c>
      <c r="B6764" t="str">
        <f>"0.32"</f>
        <v>0.32</v>
      </c>
      <c r="C6764" t="str">
        <f>"37"</f>
        <v>37</v>
      </c>
      <c r="D6764" t="s">
        <v>241</v>
      </c>
    </row>
    <row r="6765" spans="1:4" x14ac:dyDescent="0.2">
      <c r="A6765" t="str">
        <f>"6764"</f>
        <v>6764</v>
      </c>
      <c r="B6765" t="str">
        <f>"-0.39"</f>
        <v>-0.39</v>
      </c>
      <c r="C6765" t="str">
        <f>"25"</f>
        <v>25</v>
      </c>
      <c r="D6765" t="str">
        <f>"Christmas in Reno"</f>
        <v>Christmas in Reno</v>
      </c>
    </row>
    <row r="6766" spans="1:4" x14ac:dyDescent="0.2">
      <c r="A6766" t="str">
        <f>"6765"</f>
        <v>6765</v>
      </c>
      <c r="B6766" t="str">
        <f>"-0.38"</f>
        <v>-0.38</v>
      </c>
      <c r="C6766" t="str">
        <f>"34"</f>
        <v>34</v>
      </c>
      <c r="D6766" t="str">
        <f>"Live and Unreleased: 1997-2000"</f>
        <v>Live and Unreleased: 1997-2000</v>
      </c>
    </row>
    <row r="6767" spans="1:4" x14ac:dyDescent="0.2">
      <c r="A6767" t="str">
        <f>"6766"</f>
        <v>6766</v>
      </c>
      <c r="B6767" t="str">
        <f>"0.32"</f>
        <v>0.32</v>
      </c>
      <c r="C6767" t="str">
        <f>"26"</f>
        <v>26</v>
      </c>
      <c r="D6767" t="str">
        <f>"Musique Sans Paroles"</f>
        <v>Musique Sans Paroles</v>
      </c>
    </row>
    <row r="6768" spans="1:4" x14ac:dyDescent="0.2">
      <c r="A6768" t="str">
        <f>"6767"</f>
        <v>6767</v>
      </c>
      <c r="B6768" t="str">
        <f>"1.04"</f>
        <v>1.04</v>
      </c>
      <c r="C6768" t="str">
        <f>"31"</f>
        <v>31</v>
      </c>
      <c r="D6768" t="str">
        <f>"A Head Full of Dreams"</f>
        <v>A Head Full of Dreams</v>
      </c>
    </row>
    <row r="6769" spans="1:4" x14ac:dyDescent="0.2">
      <c r="A6769" t="str">
        <f>"6768"</f>
        <v>6768</v>
      </c>
      <c r="B6769" t="str">
        <f>"0.49"</f>
        <v>0.49</v>
      </c>
      <c r="C6769" t="str">
        <f>"38"</f>
        <v>38</v>
      </c>
      <c r="D6769" t="str">
        <f>"iLoveMakonnen 2"</f>
        <v>iLoveMakonnen 2</v>
      </c>
    </row>
    <row r="6770" spans="1:4" x14ac:dyDescent="0.2">
      <c r="A6770" t="str">
        <f>"6769"</f>
        <v>6769</v>
      </c>
      <c r="B6770" t="str">
        <f>"1.02"</f>
        <v>1.02</v>
      </c>
      <c r="C6770" t="str">
        <f>"42"</f>
        <v>42</v>
      </c>
      <c r="D6770" t="str">
        <f>"Second Toughest in the Infants"</f>
        <v>Second Toughest in the Infants</v>
      </c>
    </row>
    <row r="6771" spans="1:4" x14ac:dyDescent="0.2">
      <c r="A6771" t="str">
        <f>"6770"</f>
        <v>6770</v>
      </c>
      <c r="B6771" t="str">
        <f>"0.31"</f>
        <v>0.31</v>
      </c>
      <c r="C6771" t="str">
        <f>"33"</f>
        <v>33</v>
      </c>
      <c r="D6771" t="str">
        <f>"100 Ladies EP"</f>
        <v>100 Ladies EP</v>
      </c>
    </row>
    <row r="6772" spans="1:4" x14ac:dyDescent="0.2">
      <c r="A6772" t="str">
        <f>"6771"</f>
        <v>6771</v>
      </c>
      <c r="B6772" t="str">
        <f>"0.98"</f>
        <v>0.98</v>
      </c>
      <c r="C6772" t="str">
        <f>"30"</f>
        <v>30</v>
      </c>
      <c r="D6772" t="str">
        <f>"Rivers and Streams"</f>
        <v>Rivers and Streams</v>
      </c>
    </row>
    <row r="6773" spans="1:4" x14ac:dyDescent="0.2">
      <c r="A6773" t="str">
        <f>"6772"</f>
        <v>6772</v>
      </c>
      <c r="B6773" t="str">
        <f>"0.12"</f>
        <v>0.12</v>
      </c>
      <c r="C6773" t="str">
        <f>"40"</f>
        <v>40</v>
      </c>
      <c r="D6773" t="str">
        <f>"Kannon"</f>
        <v>Kannon</v>
      </c>
    </row>
    <row r="6774" spans="1:4" x14ac:dyDescent="0.2">
      <c r="A6774" t="str">
        <f>"6773"</f>
        <v>6773</v>
      </c>
      <c r="B6774" t="str">
        <f>"1.05"</f>
        <v>1.05</v>
      </c>
      <c r="C6774" t="str">
        <f>"40"</f>
        <v>40</v>
      </c>
      <c r="D6774" t="str">
        <f>"Wake Up!"</f>
        <v>Wake Up!</v>
      </c>
    </row>
    <row r="6775" spans="1:4" x14ac:dyDescent="0.2">
      <c r="A6775" t="str">
        <f>"6774"</f>
        <v>6774</v>
      </c>
      <c r="B6775" t="str">
        <f>"1.7"</f>
        <v>1.7</v>
      </c>
      <c r="C6775" t="str">
        <f>"32"</f>
        <v>32</v>
      </c>
      <c r="D6775" t="str">
        <f>"Return of the Tender Lover"</f>
        <v>Return of the Tender Lover</v>
      </c>
    </row>
    <row r="6776" spans="1:4" x14ac:dyDescent="0.2">
      <c r="A6776" t="str">
        <f>"6775"</f>
        <v>6775</v>
      </c>
      <c r="B6776" t="str">
        <f>"0.15"</f>
        <v>0.15</v>
      </c>
      <c r="C6776" t="str">
        <f>"22"</f>
        <v>22</v>
      </c>
      <c r="D6776" t="str">
        <f>"Journey Blind"</f>
        <v>Journey Blind</v>
      </c>
    </row>
    <row r="6777" spans="1:4" x14ac:dyDescent="0.2">
      <c r="A6777" t="str">
        <f>"6776"</f>
        <v>6776</v>
      </c>
      <c r="B6777" t="str">
        <f>"1.13"</f>
        <v>1.13</v>
      </c>
      <c r="C6777" t="str">
        <f>"23"</f>
        <v>23</v>
      </c>
      <c r="D6777" t="str">
        <f>"Civil Circus"</f>
        <v>Civil Circus</v>
      </c>
    </row>
    <row r="6778" spans="1:4" x14ac:dyDescent="0.2">
      <c r="A6778" t="str">
        <f>"6777"</f>
        <v>6777</v>
      </c>
      <c r="B6778" t="str">
        <f>"-0.07"</f>
        <v>-0.07</v>
      </c>
      <c r="C6778" t="str">
        <f>"31"</f>
        <v>31</v>
      </c>
      <c r="D6778" t="str">
        <f>"PRODUCT"</f>
        <v>PRODUCT</v>
      </c>
    </row>
    <row r="6779" spans="1:4" x14ac:dyDescent="0.2">
      <c r="A6779" t="str">
        <f>"6778"</f>
        <v>6778</v>
      </c>
      <c r="B6779" t="str">
        <f>"-0.49"</f>
        <v>-0.49</v>
      </c>
      <c r="C6779" t="str">
        <f>"32"</f>
        <v>32</v>
      </c>
      <c r="D6779" t="str">
        <f>"Free Fall EP"</f>
        <v>Free Fall EP</v>
      </c>
    </row>
    <row r="6780" spans="1:4" x14ac:dyDescent="0.2">
      <c r="A6780" t="str">
        <f>"6779"</f>
        <v>6779</v>
      </c>
      <c r="B6780" t="str">
        <f>"0.84"</f>
        <v>0.84</v>
      </c>
      <c r="C6780" t="str">
        <f>"37"</f>
        <v>37</v>
      </c>
      <c r="D6780" t="str">
        <f>"White Light from the Mouth of Infinity"</f>
        <v>White Light from the Mouth of Infinity</v>
      </c>
    </row>
    <row r="6781" spans="1:4" x14ac:dyDescent="0.2">
      <c r="A6781" t="str">
        <f>"6780"</f>
        <v>6780</v>
      </c>
      <c r="B6781" t="str">
        <f>"-0.3"</f>
        <v>-0.3</v>
      </c>
      <c r="C6781" t="str">
        <f>"36"</f>
        <v>36</v>
      </c>
      <c r="D6781" t="str">
        <f>"Top 5 Dead or Alive"</f>
        <v>Top 5 Dead or Alive</v>
      </c>
    </row>
    <row r="6782" spans="1:4" x14ac:dyDescent="0.2">
      <c r="A6782" t="str">
        <f>"6781"</f>
        <v>6781</v>
      </c>
      <c r="B6782" t="str">
        <f>"-0.24"</f>
        <v>-0.24</v>
      </c>
      <c r="C6782" t="str">
        <f>"26"</f>
        <v>26</v>
      </c>
      <c r="D6782" t="str">
        <f>"Pregnant With Success"</f>
        <v>Pregnant With Success</v>
      </c>
    </row>
    <row r="6783" spans="1:4" x14ac:dyDescent="0.2">
      <c r="A6783" t="str">
        <f>"6782"</f>
        <v>6782</v>
      </c>
      <c r="B6783" t="str">
        <f>"-0.22"</f>
        <v>-0.22</v>
      </c>
      <c r="C6783" t="str">
        <f>"39"</f>
        <v>39</v>
      </c>
      <c r="D6783" t="str">
        <f>"But You Caint Use My Phone"</f>
        <v>But You Caint Use My Phone</v>
      </c>
    </row>
    <row r="6784" spans="1:4" x14ac:dyDescent="0.2">
      <c r="A6784" t="str">
        <f>"6783"</f>
        <v>6783</v>
      </c>
      <c r="B6784" t="str">
        <f>"-0.67"</f>
        <v>-0.67</v>
      </c>
      <c r="C6784" t="str">
        <f>"26"</f>
        <v>26</v>
      </c>
      <c r="D6784" t="s">
        <v>242</v>
      </c>
    </row>
    <row r="6785" spans="1:4" x14ac:dyDescent="0.2">
      <c r="A6785" t="str">
        <f>"6784"</f>
        <v>6784</v>
      </c>
      <c r="B6785" t="str">
        <f>"-0.47"</f>
        <v>-0.47</v>
      </c>
      <c r="C6785" t="str">
        <f>"29"</f>
        <v>29</v>
      </c>
      <c r="D6785" t="str">
        <f>"Broken Flowers EP"</f>
        <v>Broken Flowers EP</v>
      </c>
    </row>
    <row r="6786" spans="1:4" x14ac:dyDescent="0.2">
      <c r="A6786" t="str">
        <f>"6785"</f>
        <v>6785</v>
      </c>
      <c r="B6786" t="str">
        <f>"0.5"</f>
        <v>0.5</v>
      </c>
      <c r="C6786" t="str">
        <f>"42"</f>
        <v>42</v>
      </c>
      <c r="D6786" t="str">
        <f>"Love Is a Hurtin' Thing"</f>
        <v>Love Is a Hurtin' Thing</v>
      </c>
    </row>
    <row r="6787" spans="1:4" x14ac:dyDescent="0.2">
      <c r="A6787" t="str">
        <f>"6786"</f>
        <v>6786</v>
      </c>
      <c r="B6787" t="str">
        <f>"0.84"</f>
        <v>0.84</v>
      </c>
      <c r="C6787" t="str">
        <f>"23"</f>
        <v>23</v>
      </c>
      <c r="D6787" t="str">
        <f>"Catalina Breeze"</f>
        <v>Catalina Breeze</v>
      </c>
    </row>
    <row r="6788" spans="1:4" x14ac:dyDescent="0.2">
      <c r="A6788" t="str">
        <f>"6787"</f>
        <v>6787</v>
      </c>
      <c r="B6788" t="str">
        <f>"0.79"</f>
        <v>0.79</v>
      </c>
      <c r="C6788" t="str">
        <f>"47"</f>
        <v>47</v>
      </c>
      <c r="D6788" t="str">
        <f>"Ty Rex"</f>
        <v>Ty Rex</v>
      </c>
    </row>
    <row r="6789" spans="1:4" x14ac:dyDescent="0.2">
      <c r="A6789" t="str">
        <f>"6788"</f>
        <v>6788</v>
      </c>
      <c r="B6789" t="str">
        <f>"-0.01"</f>
        <v>-0.01</v>
      </c>
      <c r="C6789" t="str">
        <f>"35"</f>
        <v>35</v>
      </c>
      <c r="D6789" t="str">
        <f>"Saint Cecilia EP"</f>
        <v>Saint Cecilia EP</v>
      </c>
    </row>
    <row r="6790" spans="1:4" x14ac:dyDescent="0.2">
      <c r="A6790" t="str">
        <f>"6789"</f>
        <v>6789</v>
      </c>
      <c r="B6790" t="str">
        <f>"1.23"</f>
        <v>1.23</v>
      </c>
      <c r="C6790" t="str">
        <f>"35"</f>
        <v>35</v>
      </c>
      <c r="D6790" t="str">
        <f>"Look Around"</f>
        <v>Look Around</v>
      </c>
    </row>
    <row r="6791" spans="1:4" x14ac:dyDescent="0.2">
      <c r="A6791" t="str">
        <f>"6790"</f>
        <v>6790</v>
      </c>
      <c r="B6791" t="str">
        <f>"-0.14"</f>
        <v>-0.14</v>
      </c>
      <c r="C6791" t="str">
        <f>"31"</f>
        <v>31</v>
      </c>
      <c r="D6791" t="str">
        <f>"9th House"</f>
        <v>9th House</v>
      </c>
    </row>
    <row r="6792" spans="1:4" x14ac:dyDescent="0.2">
      <c r="A6792" t="str">
        <f>"6791"</f>
        <v>6791</v>
      </c>
      <c r="B6792" t="str">
        <f>"1.01"</f>
        <v>1.01</v>
      </c>
      <c r="C6792" t="str">
        <f>"28"</f>
        <v>28</v>
      </c>
      <c r="D6792" t="str">
        <f>"Paranoid London"</f>
        <v>Paranoid London</v>
      </c>
    </row>
    <row r="6793" spans="1:4" x14ac:dyDescent="0.2">
      <c r="A6793" t="str">
        <f>"6792"</f>
        <v>6792</v>
      </c>
      <c r="B6793" t="str">
        <f>"1.33"</f>
        <v>1.33</v>
      </c>
      <c r="C6793" t="str">
        <f>"74"</f>
        <v>74</v>
      </c>
      <c r="D6793" t="str">
        <f>"A Love Supreme: The Complete Masters"</f>
        <v>A Love Supreme: The Complete Masters</v>
      </c>
    </row>
    <row r="6794" spans="1:4" x14ac:dyDescent="0.2">
      <c r="A6794" t="str">
        <f>"6793"</f>
        <v>6793</v>
      </c>
      <c r="B6794" t="str">
        <f>"-0.4"</f>
        <v>-0.4</v>
      </c>
      <c r="C6794" t="str">
        <f>"30"</f>
        <v>30</v>
      </c>
      <c r="D6794" t="str">
        <f>"Monastic Living EP"</f>
        <v>Monastic Living EP</v>
      </c>
    </row>
    <row r="6795" spans="1:4" x14ac:dyDescent="0.2">
      <c r="A6795" t="str">
        <f>"6794"</f>
        <v>6794</v>
      </c>
      <c r="B6795" t="str">
        <f>"-0.68"</f>
        <v>-0.68</v>
      </c>
      <c r="C6795" t="str">
        <f>"27"</f>
        <v>27</v>
      </c>
      <c r="D6795" t="str">
        <f>"My Name Is"</f>
        <v>My Name Is</v>
      </c>
    </row>
    <row r="6796" spans="1:4" x14ac:dyDescent="0.2">
      <c r="A6796" t="str">
        <f>"6795"</f>
        <v>6795</v>
      </c>
      <c r="B6796" t="str">
        <f>"0.59"</f>
        <v>0.59</v>
      </c>
      <c r="C6796" t="str">
        <f>"21"</f>
        <v>21</v>
      </c>
      <c r="D6796" t="str">
        <f>"The Wireless EP"</f>
        <v>The Wireless EP</v>
      </c>
    </row>
    <row r="6797" spans="1:4" x14ac:dyDescent="0.2">
      <c r="A6797" t="str">
        <f>"6796"</f>
        <v>6796</v>
      </c>
      <c r="B6797" t="str">
        <f>"-0.32"</f>
        <v>-0.32</v>
      </c>
      <c r="C6797" t="str">
        <f>"34"</f>
        <v>34</v>
      </c>
      <c r="D6797" t="str">
        <f>"Night of Your Ascension"</f>
        <v>Night of Your Ascension</v>
      </c>
    </row>
    <row r="6798" spans="1:4" x14ac:dyDescent="0.2">
      <c r="A6798" t="str">
        <f>"6797"</f>
        <v>6797</v>
      </c>
      <c r="B6798" t="str">
        <f>"0.05"</f>
        <v>0.05</v>
      </c>
      <c r="C6798" t="str">
        <f>"39"</f>
        <v>39</v>
      </c>
      <c r="D6798" t="str">
        <f>"Heady Nuggs: 20 Years After Clouds Taste Metallic"</f>
        <v>Heady Nuggs: 20 Years After Clouds Taste Metallic</v>
      </c>
    </row>
    <row r="6799" spans="1:4" x14ac:dyDescent="0.2">
      <c r="A6799" t="str">
        <f>"6798"</f>
        <v>6798</v>
      </c>
      <c r="B6799" t="str">
        <f>"1.43"</f>
        <v>1.43</v>
      </c>
      <c r="C6799" t="str">
        <f>"21"</f>
        <v>21</v>
      </c>
      <c r="D6799" t="str">
        <f>"Sold Out"</f>
        <v>Sold Out</v>
      </c>
    </row>
    <row r="6800" spans="1:4" x14ac:dyDescent="0.2">
      <c r="A6800" t="str">
        <f>"6799"</f>
        <v>6799</v>
      </c>
      <c r="B6800" t="str">
        <f>"1.79"</f>
        <v>1.79</v>
      </c>
      <c r="C6800" t="str">
        <f>"32"</f>
        <v>32</v>
      </c>
      <c r="D6800" t="str">
        <f>"Gode"</f>
        <v>Gode</v>
      </c>
    </row>
    <row r="6801" spans="1:4" x14ac:dyDescent="0.2">
      <c r="A6801" t="str">
        <f>"6800"</f>
        <v>6800</v>
      </c>
      <c r="B6801" t="str">
        <f>"-1.3"</f>
        <v>-1.3</v>
      </c>
      <c r="C6801" t="str">
        <f>"24"</f>
        <v>24</v>
      </c>
      <c r="D6801" t="str">
        <f>"The Body &amp; Krieg"</f>
        <v>The Body &amp; Krieg</v>
      </c>
    </row>
    <row r="6802" spans="1:4" x14ac:dyDescent="0.2">
      <c r="A6802" t="str">
        <f>"6801"</f>
        <v>6801</v>
      </c>
      <c r="B6802" t="str">
        <f>"-0.1"</f>
        <v>-0.1</v>
      </c>
      <c r="C6802" t="str">
        <f>"29"</f>
        <v>29</v>
      </c>
      <c r="D6802" t="str">
        <f>"Anareta"</f>
        <v>Anareta</v>
      </c>
    </row>
    <row r="6803" spans="1:4" x14ac:dyDescent="0.2">
      <c r="A6803" t="str">
        <f>"6802"</f>
        <v>6802</v>
      </c>
      <c r="B6803" t="str">
        <f>"1.32"</f>
        <v>1.32</v>
      </c>
      <c r="C6803" t="str">
        <f>"44"</f>
        <v>44</v>
      </c>
      <c r="D6803" t="str">
        <f>"25"</f>
        <v>25</v>
      </c>
    </row>
    <row r="6804" spans="1:4" x14ac:dyDescent="0.2">
      <c r="A6804" t="str">
        <f>"6803"</f>
        <v>6803</v>
      </c>
      <c r="B6804" t="str">
        <f>"0.31"</f>
        <v>0.31</v>
      </c>
      <c r="C6804" t="str">
        <f>"25"</f>
        <v>25</v>
      </c>
      <c r="D6804" t="str">
        <f>"Side by Side EP"</f>
        <v>Side by Side EP</v>
      </c>
    </row>
    <row r="6805" spans="1:4" x14ac:dyDescent="0.2">
      <c r="A6805" t="str">
        <f>"6804"</f>
        <v>6804</v>
      </c>
      <c r="B6805" t="str">
        <f>"0.44"</f>
        <v>0.44</v>
      </c>
      <c r="C6805" t="str">
        <f>"25"</f>
        <v>25</v>
      </c>
      <c r="D6805" t="str">
        <f>"Kneedelus"</f>
        <v>Kneedelus</v>
      </c>
    </row>
    <row r="6806" spans="1:4" x14ac:dyDescent="0.2">
      <c r="A6806" t="str">
        <f>"6805"</f>
        <v>6805</v>
      </c>
      <c r="B6806" t="str">
        <f>"0.08"</f>
        <v>0.08</v>
      </c>
      <c r="C6806" t="str">
        <f>"32"</f>
        <v>32</v>
      </c>
      <c r="D6806" t="str">
        <f>"Invisible Switch"</f>
        <v>Invisible Switch</v>
      </c>
    </row>
    <row r="6807" spans="1:4" x14ac:dyDescent="0.2">
      <c r="A6807" t="str">
        <f>"6806"</f>
        <v>6806</v>
      </c>
      <c r="B6807" t="str">
        <f>"-1.11"</f>
        <v>-1.11</v>
      </c>
      <c r="C6807" t="str">
        <f>"35"</f>
        <v>35</v>
      </c>
      <c r="D6807" t="str">
        <f>"N.V."</f>
        <v>N.V.</v>
      </c>
    </row>
    <row r="6808" spans="1:4" x14ac:dyDescent="0.2">
      <c r="A6808" t="str">
        <f>"6807"</f>
        <v>6807</v>
      </c>
      <c r="B6808" t="str">
        <f>"0.13"</f>
        <v>0.13</v>
      </c>
      <c r="C6808" t="str">
        <f>"25"</f>
        <v>25</v>
      </c>
      <c r="D6808" t="str">
        <f>"Church in These Streets"</f>
        <v>Church in These Streets</v>
      </c>
    </row>
    <row r="6809" spans="1:4" x14ac:dyDescent="0.2">
      <c r="A6809" t="str">
        <f>"6808"</f>
        <v>6808</v>
      </c>
      <c r="B6809" t="str">
        <f>"0.25"</f>
        <v>0.25</v>
      </c>
      <c r="C6809" t="str">
        <f>"27"</f>
        <v>27</v>
      </c>
      <c r="D6809" t="str">
        <f>"Shadow of a Doubt"</f>
        <v>Shadow of a Doubt</v>
      </c>
    </row>
    <row r="6810" spans="1:4" x14ac:dyDescent="0.2">
      <c r="A6810" t="str">
        <f>"6809"</f>
        <v>6809</v>
      </c>
      <c r="B6810" t="str">
        <f>"-0.46"</f>
        <v>-0.46</v>
      </c>
      <c r="C6810" t="str">
        <f>"24"</f>
        <v>24</v>
      </c>
      <c r="D6810" t="str">
        <f>"Hard Hold"</f>
        <v>Hard Hold</v>
      </c>
    </row>
    <row r="6811" spans="1:4" x14ac:dyDescent="0.2">
      <c r="A6811" t="str">
        <f>"6810"</f>
        <v>6810</v>
      </c>
      <c r="B6811" t="str">
        <f>"1.22"</f>
        <v>1.22</v>
      </c>
      <c r="C6811" t="str">
        <f>"38"</f>
        <v>38</v>
      </c>
      <c r="D6811" t="str">
        <f>"Dark Sky Island"</f>
        <v>Dark Sky Island</v>
      </c>
    </row>
    <row r="6812" spans="1:4" x14ac:dyDescent="0.2">
      <c r="A6812" t="str">
        <f>"6811"</f>
        <v>6811</v>
      </c>
      <c r="B6812" t="str">
        <f>"0.23"</f>
        <v>0.23</v>
      </c>
      <c r="C6812" t="str">
        <f>"27"</f>
        <v>27</v>
      </c>
      <c r="D6812" t="str">
        <f>"City of Brides"</f>
        <v>City of Brides</v>
      </c>
    </row>
    <row r="6813" spans="1:4" x14ac:dyDescent="0.2">
      <c r="A6813" t="str">
        <f>"6812"</f>
        <v>6812</v>
      </c>
      <c r="B6813" t="str">
        <f>"0.81"</f>
        <v>0.81</v>
      </c>
      <c r="C6813" t="str">
        <f>"38"</f>
        <v>38</v>
      </c>
      <c r="D6813" t="str">
        <f>"Junun"</f>
        <v>Junun</v>
      </c>
    </row>
    <row r="6814" spans="1:4" x14ac:dyDescent="0.2">
      <c r="A6814" t="str">
        <f>"6813"</f>
        <v>6813</v>
      </c>
      <c r="B6814" t="str">
        <f>"-0.34"</f>
        <v>-0.34</v>
      </c>
      <c r="C6814" t="str">
        <f>"31"</f>
        <v>31</v>
      </c>
      <c r="D6814" t="str">
        <f>"Hexadic II"</f>
        <v>Hexadic II</v>
      </c>
    </row>
    <row r="6815" spans="1:4" x14ac:dyDescent="0.2">
      <c r="A6815" t="str">
        <f>"6814"</f>
        <v>6814</v>
      </c>
      <c r="B6815" t="str">
        <f>"-0.74"</f>
        <v>-0.74</v>
      </c>
      <c r="C6815" t="str">
        <f>"18"</f>
        <v>18</v>
      </c>
      <c r="D6815" t="str">
        <f>"Agitations"</f>
        <v>Agitations</v>
      </c>
    </row>
    <row r="6816" spans="1:4" x14ac:dyDescent="0.2">
      <c r="A6816" t="str">
        <f>"6815"</f>
        <v>6815</v>
      </c>
      <c r="B6816" t="str">
        <f>"-0.43"</f>
        <v>-0.43</v>
      </c>
      <c r="C6816" t="str">
        <f>"25"</f>
        <v>25</v>
      </c>
      <c r="D6816" t="str">
        <f>"Rave Cave 2 EP"</f>
        <v>Rave Cave 2 EP</v>
      </c>
    </row>
    <row r="6817" spans="1:4" x14ac:dyDescent="0.2">
      <c r="A6817" t="str">
        <f>"6816"</f>
        <v>6816</v>
      </c>
      <c r="B6817" t="str">
        <f>"-0.99"</f>
        <v>-0.99</v>
      </c>
      <c r="C6817" t="str">
        <f>"23"</f>
        <v>23</v>
      </c>
      <c r="D6817" t="str">
        <f>"Time &amp; Materials"</f>
        <v>Time &amp; Materials</v>
      </c>
    </row>
    <row r="6818" spans="1:4" x14ac:dyDescent="0.2">
      <c r="A6818" t="str">
        <f>"6817"</f>
        <v>6817</v>
      </c>
      <c r="B6818" t="str">
        <f>"0.18"</f>
        <v>0.18</v>
      </c>
      <c r="C6818" t="str">
        <f>"39"</f>
        <v>39</v>
      </c>
      <c r="D6818" t="str">
        <f>"Mutant"</f>
        <v>Mutant</v>
      </c>
    </row>
    <row r="6819" spans="1:4" x14ac:dyDescent="0.2">
      <c r="A6819" t="str">
        <f>"6818"</f>
        <v>6818</v>
      </c>
      <c r="B6819" t="str">
        <f>"0.05"</f>
        <v>0.05</v>
      </c>
      <c r="C6819" t="str">
        <f>"29"</f>
        <v>29</v>
      </c>
      <c r="D6819" t="str">
        <f>"Nothing"</f>
        <v>Nothing</v>
      </c>
    </row>
    <row r="6820" spans="1:4" x14ac:dyDescent="0.2">
      <c r="A6820" t="str">
        <f>"6819"</f>
        <v>6819</v>
      </c>
      <c r="B6820" t="str">
        <f>"0.19"</f>
        <v>0.19</v>
      </c>
      <c r="C6820" t="str">
        <f>"43"</f>
        <v>43</v>
      </c>
      <c r="D6820" t="str">
        <f>"The Incredible True Story"</f>
        <v>The Incredible True Story</v>
      </c>
    </row>
    <row r="6821" spans="1:4" x14ac:dyDescent="0.2">
      <c r="A6821" t="str">
        <f>"6820"</f>
        <v>6820</v>
      </c>
      <c r="B6821" t="str">
        <f>"0.66"</f>
        <v>0.66</v>
      </c>
      <c r="C6821" t="str">
        <f>"27"</f>
        <v>27</v>
      </c>
      <c r="D6821" t="str">
        <f>"4 Walls"</f>
        <v>4 Walls</v>
      </c>
    </row>
    <row r="6822" spans="1:4" x14ac:dyDescent="0.2">
      <c r="A6822" t="str">
        <f>"6821"</f>
        <v>6821</v>
      </c>
      <c r="B6822" t="str">
        <f>"0.4"</f>
        <v>0.4</v>
      </c>
      <c r="C6822" t="str">
        <f>"44"</f>
        <v>44</v>
      </c>
      <c r="D6822" t="str">
        <f>"Jodorowsky’s Dune OST"</f>
        <v>Jodorowsky’s Dune OST</v>
      </c>
    </row>
    <row r="6823" spans="1:4" x14ac:dyDescent="0.2">
      <c r="A6823" t="str">
        <f>"6822"</f>
        <v>6822</v>
      </c>
      <c r="B6823" t="str">
        <f>"0.66"</f>
        <v>0.66</v>
      </c>
      <c r="C6823" t="str">
        <f>"44"</f>
        <v>44</v>
      </c>
      <c r="D6823" t="str">
        <f>"Purpose"</f>
        <v>Purpose</v>
      </c>
    </row>
    <row r="6824" spans="1:4" x14ac:dyDescent="0.2">
      <c r="A6824" t="str">
        <f>"6823"</f>
        <v>6823</v>
      </c>
      <c r="B6824" t="str">
        <f>"0.85"</f>
        <v>0.85</v>
      </c>
      <c r="C6824" t="str">
        <f>"31"</f>
        <v>31</v>
      </c>
      <c r="D6824" t="str">
        <f>"Making Time"</f>
        <v>Making Time</v>
      </c>
    </row>
    <row r="6825" spans="1:4" x14ac:dyDescent="0.2">
      <c r="A6825" t="str">
        <f>"6824"</f>
        <v>6824</v>
      </c>
      <c r="B6825" t="str">
        <f>"0.32"</f>
        <v>0.32</v>
      </c>
      <c r="C6825" t="str">
        <f>"23"</f>
        <v>23</v>
      </c>
      <c r="D6825" t="str">
        <f>"The Miraculous"</f>
        <v>The Miraculous</v>
      </c>
    </row>
    <row r="6826" spans="1:4" x14ac:dyDescent="0.2">
      <c r="A6826" t="str">
        <f>"6825"</f>
        <v>6825</v>
      </c>
      <c r="B6826" t="str">
        <f>"0.73"</f>
        <v>0.73</v>
      </c>
      <c r="C6826" t="str">
        <f>"37"</f>
        <v>37</v>
      </c>
      <c r="D6826" t="str">
        <f>"Nef the Pharaoh EP"</f>
        <v>Nef the Pharaoh EP</v>
      </c>
    </row>
    <row r="6827" spans="1:4" x14ac:dyDescent="0.2">
      <c r="A6827" t="str">
        <f>"6826"</f>
        <v>6826</v>
      </c>
      <c r="B6827" t="str">
        <f>"0.21"</f>
        <v>0.21</v>
      </c>
      <c r="C6827" t="str">
        <f>"34"</f>
        <v>34</v>
      </c>
      <c r="D6827" t="str">
        <f>"amERICa"</f>
        <v>amERICa</v>
      </c>
    </row>
    <row r="6828" spans="1:4" x14ac:dyDescent="0.2">
      <c r="A6828" t="str">
        <f>"6827"</f>
        <v>6827</v>
      </c>
      <c r="B6828" t="str">
        <f>"0.85"</f>
        <v>0.85</v>
      </c>
      <c r="C6828" t="str">
        <f>"34"</f>
        <v>34</v>
      </c>
      <c r="D6828" t="str">
        <f>"Free TC"</f>
        <v>Free TC</v>
      </c>
    </row>
    <row r="6829" spans="1:4" x14ac:dyDescent="0.2">
      <c r="A6829" t="str">
        <f>"6828"</f>
        <v>6828</v>
      </c>
      <c r="B6829" t="str">
        <f>"-0.63"</f>
        <v>-0.63</v>
      </c>
      <c r="C6829" t="str">
        <f>"25"</f>
        <v>25</v>
      </c>
      <c r="D6829" t="str">
        <f>"Hell EP"</f>
        <v>Hell EP</v>
      </c>
    </row>
    <row r="6830" spans="1:4" x14ac:dyDescent="0.2">
      <c r="A6830" t="str">
        <f>"6829"</f>
        <v>6829</v>
      </c>
      <c r="B6830" t="str">
        <f>"-0.49"</f>
        <v>-0.49</v>
      </c>
      <c r="C6830" t="str">
        <f>"24"</f>
        <v>24</v>
      </c>
      <c r="D6830" t="str">
        <f>"Skid Row"</f>
        <v>Skid Row</v>
      </c>
    </row>
    <row r="6831" spans="1:4" x14ac:dyDescent="0.2">
      <c r="A6831" t="str">
        <f>"6830"</f>
        <v>6830</v>
      </c>
      <c r="B6831" t="str">
        <f>"-0.48"</f>
        <v>-0.48</v>
      </c>
      <c r="C6831" t="str">
        <f>"37"</f>
        <v>37</v>
      </c>
      <c r="D6831" t="str">
        <f>"Know It All"</f>
        <v>Know It All</v>
      </c>
    </row>
    <row r="6832" spans="1:4" x14ac:dyDescent="0.2">
      <c r="A6832" t="str">
        <f>"6831"</f>
        <v>6831</v>
      </c>
      <c r="B6832" t="str">
        <f>"-0.12"</f>
        <v>-0.12</v>
      </c>
      <c r="C6832" t="str">
        <f>"71"</f>
        <v>71</v>
      </c>
      <c r="D6832" t="str">
        <f>"Parallelogram"</f>
        <v>Parallelogram</v>
      </c>
    </row>
    <row r="6833" spans="1:4" x14ac:dyDescent="0.2">
      <c r="A6833" t="str">
        <f>"6832"</f>
        <v>6832</v>
      </c>
      <c r="B6833" t="str">
        <f>"0.28"</f>
        <v>0.28</v>
      </c>
      <c r="C6833" t="str">
        <f>"45"</f>
        <v>45</v>
      </c>
      <c r="D6833" t="str">
        <f>"People's Instinctive Travels and the Paths of Rhythm"</f>
        <v>People's Instinctive Travels and the Paths of Rhythm</v>
      </c>
    </row>
    <row r="6834" spans="1:4" x14ac:dyDescent="0.2">
      <c r="A6834" t="str">
        <f>"6833"</f>
        <v>6833</v>
      </c>
      <c r="B6834" t="str">
        <f>"1.85"</f>
        <v>1.85</v>
      </c>
      <c r="C6834" t="str">
        <f>"18"</f>
        <v>18</v>
      </c>
      <c r="D6834" t="str">
        <f>"Cool Uncle"</f>
        <v>Cool Uncle</v>
      </c>
    </row>
    <row r="6835" spans="1:4" x14ac:dyDescent="0.2">
      <c r="A6835" t="str">
        <f>"6834"</f>
        <v>6834</v>
      </c>
      <c r="B6835" t="str">
        <f>"0.91"</f>
        <v>0.91</v>
      </c>
      <c r="C6835" t="str">
        <f>"24"</f>
        <v>24</v>
      </c>
      <c r="D6835" t="str">
        <f>"Norberg/Apondalifa"</f>
        <v>Norberg/Apondalifa</v>
      </c>
    </row>
    <row r="6836" spans="1:4" x14ac:dyDescent="0.2">
      <c r="A6836" t="str">
        <f>"6835"</f>
        <v>6835</v>
      </c>
      <c r="B6836" t="str">
        <f>"0.61"</f>
        <v>0.61</v>
      </c>
      <c r="C6836" t="str">
        <f>"39"</f>
        <v>39</v>
      </c>
      <c r="D6836" t="str">
        <f>"Alone In The Universe"</f>
        <v>Alone In The Universe</v>
      </c>
    </row>
    <row r="6837" spans="1:4" x14ac:dyDescent="0.2">
      <c r="A6837" t="str">
        <f>"6836"</f>
        <v>6836</v>
      </c>
      <c r="B6837" t="str">
        <f>"0.65"</f>
        <v>0.65</v>
      </c>
      <c r="C6837" t="str">
        <f>"19"</f>
        <v>19</v>
      </c>
      <c r="D6837" t="str">
        <f>"Animal Nature"</f>
        <v>Animal Nature</v>
      </c>
    </row>
    <row r="6838" spans="1:4" x14ac:dyDescent="0.2">
      <c r="A6838" t="str">
        <f>"6837"</f>
        <v>6837</v>
      </c>
      <c r="B6838" t="str">
        <f>"-1.8"</f>
        <v>-1.8</v>
      </c>
      <c r="C6838" t="str">
        <f>"34"</f>
        <v>34</v>
      </c>
      <c r="D6838" t="str">
        <f>"Montage of Heck: The Home Recordings"</f>
        <v>Montage of Heck: The Home Recordings</v>
      </c>
    </row>
    <row r="6839" spans="1:4" x14ac:dyDescent="0.2">
      <c r="A6839" t="str">
        <f>"6838"</f>
        <v>6838</v>
      </c>
      <c r="B6839" t="str">
        <f>"-0.71"</f>
        <v>-0.71</v>
      </c>
      <c r="C6839" t="str">
        <f>"23"</f>
        <v>23</v>
      </c>
      <c r="D6839" t="str">
        <f>"Riot Boi"</f>
        <v>Riot Boi</v>
      </c>
    </row>
    <row r="6840" spans="1:4" x14ac:dyDescent="0.2">
      <c r="A6840" t="str">
        <f>"6839"</f>
        <v>6839</v>
      </c>
      <c r="B6840" t="str">
        <f>"-0.02"</f>
        <v>-0.02</v>
      </c>
      <c r="C6840" t="str">
        <f>"39"</f>
        <v>39</v>
      </c>
      <c r="D6840" t="str">
        <f>"Indie 500"</f>
        <v>Indie 500</v>
      </c>
    </row>
    <row r="6841" spans="1:4" x14ac:dyDescent="0.2">
      <c r="A6841" t="str">
        <f>"6840"</f>
        <v>6840</v>
      </c>
      <c r="B6841" t="str">
        <f>"0.65"</f>
        <v>0.65</v>
      </c>
      <c r="C6841" t="str">
        <f>"30"</f>
        <v>30</v>
      </c>
      <c r="D6841" t="str">
        <f>"Ilimaq"</f>
        <v>Ilimaq</v>
      </c>
    </row>
    <row r="6842" spans="1:4" x14ac:dyDescent="0.2">
      <c r="A6842" t="str">
        <f>"6841"</f>
        <v>6841</v>
      </c>
      <c r="B6842" t="str">
        <f>"-0.57"</f>
        <v>-0.57</v>
      </c>
      <c r="C6842" t="str">
        <f>"42"</f>
        <v>42</v>
      </c>
      <c r="D6842" t="str">
        <f>"Bottom of the Morning"</f>
        <v>Bottom of the Morning</v>
      </c>
    </row>
    <row r="6843" spans="1:4" x14ac:dyDescent="0.2">
      <c r="A6843" t="str">
        <f>"6842"</f>
        <v>6842</v>
      </c>
      <c r="B6843" t="str">
        <f>"-0.39"</f>
        <v>-0.39</v>
      </c>
      <c r="C6843" t="str">
        <f>"42"</f>
        <v>42</v>
      </c>
      <c r="D6843" t="str">
        <f>"EVENIFUDONTBELIEVE"</f>
        <v>EVENIFUDONTBELIEVE</v>
      </c>
    </row>
    <row r="6844" spans="1:4" x14ac:dyDescent="0.2">
      <c r="A6844" t="str">
        <f>"6843"</f>
        <v>6843</v>
      </c>
      <c r="B6844" t="str">
        <f>"1.42"</f>
        <v>1.42</v>
      </c>
      <c r="C6844" t="str">
        <f>"28"</f>
        <v>28</v>
      </c>
      <c r="D6844" t="str">
        <f>"Fit Me In EP"</f>
        <v>Fit Me In EP</v>
      </c>
    </row>
    <row r="6845" spans="1:4" x14ac:dyDescent="0.2">
      <c r="A6845" t="str">
        <f>"6844"</f>
        <v>6844</v>
      </c>
      <c r="B6845" t="str">
        <f>"1.18"</f>
        <v>1.18</v>
      </c>
      <c r="C6845" t="str">
        <f>"33"</f>
        <v>33</v>
      </c>
      <c r="D6845" t="str">
        <f>"MMM"</f>
        <v>MMM</v>
      </c>
    </row>
    <row r="6846" spans="1:4" x14ac:dyDescent="0.2">
      <c r="A6846" t="str">
        <f>"6845"</f>
        <v>6845</v>
      </c>
      <c r="B6846" t="str">
        <f>"-0.23"</f>
        <v>-0.23</v>
      </c>
      <c r="C6846" t="str">
        <f>"75"</f>
        <v>75</v>
      </c>
      <c r="D6846" t="s">
        <v>243</v>
      </c>
    </row>
    <row r="6847" spans="1:4" x14ac:dyDescent="0.2">
      <c r="A6847" t="str">
        <f>"6846"</f>
        <v>6846</v>
      </c>
      <c r="B6847" t="str">
        <f>"0.28"</f>
        <v>0.28</v>
      </c>
      <c r="C6847" t="str">
        <f>"26"</f>
        <v>26</v>
      </c>
      <c r="D6847" t="str">
        <f>"One"</f>
        <v>One</v>
      </c>
    </row>
    <row r="6848" spans="1:4" x14ac:dyDescent="0.2">
      <c r="A6848" t="str">
        <f>"6847"</f>
        <v>6847</v>
      </c>
      <c r="B6848" t="str">
        <f>"0.54"</f>
        <v>0.54</v>
      </c>
      <c r="C6848" t="str">
        <f>"34"</f>
        <v>34</v>
      </c>
      <c r="D6848" t="str">
        <f>"Art Angels"</f>
        <v>Art Angels</v>
      </c>
    </row>
    <row r="6849" spans="1:4" x14ac:dyDescent="0.2">
      <c r="A6849" t="str">
        <f>"6848"</f>
        <v>6848</v>
      </c>
      <c r="B6849" t="str">
        <f>"-0.3"</f>
        <v>-0.3</v>
      </c>
      <c r="C6849" t="str">
        <f>"19"</f>
        <v>19</v>
      </c>
      <c r="D6849" t="str">
        <f>"Myths 001: Collaborative Recordings"</f>
        <v>Myths 001: Collaborative Recordings</v>
      </c>
    </row>
    <row r="6850" spans="1:4" x14ac:dyDescent="0.2">
      <c r="A6850" t="str">
        <f>"6849"</f>
        <v>6849</v>
      </c>
      <c r="B6850" t="str">
        <f>"-0.59"</f>
        <v>-0.59</v>
      </c>
      <c r="C6850" t="str">
        <f>"20"</f>
        <v>20</v>
      </c>
      <c r="D6850" t="str">
        <f>"Know How to Carry a Whip"</f>
        <v>Know How to Carry a Whip</v>
      </c>
    </row>
    <row r="6851" spans="1:4" x14ac:dyDescent="0.2">
      <c r="A6851" t="str">
        <f>"6850"</f>
        <v>6850</v>
      </c>
      <c r="B6851" t="str">
        <f>"-0.09"</f>
        <v>-0.09</v>
      </c>
      <c r="C6851" t="str">
        <f>"33"</f>
        <v>33</v>
      </c>
      <c r="D6851" t="str">
        <f>"Seems Unfair"</f>
        <v>Seems Unfair</v>
      </c>
    </row>
    <row r="6852" spans="1:4" x14ac:dyDescent="0.2">
      <c r="A6852" t="str">
        <f>"6851"</f>
        <v>6851</v>
      </c>
      <c r="B6852" t="str">
        <f>"-0.13"</f>
        <v>-0.13</v>
      </c>
      <c r="C6852" t="str">
        <f>"26"</f>
        <v>26</v>
      </c>
      <c r="D6852" t="str">
        <f>"True Will"</f>
        <v>True Will</v>
      </c>
    </row>
    <row r="6853" spans="1:4" x14ac:dyDescent="0.2">
      <c r="A6853" t="str">
        <f>"6852"</f>
        <v>6852</v>
      </c>
      <c r="B6853" t="str">
        <f>"-0.02"</f>
        <v>-0.02</v>
      </c>
      <c r="C6853" t="str">
        <f>"63"</f>
        <v>63</v>
      </c>
      <c r="D6853" t="str">
        <f>"Garden of Delete"</f>
        <v>Garden of Delete</v>
      </c>
    </row>
    <row r="6854" spans="1:4" x14ac:dyDescent="0.2">
      <c r="A6854" t="str">
        <f>"6853"</f>
        <v>6853</v>
      </c>
      <c r="B6854" t="str">
        <f>"-0.77"</f>
        <v>-0.77</v>
      </c>
      <c r="C6854" t="str">
        <f>"33"</f>
        <v>33</v>
      </c>
      <c r="D6854" t="str">
        <f>"Vulnicura Strings"</f>
        <v>Vulnicura Strings</v>
      </c>
    </row>
    <row r="6855" spans="1:4" x14ac:dyDescent="0.2">
      <c r="A6855" t="str">
        <f>"6854"</f>
        <v>6854</v>
      </c>
      <c r="B6855" t="str">
        <f>"-0.69"</f>
        <v>-0.69</v>
      </c>
      <c r="C6855" t="str">
        <f>"38"</f>
        <v>38</v>
      </c>
      <c r="D6855" t="str">
        <f>"Basement Hysteria"</f>
        <v>Basement Hysteria</v>
      </c>
    </row>
    <row r="6856" spans="1:4" x14ac:dyDescent="0.2">
      <c r="A6856" t="str">
        <f>"6855"</f>
        <v>6855</v>
      </c>
      <c r="B6856" t="str">
        <f>"-0.21"</f>
        <v>-0.21</v>
      </c>
      <c r="C6856" t="str">
        <f>"22"</f>
        <v>22</v>
      </c>
      <c r="D6856" t="str">
        <f>"Modern Warfare EPs 1-3"</f>
        <v>Modern Warfare EPs 1-3</v>
      </c>
    </row>
    <row r="6857" spans="1:4" x14ac:dyDescent="0.2">
      <c r="A6857" t="str">
        <f>"6856"</f>
        <v>6856</v>
      </c>
      <c r="B6857" t="str">
        <f>"0.18"</f>
        <v>0.18</v>
      </c>
      <c r="C6857" t="str">
        <f>"40"</f>
        <v>40</v>
      </c>
      <c r="D6857" t="str">
        <f>"Vertigo"</f>
        <v>Vertigo</v>
      </c>
    </row>
    <row r="6858" spans="1:4" x14ac:dyDescent="0.2">
      <c r="A6858" t="str">
        <f>"6857"</f>
        <v>6857</v>
      </c>
      <c r="B6858" t="str">
        <f>"-0.43"</f>
        <v>-0.43</v>
      </c>
      <c r="C6858" t="str">
        <f>"51"</f>
        <v>51</v>
      </c>
      <c r="D6858" t="str">
        <f>"AMY: The Original Soundtrack"</f>
        <v>AMY: The Original Soundtrack</v>
      </c>
    </row>
    <row r="6859" spans="1:4" x14ac:dyDescent="0.2">
      <c r="A6859" t="str">
        <f>"6858"</f>
        <v>6858</v>
      </c>
      <c r="B6859" t="str">
        <f>"0.83"</f>
        <v>0.83</v>
      </c>
      <c r="C6859" t="str">
        <f>"39"</f>
        <v>39</v>
      </c>
      <c r="D6859" t="str">
        <f>"Slime Season 2"</f>
        <v>Slime Season 2</v>
      </c>
    </row>
    <row r="6860" spans="1:4" x14ac:dyDescent="0.2">
      <c r="A6860" t="str">
        <f>"6859"</f>
        <v>6859</v>
      </c>
      <c r="B6860" t="str">
        <f>"-0.37"</f>
        <v>-0.37</v>
      </c>
      <c r="C6860" t="str">
        <f>"49"</f>
        <v>49</v>
      </c>
      <c r="D6860" t="str">
        <f>"Astral Weeks"</f>
        <v>Astral Weeks</v>
      </c>
    </row>
    <row r="6861" spans="1:4" x14ac:dyDescent="0.2">
      <c r="A6861" t="str">
        <f>"6860"</f>
        <v>6860</v>
      </c>
      <c r="B6861" t="str">
        <f>"0.13"</f>
        <v>0.13</v>
      </c>
      <c r="C6861" t="str">
        <f>"36"</f>
        <v>36</v>
      </c>
      <c r="D6861" t="str">
        <f>"Late Knight Special"</f>
        <v>Late Knight Special</v>
      </c>
    </row>
    <row r="6862" spans="1:4" x14ac:dyDescent="0.2">
      <c r="A6862" t="str">
        <f>"6861"</f>
        <v>6861</v>
      </c>
      <c r="B6862" t="str">
        <f>"-1.22"</f>
        <v>-1.22</v>
      </c>
      <c r="C6862" t="str">
        <f>"30"</f>
        <v>30</v>
      </c>
      <c r="D6862" t="str">
        <f>"Dealer"</f>
        <v>Dealer</v>
      </c>
    </row>
    <row r="6863" spans="1:4" x14ac:dyDescent="0.2">
      <c r="A6863" t="str">
        <f>"6862"</f>
        <v>6862</v>
      </c>
      <c r="B6863" t="str">
        <f>"-0.22"</f>
        <v>-0.22</v>
      </c>
      <c r="C6863" t="str">
        <f>"65"</f>
        <v>65</v>
      </c>
      <c r="D6863" t="str">
        <f>"The Cutting Edge 1965-1966: The Bootleg Series Volume 12"</f>
        <v>The Cutting Edge 1965-1966: The Bootleg Series Volume 12</v>
      </c>
    </row>
    <row r="6864" spans="1:4" x14ac:dyDescent="0.2">
      <c r="A6864" t="str">
        <f>"6863"</f>
        <v>6863</v>
      </c>
      <c r="B6864" t="str">
        <f>"-0.39"</f>
        <v>-0.39</v>
      </c>
      <c r="C6864" t="str">
        <f>"26"</f>
        <v>26</v>
      </c>
      <c r="D6864" t="str">
        <f>"The Things We Do to Find People Who Feel Like Us"</f>
        <v>The Things We Do to Find People Who Feel Like Us</v>
      </c>
    </row>
    <row r="6865" spans="1:4" x14ac:dyDescent="0.2">
      <c r="A6865" t="str">
        <f>"6864"</f>
        <v>6864</v>
      </c>
      <c r="B6865" t="str">
        <f>"1.2"</f>
        <v>1.2</v>
      </c>
      <c r="C6865" t="str">
        <f>"32"</f>
        <v>32</v>
      </c>
      <c r="D6865" t="str">
        <f>"Delirium"</f>
        <v>Delirium</v>
      </c>
    </row>
    <row r="6866" spans="1:4" x14ac:dyDescent="0.2">
      <c r="A6866" t="str">
        <f>"6865"</f>
        <v>6865</v>
      </c>
      <c r="B6866" t="str">
        <f>"0.81"</f>
        <v>0.81</v>
      </c>
      <c r="C6866" t="str">
        <f>"34"</f>
        <v>34</v>
      </c>
      <c r="D6866" t="str">
        <f>"Amor Supremo"</f>
        <v>Amor Supremo</v>
      </c>
    </row>
    <row r="6867" spans="1:4" x14ac:dyDescent="0.2">
      <c r="A6867" t="str">
        <f>"6866"</f>
        <v>6866</v>
      </c>
      <c r="B6867" t="str">
        <f>"-0.22"</f>
        <v>-0.22</v>
      </c>
      <c r="C6867" t="str">
        <f>"33"</f>
        <v>33</v>
      </c>
      <c r="D6867" t="str">
        <f>"Sprained Ankle"</f>
        <v>Sprained Ankle</v>
      </c>
    </row>
    <row r="6868" spans="1:4" x14ac:dyDescent="0.2">
      <c r="A6868" t="str">
        <f>"6867"</f>
        <v>6867</v>
      </c>
      <c r="B6868" t="str">
        <f>"0.27"</f>
        <v>0.27</v>
      </c>
      <c r="C6868" t="str">
        <f>"53"</f>
        <v>53</v>
      </c>
      <c r="D6868" t="str">
        <f>"Loaded: Re-Loaded 45th Anniversary Edition"</f>
        <v>Loaded: Re-Loaded 45th Anniversary Edition</v>
      </c>
    </row>
    <row r="6869" spans="1:4" x14ac:dyDescent="0.2">
      <c r="A6869" t="str">
        <f>"6868"</f>
        <v>6868</v>
      </c>
      <c r="B6869" t="str">
        <f>"0.52"</f>
        <v>0.52</v>
      </c>
      <c r="C6869" t="str">
        <f>"43"</f>
        <v>43</v>
      </c>
      <c r="D6869" t="str">
        <f>"II"</f>
        <v>II</v>
      </c>
    </row>
    <row r="6870" spans="1:4" x14ac:dyDescent="0.2">
      <c r="A6870" t="str">
        <f>"6869"</f>
        <v>6869</v>
      </c>
      <c r="B6870" t="str">
        <f>"1.18"</f>
        <v>1.18</v>
      </c>
      <c r="C6870" t="str">
        <f>"28"</f>
        <v>28</v>
      </c>
      <c r="D6870" t="str">
        <f>"Music for Life Itself &amp; The Interrupters"</f>
        <v>Music for Life Itself &amp; The Interrupters</v>
      </c>
    </row>
    <row r="6871" spans="1:4" x14ac:dyDescent="0.2">
      <c r="A6871" t="str">
        <f>"6870"</f>
        <v>6870</v>
      </c>
      <c r="B6871" t="str">
        <f>"0.48"</f>
        <v>0.48</v>
      </c>
      <c r="C6871" t="str">
        <f>"21"</f>
        <v>21</v>
      </c>
      <c r="D6871" t="str">
        <f>"Accidental Sky"</f>
        <v>Accidental Sky</v>
      </c>
    </row>
    <row r="6872" spans="1:4" x14ac:dyDescent="0.2">
      <c r="A6872" t="str">
        <f>"6871"</f>
        <v>6871</v>
      </c>
      <c r="B6872" t="str">
        <f>"-0.92"</f>
        <v>-0.92</v>
      </c>
      <c r="C6872" t="str">
        <f>"38"</f>
        <v>38</v>
      </c>
      <c r="D6872" t="str">
        <f>"The Source"</f>
        <v>The Source</v>
      </c>
    </row>
    <row r="6873" spans="1:4" x14ac:dyDescent="0.2">
      <c r="A6873" t="str">
        <f>"6872"</f>
        <v>6872</v>
      </c>
      <c r="B6873" t="str">
        <f>"0.47"</f>
        <v>0.47</v>
      </c>
      <c r="C6873" t="str">
        <f>"36"</f>
        <v>36</v>
      </c>
      <c r="D6873" t="str">
        <f>"Elaenia"</f>
        <v>Elaenia</v>
      </c>
    </row>
    <row r="6874" spans="1:4" x14ac:dyDescent="0.2">
      <c r="A6874" t="str">
        <f>"6873"</f>
        <v>6873</v>
      </c>
      <c r="B6874" t="str">
        <f>"-0.09"</f>
        <v>-0.09</v>
      </c>
      <c r="C6874" t="str">
        <f>"42"</f>
        <v>42</v>
      </c>
      <c r="D6874" t="str">
        <f>"AQUARIA"</f>
        <v>AQUARIA</v>
      </c>
    </row>
    <row r="6875" spans="1:4" x14ac:dyDescent="0.2">
      <c r="A6875" t="str">
        <f>"6874"</f>
        <v>6874</v>
      </c>
      <c r="B6875" t="str">
        <f>"0.25"</f>
        <v>0.25</v>
      </c>
      <c r="C6875" t="str">
        <f>"22"</f>
        <v>22</v>
      </c>
      <c r="D6875" t="str">
        <f>"Coke Zoo"</f>
        <v>Coke Zoo</v>
      </c>
    </row>
    <row r="6876" spans="1:4" x14ac:dyDescent="0.2">
      <c r="A6876" t="str">
        <f>"6875"</f>
        <v>6875</v>
      </c>
      <c r="B6876" t="str">
        <f>"-1.33"</f>
        <v>-1.33</v>
      </c>
      <c r="C6876" t="str">
        <f>"27"</f>
        <v>27</v>
      </c>
      <c r="D6876" t="str">
        <f>"I Am a Problem: Mind in Pieces"</f>
        <v>I Am a Problem: Mind in Pieces</v>
      </c>
    </row>
    <row r="6877" spans="1:4" x14ac:dyDescent="0.2">
      <c r="A6877" t="str">
        <f>"6876"</f>
        <v>6876</v>
      </c>
      <c r="B6877" t="str">
        <f>"-0.24"</f>
        <v>-0.24</v>
      </c>
      <c r="C6877" t="str">
        <f>"25"</f>
        <v>25</v>
      </c>
      <c r="D6877" t="str">
        <f>"Cocksure"</f>
        <v>Cocksure</v>
      </c>
    </row>
    <row r="6878" spans="1:4" x14ac:dyDescent="0.2">
      <c r="A6878" t="str">
        <f>"6877"</f>
        <v>6877</v>
      </c>
      <c r="B6878" t="str">
        <f>"-0.99"</f>
        <v>-0.99</v>
      </c>
      <c r="C6878" t="str">
        <f>"27"</f>
        <v>27</v>
      </c>
      <c r="D6878" t="str">
        <f>"Return to the Moon"</f>
        <v>Return to the Moon</v>
      </c>
    </row>
    <row r="6879" spans="1:4" x14ac:dyDescent="0.2">
      <c r="A6879" t="str">
        <f>"6878"</f>
        <v>6878</v>
      </c>
      <c r="B6879" t="str">
        <f>"-0.05"</f>
        <v>-0.05</v>
      </c>
      <c r="C6879" t="str">
        <f>"33"</f>
        <v>33</v>
      </c>
      <c r="D6879" t="str">
        <f>"[Cease &amp; Desist] DIY! (Cult classics from the Post-Punk era 1978 - 82)"</f>
        <v>[Cease &amp; Desist] DIY! (Cult classics from the Post-Punk era 1978 - 82)</v>
      </c>
    </row>
    <row r="6880" spans="1:4" x14ac:dyDescent="0.2">
      <c r="A6880" t="str">
        <f>"6879"</f>
        <v>6879</v>
      </c>
      <c r="B6880" t="str">
        <f>"-0.38"</f>
        <v>-0.38</v>
      </c>
      <c r="C6880" t="str">
        <f>"20"</f>
        <v>20</v>
      </c>
      <c r="D6880" t="str">
        <f>"Technomancer"</f>
        <v>Technomancer</v>
      </c>
    </row>
    <row r="6881" spans="1:4" x14ac:dyDescent="0.2">
      <c r="A6881" t="str">
        <f>"6880"</f>
        <v>6880</v>
      </c>
      <c r="B6881" t="str">
        <f>"-1.51"</f>
        <v>-1.51</v>
      </c>
      <c r="C6881" t="str">
        <f>"44"</f>
        <v>44</v>
      </c>
      <c r="D6881" t="str">
        <f>"Yellow Tape Activities"</f>
        <v>Yellow Tape Activities</v>
      </c>
    </row>
    <row r="6882" spans="1:4" x14ac:dyDescent="0.2">
      <c r="A6882" t="str">
        <f>"6881"</f>
        <v>6881</v>
      </c>
      <c r="B6882" t="str">
        <f>"-0.73"</f>
        <v>-0.73</v>
      </c>
      <c r="C6882" t="str">
        <f>"21"</f>
        <v>21</v>
      </c>
      <c r="D6882" t="str">
        <f>"Stop Suffering EP"</f>
        <v>Stop Suffering EP</v>
      </c>
    </row>
    <row r="6883" spans="1:4" x14ac:dyDescent="0.2">
      <c r="A6883" t="str">
        <f>"6882"</f>
        <v>6882</v>
      </c>
      <c r="B6883" t="str">
        <f>"-0.08"</f>
        <v>-0.08</v>
      </c>
      <c r="C6883" t="str">
        <f>"28"</f>
        <v>28</v>
      </c>
      <c r="D6883" t="str">
        <f>"Gahdamn! EP"</f>
        <v>Gahdamn! EP</v>
      </c>
    </row>
    <row r="6884" spans="1:4" x14ac:dyDescent="0.2">
      <c r="A6884" t="str">
        <f>"6883"</f>
        <v>6883</v>
      </c>
      <c r="B6884" t="str">
        <f>"-0.17"</f>
        <v>-0.17</v>
      </c>
      <c r="C6884" t="str">
        <f>"44"</f>
        <v>44</v>
      </c>
      <c r="D6884" t="str">
        <f>"Teens of Style"</f>
        <v>Teens of Style</v>
      </c>
    </row>
    <row r="6885" spans="1:4" x14ac:dyDescent="0.2">
      <c r="A6885" t="str">
        <f>"6884"</f>
        <v>6884</v>
      </c>
      <c r="B6885" t="str">
        <f>"0.51"</f>
        <v>0.51</v>
      </c>
      <c r="C6885" t="str">
        <f>"33"</f>
        <v>33</v>
      </c>
      <c r="D6885" t="str">
        <f>"Torch of the Mystics"</f>
        <v>Torch of the Mystics</v>
      </c>
    </row>
    <row r="6886" spans="1:4" x14ac:dyDescent="0.2">
      <c r="A6886" t="str">
        <f>"6885"</f>
        <v>6885</v>
      </c>
      <c r="B6886" t="str">
        <f>"0.25"</f>
        <v>0.25</v>
      </c>
      <c r="C6886" t="str">
        <f>"29"</f>
        <v>29</v>
      </c>
      <c r="D6886" t="str">
        <f>"We Are Not the First"</f>
        <v>We Are Not the First</v>
      </c>
    </row>
    <row r="6887" spans="1:4" x14ac:dyDescent="0.2">
      <c r="A6887" t="str">
        <f>"6886"</f>
        <v>6886</v>
      </c>
      <c r="B6887" t="str">
        <f>"0.15"</f>
        <v>0.15</v>
      </c>
      <c r="C6887" t="str">
        <f>"35"</f>
        <v>35</v>
      </c>
      <c r="D6887" t="str">
        <f>"The Attic Tapes"</f>
        <v>The Attic Tapes</v>
      </c>
    </row>
    <row r="6888" spans="1:4" x14ac:dyDescent="0.2">
      <c r="A6888" t="str">
        <f>"6887"</f>
        <v>6887</v>
      </c>
      <c r="B6888" t="str">
        <f>"-0.63"</f>
        <v>-0.63</v>
      </c>
      <c r="C6888" t="str">
        <f>"36"</f>
        <v>36</v>
      </c>
      <c r="D6888" t="str">
        <f>"Dillatronic"</f>
        <v>Dillatronic</v>
      </c>
    </row>
    <row r="6889" spans="1:4" x14ac:dyDescent="0.2">
      <c r="A6889" t="str">
        <f>"6888"</f>
        <v>6888</v>
      </c>
      <c r="B6889" t="str">
        <f>"-0.22"</f>
        <v>-0.22</v>
      </c>
      <c r="C6889" t="str">
        <f>"35"</f>
        <v>35</v>
      </c>
      <c r="D6889" t="str">
        <f>"Muscle Up"</f>
        <v>Muscle Up</v>
      </c>
    </row>
    <row r="6890" spans="1:4" x14ac:dyDescent="0.2">
      <c r="A6890" t="str">
        <f>"6889"</f>
        <v>6889</v>
      </c>
      <c r="B6890" t="str">
        <f>"-1.25"</f>
        <v>-1.25</v>
      </c>
      <c r="C6890" t="str">
        <f>"31"</f>
        <v>31</v>
      </c>
      <c r="D6890" t="str">
        <f>"RIP Chrysalis"</f>
        <v>RIP Chrysalis</v>
      </c>
    </row>
    <row r="6891" spans="1:4" x14ac:dyDescent="0.2">
      <c r="A6891" t="str">
        <f>"6890"</f>
        <v>6890</v>
      </c>
      <c r="B6891" t="str">
        <f>"0.4"</f>
        <v>0.4</v>
      </c>
      <c r="C6891" t="str">
        <f>"25"</f>
        <v>25</v>
      </c>
      <c r="D6891" t="str">
        <f>"Under the Same Sky"</f>
        <v>Under the Same Sky</v>
      </c>
    </row>
    <row r="6892" spans="1:4" x14ac:dyDescent="0.2">
      <c r="A6892" t="str">
        <f>"6891"</f>
        <v>6891</v>
      </c>
      <c r="B6892" t="str">
        <f>"-0.41"</f>
        <v>-0.41</v>
      </c>
      <c r="C6892" t="str">
        <f>"31"</f>
        <v>31</v>
      </c>
      <c r="D6892" t="str">
        <f>"Songs of Lament EP"</f>
        <v>Songs of Lament EP</v>
      </c>
    </row>
    <row r="6893" spans="1:4" x14ac:dyDescent="0.2">
      <c r="A6893" t="str">
        <f>"6892"</f>
        <v>6892</v>
      </c>
      <c r="B6893" t="str">
        <f>"-0.42"</f>
        <v>-0.42</v>
      </c>
      <c r="C6893" t="str">
        <f>"27"</f>
        <v>27</v>
      </c>
      <c r="D6893" t="str">
        <f>"Bad Neighbor"</f>
        <v>Bad Neighbor</v>
      </c>
    </row>
    <row r="6894" spans="1:4" x14ac:dyDescent="0.2">
      <c r="A6894" t="str">
        <f>"6893"</f>
        <v>6893</v>
      </c>
      <c r="B6894" t="str">
        <f>"0.59"</f>
        <v>0.59</v>
      </c>
      <c r="C6894" t="str">
        <f>"42"</f>
        <v>42</v>
      </c>
      <c r="D6894" t="str">
        <f>"Christine and the Queens"</f>
        <v>Christine and the Queens</v>
      </c>
    </row>
    <row r="6895" spans="1:4" x14ac:dyDescent="0.2">
      <c r="A6895" t="str">
        <f>"6894"</f>
        <v>6894</v>
      </c>
      <c r="B6895" t="str">
        <f>"-0.17"</f>
        <v>-0.17</v>
      </c>
      <c r="C6895" t="str">
        <f>"25"</f>
        <v>25</v>
      </c>
      <c r="D6895" t="str">
        <f>"Angels &amp; Ghosts"</f>
        <v>Angels &amp; Ghosts</v>
      </c>
    </row>
    <row r="6896" spans="1:4" x14ac:dyDescent="0.2">
      <c r="A6896" t="str">
        <f>"6895"</f>
        <v>6895</v>
      </c>
      <c r="B6896" t="str">
        <f>"-1"</f>
        <v>-1</v>
      </c>
      <c r="C6896" t="str">
        <f>"24"</f>
        <v>24</v>
      </c>
      <c r="D6896" t="str">
        <f>"Communion"</f>
        <v>Communion</v>
      </c>
    </row>
    <row r="6897" spans="1:4" x14ac:dyDescent="0.2">
      <c r="A6897" t="str">
        <f>"6896"</f>
        <v>6896</v>
      </c>
      <c r="B6897" t="str">
        <f>"0.17"</f>
        <v>0.17</v>
      </c>
      <c r="C6897" t="str">
        <f>"19"</f>
        <v>19</v>
      </c>
      <c r="D6897" t="str">
        <f>"Sleepwalker"</f>
        <v>Sleepwalker</v>
      </c>
    </row>
    <row r="6898" spans="1:4" x14ac:dyDescent="0.2">
      <c r="A6898" t="str">
        <f>"6897"</f>
        <v>6897</v>
      </c>
      <c r="B6898" t="str">
        <f>"0.25"</f>
        <v>0.25</v>
      </c>
      <c r="C6898" t="str">
        <f>"48"</f>
        <v>48</v>
      </c>
      <c r="D6898" t="str">
        <f>"There’s Nothing Wrong With Love"</f>
        <v>There’s Nothing Wrong With Love</v>
      </c>
    </row>
    <row r="6899" spans="1:4" x14ac:dyDescent="0.2">
      <c r="A6899" t="str">
        <f>"6898"</f>
        <v>6898</v>
      </c>
      <c r="B6899" t="str">
        <f>"1.18"</f>
        <v>1.18</v>
      </c>
      <c r="C6899" t="str">
        <f>"38"</f>
        <v>38</v>
      </c>
      <c r="D6899" t="str">
        <f>"Silver Bullets"</f>
        <v>Silver Bullets</v>
      </c>
    </row>
    <row r="6900" spans="1:4" x14ac:dyDescent="0.2">
      <c r="A6900" t="str">
        <f>"6899"</f>
        <v>6899</v>
      </c>
      <c r="B6900" t="str">
        <f>"0.47"</f>
        <v>0.47</v>
      </c>
      <c r="C6900" t="str">
        <f>"29"</f>
        <v>29</v>
      </c>
      <c r="D6900" t="str">
        <f>"Deeper Than Sky"</f>
        <v>Deeper Than Sky</v>
      </c>
    </row>
    <row r="6901" spans="1:4" x14ac:dyDescent="0.2">
      <c r="A6901" t="str">
        <f>"6900"</f>
        <v>6900</v>
      </c>
      <c r="B6901" t="str">
        <f>"0.18"</f>
        <v>0.18</v>
      </c>
      <c r="C6901" t="str">
        <f>"27"</f>
        <v>27</v>
      </c>
      <c r="D6901" t="str">
        <f>"Bizarster"</f>
        <v>Bizarster</v>
      </c>
    </row>
    <row r="6902" spans="1:4" x14ac:dyDescent="0.2">
      <c r="A6902" t="str">
        <f>"6901"</f>
        <v>6901</v>
      </c>
      <c r="B6902" t="str">
        <f>"0.07"</f>
        <v>0.07</v>
      </c>
      <c r="C6902" t="str">
        <f>"38"</f>
        <v>38</v>
      </c>
      <c r="D6902" t="str">
        <f>"Cardinal"</f>
        <v>Cardinal</v>
      </c>
    </row>
    <row r="6903" spans="1:4" x14ac:dyDescent="0.2">
      <c r="A6903" t="str">
        <f>"6902"</f>
        <v>6902</v>
      </c>
      <c r="B6903" t="str">
        <f>"0.95"</f>
        <v>0.95</v>
      </c>
      <c r="C6903" t="str">
        <f>"34"</f>
        <v>34</v>
      </c>
      <c r="D6903" t="str">
        <f>"Many Moons"</f>
        <v>Many Moons</v>
      </c>
    </row>
    <row r="6904" spans="1:4" x14ac:dyDescent="0.2">
      <c r="A6904" t="str">
        <f>"6903"</f>
        <v>6903</v>
      </c>
      <c r="B6904" t="str">
        <f>"0.2"</f>
        <v>0.2</v>
      </c>
      <c r="C6904" t="str">
        <f>"24"</f>
        <v>24</v>
      </c>
      <c r="D6904" t="str">
        <f>"Airplane Mode"</f>
        <v>Airplane Mode</v>
      </c>
    </row>
    <row r="6905" spans="1:4" x14ac:dyDescent="0.2">
      <c r="A6905" t="str">
        <f>"6904"</f>
        <v>6904</v>
      </c>
      <c r="B6905" t="str">
        <f>"-0.03"</f>
        <v>-0.03</v>
      </c>
      <c r="C6905" t="str">
        <f>"27"</f>
        <v>27</v>
      </c>
      <c r="D6905" t="str">
        <f>"Howl"</f>
        <v>Howl</v>
      </c>
    </row>
    <row r="6906" spans="1:4" x14ac:dyDescent="0.2">
      <c r="A6906" t="str">
        <f>"6905"</f>
        <v>6905</v>
      </c>
      <c r="B6906" t="str">
        <f>"-0.31"</f>
        <v>-0.31</v>
      </c>
      <c r="C6906" t="str">
        <f>"27"</f>
        <v>27</v>
      </c>
      <c r="D6906" t="str">
        <f>"Paradise Goulash"</f>
        <v>Paradise Goulash</v>
      </c>
    </row>
    <row r="6907" spans="1:4" x14ac:dyDescent="0.2">
      <c r="A6907" t="str">
        <f>"6906"</f>
        <v>6906</v>
      </c>
      <c r="B6907" t="str">
        <f>"-0.55"</f>
        <v>-0.55</v>
      </c>
      <c r="C6907" t="str">
        <f>"23"</f>
        <v>23</v>
      </c>
      <c r="D6907" t="str">
        <f>"International Blackjazz Society"</f>
        <v>International Blackjazz Society</v>
      </c>
    </row>
    <row r="6908" spans="1:4" x14ac:dyDescent="0.2">
      <c r="A6908" t="str">
        <f>"6907"</f>
        <v>6907</v>
      </c>
      <c r="B6908" t="str">
        <f>"-1"</f>
        <v>-1</v>
      </c>
      <c r="C6908" t="str">
        <f>"23"</f>
        <v>23</v>
      </c>
      <c r="D6908" t="str">
        <f>"Karamika"</f>
        <v>Karamika</v>
      </c>
    </row>
    <row r="6909" spans="1:4" x14ac:dyDescent="0.2">
      <c r="A6909" t="str">
        <f>"6908"</f>
        <v>6908</v>
      </c>
      <c r="B6909" t="str">
        <f>"0.16"</f>
        <v>0.16</v>
      </c>
      <c r="C6909" t="str">
        <f>"32"</f>
        <v>32</v>
      </c>
      <c r="D6909" t="str">
        <f>"As If"</f>
        <v>As If</v>
      </c>
    </row>
    <row r="6910" spans="1:4" x14ac:dyDescent="0.2">
      <c r="A6910" t="str">
        <f>"6909"</f>
        <v>6909</v>
      </c>
      <c r="B6910" t="str">
        <f>"0.88"</f>
        <v>0.88</v>
      </c>
      <c r="C6910" t="str">
        <f>"37"</f>
        <v>37</v>
      </c>
      <c r="D6910" t="str">
        <f>"Liberman"</f>
        <v>Liberman</v>
      </c>
    </row>
    <row r="6911" spans="1:4" x14ac:dyDescent="0.2">
      <c r="A6911" t="str">
        <f>"6910"</f>
        <v>6910</v>
      </c>
      <c r="B6911" t="str">
        <f>"0.63"</f>
        <v>0.63</v>
      </c>
      <c r="C6911" t="str">
        <f>"70"</f>
        <v>70</v>
      </c>
      <c r="D6911" t="str">
        <f>"Tous Les Garçons Et Les Filles"</f>
        <v>Tous Les Garçons Et Les Filles</v>
      </c>
    </row>
    <row r="6912" spans="1:4" x14ac:dyDescent="0.2">
      <c r="A6912" t="str">
        <f>"6911"</f>
        <v>6911</v>
      </c>
      <c r="B6912" t="str">
        <f>"-0.41"</f>
        <v>-0.41</v>
      </c>
      <c r="C6912" t="str">
        <f>"30"</f>
        <v>30</v>
      </c>
      <c r="D6912" t="str">
        <f>"Ballin Like I’m Kobe"</f>
        <v>Ballin Like I’m Kobe</v>
      </c>
    </row>
    <row r="6913" spans="1:4" x14ac:dyDescent="0.2">
      <c r="A6913" t="str">
        <f>"6912"</f>
        <v>6912</v>
      </c>
      <c r="B6913" t="str">
        <f>"0"</f>
        <v>0</v>
      </c>
      <c r="C6913" t="str">
        <f>"25"</f>
        <v>25</v>
      </c>
      <c r="D6913" t="str">
        <f>"Life"</f>
        <v>Life</v>
      </c>
    </row>
    <row r="6914" spans="1:4" x14ac:dyDescent="0.2">
      <c r="A6914" t="str">
        <f>"6913"</f>
        <v>6913</v>
      </c>
      <c r="B6914" t="str">
        <f>"-0.13"</f>
        <v>-0.13</v>
      </c>
      <c r="C6914" t="str">
        <f>"48"</f>
        <v>48</v>
      </c>
      <c r="D6914" t="str">
        <f>"Nothing Feels Good"</f>
        <v>Nothing Feels Good</v>
      </c>
    </row>
    <row r="6915" spans="1:4" x14ac:dyDescent="0.2">
      <c r="A6915" t="str">
        <f>"6914"</f>
        <v>6914</v>
      </c>
      <c r="B6915" t="str">
        <f>"0.48"</f>
        <v>0.48</v>
      </c>
      <c r="C6915" t="str">
        <f>"38"</f>
        <v>38</v>
      </c>
      <c r="D6915" t="str">
        <f>"Dream All Over"</f>
        <v>Dream All Over</v>
      </c>
    </row>
    <row r="6916" spans="1:4" x14ac:dyDescent="0.2">
      <c r="A6916" t="str">
        <f>"6915"</f>
        <v>6915</v>
      </c>
      <c r="B6916" t="str">
        <f>"0.26"</f>
        <v>0.26</v>
      </c>
      <c r="C6916" t="str">
        <f>"24"</f>
        <v>24</v>
      </c>
      <c r="D6916" t="str">
        <f>"American Tragic"</f>
        <v>American Tragic</v>
      </c>
    </row>
    <row r="6917" spans="1:4" x14ac:dyDescent="0.2">
      <c r="A6917" t="str">
        <f>"6916"</f>
        <v>6916</v>
      </c>
      <c r="B6917" t="str">
        <f>"-0.85"</f>
        <v>-0.85</v>
      </c>
      <c r="C6917" t="str">
        <f>"28"</f>
        <v>28</v>
      </c>
      <c r="D6917" t="str">
        <f>"Lost Themes Remixed"</f>
        <v>Lost Themes Remixed</v>
      </c>
    </row>
    <row r="6918" spans="1:4" x14ac:dyDescent="0.2">
      <c r="A6918" t="str">
        <f>"6917"</f>
        <v>6917</v>
      </c>
      <c r="B6918" t="str">
        <f>"-0.1"</f>
        <v>-0.1</v>
      </c>
      <c r="C6918" t="str">
        <f>"41"</f>
        <v>41</v>
      </c>
      <c r="D6918" t="str">
        <f>"Autumn Eternal"</f>
        <v>Autumn Eternal</v>
      </c>
    </row>
    <row r="6919" spans="1:4" x14ac:dyDescent="0.2">
      <c r="A6919" t="str">
        <f>"6918"</f>
        <v>6918</v>
      </c>
      <c r="B6919" t="str">
        <f>"0.86"</f>
        <v>0.86</v>
      </c>
      <c r="C6919" t="str">
        <f>"41"</f>
        <v>41</v>
      </c>
      <c r="D6919" t="str">
        <f>"Divers"</f>
        <v>Divers</v>
      </c>
    </row>
    <row r="6920" spans="1:4" x14ac:dyDescent="0.2">
      <c r="A6920" t="str">
        <f>"6919"</f>
        <v>6919</v>
      </c>
      <c r="B6920" t="str">
        <f>"0.3"</f>
        <v>0.3</v>
      </c>
      <c r="C6920" t="str">
        <f>"28"</f>
        <v>28</v>
      </c>
      <c r="D6920" t="str">
        <f>"Electronica 1: The Time Machine"</f>
        <v>Electronica 1: The Time Machine</v>
      </c>
    </row>
    <row r="6921" spans="1:4" x14ac:dyDescent="0.2">
      <c r="A6921" t="str">
        <f>"6920"</f>
        <v>6920</v>
      </c>
      <c r="B6921" t="str">
        <f>"0.13"</f>
        <v>0.13</v>
      </c>
      <c r="C6921" t="str">
        <f>"27"</f>
        <v>27</v>
      </c>
      <c r="D6921" t="str">
        <f>"Incitation EP"</f>
        <v>Incitation EP</v>
      </c>
    </row>
    <row r="6922" spans="1:4" x14ac:dyDescent="0.2">
      <c r="A6922" t="str">
        <f>"6921"</f>
        <v>6921</v>
      </c>
      <c r="B6922" t="str">
        <f>"-0.55"</f>
        <v>-0.55</v>
      </c>
      <c r="C6922" t="str">
        <f>"36"</f>
        <v>36</v>
      </c>
      <c r="D6922" t="str">
        <f>"Alma Do Meu Pai EP"</f>
        <v>Alma Do Meu Pai EP</v>
      </c>
    </row>
    <row r="6923" spans="1:4" x14ac:dyDescent="0.2">
      <c r="A6923" t="str">
        <f>"6922"</f>
        <v>6922</v>
      </c>
      <c r="B6923" t="str">
        <f>"-0.75"</f>
        <v>-0.75</v>
      </c>
      <c r="C6923" t="str">
        <f>"31"</f>
        <v>31</v>
      </c>
      <c r="D6923" t="str">
        <f>"Lightless Walk"</f>
        <v>Lightless Walk</v>
      </c>
    </row>
    <row r="6924" spans="1:4" x14ac:dyDescent="0.2">
      <c r="A6924" t="str">
        <f>"6923"</f>
        <v>6923</v>
      </c>
      <c r="B6924" t="str">
        <f>"0.65"</f>
        <v>0.65</v>
      </c>
      <c r="C6924" t="str">
        <f>"24"</f>
        <v>24</v>
      </c>
      <c r="D6924" t="str">
        <f>"Thank Your Lucky Stars"</f>
        <v>Thank Your Lucky Stars</v>
      </c>
    </row>
    <row r="6925" spans="1:4" x14ac:dyDescent="0.2">
      <c r="A6925" t="str">
        <f>"6924"</f>
        <v>6924</v>
      </c>
      <c r="B6925" t="str">
        <f>"0.35"</f>
        <v>0.35</v>
      </c>
      <c r="C6925" t="str">
        <f>"32"</f>
        <v>32</v>
      </c>
      <c r="D6925" t="str">
        <f>"I Thought the Future Would Be Cooler"</f>
        <v>I Thought the Future Would Be Cooler</v>
      </c>
    </row>
    <row r="6926" spans="1:4" x14ac:dyDescent="0.2">
      <c r="A6926" t="str">
        <f>"6925"</f>
        <v>6925</v>
      </c>
      <c r="B6926" t="str">
        <f>"0.54"</f>
        <v>0.54</v>
      </c>
      <c r="C6926" t="str">
        <f>"31"</f>
        <v>31</v>
      </c>
      <c r="D6926" t="str">
        <f>"All We Need"</f>
        <v>All We Need</v>
      </c>
    </row>
    <row r="6927" spans="1:4" x14ac:dyDescent="0.2">
      <c r="A6927" t="str">
        <f>"6926"</f>
        <v>6926</v>
      </c>
      <c r="B6927" t="str">
        <f>"1.09"</f>
        <v>1.09</v>
      </c>
      <c r="C6927" t="str">
        <f>"34"</f>
        <v>34</v>
      </c>
      <c r="D6927" t="str">
        <f>"Cardamom Times EP"</f>
        <v>Cardamom Times EP</v>
      </c>
    </row>
    <row r="6928" spans="1:4" x14ac:dyDescent="0.2">
      <c r="A6928" t="str">
        <f>"6927"</f>
        <v>6927</v>
      </c>
      <c r="B6928" t="str">
        <f>"-0.47"</f>
        <v>-0.47</v>
      </c>
      <c r="C6928" t="str">
        <f>"29"</f>
        <v>29</v>
      </c>
      <c r="D6928" t="str">
        <f>"Shape Shift"</f>
        <v>Shape Shift</v>
      </c>
    </row>
    <row r="6929" spans="1:4" x14ac:dyDescent="0.2">
      <c r="A6929" t="str">
        <f>"6928"</f>
        <v>6928</v>
      </c>
      <c r="B6929" t="str">
        <f>"-0.05"</f>
        <v>-0.05</v>
      </c>
      <c r="C6929" t="str">
        <f>"31"</f>
        <v>31</v>
      </c>
      <c r="D6929" t="str">
        <f>"The Documentary 2"</f>
        <v>The Documentary 2</v>
      </c>
    </row>
    <row r="6930" spans="1:4" x14ac:dyDescent="0.2">
      <c r="A6930" t="str">
        <f>"6929"</f>
        <v>6929</v>
      </c>
      <c r="B6930" t="str">
        <f>"-0.04"</f>
        <v>-0.04</v>
      </c>
      <c r="C6930" t="str">
        <f>"34"</f>
        <v>34</v>
      </c>
      <c r="D6930" t="str">
        <f>"Sexwitch"</f>
        <v>Sexwitch</v>
      </c>
    </row>
    <row r="6931" spans="1:4" x14ac:dyDescent="0.2">
      <c r="A6931" t="str">
        <f>"6930"</f>
        <v>6930</v>
      </c>
      <c r="B6931" t="str">
        <f>"0.47"</f>
        <v>0.47</v>
      </c>
      <c r="C6931" t="str">
        <f>"40"</f>
        <v>40</v>
      </c>
      <c r="D6931" t="str">
        <f>"Eyes of Love"</f>
        <v>Eyes of Love</v>
      </c>
    </row>
    <row r="6932" spans="1:4" x14ac:dyDescent="0.2">
      <c r="A6932" t="str">
        <f>"6931"</f>
        <v>6931</v>
      </c>
      <c r="B6932" t="str">
        <f>"0.43"</f>
        <v>0.43</v>
      </c>
      <c r="C6932" t="str">
        <f>"31"</f>
        <v>31</v>
      </c>
      <c r="D6932" t="str">
        <f>"Let's Jam 1 EP"</f>
        <v>Let's Jam 1 EP</v>
      </c>
    </row>
    <row r="6933" spans="1:4" x14ac:dyDescent="0.2">
      <c r="A6933" t="str">
        <f>"6932"</f>
        <v>6932</v>
      </c>
      <c r="B6933" t="str">
        <f>"0.09"</f>
        <v>0.09</v>
      </c>
      <c r="C6933" t="str">
        <f>"33"</f>
        <v>33</v>
      </c>
      <c r="D6933" t="str">
        <f>"Grievances"</f>
        <v>Grievances</v>
      </c>
    </row>
    <row r="6934" spans="1:4" x14ac:dyDescent="0.2">
      <c r="A6934" t="str">
        <f>"6933"</f>
        <v>6933</v>
      </c>
      <c r="B6934" t="str">
        <f>"0.71"</f>
        <v>0.71</v>
      </c>
      <c r="C6934" t="str">
        <f>"38"</f>
        <v>38</v>
      </c>
      <c r="D6934" t="str">
        <f>"VEGA INTL. Night School"</f>
        <v>VEGA INTL. Night School</v>
      </c>
    </row>
    <row r="6935" spans="1:4" x14ac:dyDescent="0.2">
      <c r="A6935" t="str">
        <f>"6934"</f>
        <v>6934</v>
      </c>
      <c r="B6935" t="str">
        <f>"0.8"</f>
        <v>0.8</v>
      </c>
      <c r="C6935" t="str">
        <f>"29"</f>
        <v>29</v>
      </c>
      <c r="D6935" t="str">
        <f>"BYLUG World"</f>
        <v>BYLUG World</v>
      </c>
    </row>
    <row r="6936" spans="1:4" x14ac:dyDescent="0.2">
      <c r="A6936" t="str">
        <f>"6935"</f>
        <v>6935</v>
      </c>
      <c r="B6936" t="str">
        <f>"0.2"</f>
        <v>0.2</v>
      </c>
      <c r="C6936" t="str">
        <f>"29"</f>
        <v>29</v>
      </c>
      <c r="D6936" t="str">
        <f>"so the flies don't come"</f>
        <v>so the flies don't come</v>
      </c>
    </row>
    <row r="6937" spans="1:4" x14ac:dyDescent="0.2">
      <c r="A6937" t="str">
        <f>"6936"</f>
        <v>6936</v>
      </c>
      <c r="B6937" t="str">
        <f>"0.04"</f>
        <v>0.04</v>
      </c>
      <c r="C6937" t="str">
        <f>"23"</f>
        <v>23</v>
      </c>
      <c r="D6937" t="str">
        <f>"St Germain"</f>
        <v>St Germain</v>
      </c>
    </row>
    <row r="6938" spans="1:4" x14ac:dyDescent="0.2">
      <c r="A6938" t="str">
        <f>"6937"</f>
        <v>6937</v>
      </c>
      <c r="B6938" t="str">
        <f>"-0.66"</f>
        <v>-0.66</v>
      </c>
      <c r="C6938" t="str">
        <f>"46"</f>
        <v>46</v>
      </c>
      <c r="D6938" t="str">
        <f>"Grief's Infernal Flower"</f>
        <v>Grief's Infernal Flower</v>
      </c>
    </row>
    <row r="6939" spans="1:4" x14ac:dyDescent="0.2">
      <c r="A6939" t="str">
        <f>"6938"</f>
        <v>6938</v>
      </c>
      <c r="B6939" t="str">
        <f>"-0.32"</f>
        <v>-0.32</v>
      </c>
      <c r="C6939" t="str">
        <f>"39"</f>
        <v>39</v>
      </c>
      <c r="D6939" t="str">
        <f>"Are You Alone?"</f>
        <v>Are You Alone?</v>
      </c>
    </row>
    <row r="6940" spans="1:4" x14ac:dyDescent="0.2">
      <c r="A6940" t="str">
        <f>"6939"</f>
        <v>6939</v>
      </c>
      <c r="B6940" t="str">
        <f>"-0.15"</f>
        <v>-0.15</v>
      </c>
      <c r="C6940" t="str">
        <f>"19"</f>
        <v>19</v>
      </c>
      <c r="D6940" t="str">
        <f>"Off That Loud EP"</f>
        <v>Off That Loud EP</v>
      </c>
    </row>
    <row r="6941" spans="1:4" x14ac:dyDescent="0.2">
      <c r="A6941" t="str">
        <f>"6940"</f>
        <v>6940</v>
      </c>
      <c r="B6941" t="str">
        <f>"0.03"</f>
        <v>0.03</v>
      </c>
      <c r="C6941" t="str">
        <f>"25"</f>
        <v>25</v>
      </c>
      <c r="D6941" t="str">
        <f>"All Odds End"</f>
        <v>All Odds End</v>
      </c>
    </row>
    <row r="6942" spans="1:4" x14ac:dyDescent="0.2">
      <c r="A6942" t="str">
        <f>"6941"</f>
        <v>6941</v>
      </c>
      <c r="B6942" t="str">
        <f>"0.42"</f>
        <v>0.42</v>
      </c>
      <c r="C6942" t="str">
        <f>"46"</f>
        <v>46</v>
      </c>
      <c r="D6942" t="str">
        <f>"Exercises in Futility"</f>
        <v>Exercises in Futility</v>
      </c>
    </row>
    <row r="6943" spans="1:4" x14ac:dyDescent="0.2">
      <c r="A6943" t="str">
        <f>"6942"</f>
        <v>6942</v>
      </c>
      <c r="B6943" t="str">
        <f>"-0.04"</f>
        <v>-0.04</v>
      </c>
      <c r="C6943" t="str">
        <f>"30"</f>
        <v>30</v>
      </c>
      <c r="D6943" t="str">
        <f>"Fading Frontier"</f>
        <v>Fading Frontier</v>
      </c>
    </row>
    <row r="6944" spans="1:4" x14ac:dyDescent="0.2">
      <c r="A6944" t="str">
        <f>"6943"</f>
        <v>6943</v>
      </c>
      <c r="B6944" t="str">
        <f>"0.77"</f>
        <v>0.77</v>
      </c>
      <c r="C6944" t="str">
        <f>"49"</f>
        <v>49</v>
      </c>
      <c r="D6944" t="str">
        <f>"It’s Great To Be Alive!"</f>
        <v>It’s Great To Be Alive!</v>
      </c>
    </row>
    <row r="6945" spans="1:4" x14ac:dyDescent="0.2">
      <c r="A6945" t="str">
        <f>"6944"</f>
        <v>6944</v>
      </c>
      <c r="B6945" t="str">
        <f>"-0.43"</f>
        <v>-0.43</v>
      </c>
      <c r="C6945" t="str">
        <f>"30"</f>
        <v>30</v>
      </c>
      <c r="D6945" t="str">
        <f>"Exhausting Fire"</f>
        <v>Exhausting Fire</v>
      </c>
    </row>
    <row r="6946" spans="1:4" x14ac:dyDescent="0.2">
      <c r="A6946" t="str">
        <f>"6945"</f>
        <v>6945</v>
      </c>
      <c r="B6946" t="str">
        <f>"0.9"</f>
        <v>0.9</v>
      </c>
      <c r="C6946" t="str">
        <f>"21"</f>
        <v>21</v>
      </c>
      <c r="D6946" t="str">
        <f>"Psychic Warfare"</f>
        <v>Psychic Warfare</v>
      </c>
    </row>
    <row r="6947" spans="1:4" x14ac:dyDescent="0.2">
      <c r="A6947" t="str">
        <f>"6946"</f>
        <v>6946</v>
      </c>
      <c r="B6947" t="str">
        <f>"-0.94"</f>
        <v>-0.94</v>
      </c>
      <c r="C6947" t="str">
        <f>"26"</f>
        <v>26</v>
      </c>
      <c r="D6947" t="str">
        <f>"Armz House EP"</f>
        <v>Armz House EP</v>
      </c>
    </row>
    <row r="6948" spans="1:4" x14ac:dyDescent="0.2">
      <c r="A6948" t="str">
        <f>"6947"</f>
        <v>6947</v>
      </c>
      <c r="B6948" t="str">
        <f>"0.09"</f>
        <v>0.09</v>
      </c>
      <c r="C6948" t="str">
        <f>"44"</f>
        <v>44</v>
      </c>
      <c r="D6948" t="str">
        <f>"Central Belters"</f>
        <v>Central Belters</v>
      </c>
    </row>
    <row r="6949" spans="1:4" x14ac:dyDescent="0.2">
      <c r="A6949" t="str">
        <f>"6948"</f>
        <v>6948</v>
      </c>
      <c r="B6949" t="str">
        <f>"0.03"</f>
        <v>0.03</v>
      </c>
      <c r="C6949" t="str">
        <f>"26"</f>
        <v>26</v>
      </c>
      <c r="D6949" t="str">
        <f>"Sore"</f>
        <v>Sore</v>
      </c>
    </row>
    <row r="6950" spans="1:4" x14ac:dyDescent="0.2">
      <c r="A6950" t="str">
        <f>"6949"</f>
        <v>6949</v>
      </c>
      <c r="B6950" t="str">
        <f>"-0.2"</f>
        <v>-0.2</v>
      </c>
      <c r="C6950" t="str">
        <f>"36"</f>
        <v>36</v>
      </c>
      <c r="D6950" t="str">
        <f>"Things That Grow"</f>
        <v>Things That Grow</v>
      </c>
    </row>
    <row r="6951" spans="1:4" x14ac:dyDescent="0.2">
      <c r="A6951" t="str">
        <f>"6950"</f>
        <v>6950</v>
      </c>
      <c r="B6951" t="str">
        <f>"0.3"</f>
        <v>0.3</v>
      </c>
      <c r="C6951" t="str">
        <f>"42"</f>
        <v>42</v>
      </c>
      <c r="D6951" t="str">
        <f>"Safe"</f>
        <v>Safe</v>
      </c>
    </row>
    <row r="6952" spans="1:4" x14ac:dyDescent="0.2">
      <c r="A6952" t="str">
        <f>"6951"</f>
        <v>6951</v>
      </c>
      <c r="B6952" t="str">
        <f>"-0.43"</f>
        <v>-0.43</v>
      </c>
      <c r="C6952" t="str">
        <f>"32"</f>
        <v>32</v>
      </c>
      <c r="D6952" t="str">
        <f>"Timeline"</f>
        <v>Timeline</v>
      </c>
    </row>
    <row r="6953" spans="1:4" x14ac:dyDescent="0.2">
      <c r="A6953" t="str">
        <f>"6952"</f>
        <v>6952</v>
      </c>
      <c r="B6953" t="str">
        <f>"0.42"</f>
        <v>0.42</v>
      </c>
      <c r="C6953" t="str">
        <f>"26"</f>
        <v>26</v>
      </c>
      <c r="D6953" t="str">
        <f>"Florasongs EP"</f>
        <v>Florasongs EP</v>
      </c>
    </row>
    <row r="6954" spans="1:4" x14ac:dyDescent="0.2">
      <c r="A6954" t="str">
        <f>"6953"</f>
        <v>6953</v>
      </c>
      <c r="B6954" t="str">
        <f>"-0.59"</f>
        <v>-0.59</v>
      </c>
      <c r="C6954" t="str">
        <f>"24"</f>
        <v>24</v>
      </c>
      <c r="D6954" t="str">
        <f>"GO:OD AM"</f>
        <v>GO:OD AM</v>
      </c>
    </row>
    <row r="6955" spans="1:4" x14ac:dyDescent="0.2">
      <c r="A6955" t="str">
        <f>"6954"</f>
        <v>6954</v>
      </c>
      <c r="B6955" t="str">
        <f>"-0.52"</f>
        <v>-0.52</v>
      </c>
      <c r="C6955" t="str">
        <f>"29"</f>
        <v>29</v>
      </c>
      <c r="D6955" t="str">
        <f>"Beach Music"</f>
        <v>Beach Music</v>
      </c>
    </row>
    <row r="6956" spans="1:4" x14ac:dyDescent="0.2">
      <c r="A6956" t="str">
        <f>"6955"</f>
        <v>6955</v>
      </c>
      <c r="B6956" t="str">
        <f>"1.38"</f>
        <v>1.38</v>
      </c>
      <c r="C6956" t="str">
        <f>"33"</f>
        <v>33</v>
      </c>
      <c r="D6956" t="str">
        <f>"Where All Is Fled"</f>
        <v>Where All Is Fled</v>
      </c>
    </row>
    <row r="6957" spans="1:4" x14ac:dyDescent="0.2">
      <c r="A6957" t="str">
        <f>"6956"</f>
        <v>6956</v>
      </c>
      <c r="B6957" t="str">
        <f>"0.95"</f>
        <v>0.95</v>
      </c>
      <c r="C6957" t="str">
        <f>"29"</f>
        <v>29</v>
      </c>
      <c r="D6957" t="str">
        <f>"Da Reality Show"</f>
        <v>Da Reality Show</v>
      </c>
    </row>
    <row r="6958" spans="1:4" x14ac:dyDescent="0.2">
      <c r="A6958" t="str">
        <f>"6957"</f>
        <v>6957</v>
      </c>
      <c r="B6958" t="str">
        <f>"-1"</f>
        <v>-1</v>
      </c>
      <c r="C6958" t="str">
        <f>"23"</f>
        <v>23</v>
      </c>
      <c r="D6958" t="str">
        <f>"Hallucinogen EP"</f>
        <v>Hallucinogen EP</v>
      </c>
    </row>
    <row r="6959" spans="1:4" x14ac:dyDescent="0.2">
      <c r="A6959" t="str">
        <f>"6958"</f>
        <v>6958</v>
      </c>
      <c r="B6959" t="str">
        <f>"-1.24"</f>
        <v>-1.24</v>
      </c>
      <c r="C6959" t="str">
        <f>"48"</f>
        <v>48</v>
      </c>
      <c r="D6959" t="str">
        <f>"The Agent Intellect"</f>
        <v>The Agent Intellect</v>
      </c>
    </row>
    <row r="6960" spans="1:4" x14ac:dyDescent="0.2">
      <c r="A6960" t="str">
        <f>"6959"</f>
        <v>6959</v>
      </c>
      <c r="B6960" t="str">
        <f>"-0.9"</f>
        <v>-0.9</v>
      </c>
      <c r="C6960" t="str">
        <f>"30"</f>
        <v>30</v>
      </c>
      <c r="D6960" t="str">
        <f>"Stretch Music"</f>
        <v>Stretch Music</v>
      </c>
    </row>
    <row r="6961" spans="1:4" x14ac:dyDescent="0.2">
      <c r="A6961" t="str">
        <f>"6960"</f>
        <v>6960</v>
      </c>
      <c r="B6961" t="str">
        <f>"-0.05"</f>
        <v>-0.05</v>
      </c>
      <c r="C6961" t="str">
        <f>"28"</f>
        <v>28</v>
      </c>
      <c r="D6961" t="str">
        <f>"Why Choose"</f>
        <v>Why Choose</v>
      </c>
    </row>
    <row r="6962" spans="1:4" x14ac:dyDescent="0.2">
      <c r="A6962" t="str">
        <f>"6961"</f>
        <v>6961</v>
      </c>
      <c r="B6962" t="str">
        <f>"-0.19"</f>
        <v>-0.19</v>
      </c>
      <c r="C6962" t="str">
        <f>"23"</f>
        <v>23</v>
      </c>
      <c r="D6962" t="str">
        <f>"The Loud Silence"</f>
        <v>The Loud Silence</v>
      </c>
    </row>
    <row r="6963" spans="1:4" x14ac:dyDescent="0.2">
      <c r="A6963" t="str">
        <f>"6962"</f>
        <v>6962</v>
      </c>
      <c r="B6963" t="str">
        <f>"0.58"</f>
        <v>0.58</v>
      </c>
      <c r="C6963" t="str">
        <f>"36"</f>
        <v>36</v>
      </c>
      <c r="D6963" t="str">
        <f>"Unbreakable"</f>
        <v>Unbreakable</v>
      </c>
    </row>
    <row r="6964" spans="1:4" x14ac:dyDescent="0.2">
      <c r="A6964" t="str">
        <f>"6963"</f>
        <v>6963</v>
      </c>
      <c r="B6964" t="str">
        <f>"-0.91"</f>
        <v>-0.91</v>
      </c>
      <c r="C6964" t="str">
        <f>"22"</f>
        <v>22</v>
      </c>
      <c r="D6964" t="str">
        <f>"Zipper Down"</f>
        <v>Zipper Down</v>
      </c>
    </row>
    <row r="6965" spans="1:4" x14ac:dyDescent="0.2">
      <c r="A6965" t="str">
        <f>"6964"</f>
        <v>6964</v>
      </c>
      <c r="B6965" t="str">
        <f>"0.95"</f>
        <v>0.95</v>
      </c>
      <c r="C6965" t="str">
        <f>"33"</f>
        <v>33</v>
      </c>
      <c r="D6965" t="str">
        <f>"Tug of War"</f>
        <v>Tug of War</v>
      </c>
    </row>
    <row r="6966" spans="1:4" x14ac:dyDescent="0.2">
      <c r="A6966" t="str">
        <f>"6965"</f>
        <v>6965</v>
      </c>
      <c r="B6966" t="str">
        <f>"0.98"</f>
        <v>0.98</v>
      </c>
      <c r="C6966" t="str">
        <f>"29"</f>
        <v>29</v>
      </c>
      <c r="D6966" t="str">
        <f>"Taking Flight EP"</f>
        <v>Taking Flight EP</v>
      </c>
    </row>
    <row r="6967" spans="1:4" x14ac:dyDescent="0.2">
      <c r="A6967" t="str">
        <f>"6966"</f>
        <v>6966</v>
      </c>
      <c r="B6967" t="str">
        <f>"0.2"</f>
        <v>0.2</v>
      </c>
      <c r="C6967" t="str">
        <f>"31"</f>
        <v>31</v>
      </c>
      <c r="D6967" t="str">
        <f>"No No"</f>
        <v>No No</v>
      </c>
    </row>
    <row r="6968" spans="1:4" x14ac:dyDescent="0.2">
      <c r="A6968" t="str">
        <f>"6967"</f>
        <v>6967</v>
      </c>
      <c r="B6968" t="str">
        <f>"-0.39"</f>
        <v>-0.39</v>
      </c>
      <c r="C6968" t="str">
        <f>"33"</f>
        <v>33</v>
      </c>
      <c r="D6968" t="str">
        <f>"V"</f>
        <v>V</v>
      </c>
    </row>
    <row r="6969" spans="1:4" x14ac:dyDescent="0.2">
      <c r="A6969" t="str">
        <f>"6968"</f>
        <v>6968</v>
      </c>
      <c r="B6969" t="str">
        <f>"0.05"</f>
        <v>0.05</v>
      </c>
      <c r="C6969" t="str">
        <f>"33"</f>
        <v>33</v>
      </c>
      <c r="D6969" t="str">
        <f>"Age of Transparency"</f>
        <v>Age of Transparency</v>
      </c>
    </row>
    <row r="6970" spans="1:4" x14ac:dyDescent="0.2">
      <c r="A6970" t="str">
        <f>"6969"</f>
        <v>6969</v>
      </c>
      <c r="B6970" t="str">
        <f>"-0.55"</f>
        <v>-0.55</v>
      </c>
      <c r="C6970" t="str">
        <f>"30"</f>
        <v>30</v>
      </c>
      <c r="D6970" t="str">
        <f>"Holding Hands With Jamie"</f>
        <v>Holding Hands With Jamie</v>
      </c>
    </row>
    <row r="6971" spans="1:4" x14ac:dyDescent="0.2">
      <c r="A6971" t="str">
        <f>"6970"</f>
        <v>6970</v>
      </c>
      <c r="B6971" t="str">
        <f>"-1.24"</f>
        <v>-1.24</v>
      </c>
      <c r="C6971" t="str">
        <f>"26"</f>
        <v>26</v>
      </c>
      <c r="D6971" t="str">
        <f>"Natural Born Losers"</f>
        <v>Natural Born Losers</v>
      </c>
    </row>
    <row r="6972" spans="1:4" x14ac:dyDescent="0.2">
      <c r="A6972" t="str">
        <f>"6971"</f>
        <v>6971</v>
      </c>
      <c r="B6972" t="str">
        <f>"0.13"</f>
        <v>0.13</v>
      </c>
      <c r="C6972" t="str">
        <f>"19"</f>
        <v>19</v>
      </c>
      <c r="D6972" t="str">
        <f>"I Need New Eyes"</f>
        <v>I Need New Eyes</v>
      </c>
    </row>
    <row r="6973" spans="1:4" x14ac:dyDescent="0.2">
      <c r="A6973" t="str">
        <f>"6972"</f>
        <v>6972</v>
      </c>
      <c r="B6973" t="str">
        <f>"0.47"</f>
        <v>0.47</v>
      </c>
      <c r="C6973" t="str">
        <f>"42"</f>
        <v>42</v>
      </c>
      <c r="D6973" t="str">
        <f>"Meow The Jewels"</f>
        <v>Meow The Jewels</v>
      </c>
    </row>
    <row r="6974" spans="1:4" x14ac:dyDescent="0.2">
      <c r="A6974" t="str">
        <f>"6973"</f>
        <v>6973</v>
      </c>
      <c r="B6974" t="str">
        <f>"0.54"</f>
        <v>0.54</v>
      </c>
      <c r="C6974" t="str">
        <f>"30"</f>
        <v>30</v>
      </c>
      <c r="D6974" t="str">
        <f>"La Di Da Di"</f>
        <v>La Di Da Di</v>
      </c>
    </row>
    <row r="6975" spans="1:4" x14ac:dyDescent="0.2">
      <c r="A6975" t="str">
        <f>"6974"</f>
        <v>6974</v>
      </c>
      <c r="B6975" t="str">
        <f>"0.7"</f>
        <v>0.7</v>
      </c>
      <c r="C6975" t="str">
        <f>"43"</f>
        <v>43</v>
      </c>
      <c r="D6975" t="str">
        <f>"Hamilton: Original Broadway Cast Recording"</f>
        <v>Hamilton: Original Broadway Cast Recording</v>
      </c>
    </row>
    <row r="6976" spans="1:4" x14ac:dyDescent="0.2">
      <c r="A6976" t="str">
        <f>"6975"</f>
        <v>6975</v>
      </c>
      <c r="B6976" t="str">
        <f>"-0.74"</f>
        <v>-0.74</v>
      </c>
      <c r="C6976" t="str">
        <f>"39"</f>
        <v>39</v>
      </c>
      <c r="D6976" t="str">
        <f>"Women’s Rights"</f>
        <v>Women’s Rights</v>
      </c>
    </row>
    <row r="6977" spans="1:4" x14ac:dyDescent="0.2">
      <c r="A6977" t="str">
        <f>"6976"</f>
        <v>6976</v>
      </c>
      <c r="B6977" t="str">
        <f>"0.97"</f>
        <v>0.97</v>
      </c>
      <c r="C6977" t="str">
        <f>"33"</f>
        <v>33</v>
      </c>
      <c r="D6977" t="str">
        <f>"Outfit Of The Day"</f>
        <v>Outfit Of The Day</v>
      </c>
    </row>
    <row r="6978" spans="1:4" x14ac:dyDescent="0.2">
      <c r="A6978" t="str">
        <f>"6977"</f>
        <v>6977</v>
      </c>
      <c r="B6978" t="str">
        <f>"0.31"</f>
        <v>0.31</v>
      </c>
      <c r="C6978" t="str">
        <f>"40"</f>
        <v>40</v>
      </c>
      <c r="D6978" t="str">
        <f>"New Bermuda"</f>
        <v>New Bermuda</v>
      </c>
    </row>
    <row r="6979" spans="1:4" x14ac:dyDescent="0.2">
      <c r="A6979" t="str">
        <f>"6978"</f>
        <v>6978</v>
      </c>
      <c r="B6979" t="str">
        <f>"-0.24"</f>
        <v>-0.24</v>
      </c>
      <c r="C6979" t="str">
        <f>"29"</f>
        <v>29</v>
      </c>
      <c r="D6979" t="str">
        <f>"Big Grams"</f>
        <v>Big Grams</v>
      </c>
    </row>
    <row r="6980" spans="1:4" x14ac:dyDescent="0.2">
      <c r="A6980" t="str">
        <f>"6979"</f>
        <v>6979</v>
      </c>
      <c r="B6980" t="str">
        <f>"0.11"</f>
        <v>0.11</v>
      </c>
      <c r="C6980" t="str">
        <f>"64"</f>
        <v>64</v>
      </c>
      <c r="D6980" t="str">
        <f>"Five Years 1969-1973"</f>
        <v>Five Years 1969-1973</v>
      </c>
    </row>
    <row r="6981" spans="1:4" x14ac:dyDescent="0.2">
      <c r="A6981" t="str">
        <f>"6980"</f>
        <v>6980</v>
      </c>
      <c r="B6981" t="str">
        <f>"0.64"</f>
        <v>0.64</v>
      </c>
      <c r="C6981" t="str">
        <f>"31"</f>
        <v>31</v>
      </c>
      <c r="D6981" t="str">
        <f>"90059"</f>
        <v>90059</v>
      </c>
    </row>
    <row r="6982" spans="1:4" x14ac:dyDescent="0.2">
      <c r="A6982" t="str">
        <f>"6981"</f>
        <v>6981</v>
      </c>
      <c r="B6982" t="str">
        <f>"0.08"</f>
        <v>0.08</v>
      </c>
      <c r="C6982" t="str">
        <f>"25"</f>
        <v>25</v>
      </c>
      <c r="D6982" t="str">
        <f>"The Light In You"</f>
        <v>The Light In You</v>
      </c>
    </row>
    <row r="6983" spans="1:4" x14ac:dyDescent="0.2">
      <c r="A6983" t="str">
        <f>"6982"</f>
        <v>6982</v>
      </c>
      <c r="B6983" t="str">
        <f>"0.72"</f>
        <v>0.72</v>
      </c>
      <c r="C6983" t="str">
        <f>"42"</f>
        <v>42</v>
      </c>
      <c r="D6983" t="str">
        <f>"Fetty Wap"</f>
        <v>Fetty Wap</v>
      </c>
    </row>
    <row r="6984" spans="1:4" x14ac:dyDescent="0.2">
      <c r="A6984" t="str">
        <f>"6983"</f>
        <v>6983</v>
      </c>
      <c r="B6984" t="str">
        <f>"-1.01"</f>
        <v>-1.01</v>
      </c>
      <c r="C6984" t="str">
        <f>"36"</f>
        <v>36</v>
      </c>
      <c r="D6984" t="str">
        <f>"A Curious Tale of Trials + Persons"</f>
        <v>A Curious Tale of Trials + Persons</v>
      </c>
    </row>
    <row r="6985" spans="1:4" x14ac:dyDescent="0.2">
      <c r="A6985" t="str">
        <f>"6984"</f>
        <v>6984</v>
      </c>
      <c r="B6985" t="str">
        <f>"0.61"</f>
        <v>0.61</v>
      </c>
      <c r="C6985" t="str">
        <f>"21"</f>
        <v>21</v>
      </c>
      <c r="D6985" t="str">
        <f>"Collapse"</f>
        <v>Collapse</v>
      </c>
    </row>
    <row r="6986" spans="1:4" x14ac:dyDescent="0.2">
      <c r="A6986" t="str">
        <f>"6985"</f>
        <v>6985</v>
      </c>
      <c r="B6986" t="str">
        <f>"0.19"</f>
        <v>0.19</v>
      </c>
      <c r="C6986" t="str">
        <f>"30"</f>
        <v>30</v>
      </c>
      <c r="D6986" t="str">
        <f>"Innocence &amp; Decadence"</f>
        <v>Innocence &amp; Decadence</v>
      </c>
    </row>
    <row r="6987" spans="1:4" x14ac:dyDescent="0.2">
      <c r="A6987" t="str">
        <f>"6986"</f>
        <v>6986</v>
      </c>
      <c r="B6987" t="str">
        <f>"-0.63"</f>
        <v>-0.63</v>
      </c>
      <c r="C6987" t="str">
        <f>"36"</f>
        <v>36</v>
      </c>
      <c r="D6987" t="str">
        <f>"After"</f>
        <v>After</v>
      </c>
    </row>
    <row r="6988" spans="1:4" x14ac:dyDescent="0.2">
      <c r="A6988" t="str">
        <f>"6987"</f>
        <v>6987</v>
      </c>
      <c r="B6988" t="str">
        <f>"-1.33"</f>
        <v>-1.33</v>
      </c>
      <c r="C6988" t="str">
        <f>"22"</f>
        <v>22</v>
      </c>
      <c r="D6988" t="str">
        <f>"Dodge and Burn"</f>
        <v>Dodge and Burn</v>
      </c>
    </row>
    <row r="6989" spans="1:4" x14ac:dyDescent="0.2">
      <c r="A6989" t="str">
        <f>"6988"</f>
        <v>6988</v>
      </c>
      <c r="B6989" t="str">
        <f>"-1.1"</f>
        <v>-1.1</v>
      </c>
      <c r="C6989" t="str">
        <f>"25"</f>
        <v>25</v>
      </c>
      <c r="D6989" t="str">
        <f>"Rub"</f>
        <v>Rub</v>
      </c>
    </row>
    <row r="6990" spans="1:4" x14ac:dyDescent="0.2">
      <c r="A6990" t="str">
        <f>"6989"</f>
        <v>6989</v>
      </c>
      <c r="B6990" t="str">
        <f>"-0.34"</f>
        <v>-0.34</v>
      </c>
      <c r="C6990" t="str">
        <f>"14"</f>
        <v>14</v>
      </c>
      <c r="D6990" t="str">
        <f>"1000 Days"</f>
        <v>1000 Days</v>
      </c>
    </row>
    <row r="6991" spans="1:4" x14ac:dyDescent="0.2">
      <c r="A6991" t="str">
        <f>"6990"</f>
        <v>6990</v>
      </c>
      <c r="B6991" t="str">
        <f>"-1.24"</f>
        <v>-1.24</v>
      </c>
      <c r="C6991" t="str">
        <f>"33"</f>
        <v>33</v>
      </c>
      <c r="D6991" t="str">
        <f>"A Gathering Together"</f>
        <v>A Gathering Together</v>
      </c>
    </row>
    <row r="6992" spans="1:4" x14ac:dyDescent="0.2">
      <c r="A6992" t="str">
        <f>"6991"</f>
        <v>6991</v>
      </c>
      <c r="B6992" t="str">
        <f>"-0.59"</f>
        <v>-0.59</v>
      </c>
      <c r="C6992" t="str">
        <f>"23"</f>
        <v>23</v>
      </c>
      <c r="D6992" t="str">
        <f>"Unremembered"</f>
        <v>Unremembered</v>
      </c>
    </row>
    <row r="6993" spans="1:4" x14ac:dyDescent="0.2">
      <c r="A6993" t="str">
        <f>"6992"</f>
        <v>6992</v>
      </c>
      <c r="B6993" t="str">
        <f>"0.14"</f>
        <v>0.14</v>
      </c>
      <c r="C6993" t="str">
        <f>"28"</f>
        <v>28</v>
      </c>
      <c r="D6993" t="str">
        <f>"Every Open Eye"</f>
        <v>Every Open Eye</v>
      </c>
    </row>
    <row r="6994" spans="1:4" x14ac:dyDescent="0.2">
      <c r="A6994" t="str">
        <f>"6993"</f>
        <v>6993</v>
      </c>
      <c r="B6994" t="str">
        <f>"-0.21"</f>
        <v>-0.21</v>
      </c>
      <c r="C6994" t="str">
        <f>"29"</f>
        <v>29</v>
      </c>
      <c r="D6994" t="str">
        <f>"Live &amp; Grow"</f>
        <v>Live &amp; Grow</v>
      </c>
    </row>
    <row r="6995" spans="1:4" x14ac:dyDescent="0.2">
      <c r="A6995" t="str">
        <f>"6994"</f>
        <v>6994</v>
      </c>
      <c r="B6995" t="str">
        <f>"0.48"</f>
        <v>0.48</v>
      </c>
      <c r="C6995" t="str">
        <f>"35"</f>
        <v>35</v>
      </c>
      <c r="D6995" t="str">
        <f>"Harmlessness"</f>
        <v>Harmlessness</v>
      </c>
    </row>
    <row r="6996" spans="1:4" x14ac:dyDescent="0.2">
      <c r="A6996" t="str">
        <f>"6995"</f>
        <v>6995</v>
      </c>
      <c r="B6996" t="str">
        <f>"0.18"</f>
        <v>0.18</v>
      </c>
      <c r="C6996" t="str">
        <f>"26"</f>
        <v>26</v>
      </c>
      <c r="D6996" t="str">
        <f>"Blurse"</f>
        <v>Blurse</v>
      </c>
    </row>
    <row r="6997" spans="1:4" x14ac:dyDescent="0.2">
      <c r="A6997" t="str">
        <f>"6996"</f>
        <v>6996</v>
      </c>
      <c r="B6997" t="str">
        <f>"1.48"</f>
        <v>1.48</v>
      </c>
      <c r="C6997" t="str">
        <f>"23"</f>
        <v>23</v>
      </c>
      <c r="D6997" t="str">
        <f>"The Anderson .Paak EP"</f>
        <v>The Anderson .Paak EP</v>
      </c>
    </row>
    <row r="6998" spans="1:4" x14ac:dyDescent="0.2">
      <c r="A6998" t="str">
        <f>"6997"</f>
        <v>6997</v>
      </c>
      <c r="B6998" t="str">
        <f>"0.32"</f>
        <v>0.32</v>
      </c>
      <c r="C6998" t="str">
        <f>"43"</f>
        <v>43</v>
      </c>
      <c r="D6998" t="str">
        <f>"Caracal"</f>
        <v>Caracal</v>
      </c>
    </row>
    <row r="6999" spans="1:4" x14ac:dyDescent="0.2">
      <c r="A6999" t="str">
        <f>"6998"</f>
        <v>6998</v>
      </c>
      <c r="B6999" t="str">
        <f>"0.97"</f>
        <v>0.97</v>
      </c>
      <c r="C6999" t="str">
        <f>"41"</f>
        <v>41</v>
      </c>
      <c r="D6999" t="str">
        <f>"1989"</f>
        <v>1989</v>
      </c>
    </row>
    <row r="7000" spans="1:4" x14ac:dyDescent="0.2">
      <c r="A7000" t="str">
        <f>"6999"</f>
        <v>6999</v>
      </c>
      <c r="B7000" t="str">
        <f>"1.02"</f>
        <v>1.02</v>
      </c>
      <c r="C7000" t="str">
        <f>"28"</f>
        <v>28</v>
      </c>
      <c r="D7000" t="str">
        <f>"Utakata no Hibi"</f>
        <v>Utakata no Hibi</v>
      </c>
    </row>
    <row r="7001" spans="1:4" x14ac:dyDescent="0.2">
      <c r="A7001" t="str">
        <f>"7000"</f>
        <v>7000</v>
      </c>
      <c r="B7001" t="str">
        <f>"-0.7"</f>
        <v>-0.7</v>
      </c>
      <c r="C7001" t="str">
        <f>"37"</f>
        <v>37</v>
      </c>
      <c r="D7001" t="str">
        <f>"Evermore: The Art of Duality"</f>
        <v>Evermore: The Art of Duality</v>
      </c>
    </row>
    <row r="7002" spans="1:4" x14ac:dyDescent="0.2">
      <c r="A7002" t="str">
        <f>"7001"</f>
        <v>7001</v>
      </c>
      <c r="B7002" t="str">
        <f>"0.11"</f>
        <v>0.11</v>
      </c>
      <c r="C7002" t="str">
        <f>"25"</f>
        <v>25</v>
      </c>
      <c r="D7002" t="str">
        <f>"100% Juice"</f>
        <v>100% Juice</v>
      </c>
    </row>
    <row r="7003" spans="1:4" x14ac:dyDescent="0.2">
      <c r="A7003" t="str">
        <f>"7002"</f>
        <v>7002</v>
      </c>
      <c r="B7003" t="str">
        <f>"0.15"</f>
        <v>0.15</v>
      </c>
      <c r="C7003" t="str">
        <f>"45"</f>
        <v>45</v>
      </c>
      <c r="D7003" t="str">
        <f>"Slime Season"</f>
        <v>Slime Season</v>
      </c>
    </row>
    <row r="7004" spans="1:4" x14ac:dyDescent="0.2">
      <c r="A7004" t="str">
        <f>"7003"</f>
        <v>7003</v>
      </c>
      <c r="B7004" t="str">
        <f>"-0.43"</f>
        <v>-0.43</v>
      </c>
      <c r="C7004" t="str">
        <f>"24"</f>
        <v>24</v>
      </c>
      <c r="D7004" t="str">
        <f>"Da' Nic EP"</f>
        <v>Da' Nic EP</v>
      </c>
    </row>
    <row r="7005" spans="1:4" x14ac:dyDescent="0.2">
      <c r="A7005" t="str">
        <f>"7004"</f>
        <v>7004</v>
      </c>
      <c r="B7005" t="str">
        <f>"-1.45"</f>
        <v>-1.45</v>
      </c>
      <c r="C7005" t="str">
        <f>"30"</f>
        <v>30</v>
      </c>
      <c r="D7005" t="str">
        <f>"Everything Dies"</f>
        <v>Everything Dies</v>
      </c>
    </row>
    <row r="7006" spans="1:4" x14ac:dyDescent="0.2">
      <c r="A7006" t="str">
        <f>"7005"</f>
        <v>7005</v>
      </c>
      <c r="B7006" t="str">
        <f>"-0.04"</f>
        <v>-0.04</v>
      </c>
      <c r="C7006" t="str">
        <f>"22"</f>
        <v>22</v>
      </c>
      <c r="D7006" t="str">
        <f>"Samantha"</f>
        <v>Samantha</v>
      </c>
    </row>
    <row r="7007" spans="1:4" x14ac:dyDescent="0.2">
      <c r="A7007" t="str">
        <f>"7006"</f>
        <v>7006</v>
      </c>
      <c r="B7007" t="str">
        <f>"0.1"</f>
        <v>0.1</v>
      </c>
      <c r="C7007" t="str">
        <f>"24"</f>
        <v>24</v>
      </c>
      <c r="D7007" t="str">
        <f>"Good Sad Happy Bad"</f>
        <v>Good Sad Happy Bad</v>
      </c>
    </row>
    <row r="7008" spans="1:4" x14ac:dyDescent="0.2">
      <c r="A7008" t="str">
        <f>"7007"</f>
        <v>7007</v>
      </c>
      <c r="B7008" t="str">
        <f>"0.01"</f>
        <v>0.01</v>
      </c>
      <c r="C7008" t="str">
        <f>"30"</f>
        <v>30</v>
      </c>
      <c r="D7008" t="str">
        <f>"What a Time to Be Alive"</f>
        <v>What a Time to Be Alive</v>
      </c>
    </row>
    <row r="7009" spans="1:4" x14ac:dyDescent="0.2">
      <c r="A7009" t="str">
        <f>"7008"</f>
        <v>7008</v>
      </c>
      <c r="B7009" t="str">
        <f>"-0.82"</f>
        <v>-0.82</v>
      </c>
      <c r="C7009" t="str">
        <f>"35"</f>
        <v>35</v>
      </c>
      <c r="D7009" t="str">
        <f>"Half Free"</f>
        <v>Half Free</v>
      </c>
    </row>
    <row r="7010" spans="1:4" x14ac:dyDescent="0.2">
      <c r="A7010" t="str">
        <f>"7009"</f>
        <v>7009</v>
      </c>
      <c r="B7010" t="str">
        <f>"-0.67"</f>
        <v>-0.67</v>
      </c>
      <c r="C7010" t="str">
        <f>"17"</f>
        <v>17</v>
      </c>
      <c r="D7010" t="str">
        <f>"Edition 1"</f>
        <v>Edition 1</v>
      </c>
    </row>
    <row r="7011" spans="1:4" x14ac:dyDescent="0.2">
      <c r="A7011" t="str">
        <f>"7010"</f>
        <v>7010</v>
      </c>
      <c r="B7011" t="str">
        <f>"-0.11"</f>
        <v>-0.11</v>
      </c>
      <c r="C7011" t="str">
        <f>"48"</f>
        <v>48</v>
      </c>
      <c r="D7011" t="str">
        <f>"Jawbox"</f>
        <v>Jawbox</v>
      </c>
    </row>
    <row r="7012" spans="1:4" x14ac:dyDescent="0.2">
      <c r="A7012" t="str">
        <f>"7011"</f>
        <v>7011</v>
      </c>
      <c r="B7012" t="str">
        <f>"-0.9"</f>
        <v>-0.9</v>
      </c>
      <c r="C7012" t="str">
        <f>"33"</f>
        <v>33</v>
      </c>
      <c r="D7012" t="str">
        <f>"Negative Feedback Resistor"</f>
        <v>Negative Feedback Resistor</v>
      </c>
    </row>
    <row r="7013" spans="1:4" x14ac:dyDescent="0.2">
      <c r="A7013" t="str">
        <f>"7012"</f>
        <v>7012</v>
      </c>
      <c r="B7013" t="str">
        <f>"-0.4"</f>
        <v>-0.4</v>
      </c>
      <c r="C7013" t="str">
        <f>"47"</f>
        <v>47</v>
      </c>
      <c r="D7013" t="str">
        <f>"b’lieve i’m goin down"</f>
        <v>b’lieve i’m goin down</v>
      </c>
    </row>
    <row r="7014" spans="1:4" x14ac:dyDescent="0.2">
      <c r="A7014" t="str">
        <f>"7013"</f>
        <v>7013</v>
      </c>
      <c r="B7014" t="str">
        <f>"0.96"</f>
        <v>0.96</v>
      </c>
      <c r="C7014" t="str">
        <f>"36"</f>
        <v>36</v>
      </c>
      <c r="D7014" t="str">
        <f>"Music Complete"</f>
        <v>Music Complete</v>
      </c>
    </row>
    <row r="7015" spans="1:4" x14ac:dyDescent="0.2">
      <c r="A7015" t="str">
        <f>"7014"</f>
        <v>7014</v>
      </c>
      <c r="B7015" t="str">
        <f>"1.15"</f>
        <v>1.15</v>
      </c>
      <c r="C7015" t="str">
        <f>"41"</f>
        <v>41</v>
      </c>
      <c r="D7015" t="str">
        <f>"Allas Sak"</f>
        <v>Allas Sak</v>
      </c>
    </row>
    <row r="7016" spans="1:4" x14ac:dyDescent="0.2">
      <c r="A7016" t="str">
        <f>"7015"</f>
        <v>7015</v>
      </c>
      <c r="B7016" t="str">
        <f>"-0.01"</f>
        <v>-0.01</v>
      </c>
      <c r="C7016" t="str">
        <f>"41"</f>
        <v>41</v>
      </c>
      <c r="D7016" t="str">
        <f>"Inevitable"</f>
        <v>Inevitable</v>
      </c>
    </row>
    <row r="7017" spans="1:4" x14ac:dyDescent="0.2">
      <c r="A7017" t="str">
        <f>"7016"</f>
        <v>7016</v>
      </c>
      <c r="B7017" t="str">
        <f>"1.13"</f>
        <v>1.13</v>
      </c>
      <c r="C7017" t="str">
        <f>"18"</f>
        <v>18</v>
      </c>
      <c r="D7017" t="s">
        <v>244</v>
      </c>
    </row>
    <row r="7018" spans="1:4" x14ac:dyDescent="0.2">
      <c r="A7018" t="str">
        <f>"7017"</f>
        <v>7017</v>
      </c>
      <c r="B7018" t="str">
        <f>"-0.23"</f>
        <v>-0.23</v>
      </c>
      <c r="C7018" t="str">
        <f>"47"</f>
        <v>47</v>
      </c>
      <c r="D7018" t="str">
        <f>"Honeymoon"</f>
        <v>Honeymoon</v>
      </c>
    </row>
    <row r="7019" spans="1:4" x14ac:dyDescent="0.2">
      <c r="A7019" t="str">
        <f>"7018"</f>
        <v>7018</v>
      </c>
      <c r="B7019" t="str">
        <f>"0.69"</f>
        <v>0.69</v>
      </c>
      <c r="C7019" t="str">
        <f>"17"</f>
        <v>17</v>
      </c>
      <c r="D7019" t="s">
        <v>245</v>
      </c>
    </row>
    <row r="7020" spans="1:4" x14ac:dyDescent="0.2">
      <c r="A7020" t="str">
        <f>"7019"</f>
        <v>7019</v>
      </c>
      <c r="B7020" t="str">
        <f>"0.92"</f>
        <v>0.92</v>
      </c>
      <c r="C7020" t="str">
        <f>"63"</f>
        <v>63</v>
      </c>
      <c r="D7020" t="str">
        <f>"Sleep"</f>
        <v>Sleep</v>
      </c>
    </row>
    <row r="7021" spans="1:4" x14ac:dyDescent="0.2">
      <c r="A7021" t="str">
        <f>"7020"</f>
        <v>7020</v>
      </c>
      <c r="B7021" t="str">
        <f>"0.73"</f>
        <v>0.73</v>
      </c>
      <c r="C7021" t="str">
        <f>"26"</f>
        <v>26</v>
      </c>
      <c r="D7021" t="str">
        <f>"Wasted Days"</f>
        <v>Wasted Days</v>
      </c>
    </row>
    <row r="7022" spans="1:4" x14ac:dyDescent="0.2">
      <c r="A7022" t="str">
        <f>"7021"</f>
        <v>7021</v>
      </c>
      <c r="B7022" t="str">
        <f>"0.08"</f>
        <v>0.08</v>
      </c>
      <c r="C7022" t="str">
        <f>"27"</f>
        <v>27</v>
      </c>
      <c r="D7022" t="str">
        <f>"Thirst Trap EP"</f>
        <v>Thirst Trap EP</v>
      </c>
    </row>
    <row r="7023" spans="1:4" x14ac:dyDescent="0.2">
      <c r="A7023" t="str">
        <f>"7022"</f>
        <v>7022</v>
      </c>
      <c r="B7023" t="str">
        <f>"0.46"</f>
        <v>0.46</v>
      </c>
      <c r="C7023" t="str">
        <f>"31"</f>
        <v>31</v>
      </c>
      <c r="D7023" t="str">
        <f>"Have You In My Wilderness"</f>
        <v>Have You In My Wilderness</v>
      </c>
    </row>
    <row r="7024" spans="1:4" x14ac:dyDescent="0.2">
      <c r="A7024" t="str">
        <f>"7023"</f>
        <v>7023</v>
      </c>
      <c r="B7024" t="str">
        <f>"-0.99"</f>
        <v>-0.99</v>
      </c>
      <c r="C7024" t="str">
        <f>"30"</f>
        <v>30</v>
      </c>
      <c r="D7024" t="str">
        <f>"Mykki Blanco Presents C-ORE"</f>
        <v>Mykki Blanco Presents C-ORE</v>
      </c>
    </row>
    <row r="7025" spans="1:4" x14ac:dyDescent="0.2">
      <c r="A7025" t="str">
        <f>"7024"</f>
        <v>7024</v>
      </c>
      <c r="B7025" t="str">
        <f>"0.04"</f>
        <v>0.04</v>
      </c>
      <c r="C7025" t="str">
        <f>"44"</f>
        <v>44</v>
      </c>
      <c r="D7025" t="str">
        <f>"Four Pink Walls EP"</f>
        <v>Four Pink Walls EP</v>
      </c>
    </row>
    <row r="7026" spans="1:4" x14ac:dyDescent="0.2">
      <c r="A7026" t="str">
        <f>"7025"</f>
        <v>7025</v>
      </c>
      <c r="B7026" t="str">
        <f>"-0.34"</f>
        <v>-0.34</v>
      </c>
      <c r="C7026" t="str">
        <f>"27"</f>
        <v>27</v>
      </c>
      <c r="D7026" t="str">
        <f>"Acne/Ears"</f>
        <v>Acne/Ears</v>
      </c>
    </row>
    <row r="7027" spans="1:4" x14ac:dyDescent="0.2">
      <c r="A7027" t="str">
        <f>"7026"</f>
        <v>7026</v>
      </c>
      <c r="B7027" t="str">
        <f>"0.03"</f>
        <v>0.03</v>
      </c>
      <c r="C7027" t="str">
        <f>"19"</f>
        <v>19</v>
      </c>
      <c r="D7027" t="str">
        <f>"Positive Energy"</f>
        <v>Positive Energy</v>
      </c>
    </row>
    <row r="7028" spans="1:4" x14ac:dyDescent="0.2">
      <c r="A7028" t="str">
        <f>"7027"</f>
        <v>7027</v>
      </c>
      <c r="B7028" t="str">
        <f>"-0.88"</f>
        <v>-0.88</v>
      </c>
      <c r="C7028" t="str">
        <f>"28"</f>
        <v>28</v>
      </c>
      <c r="D7028" t="str">
        <f>"Savage Hills Ballroom"</f>
        <v>Savage Hills Ballroom</v>
      </c>
    </row>
    <row r="7029" spans="1:4" x14ac:dyDescent="0.2">
      <c r="A7029" t="str">
        <f>"7028"</f>
        <v>7028</v>
      </c>
      <c r="B7029" t="str">
        <f>"1.02"</f>
        <v>1.02</v>
      </c>
      <c r="C7029" t="str">
        <f>"35"</f>
        <v>35</v>
      </c>
      <c r="D7029" t="s">
        <v>246</v>
      </c>
    </row>
    <row r="7030" spans="1:4" x14ac:dyDescent="0.2">
      <c r="A7030" t="str">
        <f>"7029"</f>
        <v>7029</v>
      </c>
      <c r="B7030" t="str">
        <f>"0.04"</f>
        <v>0.04</v>
      </c>
      <c r="C7030" t="str">
        <f>"24"</f>
        <v>24</v>
      </c>
      <c r="D7030" t="str">
        <f>"The Emissary"</f>
        <v>The Emissary</v>
      </c>
    </row>
    <row r="7031" spans="1:4" x14ac:dyDescent="0.2">
      <c r="A7031" t="str">
        <f>"7030"</f>
        <v>7030</v>
      </c>
      <c r="B7031" t="str">
        <f>"0.36"</f>
        <v>0.36</v>
      </c>
      <c r="C7031" t="str">
        <f>"18"</f>
        <v>18</v>
      </c>
      <c r="D7031" t="str">
        <f>"Kunk"</f>
        <v>Kunk</v>
      </c>
    </row>
    <row r="7032" spans="1:4" x14ac:dyDescent="0.2">
      <c r="A7032" t="str">
        <f>"7031"</f>
        <v>7031</v>
      </c>
      <c r="B7032" t="str">
        <f>"0.79"</f>
        <v>0.79</v>
      </c>
      <c r="C7032" t="str">
        <f>"28"</f>
        <v>28</v>
      </c>
      <c r="D7032" t="str">
        <f>"Meltframe"</f>
        <v>Meltframe</v>
      </c>
    </row>
    <row r="7033" spans="1:4" x14ac:dyDescent="0.2">
      <c r="A7033" t="str">
        <f>"7032"</f>
        <v>7032</v>
      </c>
      <c r="B7033" t="str">
        <f>"0.44"</f>
        <v>0.44</v>
      </c>
      <c r="C7033" t="str">
        <f>"44"</f>
        <v>44</v>
      </c>
      <c r="D7033" t="str">
        <f>"Rodeo"</f>
        <v>Rodeo</v>
      </c>
    </row>
    <row r="7034" spans="1:4" x14ac:dyDescent="0.2">
      <c r="A7034" t="str">
        <f>"7033"</f>
        <v>7033</v>
      </c>
      <c r="B7034" t="str">
        <f>"-0.34"</f>
        <v>-0.34</v>
      </c>
      <c r="C7034" t="str">
        <f>"33"</f>
        <v>33</v>
      </c>
      <c r="D7034" t="str">
        <f>"Thank You for Your Consideration"</f>
        <v>Thank You for Your Consideration</v>
      </c>
    </row>
    <row r="7035" spans="1:4" x14ac:dyDescent="0.2">
      <c r="A7035" t="str">
        <f>"7034"</f>
        <v>7034</v>
      </c>
      <c r="B7035" t="str">
        <f>"-0.74"</f>
        <v>-0.74</v>
      </c>
      <c r="C7035" t="str">
        <f>"35"</f>
        <v>35</v>
      </c>
      <c r="D7035" t="str">
        <f>"Noctunes"</f>
        <v>Noctunes</v>
      </c>
    </row>
    <row r="7036" spans="1:4" x14ac:dyDescent="0.2">
      <c r="A7036" t="str">
        <f>"7035"</f>
        <v>7035</v>
      </c>
      <c r="B7036" t="str">
        <f>"1.06"</f>
        <v>1.06</v>
      </c>
      <c r="C7036" t="str">
        <f>"28"</f>
        <v>28</v>
      </c>
      <c r="D7036" t="str">
        <f>"The Pattern of Electricity"</f>
        <v>The Pattern of Electricity</v>
      </c>
    </row>
    <row r="7037" spans="1:4" x14ac:dyDescent="0.2">
      <c r="A7037" t="str">
        <f>"7036"</f>
        <v>7036</v>
      </c>
      <c r="B7037" t="str">
        <f>"0.31"</f>
        <v>0.31</v>
      </c>
      <c r="C7037" t="str">
        <f>"21"</f>
        <v>21</v>
      </c>
      <c r="D7037" t="str">
        <f>"Flying Basket"</f>
        <v>Flying Basket</v>
      </c>
    </row>
    <row r="7038" spans="1:4" x14ac:dyDescent="0.2">
      <c r="A7038" t="str">
        <f>"7037"</f>
        <v>7037</v>
      </c>
      <c r="B7038" t="str">
        <f>"-0.31"</f>
        <v>-0.31</v>
      </c>
      <c r="C7038" t="str">
        <f>"36"</f>
        <v>36</v>
      </c>
      <c r="D7038" t="str">
        <f>"Sun Coming Down"</f>
        <v>Sun Coming Down</v>
      </c>
    </row>
    <row r="7039" spans="1:4" x14ac:dyDescent="0.2">
      <c r="A7039" t="str">
        <f>"7038"</f>
        <v>7038</v>
      </c>
      <c r="B7039" t="str">
        <f>"-0.01"</f>
        <v>-0.01</v>
      </c>
      <c r="C7039" t="str">
        <f>"24"</f>
        <v>24</v>
      </c>
      <c r="D7039" t="str">
        <f>"What the World Needs Now..."</f>
        <v>What the World Needs Now...</v>
      </c>
    </row>
    <row r="7040" spans="1:4" x14ac:dyDescent="0.2">
      <c r="A7040" t="str">
        <f>"7039"</f>
        <v>7039</v>
      </c>
      <c r="B7040" t="str">
        <f>"-0.21"</f>
        <v>-0.21</v>
      </c>
      <c r="C7040" t="str">
        <f>"26"</f>
        <v>26</v>
      </c>
      <c r="D7040" t="str">
        <f>"Pagans In Vegas"</f>
        <v>Pagans In Vegas</v>
      </c>
    </row>
    <row r="7041" spans="1:4" x14ac:dyDescent="0.2">
      <c r="A7041" t="str">
        <f>"7040"</f>
        <v>7040</v>
      </c>
      <c r="B7041" t="str">
        <f>"1.19"</f>
        <v>1.19</v>
      </c>
      <c r="C7041" t="str">
        <f>"28"</f>
        <v>28</v>
      </c>
      <c r="D7041" t="str">
        <f>"Wald"</f>
        <v>Wald</v>
      </c>
    </row>
    <row r="7042" spans="1:4" x14ac:dyDescent="0.2">
      <c r="A7042" t="str">
        <f>"7041"</f>
        <v>7041</v>
      </c>
      <c r="B7042" t="str">
        <f>"-0.56"</f>
        <v>-0.56</v>
      </c>
      <c r="C7042" t="str">
        <f>"19"</f>
        <v>19</v>
      </c>
      <c r="D7042" t="str">
        <f>"Parting Glances"</f>
        <v>Parting Glances</v>
      </c>
    </row>
    <row r="7043" spans="1:4" x14ac:dyDescent="0.2">
      <c r="A7043" t="str">
        <f>"7042"</f>
        <v>7042</v>
      </c>
      <c r="B7043" t="str">
        <f>"0.64"</f>
        <v>0.64</v>
      </c>
      <c r="C7043" t="str">
        <f>"30"</f>
        <v>30</v>
      </c>
      <c r="D7043" t="str">
        <f>"Ones and Sixes"</f>
        <v>Ones and Sixes</v>
      </c>
    </row>
    <row r="7044" spans="1:4" x14ac:dyDescent="0.2">
      <c r="A7044" t="str">
        <f>"7043"</f>
        <v>7043</v>
      </c>
      <c r="B7044" t="str">
        <f>"0.31"</f>
        <v>0.31</v>
      </c>
      <c r="C7044" t="str">
        <f>"30"</f>
        <v>30</v>
      </c>
      <c r="D7044" t="str">
        <f>"Grind"</f>
        <v>Grind</v>
      </c>
    </row>
    <row r="7045" spans="1:4" x14ac:dyDescent="0.2">
      <c r="A7045" t="str">
        <f>"7044"</f>
        <v>7044</v>
      </c>
      <c r="B7045" t="str">
        <f>"-0.92"</f>
        <v>-0.92</v>
      </c>
      <c r="C7045" t="str">
        <f>"28"</f>
        <v>28</v>
      </c>
      <c r="D7045" t="str">
        <f>"Cut With the Cake Knife"</f>
        <v>Cut With the Cake Knife</v>
      </c>
    </row>
    <row r="7046" spans="1:4" x14ac:dyDescent="0.2">
      <c r="A7046" t="str">
        <f>"7045"</f>
        <v>7045</v>
      </c>
      <c r="B7046" t="str">
        <f>"0.81"</f>
        <v>0.81</v>
      </c>
      <c r="C7046" t="str">
        <f>"28"</f>
        <v>28</v>
      </c>
      <c r="D7046" t="str">
        <f>"Prom King"</f>
        <v>Prom King</v>
      </c>
    </row>
    <row r="7047" spans="1:4" x14ac:dyDescent="0.2">
      <c r="A7047" t="str">
        <f>"7046"</f>
        <v>7046</v>
      </c>
      <c r="B7047" t="str">
        <f>"0.57"</f>
        <v>0.57</v>
      </c>
      <c r="C7047" t="str">
        <f>"34"</f>
        <v>34</v>
      </c>
      <c r="D7047" t="str">
        <f>"Over and Even"</f>
        <v>Over and Even</v>
      </c>
    </row>
    <row r="7048" spans="1:4" x14ac:dyDescent="0.2">
      <c r="A7048" t="str">
        <f>"7047"</f>
        <v>7047</v>
      </c>
      <c r="B7048" t="str">
        <f>"0.08"</f>
        <v>0.08</v>
      </c>
      <c r="C7048" t="str">
        <f>"35"</f>
        <v>35</v>
      </c>
      <c r="D7048" t="str">
        <f>"Black Dollar"</f>
        <v>Black Dollar</v>
      </c>
    </row>
    <row r="7049" spans="1:4" x14ac:dyDescent="0.2">
      <c r="A7049" t="str">
        <f>"7048"</f>
        <v>7048</v>
      </c>
      <c r="B7049" t="str">
        <f>"0.79"</f>
        <v>0.79</v>
      </c>
      <c r="C7049" t="str">
        <f>"62"</f>
        <v>62</v>
      </c>
      <c r="D7049" t="str">
        <f>"The Isley Brothers: The RCA Victor and T-Neck Album Masters"</f>
        <v>The Isley Brothers: The RCA Victor and T-Neck Album Masters</v>
      </c>
    </row>
    <row r="7050" spans="1:4" x14ac:dyDescent="0.2">
      <c r="A7050" t="str">
        <f>"7049"</f>
        <v>7049</v>
      </c>
      <c r="B7050" t="str">
        <f>"0.98"</f>
        <v>0.98</v>
      </c>
      <c r="C7050" t="str">
        <f>"38"</f>
        <v>38</v>
      </c>
      <c r="D7050" t="str">
        <f>"Southland Mission"</f>
        <v>Southland Mission</v>
      </c>
    </row>
    <row r="7051" spans="1:4" x14ac:dyDescent="0.2">
      <c r="A7051" t="str">
        <f>"7050"</f>
        <v>7050</v>
      </c>
      <c r="B7051" t="str">
        <f>"-0.45"</f>
        <v>-0.45</v>
      </c>
      <c r="C7051" t="str">
        <f>"37"</f>
        <v>37</v>
      </c>
      <c r="D7051" t="str">
        <f>"Ugly Cherries"</f>
        <v>Ugly Cherries</v>
      </c>
    </row>
    <row r="7052" spans="1:4" x14ac:dyDescent="0.2">
      <c r="A7052" t="str">
        <f>"7051"</f>
        <v>7051</v>
      </c>
      <c r="B7052" t="str">
        <f>"-0.45"</f>
        <v>-0.45</v>
      </c>
      <c r="C7052" t="str">
        <f>"23"</f>
        <v>23</v>
      </c>
      <c r="D7052" t="str">
        <f>"Too"</f>
        <v>Too</v>
      </c>
    </row>
    <row r="7053" spans="1:4" x14ac:dyDescent="0.2">
      <c r="A7053" t="str">
        <f>"7052"</f>
        <v>7052</v>
      </c>
      <c r="B7053" t="str">
        <f>"0.73"</f>
        <v>0.73</v>
      </c>
      <c r="C7053" t="str">
        <f>"24"</f>
        <v>24</v>
      </c>
      <c r="D7053" t="str">
        <f>"HITNRUN Phase One"</f>
        <v>HITNRUN Phase One</v>
      </c>
    </row>
    <row r="7054" spans="1:4" x14ac:dyDescent="0.2">
      <c r="A7054" t="str">
        <f>"7053"</f>
        <v>7053</v>
      </c>
      <c r="B7054" t="str">
        <f>"-0.47"</f>
        <v>-0.47</v>
      </c>
      <c r="C7054" t="str">
        <f>"63"</f>
        <v>63</v>
      </c>
      <c r="D7054" t="str">
        <f>"Repentless"</f>
        <v>Repentless</v>
      </c>
    </row>
    <row r="7055" spans="1:4" x14ac:dyDescent="0.2">
      <c r="A7055" t="str">
        <f>"7054"</f>
        <v>7054</v>
      </c>
      <c r="B7055" t="str">
        <f>"0.2"</f>
        <v>0.2</v>
      </c>
      <c r="C7055" t="str">
        <f>"19"</f>
        <v>19</v>
      </c>
      <c r="D7055" t="str">
        <f>"La Vie Est Belle / Life Is Beautiful"</f>
        <v>La Vie Est Belle / Life Is Beautiful</v>
      </c>
    </row>
    <row r="7056" spans="1:4" x14ac:dyDescent="0.2">
      <c r="A7056" t="str">
        <f>"7055"</f>
        <v>7055</v>
      </c>
      <c r="B7056" t="str">
        <f>"0.37"</f>
        <v>0.37</v>
      </c>
      <c r="C7056" t="str">
        <f>"30"</f>
        <v>30</v>
      </c>
      <c r="D7056" t="str">
        <f>"Ad Infinitum"</f>
        <v>Ad Infinitum</v>
      </c>
    </row>
    <row r="7057" spans="1:4" x14ac:dyDescent="0.2">
      <c r="A7057" t="str">
        <f>"7056"</f>
        <v>7056</v>
      </c>
      <c r="B7057" t="str">
        <f>"-0.52"</f>
        <v>-0.52</v>
      </c>
      <c r="C7057" t="str">
        <f>"21"</f>
        <v>21</v>
      </c>
      <c r="D7057" t="str">
        <f>"Imagori"</f>
        <v>Imagori</v>
      </c>
    </row>
    <row r="7058" spans="1:4" x14ac:dyDescent="0.2">
      <c r="A7058" t="str">
        <f>"7057"</f>
        <v>7057</v>
      </c>
      <c r="B7058" t="str">
        <f>"0.83"</f>
        <v>0.83</v>
      </c>
      <c r="C7058" t="str">
        <f>"35"</f>
        <v>35</v>
      </c>
      <c r="D7058" t="str">
        <f>"No No No"</f>
        <v>No No No</v>
      </c>
    </row>
    <row r="7059" spans="1:4" x14ac:dyDescent="0.2">
      <c r="A7059" t="str">
        <f>"7058"</f>
        <v>7058</v>
      </c>
      <c r="B7059" t="str">
        <f>"0.12"</f>
        <v>0.12</v>
      </c>
      <c r="C7059" t="str">
        <f>"28"</f>
        <v>28</v>
      </c>
      <c r="D7059" t="str">
        <f>"The Original Faces"</f>
        <v>The Original Faces</v>
      </c>
    </row>
    <row r="7060" spans="1:4" x14ac:dyDescent="0.2">
      <c r="A7060" t="str">
        <f>"7059"</f>
        <v>7059</v>
      </c>
      <c r="B7060" t="str">
        <f>"-0.63"</f>
        <v>-0.63</v>
      </c>
      <c r="C7060" t="str">
        <f>"24"</f>
        <v>24</v>
      </c>
      <c r="D7060" t="str">
        <f>"I’m a Lazy Son...But I’m the Only Son EP"</f>
        <v>I’m a Lazy Son...But I’m the Only Son EP</v>
      </c>
    </row>
    <row r="7061" spans="1:4" x14ac:dyDescent="0.2">
      <c r="A7061" t="str">
        <f>"7060"</f>
        <v>7060</v>
      </c>
      <c r="B7061" t="str">
        <f>"-0.72"</f>
        <v>-0.72</v>
      </c>
      <c r="C7061" t="str">
        <f>"35"</f>
        <v>35</v>
      </c>
      <c r="D7061" t="str">
        <f>"Till It’s All Forgotten"</f>
        <v>Till It’s All Forgotten</v>
      </c>
    </row>
    <row r="7062" spans="1:4" x14ac:dyDescent="0.2">
      <c r="A7062" t="str">
        <f>"7061"</f>
        <v>7061</v>
      </c>
      <c r="B7062" t="str">
        <f>"-0.47"</f>
        <v>-0.47</v>
      </c>
      <c r="C7062" t="str">
        <f>"20"</f>
        <v>20</v>
      </c>
      <c r="D7062" t="str">
        <f>"Into the Air"</f>
        <v>Into the Air</v>
      </c>
    </row>
    <row r="7063" spans="1:4" x14ac:dyDescent="0.2">
      <c r="A7063" t="str">
        <f>"7062"</f>
        <v>7062</v>
      </c>
      <c r="B7063" t="str">
        <f>"-0.03"</f>
        <v>-0.03</v>
      </c>
      <c r="C7063" t="str">
        <f>"30"</f>
        <v>30</v>
      </c>
      <c r="D7063" t="str">
        <f>"Me"</f>
        <v>Me</v>
      </c>
    </row>
    <row r="7064" spans="1:4" x14ac:dyDescent="0.2">
      <c r="A7064" t="str">
        <f>"7063"</f>
        <v>7063</v>
      </c>
      <c r="B7064" t="str">
        <f>"0.06"</f>
        <v>0.06</v>
      </c>
      <c r="C7064" t="str">
        <f>"25"</f>
        <v>25</v>
      </c>
      <c r="D7064" t="str">
        <f>"Brace the Wave"</f>
        <v>Brace the Wave</v>
      </c>
    </row>
    <row r="7065" spans="1:4" x14ac:dyDescent="0.2">
      <c r="A7065" t="str">
        <f>"7064"</f>
        <v>7064</v>
      </c>
      <c r="B7065" t="str">
        <f>"-0.02"</f>
        <v>-0.02</v>
      </c>
      <c r="C7065" t="str">
        <f>"39"</f>
        <v>39</v>
      </c>
      <c r="D7065" t="str">
        <f>"Faith in the Future"</f>
        <v>Faith in the Future</v>
      </c>
    </row>
    <row r="7066" spans="1:4" x14ac:dyDescent="0.2">
      <c r="A7066" t="str">
        <f>"7065"</f>
        <v>7065</v>
      </c>
      <c r="B7066" t="str">
        <f>"0.9"</f>
        <v>0.9</v>
      </c>
      <c r="C7066" t="str">
        <f>"22"</f>
        <v>22</v>
      </c>
      <c r="D7066" t="str">
        <f>"Artificial Dance"</f>
        <v>Artificial Dance</v>
      </c>
    </row>
    <row r="7067" spans="1:4" x14ac:dyDescent="0.2">
      <c r="A7067" t="str">
        <f>"7066"</f>
        <v>7066</v>
      </c>
      <c r="B7067" t="str">
        <f>"-1.44"</f>
        <v>-1.44</v>
      </c>
      <c r="C7067" t="str">
        <f>"23"</f>
        <v>23</v>
      </c>
      <c r="D7067" t="str">
        <f>"Welcome to JFK"</f>
        <v>Welcome to JFK</v>
      </c>
    </row>
    <row r="7068" spans="1:4" x14ac:dyDescent="0.2">
      <c r="A7068" t="str">
        <f>"7067"</f>
        <v>7067</v>
      </c>
      <c r="B7068" t="str">
        <f>"-0.32"</f>
        <v>-0.32</v>
      </c>
      <c r="C7068" t="str">
        <f>"46"</f>
        <v>46</v>
      </c>
      <c r="D7068" t="str">
        <f>"Anthems for Doomed Youth"</f>
        <v>Anthems for Doomed Youth</v>
      </c>
    </row>
    <row r="7069" spans="1:4" x14ac:dyDescent="0.2">
      <c r="A7069" t="str">
        <f>"7068"</f>
        <v>7068</v>
      </c>
      <c r="B7069" t="str">
        <f>"-0.55"</f>
        <v>-0.55</v>
      </c>
      <c r="C7069" t="str">
        <f>"57"</f>
        <v>57</v>
      </c>
      <c r="D7069" t="str">
        <f>"Challenge for a Civilized Society"</f>
        <v>Challenge for a Civilized Society</v>
      </c>
    </row>
    <row r="7070" spans="1:4" x14ac:dyDescent="0.2">
      <c r="A7070" t="str">
        <f>"7069"</f>
        <v>7069</v>
      </c>
      <c r="B7070" t="str">
        <f>"0.61"</f>
        <v>0.61</v>
      </c>
      <c r="C7070" t="str">
        <f>"21"</f>
        <v>21</v>
      </c>
      <c r="D7070" t="str">
        <f>"All Yours"</f>
        <v>All Yours</v>
      </c>
    </row>
    <row r="7071" spans="1:4" x14ac:dyDescent="0.2">
      <c r="A7071" t="str">
        <f>"7070"</f>
        <v>7070</v>
      </c>
      <c r="B7071" t="str">
        <f>"1.07"</f>
        <v>1.07</v>
      </c>
      <c r="C7071" t="str">
        <f>"16"</f>
        <v>16</v>
      </c>
      <c r="D7071" t="str">
        <f>"When the Rainbow Disappears: An Anthology 1965-68"</f>
        <v>When the Rainbow Disappears: An Anthology 1965-68</v>
      </c>
    </row>
    <row r="7072" spans="1:4" x14ac:dyDescent="0.2">
      <c r="A7072" t="str">
        <f>"7071"</f>
        <v>7071</v>
      </c>
      <c r="B7072" t="str">
        <f>"0.89"</f>
        <v>0.89</v>
      </c>
      <c r="C7072" t="str">
        <f>"16"</f>
        <v>16</v>
      </c>
      <c r="D7072" t="str">
        <f>"Apologues"</f>
        <v>Apologues</v>
      </c>
    </row>
    <row r="7073" spans="1:4" x14ac:dyDescent="0.2">
      <c r="A7073" t="str">
        <f>"7072"</f>
        <v>7072</v>
      </c>
      <c r="B7073" t="str">
        <f>"-0.56"</f>
        <v>-0.56</v>
      </c>
      <c r="C7073" t="str">
        <f>"44"</f>
        <v>44</v>
      </c>
      <c r="D7073" t="str">
        <f>"Miley Cyrus and Her Dead Petz"</f>
        <v>Miley Cyrus and Her Dead Petz</v>
      </c>
    </row>
    <row r="7074" spans="1:4" x14ac:dyDescent="0.2">
      <c r="A7074" t="str">
        <f>"7073"</f>
        <v>7073</v>
      </c>
      <c r="B7074" t="str">
        <f>"1.52"</f>
        <v>1.52</v>
      </c>
      <c r="C7074" t="str">
        <f>"16"</f>
        <v>16</v>
      </c>
      <c r="D7074" t="str">
        <f>"Crosswords EP"</f>
        <v>Crosswords EP</v>
      </c>
    </row>
    <row r="7075" spans="1:4" x14ac:dyDescent="0.2">
      <c r="A7075" t="str">
        <f>"7074"</f>
        <v>7074</v>
      </c>
      <c r="B7075" t="str">
        <f>"-0.09"</f>
        <v>-0.09</v>
      </c>
      <c r="C7075" t="str">
        <f>"28"</f>
        <v>28</v>
      </c>
      <c r="D7075" t="str">
        <f>"The Gold Standard"</f>
        <v>The Gold Standard</v>
      </c>
    </row>
    <row r="7076" spans="1:4" x14ac:dyDescent="0.2">
      <c r="A7076" t="str">
        <f>"7075"</f>
        <v>7075</v>
      </c>
      <c r="B7076" t="str">
        <f>"-0.75"</f>
        <v>-0.75</v>
      </c>
      <c r="C7076" t="str">
        <f>"35"</f>
        <v>35</v>
      </c>
      <c r="D7076" t="str">
        <f>"Anesthesia"</f>
        <v>Anesthesia</v>
      </c>
    </row>
    <row r="7077" spans="1:4" x14ac:dyDescent="0.2">
      <c r="A7077" t="str">
        <f>"7076"</f>
        <v>7076</v>
      </c>
      <c r="B7077" t="str">
        <f>"0"</f>
        <v>0</v>
      </c>
      <c r="C7077" t="str">
        <f>"29"</f>
        <v>29</v>
      </c>
      <c r="D7077" t="str">
        <f>"Turkey"</f>
        <v>Turkey</v>
      </c>
    </row>
    <row r="7078" spans="1:4" x14ac:dyDescent="0.2">
      <c r="A7078" t="str">
        <f>"7077"</f>
        <v>7077</v>
      </c>
      <c r="B7078" t="str">
        <f>"0.39"</f>
        <v>0.39</v>
      </c>
      <c r="C7078" t="str">
        <f>"28"</f>
        <v>28</v>
      </c>
      <c r="D7078" t="str">
        <f>"Poison Season"</f>
        <v>Poison Season</v>
      </c>
    </row>
    <row r="7079" spans="1:4" x14ac:dyDescent="0.2">
      <c r="A7079" t="str">
        <f>"7078"</f>
        <v>7078</v>
      </c>
      <c r="B7079" t="str">
        <f>"0.11"</f>
        <v>0.11</v>
      </c>
      <c r="C7079" t="str">
        <f>"44"</f>
        <v>44</v>
      </c>
      <c r="D7079" t="str">
        <f>"The Meth Lab"</f>
        <v>The Meth Lab</v>
      </c>
    </row>
    <row r="7080" spans="1:4" x14ac:dyDescent="0.2">
      <c r="A7080" t="str">
        <f>"7079"</f>
        <v>7079</v>
      </c>
      <c r="B7080" t="str">
        <f>"-0.59"</f>
        <v>-0.59</v>
      </c>
      <c r="C7080" t="str">
        <f>"36"</f>
        <v>36</v>
      </c>
      <c r="D7080" t="str">
        <f>"Kicking Every Day"</f>
        <v>Kicking Every Day</v>
      </c>
    </row>
    <row r="7081" spans="1:4" x14ac:dyDescent="0.2">
      <c r="A7081" t="str">
        <f>"7080"</f>
        <v>7080</v>
      </c>
      <c r="B7081" t="str">
        <f>"0.13"</f>
        <v>0.13</v>
      </c>
      <c r="C7081" t="str">
        <f>"18"</f>
        <v>18</v>
      </c>
      <c r="D7081" t="str">
        <f>"Metalmania"</f>
        <v>Metalmania</v>
      </c>
    </row>
    <row r="7082" spans="1:4" x14ac:dyDescent="0.2">
      <c r="A7082" t="str">
        <f>"7081"</f>
        <v>7081</v>
      </c>
      <c r="B7082" t="str">
        <f>"1"</f>
        <v>1</v>
      </c>
      <c r="C7082" t="str">
        <f>"25"</f>
        <v>25</v>
      </c>
      <c r="D7082" t="str">
        <f>"FW14"</f>
        <v>FW14</v>
      </c>
    </row>
    <row r="7083" spans="1:4" x14ac:dyDescent="0.2">
      <c r="A7083" t="str">
        <f>"7082"</f>
        <v>7082</v>
      </c>
      <c r="B7083" t="str">
        <f>"0.05"</f>
        <v>0.05</v>
      </c>
      <c r="C7083" t="str">
        <f>"41"</f>
        <v>41</v>
      </c>
      <c r="D7083" t="str">
        <f>"Beauty Behind the Madness"</f>
        <v>Beauty Behind the Madness</v>
      </c>
    </row>
    <row r="7084" spans="1:4" x14ac:dyDescent="0.2">
      <c r="A7084" t="str">
        <f>"7083"</f>
        <v>7083</v>
      </c>
      <c r="B7084" t="str">
        <f>"0.69"</f>
        <v>0.69</v>
      </c>
      <c r="C7084" t="str">
        <f>"31"</f>
        <v>31</v>
      </c>
      <c r="D7084" t="str">
        <f>"What Went Down"</f>
        <v>What Went Down</v>
      </c>
    </row>
    <row r="7085" spans="1:4" x14ac:dyDescent="0.2">
      <c r="A7085" t="str">
        <f>"7084"</f>
        <v>7084</v>
      </c>
      <c r="B7085" t="str">
        <f>"0.72"</f>
        <v>0.72</v>
      </c>
      <c r="C7085" t="str">
        <f>"21"</f>
        <v>21</v>
      </c>
      <c r="D7085" t="str">
        <f>"Tetrachromat EP"</f>
        <v>Tetrachromat EP</v>
      </c>
    </row>
    <row r="7086" spans="1:4" x14ac:dyDescent="0.2">
      <c r="A7086" t="str">
        <f>"7085"</f>
        <v>7085</v>
      </c>
      <c r="B7086" t="str">
        <f>"-1.5"</f>
        <v>-1.5</v>
      </c>
      <c r="C7086" t="str">
        <f>"35"</f>
        <v>35</v>
      </c>
      <c r="D7086" t="str">
        <f>"Litany"</f>
        <v>Litany</v>
      </c>
    </row>
    <row r="7087" spans="1:4" x14ac:dyDescent="0.2">
      <c r="A7087" t="str">
        <f>"7086"</f>
        <v>7086</v>
      </c>
      <c r="B7087" t="str">
        <f>"-0.17"</f>
        <v>-0.17</v>
      </c>
      <c r="C7087" t="str">
        <f>"35"</f>
        <v>35</v>
      </c>
      <c r="D7087" t="str">
        <f>"Badlands"</f>
        <v>Badlands</v>
      </c>
    </row>
    <row r="7088" spans="1:4" x14ac:dyDescent="0.2">
      <c r="A7088" t="str">
        <f>"7087"</f>
        <v>7087</v>
      </c>
      <c r="B7088" t="str">
        <f>"-0.02"</f>
        <v>-0.02</v>
      </c>
      <c r="C7088" t="str">
        <f>"34"</f>
        <v>34</v>
      </c>
      <c r="D7088" t="str">
        <f>"Invite the Light"</f>
        <v>Invite the Light</v>
      </c>
    </row>
    <row r="7089" spans="1:4" x14ac:dyDescent="0.2">
      <c r="A7089" t="str">
        <f>"7088"</f>
        <v>7088</v>
      </c>
      <c r="B7089" t="str">
        <f>"1.51"</f>
        <v>1.51</v>
      </c>
      <c r="C7089" t="str">
        <f>"18"</f>
        <v>18</v>
      </c>
      <c r="D7089" t="str">
        <f>"Cranekiss"</f>
        <v>Cranekiss</v>
      </c>
    </row>
    <row r="7090" spans="1:4" x14ac:dyDescent="0.2">
      <c r="A7090" t="str">
        <f>"7089"</f>
        <v>7089</v>
      </c>
      <c r="B7090" t="str">
        <f>"-0.87"</f>
        <v>-0.87</v>
      </c>
      <c r="C7090" t="str">
        <f>"23"</f>
        <v>23</v>
      </c>
      <c r="D7090" t="str">
        <f>"Fake Palms"</f>
        <v>Fake Palms</v>
      </c>
    </row>
    <row r="7091" spans="1:4" x14ac:dyDescent="0.2">
      <c r="A7091" t="str">
        <f>"7090"</f>
        <v>7090</v>
      </c>
      <c r="B7091" t="str">
        <f>"-0.19"</f>
        <v>-0.19</v>
      </c>
      <c r="C7091" t="str">
        <f>"40"</f>
        <v>40</v>
      </c>
      <c r="D7091" t="str">
        <f>"Garden City Blues: Detroit’s Jumping Scene 1948-1960"</f>
        <v>Garden City Blues: Detroit’s Jumping Scene 1948-1960</v>
      </c>
    </row>
    <row r="7092" spans="1:4" x14ac:dyDescent="0.2">
      <c r="A7092" t="str">
        <f>"7091"</f>
        <v>7091</v>
      </c>
      <c r="B7092" t="str">
        <f>"0.34"</f>
        <v>0.34</v>
      </c>
      <c r="C7092" t="str">
        <f>"26"</f>
        <v>26</v>
      </c>
      <c r="D7092" t="str">
        <f>"Versions"</f>
        <v>Versions</v>
      </c>
    </row>
    <row r="7093" spans="1:4" x14ac:dyDescent="0.2">
      <c r="A7093" t="str">
        <f>"7092"</f>
        <v>7092</v>
      </c>
      <c r="B7093" t="str">
        <f>"0.62"</f>
        <v>0.62</v>
      </c>
      <c r="C7093" t="str">
        <f>"23"</f>
        <v>23</v>
      </c>
      <c r="D7093" t="str">
        <f>"Stuff Like That There"</f>
        <v>Stuff Like That There</v>
      </c>
    </row>
    <row r="7094" spans="1:4" x14ac:dyDescent="0.2">
      <c r="A7094" t="str">
        <f>"7093"</f>
        <v>7093</v>
      </c>
      <c r="B7094" t="str">
        <f>"-0.13"</f>
        <v>-0.13</v>
      </c>
      <c r="C7094" t="str">
        <f>"38"</f>
        <v>38</v>
      </c>
      <c r="D7094" t="str">
        <f>"Pickpocket’s Locket"</f>
        <v>Pickpocket’s Locket</v>
      </c>
    </row>
    <row r="7095" spans="1:4" x14ac:dyDescent="0.2">
      <c r="A7095" t="str">
        <f>"7094"</f>
        <v>7094</v>
      </c>
      <c r="B7095" t="str">
        <f>"1.31"</f>
        <v>1.31</v>
      </c>
      <c r="C7095" t="str">
        <f>"29"</f>
        <v>29</v>
      </c>
      <c r="D7095" t="str">
        <f>"Dornik"</f>
        <v>Dornik</v>
      </c>
    </row>
    <row r="7096" spans="1:4" x14ac:dyDescent="0.2">
      <c r="A7096" t="str">
        <f>"7095"</f>
        <v>7095</v>
      </c>
      <c r="B7096" t="str">
        <f>"1.13"</f>
        <v>1.13</v>
      </c>
      <c r="C7096" t="str">
        <f>"28"</f>
        <v>28</v>
      </c>
      <c r="D7096" t="str">
        <f>"Automaginary"</f>
        <v>Automaginary</v>
      </c>
    </row>
    <row r="7097" spans="1:4" x14ac:dyDescent="0.2">
      <c r="A7097" t="str">
        <f>"7096"</f>
        <v>7096</v>
      </c>
      <c r="B7097" t="str">
        <f>"-0.72"</f>
        <v>-0.72</v>
      </c>
      <c r="C7097" t="str">
        <f>"29"</f>
        <v>29</v>
      </c>
      <c r="D7097" t="str">
        <f>"M"</f>
        <v>M</v>
      </c>
    </row>
    <row r="7098" spans="1:4" x14ac:dyDescent="0.2">
      <c r="A7098" t="str">
        <f>"7097"</f>
        <v>7097</v>
      </c>
      <c r="B7098" t="str">
        <f>"0.91"</f>
        <v>0.91</v>
      </c>
      <c r="C7098" t="str">
        <f>"32"</f>
        <v>32</v>
      </c>
      <c r="D7098" t="str">
        <f>"Wave[s]"</f>
        <v>Wave[s]</v>
      </c>
    </row>
    <row r="7099" spans="1:4" x14ac:dyDescent="0.2">
      <c r="A7099" t="str">
        <f>"7098"</f>
        <v>7098</v>
      </c>
      <c r="B7099" t="str">
        <f>"-0.18"</f>
        <v>-0.18</v>
      </c>
      <c r="C7099" t="str">
        <f>"47"</f>
        <v>47</v>
      </c>
      <c r="D7099" t="str">
        <f>"Meliora"</f>
        <v>Meliora</v>
      </c>
    </row>
    <row r="7100" spans="1:4" x14ac:dyDescent="0.2">
      <c r="A7100" t="str">
        <f>"7099"</f>
        <v>7099</v>
      </c>
      <c r="B7100" t="str">
        <f>"-0.67"</f>
        <v>-0.67</v>
      </c>
      <c r="C7100" t="str">
        <f>"30"</f>
        <v>30</v>
      </c>
      <c r="D7100" t="str">
        <f>"Hermits on Holiday"</f>
        <v>Hermits on Holiday</v>
      </c>
    </row>
    <row r="7101" spans="1:4" x14ac:dyDescent="0.2">
      <c r="A7101" t="str">
        <f>"7100"</f>
        <v>7100</v>
      </c>
      <c r="B7101" t="str">
        <f>"-0.7"</f>
        <v>-0.7</v>
      </c>
      <c r="C7101" t="str">
        <f>"39"</f>
        <v>39</v>
      </c>
      <c r="D7101" t="str">
        <f>"Desire Will Rot"</f>
        <v>Desire Will Rot</v>
      </c>
    </row>
    <row r="7102" spans="1:4" x14ac:dyDescent="0.2">
      <c r="A7102" t="str">
        <f>"7101"</f>
        <v>7101</v>
      </c>
      <c r="B7102" t="str">
        <f>"-1.27"</f>
        <v>-1.27</v>
      </c>
      <c r="C7102" t="str">
        <f>"20"</f>
        <v>20</v>
      </c>
      <c r="D7102" t="str">
        <f>"Music for Dogs"</f>
        <v>Music for Dogs</v>
      </c>
    </row>
    <row r="7103" spans="1:4" x14ac:dyDescent="0.2">
      <c r="A7103" t="str">
        <f>"7102"</f>
        <v>7102</v>
      </c>
      <c r="B7103" t="str">
        <f>"0.65"</f>
        <v>0.65</v>
      </c>
      <c r="C7103" t="str">
        <f>"34"</f>
        <v>34</v>
      </c>
      <c r="D7103" t="str">
        <f>"The Expanding Flower Planet"</f>
        <v>The Expanding Flower Planet</v>
      </c>
    </row>
    <row r="7104" spans="1:4" x14ac:dyDescent="0.2">
      <c r="A7104" t="str">
        <f>"7103"</f>
        <v>7103</v>
      </c>
      <c r="B7104" t="str">
        <f>"-0.35"</f>
        <v>-0.35</v>
      </c>
      <c r="C7104" t="str">
        <f>"44"</f>
        <v>44</v>
      </c>
      <c r="D7104" t="s">
        <v>247</v>
      </c>
    </row>
    <row r="7105" spans="1:4" x14ac:dyDescent="0.2">
      <c r="A7105" t="str">
        <f>"7104"</f>
        <v>7104</v>
      </c>
      <c r="B7105" t="str">
        <f>"1.22"</f>
        <v>1.22</v>
      </c>
      <c r="C7105" t="str">
        <f>"23"</f>
        <v>23</v>
      </c>
      <c r="D7105" t="str">
        <f>"How the Spark Loves the Tinder"</f>
        <v>How the Spark Loves the Tinder</v>
      </c>
    </row>
    <row r="7106" spans="1:4" x14ac:dyDescent="0.2">
      <c r="A7106" t="str">
        <f>"7105"</f>
        <v>7105</v>
      </c>
      <c r="B7106" t="str">
        <f>"2.18"</f>
        <v>2.18</v>
      </c>
      <c r="C7106" t="str">
        <f>"21"</f>
        <v>21</v>
      </c>
      <c r="D7106" t="str">
        <f>"Tales from the Land of Milk and Honey"</f>
        <v>Tales from the Land of Milk and Honey</v>
      </c>
    </row>
    <row r="7107" spans="1:4" x14ac:dyDescent="0.2">
      <c r="A7107" t="str">
        <f>"7106"</f>
        <v>7106</v>
      </c>
      <c r="B7107" t="str">
        <f>"0.01"</f>
        <v>0.01</v>
      </c>
      <c r="C7107" t="str">
        <f>"38"</f>
        <v>38</v>
      </c>
      <c r="D7107" t="str">
        <f>"No Stairway"</f>
        <v>No Stairway</v>
      </c>
    </row>
    <row r="7108" spans="1:4" x14ac:dyDescent="0.2">
      <c r="A7108" t="str">
        <f>"7107"</f>
        <v>7107</v>
      </c>
      <c r="B7108" t="str">
        <f>"0.66"</f>
        <v>0.66</v>
      </c>
      <c r="C7108" t="str">
        <f>"42"</f>
        <v>42</v>
      </c>
      <c r="D7108" t="str">
        <f>"M3LL155X"</f>
        <v>M3LL155X</v>
      </c>
    </row>
    <row r="7109" spans="1:4" x14ac:dyDescent="0.2">
      <c r="A7109" t="str">
        <f>"7108"</f>
        <v>7108</v>
      </c>
      <c r="B7109" t="str">
        <f>"0.04"</f>
        <v>0.04</v>
      </c>
      <c r="C7109" t="str">
        <f>"37"</f>
        <v>37</v>
      </c>
      <c r="D7109" t="str">
        <f>"Trap-A-Velli Tre"</f>
        <v>Trap-A-Velli Tre</v>
      </c>
    </row>
    <row r="7110" spans="1:4" x14ac:dyDescent="0.2">
      <c r="A7110" t="str">
        <f>"7109"</f>
        <v>7109</v>
      </c>
      <c r="B7110" t="str">
        <f>"0.11"</f>
        <v>0.11</v>
      </c>
      <c r="C7110" t="str">
        <f>"31"</f>
        <v>31</v>
      </c>
      <c r="D7110" t="str">
        <f>"Everybody’s Coming Down"</f>
        <v>Everybody’s Coming Down</v>
      </c>
    </row>
    <row r="7111" spans="1:4" x14ac:dyDescent="0.2">
      <c r="A7111" t="str">
        <f>"7110"</f>
        <v>7110</v>
      </c>
      <c r="B7111" t="str">
        <f>"0.53"</f>
        <v>0.53</v>
      </c>
      <c r="C7111" t="str">
        <f>"62"</f>
        <v>62</v>
      </c>
      <c r="D7111" t="str">
        <f>"The Complete Recordings of Jackson C. Frank"</f>
        <v>The Complete Recordings of Jackson C. Frank</v>
      </c>
    </row>
    <row r="7112" spans="1:4" x14ac:dyDescent="0.2">
      <c r="A7112" t="str">
        <f>"7111"</f>
        <v>7111</v>
      </c>
      <c r="B7112" t="str">
        <f>"1.43"</f>
        <v>1.43</v>
      </c>
      <c r="C7112" t="str">
        <f>"26"</f>
        <v>26</v>
      </c>
      <c r="D7112" t="str">
        <f>"The Pale Horse"</f>
        <v>The Pale Horse</v>
      </c>
    </row>
    <row r="7113" spans="1:4" x14ac:dyDescent="0.2">
      <c r="A7113" t="str">
        <f>"7112"</f>
        <v>7112</v>
      </c>
      <c r="B7113" t="str">
        <f>"0.73"</f>
        <v>0.73</v>
      </c>
      <c r="C7113" t="str">
        <f>"44"</f>
        <v>44</v>
      </c>
      <c r="D7113" t="str">
        <f>"Depression Cherry"</f>
        <v>Depression Cherry</v>
      </c>
    </row>
    <row r="7114" spans="1:4" x14ac:dyDescent="0.2">
      <c r="A7114" t="str">
        <f>"7113"</f>
        <v>7113</v>
      </c>
      <c r="B7114" t="str">
        <f>"-0.23"</f>
        <v>-0.23</v>
      </c>
      <c r="C7114" t="str">
        <f>"40"</f>
        <v>40</v>
      </c>
      <c r="D7114" t="str">
        <f>"High"</f>
        <v>High</v>
      </c>
    </row>
    <row r="7115" spans="1:4" x14ac:dyDescent="0.2">
      <c r="A7115" t="str">
        <f>"7114"</f>
        <v>7114</v>
      </c>
      <c r="B7115" t="str">
        <f>"-0.43"</f>
        <v>-0.43</v>
      </c>
      <c r="C7115" t="str">
        <f>"65"</f>
        <v>65</v>
      </c>
      <c r="D7115" t="str">
        <f>"Drought Season 3"</f>
        <v>Drought Season 3</v>
      </c>
    </row>
    <row r="7116" spans="1:4" x14ac:dyDescent="0.2">
      <c r="A7116" t="str">
        <f>"7115"</f>
        <v>7115</v>
      </c>
      <c r="B7116" t="str">
        <f>"-0.17"</f>
        <v>-0.17</v>
      </c>
      <c r="C7116" t="str">
        <f>"38"</f>
        <v>38</v>
      </c>
      <c r="D7116" t="str">
        <f>"Nephew in the Wild"</f>
        <v>Nephew in the Wild</v>
      </c>
    </row>
    <row r="7117" spans="1:4" x14ac:dyDescent="0.2">
      <c r="A7117" t="str">
        <f>"7116"</f>
        <v>7116</v>
      </c>
      <c r="B7117" t="str">
        <f>"-0.76"</f>
        <v>-0.76</v>
      </c>
      <c r="C7117" t="str">
        <f>"27"</f>
        <v>27</v>
      </c>
      <c r="D7117" t="str">
        <f>"Hide Before Dinner"</f>
        <v>Hide Before Dinner</v>
      </c>
    </row>
    <row r="7118" spans="1:4" x14ac:dyDescent="0.2">
      <c r="A7118" t="str">
        <f>"7117"</f>
        <v>7117</v>
      </c>
      <c r="B7118" t="str">
        <f>"1.18"</f>
        <v>1.18</v>
      </c>
      <c r="C7118" t="str">
        <f>"34"</f>
        <v>34</v>
      </c>
      <c r="D7118" t="str">
        <f>"E•MO•TION"</f>
        <v>E•MO•TION</v>
      </c>
    </row>
    <row r="7119" spans="1:4" x14ac:dyDescent="0.2">
      <c r="A7119" t="str">
        <f>"7118"</f>
        <v>7118</v>
      </c>
      <c r="B7119" t="str">
        <f>"-0.24"</f>
        <v>-0.24</v>
      </c>
      <c r="C7119" t="str">
        <f>"42"</f>
        <v>42</v>
      </c>
      <c r="D7119" t="str">
        <f>"Transgressor"</f>
        <v>Transgressor</v>
      </c>
    </row>
    <row r="7120" spans="1:4" x14ac:dyDescent="0.2">
      <c r="A7120" t="str">
        <f>"7119"</f>
        <v>7119</v>
      </c>
      <c r="B7120" t="str">
        <f>"-0.24"</f>
        <v>-0.24</v>
      </c>
      <c r="C7120" t="str">
        <f>"24"</f>
        <v>24</v>
      </c>
      <c r="D7120" t="str">
        <f>"Dry Food"</f>
        <v>Dry Food</v>
      </c>
    </row>
    <row r="7121" spans="1:4" x14ac:dyDescent="0.2">
      <c r="A7121" t="str">
        <f>"7120"</f>
        <v>7120</v>
      </c>
      <c r="B7121" t="str">
        <f>"-0.56"</f>
        <v>-0.56</v>
      </c>
      <c r="C7121" t="str">
        <f>"26"</f>
        <v>26</v>
      </c>
      <c r="D7121" t="str">
        <f>"Today Is the Day That They Take Me Away"</f>
        <v>Today Is the Day That They Take Me Away</v>
      </c>
    </row>
    <row r="7122" spans="1:4" x14ac:dyDescent="0.2">
      <c r="A7122" t="str">
        <f>"7121"</f>
        <v>7121</v>
      </c>
      <c r="B7122" t="str">
        <f>"0.41"</f>
        <v>0.41</v>
      </c>
      <c r="C7122" t="str">
        <f>"25"</f>
        <v>25</v>
      </c>
      <c r="D7122" t="str">
        <f>"Remember the Life Is Beautiful"</f>
        <v>Remember the Life Is Beautiful</v>
      </c>
    </row>
    <row r="7123" spans="1:4" x14ac:dyDescent="0.2">
      <c r="A7123" t="str">
        <f>"7122"</f>
        <v>7122</v>
      </c>
      <c r="B7123" t="str">
        <f>"0.06"</f>
        <v>0.06</v>
      </c>
      <c r="C7123" t="str">
        <f>"46"</f>
        <v>46</v>
      </c>
      <c r="D7123" t="str">
        <f>"Orphaned Deejay Selek (2006-2008) EP"</f>
        <v>Orphaned Deejay Selek (2006-2008) EP</v>
      </c>
    </row>
    <row r="7124" spans="1:4" x14ac:dyDescent="0.2">
      <c r="A7124" t="str">
        <f>"7123"</f>
        <v>7123</v>
      </c>
      <c r="B7124" t="str">
        <f>"-0.55"</f>
        <v>-0.55</v>
      </c>
      <c r="C7124" t="str">
        <f>"21"</f>
        <v>21</v>
      </c>
      <c r="D7124" t="str">
        <f>"Neither/Neither"</f>
        <v>Neither/Neither</v>
      </c>
    </row>
    <row r="7125" spans="1:4" x14ac:dyDescent="0.2">
      <c r="A7125" t="str">
        <f>"7124"</f>
        <v>7124</v>
      </c>
      <c r="B7125" t="str">
        <f>"-0.49"</f>
        <v>-0.49</v>
      </c>
      <c r="C7125" t="str">
        <f>"31"</f>
        <v>31</v>
      </c>
      <c r="D7125" t="str">
        <f>"Detroit's Son"</f>
        <v>Detroit's Son</v>
      </c>
    </row>
    <row r="7126" spans="1:4" x14ac:dyDescent="0.2">
      <c r="A7126" t="str">
        <f>"7125"</f>
        <v>7125</v>
      </c>
      <c r="B7126" t="str">
        <f>"-0.46"</f>
        <v>-0.46</v>
      </c>
      <c r="C7126" t="str">
        <f>"34"</f>
        <v>34</v>
      </c>
      <c r="D7126" t="str">
        <f>"Bone Turquoise"</f>
        <v>Bone Turquoise</v>
      </c>
    </row>
    <row r="7127" spans="1:4" x14ac:dyDescent="0.2">
      <c r="A7127" t="str">
        <f>"7126"</f>
        <v>7126</v>
      </c>
      <c r="B7127" t="str">
        <f>"-0.44"</f>
        <v>-0.44</v>
      </c>
      <c r="C7127" t="str">
        <f>"42"</f>
        <v>42</v>
      </c>
      <c r="D7127" t="str">
        <f>"Finesse the World"</f>
        <v>Finesse the World</v>
      </c>
    </row>
    <row r="7128" spans="1:4" x14ac:dyDescent="0.2">
      <c r="A7128" t="str">
        <f>"7127"</f>
        <v>7127</v>
      </c>
      <c r="B7128" t="str">
        <f>"-0.07"</f>
        <v>-0.07</v>
      </c>
      <c r="C7128" t="str">
        <f>"34"</f>
        <v>34</v>
      </c>
      <c r="D7128" t="str">
        <f>"Bang 3"</f>
        <v>Bang 3</v>
      </c>
    </row>
    <row r="7129" spans="1:4" x14ac:dyDescent="0.2">
      <c r="A7129" t="str">
        <f>"7128"</f>
        <v>7128</v>
      </c>
      <c r="B7129" t="str">
        <f>"-0.25"</f>
        <v>-0.25</v>
      </c>
      <c r="C7129" t="str">
        <f>"36"</f>
        <v>36</v>
      </c>
      <c r="D7129" t="str">
        <f>"Winter’s Diary 3"</f>
        <v>Winter’s Diary 3</v>
      </c>
    </row>
    <row r="7130" spans="1:4" x14ac:dyDescent="0.2">
      <c r="A7130" t="str">
        <f>"7129"</f>
        <v>7129</v>
      </c>
      <c r="B7130" t="str">
        <f>"-0.37"</f>
        <v>-0.37</v>
      </c>
      <c r="C7130" t="str">
        <f>"29"</f>
        <v>29</v>
      </c>
      <c r="D7130" t="str">
        <f>"Houston"</f>
        <v>Houston</v>
      </c>
    </row>
    <row r="7131" spans="1:4" x14ac:dyDescent="0.2">
      <c r="A7131" t="str">
        <f>"7130"</f>
        <v>7130</v>
      </c>
      <c r="B7131" t="str">
        <f>"1"</f>
        <v>1</v>
      </c>
      <c r="C7131" t="str">
        <f>"36"</f>
        <v>36</v>
      </c>
      <c r="D7131" t="str">
        <f>"All Around Us"</f>
        <v>All Around Us</v>
      </c>
    </row>
    <row r="7132" spans="1:4" x14ac:dyDescent="0.2">
      <c r="A7132" t="str">
        <f>"7131"</f>
        <v>7131</v>
      </c>
      <c r="B7132" t="str">
        <f>"0.59"</f>
        <v>0.59</v>
      </c>
      <c r="C7132" t="str">
        <f>"25"</f>
        <v>25</v>
      </c>
      <c r="D7132" t="str">
        <f>"Duskland"</f>
        <v>Duskland</v>
      </c>
    </row>
    <row r="7133" spans="1:4" x14ac:dyDescent="0.2">
      <c r="A7133" t="str">
        <f>"7132"</f>
        <v>7132</v>
      </c>
      <c r="B7133" t="str">
        <f>"0.65"</f>
        <v>0.65</v>
      </c>
      <c r="C7133" t="str">
        <f>"31"</f>
        <v>31</v>
      </c>
      <c r="D7133" t="s">
        <v>248</v>
      </c>
    </row>
    <row r="7134" spans="1:4" x14ac:dyDescent="0.2">
      <c r="A7134" t="str">
        <f>"7133"</f>
        <v>7133</v>
      </c>
      <c r="B7134" t="str">
        <f>"-0.22"</f>
        <v>-0.22</v>
      </c>
      <c r="C7134" t="str">
        <f>"29"</f>
        <v>29</v>
      </c>
      <c r="D7134" t="str">
        <f>"American Drift"</f>
        <v>American Drift</v>
      </c>
    </row>
    <row r="7135" spans="1:4" x14ac:dyDescent="0.2">
      <c r="A7135" t="str">
        <f>"7134"</f>
        <v>7134</v>
      </c>
      <c r="B7135" t="str">
        <f>"-0.65"</f>
        <v>-0.65</v>
      </c>
      <c r="C7135" t="str">
        <f>"18"</f>
        <v>18</v>
      </c>
      <c r="D7135" t="str">
        <f>"The Blackest Eye EP"</f>
        <v>The Blackest Eye EP</v>
      </c>
    </row>
    <row r="7136" spans="1:4" x14ac:dyDescent="0.2">
      <c r="A7136" t="str">
        <f>"7135"</f>
        <v>7135</v>
      </c>
      <c r="B7136" t="str">
        <f>"1.28"</f>
        <v>1.28</v>
      </c>
      <c r="C7136" t="str">
        <f>"29"</f>
        <v>29</v>
      </c>
      <c r="D7136" t="str">
        <f>"Morning World"</f>
        <v>Morning World</v>
      </c>
    </row>
    <row r="7137" spans="1:4" x14ac:dyDescent="0.2">
      <c r="A7137" t="str">
        <f>"7136"</f>
        <v>7136</v>
      </c>
      <c r="B7137" t="str">
        <f>"0.73"</f>
        <v>0.73</v>
      </c>
      <c r="C7137" t="str">
        <f>"14"</f>
        <v>14</v>
      </c>
      <c r="D7137" t="s">
        <v>249</v>
      </c>
    </row>
    <row r="7138" spans="1:4" x14ac:dyDescent="0.2">
      <c r="A7138" t="str">
        <f>"7137"</f>
        <v>7137</v>
      </c>
      <c r="B7138" t="str">
        <f>"0.31"</f>
        <v>0.31</v>
      </c>
      <c r="C7138" t="str">
        <f>"67"</f>
        <v>67</v>
      </c>
      <c r="D7138" t="str">
        <f>"Compton"</f>
        <v>Compton</v>
      </c>
    </row>
    <row r="7139" spans="1:4" x14ac:dyDescent="0.2">
      <c r="A7139" t="str">
        <f>"7138"</f>
        <v>7138</v>
      </c>
      <c r="B7139" t="str">
        <f>"0.05"</f>
        <v>0.05</v>
      </c>
      <c r="C7139" t="str">
        <f>"28"</f>
        <v>28</v>
      </c>
      <c r="D7139" t="str">
        <f>"#AndSeeThatsTheThing EP"</f>
        <v>#AndSeeThatsTheThing EP</v>
      </c>
    </row>
    <row r="7140" spans="1:4" x14ac:dyDescent="0.2">
      <c r="A7140" t="str">
        <f>"7139"</f>
        <v>7139</v>
      </c>
      <c r="B7140" t="str">
        <f>"-0.32"</f>
        <v>-0.32</v>
      </c>
      <c r="C7140" t="str">
        <f>"28"</f>
        <v>28</v>
      </c>
      <c r="D7140" t="str">
        <f>"Faded Gloryville"</f>
        <v>Faded Gloryville</v>
      </c>
    </row>
    <row r="7141" spans="1:4" x14ac:dyDescent="0.2">
      <c r="A7141" t="str">
        <f>"7140"</f>
        <v>7140</v>
      </c>
      <c r="B7141" t="str">
        <f>"-0.27"</f>
        <v>-0.27</v>
      </c>
      <c r="C7141" t="str">
        <f>"26"</f>
        <v>26</v>
      </c>
      <c r="D7141" t="str">
        <f>"You Disgust Me"</f>
        <v>You Disgust Me</v>
      </c>
    </row>
    <row r="7142" spans="1:4" x14ac:dyDescent="0.2">
      <c r="A7142" t="str">
        <f>"7141"</f>
        <v>7141</v>
      </c>
      <c r="B7142" t="str">
        <f>"0.94"</f>
        <v>0.94</v>
      </c>
      <c r="C7142" t="str">
        <f>"16"</f>
        <v>16</v>
      </c>
      <c r="D7142" t="str">
        <f>"Persuasion EP"</f>
        <v>Persuasion EP</v>
      </c>
    </row>
    <row r="7143" spans="1:4" x14ac:dyDescent="0.2">
      <c r="A7143" t="str">
        <f>"7142"</f>
        <v>7142</v>
      </c>
      <c r="B7143" t="str">
        <f>"-0.09"</f>
        <v>-0.09</v>
      </c>
      <c r="C7143" t="str">
        <f>"45"</f>
        <v>45</v>
      </c>
      <c r="D7143" t="str">
        <f>"Free (Based Freestyles Mixtape)"</f>
        <v>Free (Based Freestyles Mixtape)</v>
      </c>
    </row>
    <row r="7144" spans="1:4" x14ac:dyDescent="0.2">
      <c r="A7144" t="str">
        <f>"7143"</f>
        <v>7143</v>
      </c>
      <c r="B7144" t="str">
        <f>"-0.09"</f>
        <v>-0.09</v>
      </c>
      <c r="C7144" t="str">
        <f>"57"</f>
        <v>57</v>
      </c>
      <c r="D7144" t="str">
        <f>"Press Color"</f>
        <v>Press Color</v>
      </c>
    </row>
    <row r="7145" spans="1:4" x14ac:dyDescent="0.2">
      <c r="A7145" t="str">
        <f>"7144"</f>
        <v>7144</v>
      </c>
      <c r="B7145" t="str">
        <f>"0.19"</f>
        <v>0.19</v>
      </c>
      <c r="C7145" t="str">
        <f>"25"</f>
        <v>25</v>
      </c>
      <c r="D7145" t="str">
        <f>"Body Complex"</f>
        <v>Body Complex</v>
      </c>
    </row>
    <row r="7146" spans="1:4" x14ac:dyDescent="0.2">
      <c r="A7146" t="str">
        <f>"7145"</f>
        <v>7145</v>
      </c>
      <c r="B7146" t="str">
        <f>"-0.18"</f>
        <v>-0.18</v>
      </c>
      <c r="C7146" t="str">
        <f>"31"</f>
        <v>31</v>
      </c>
      <c r="D7146" t="s">
        <v>250</v>
      </c>
    </row>
    <row r="7147" spans="1:4" x14ac:dyDescent="0.2">
      <c r="A7147" t="str">
        <f>"7146"</f>
        <v>7146</v>
      </c>
      <c r="B7147" t="str">
        <f>"0.43"</f>
        <v>0.43</v>
      </c>
      <c r="C7147" t="str">
        <f>"35"</f>
        <v>35</v>
      </c>
      <c r="D7147" t="str">
        <f>"Jessie Jones"</f>
        <v>Jessie Jones</v>
      </c>
    </row>
    <row r="7148" spans="1:4" x14ac:dyDescent="0.2">
      <c r="A7148" t="str">
        <f>"7147"</f>
        <v>7147</v>
      </c>
      <c r="B7148" t="str">
        <f>"0.45"</f>
        <v>0.45</v>
      </c>
      <c r="C7148" t="str">
        <f>"39"</f>
        <v>39</v>
      </c>
      <c r="D7148" t="str">
        <f>"Abyss"</f>
        <v>Abyss</v>
      </c>
    </row>
    <row r="7149" spans="1:4" x14ac:dyDescent="0.2">
      <c r="A7149" t="str">
        <f>"7148"</f>
        <v>7148</v>
      </c>
      <c r="B7149" t="str">
        <f>"0.45"</f>
        <v>0.45</v>
      </c>
      <c r="C7149" t="str">
        <f>"51"</f>
        <v>51</v>
      </c>
      <c r="D7149" t="str">
        <f>"Lotus Collage"</f>
        <v>Lotus Collage</v>
      </c>
    </row>
    <row r="7150" spans="1:4" x14ac:dyDescent="0.2">
      <c r="A7150" t="str">
        <f>"7149"</f>
        <v>7149</v>
      </c>
      <c r="B7150" t="str">
        <f>"0.59"</f>
        <v>0.59</v>
      </c>
      <c r="C7150" t="str">
        <f>"30"</f>
        <v>30</v>
      </c>
      <c r="D7150" t="str">
        <f>"Works for Tomorrow"</f>
        <v>Works for Tomorrow</v>
      </c>
    </row>
    <row r="7151" spans="1:4" x14ac:dyDescent="0.2">
      <c r="A7151" t="str">
        <f>"7150"</f>
        <v>7150</v>
      </c>
      <c r="B7151" t="str">
        <f>"0.94"</f>
        <v>0.94</v>
      </c>
      <c r="C7151" t="str">
        <f>"21"</f>
        <v>21</v>
      </c>
      <c r="D7151" t="str">
        <f>"Colors of the Sun"</f>
        <v>Colors of the Sun</v>
      </c>
    </row>
    <row r="7152" spans="1:4" x14ac:dyDescent="0.2">
      <c r="A7152" t="str">
        <f>"7151"</f>
        <v>7151</v>
      </c>
      <c r="B7152" t="str">
        <f>"0.17"</f>
        <v>0.17</v>
      </c>
      <c r="C7152" t="str">
        <f>"31"</f>
        <v>31</v>
      </c>
      <c r="D7152" t="str">
        <f>"Public Domain 4"</f>
        <v>Public Domain 4</v>
      </c>
    </row>
    <row r="7153" spans="1:4" x14ac:dyDescent="0.2">
      <c r="A7153" t="str">
        <f>"7152"</f>
        <v>7152</v>
      </c>
      <c r="B7153" t="str">
        <f>"0.48"</f>
        <v>0.48</v>
      </c>
      <c r="C7153" t="str">
        <f>"17"</f>
        <v>17</v>
      </c>
      <c r="D7153" t="str">
        <f>"Love Is Free"</f>
        <v>Love Is Free</v>
      </c>
    </row>
    <row r="7154" spans="1:4" x14ac:dyDescent="0.2">
      <c r="A7154" t="str">
        <f>"7153"</f>
        <v>7153</v>
      </c>
      <c r="B7154" t="str">
        <f>"-0.32"</f>
        <v>-0.32</v>
      </c>
      <c r="C7154" t="str">
        <f>"41"</f>
        <v>41</v>
      </c>
      <c r="D7154" t="str">
        <f>"Ygg Huur"</f>
        <v>Ygg Huur</v>
      </c>
    </row>
    <row r="7155" spans="1:4" x14ac:dyDescent="0.2">
      <c r="A7155" t="str">
        <f>"7154"</f>
        <v>7154</v>
      </c>
      <c r="B7155" t="str">
        <f>"-0.29"</f>
        <v>-0.29</v>
      </c>
      <c r="C7155" t="str">
        <f>"41"</f>
        <v>41</v>
      </c>
      <c r="D7155" t="str">
        <f>"Ivywild"</f>
        <v>Ivywild</v>
      </c>
    </row>
    <row r="7156" spans="1:4" x14ac:dyDescent="0.2">
      <c r="A7156" t="str">
        <f>"7155"</f>
        <v>7155</v>
      </c>
      <c r="B7156" t="str">
        <f>"0.52"</f>
        <v>0.52</v>
      </c>
      <c r="C7156" t="str">
        <f>"28"</f>
        <v>28</v>
      </c>
      <c r="D7156" t="str">
        <f>"Built In Sun"</f>
        <v>Built In Sun</v>
      </c>
    </row>
    <row r="7157" spans="1:4" x14ac:dyDescent="0.2">
      <c r="A7157" t="str">
        <f>"7156"</f>
        <v>7156</v>
      </c>
      <c r="B7157" t="str">
        <f>"0.82"</f>
        <v>0.82</v>
      </c>
      <c r="C7157" t="str">
        <f>"30"</f>
        <v>30</v>
      </c>
      <c r="D7157" t="str">
        <f>"Love From Dust"</f>
        <v>Love From Dust</v>
      </c>
    </row>
    <row r="7158" spans="1:4" x14ac:dyDescent="0.2">
      <c r="A7158" t="str">
        <f>"7157"</f>
        <v>7157</v>
      </c>
      <c r="B7158" t="str">
        <f>"1.07"</f>
        <v>1.07</v>
      </c>
      <c r="C7158" t="str">
        <f>"36"</f>
        <v>36</v>
      </c>
      <c r="D7158" t="str">
        <f>"Regulate...G Funk Era Part II EP"</f>
        <v>Regulate...G Funk Era Part II EP</v>
      </c>
    </row>
    <row r="7159" spans="1:4" x14ac:dyDescent="0.2">
      <c r="A7159" t="str">
        <f>"7158"</f>
        <v>7158</v>
      </c>
      <c r="B7159" t="str">
        <f>"-0.07"</f>
        <v>-0.07</v>
      </c>
      <c r="C7159" t="str">
        <f>"35"</f>
        <v>35</v>
      </c>
      <c r="D7159" t="str">
        <f>"Woman"</f>
        <v>Woman</v>
      </c>
    </row>
    <row r="7160" spans="1:4" x14ac:dyDescent="0.2">
      <c r="A7160" t="str">
        <f>"7159"</f>
        <v>7159</v>
      </c>
      <c r="B7160" t="str">
        <f>"0.3"</f>
        <v>0.3</v>
      </c>
      <c r="C7160" t="str">
        <f>"43"</f>
        <v>43</v>
      </c>
      <c r="D7160" t="str">
        <f>"10 Summers: The Mixtape Vol. 1"</f>
        <v>10 Summers: The Mixtape Vol. 1</v>
      </c>
    </row>
    <row r="7161" spans="1:4" x14ac:dyDescent="0.2">
      <c r="A7161" t="str">
        <f>"7160"</f>
        <v>7160</v>
      </c>
      <c r="B7161" t="str">
        <f>"-0.4"</f>
        <v>-0.4</v>
      </c>
      <c r="C7161" t="str">
        <f>"52"</f>
        <v>52</v>
      </c>
      <c r="D7161" t="str">
        <f>"Thank You for Stickin' With Twig"</f>
        <v>Thank You for Stickin' With Twig</v>
      </c>
    </row>
    <row r="7162" spans="1:4" x14ac:dyDescent="0.2">
      <c r="A7162" t="str">
        <f>"7161"</f>
        <v>7161</v>
      </c>
      <c r="B7162" t="str">
        <f>"-0.26"</f>
        <v>-0.26</v>
      </c>
      <c r="C7162" t="str">
        <f>"35"</f>
        <v>35</v>
      </c>
      <c r="D7162" t="str">
        <f>"RIP III"</f>
        <v>RIP III</v>
      </c>
    </row>
    <row r="7163" spans="1:4" x14ac:dyDescent="0.2">
      <c r="A7163" t="str">
        <f>"7162"</f>
        <v>7162</v>
      </c>
      <c r="B7163" t="str">
        <f>"0.04"</f>
        <v>0.04</v>
      </c>
      <c r="C7163" t="str">
        <f>"36"</f>
        <v>36</v>
      </c>
      <c r="D7163" t="str">
        <f>"Another One"</f>
        <v>Another One</v>
      </c>
    </row>
    <row r="7164" spans="1:4" x14ac:dyDescent="0.2">
      <c r="A7164" t="str">
        <f>"7163"</f>
        <v>7163</v>
      </c>
      <c r="B7164" t="str">
        <f>"-0.23"</f>
        <v>-0.23</v>
      </c>
      <c r="C7164" t="str">
        <f>"28"</f>
        <v>28</v>
      </c>
      <c r="D7164" t="str">
        <f>"Weirdo Shrine"</f>
        <v>Weirdo Shrine</v>
      </c>
    </row>
    <row r="7165" spans="1:4" x14ac:dyDescent="0.2">
      <c r="A7165" t="str">
        <f>"7164"</f>
        <v>7164</v>
      </c>
      <c r="B7165" t="str">
        <f>"-1.13"</f>
        <v>-1.13</v>
      </c>
      <c r="C7165" t="str">
        <f>"25"</f>
        <v>25</v>
      </c>
      <c r="D7165" t="str">
        <f>"Holographic Violence"</f>
        <v>Holographic Violence</v>
      </c>
    </row>
    <row r="7166" spans="1:4" x14ac:dyDescent="0.2">
      <c r="A7166" t="str">
        <f>"7165"</f>
        <v>7165</v>
      </c>
      <c r="B7166" t="str">
        <f>"0.45"</f>
        <v>0.45</v>
      </c>
      <c r="C7166" t="str">
        <f>"32"</f>
        <v>32</v>
      </c>
      <c r="D7166" t="str">
        <f>"Tha Truth"</f>
        <v>Tha Truth</v>
      </c>
    </row>
    <row r="7167" spans="1:4" x14ac:dyDescent="0.2">
      <c r="A7167" t="str">
        <f>"7166"</f>
        <v>7166</v>
      </c>
      <c r="B7167" t="str">
        <f>"-0.39"</f>
        <v>-0.39</v>
      </c>
      <c r="C7167" t="str">
        <f>"27"</f>
        <v>27</v>
      </c>
      <c r="D7167" t="str">
        <f>"Into the Eye of Satan"</f>
        <v>Into the Eye of Satan</v>
      </c>
    </row>
    <row r="7168" spans="1:4" x14ac:dyDescent="0.2">
      <c r="A7168" t="str">
        <f>"7167"</f>
        <v>7167</v>
      </c>
      <c r="B7168" t="str">
        <f>"0.19"</f>
        <v>0.19</v>
      </c>
      <c r="C7168" t="str">
        <f>"33"</f>
        <v>33</v>
      </c>
      <c r="D7168" t="str">
        <f>"Death Magic"</f>
        <v>Death Magic</v>
      </c>
    </row>
    <row r="7169" spans="1:4" x14ac:dyDescent="0.2">
      <c r="A7169" t="str">
        <f>"7168"</f>
        <v>7168</v>
      </c>
      <c r="B7169" t="str">
        <f>"0.1"</f>
        <v>0.1</v>
      </c>
      <c r="C7169" t="str">
        <f>"39"</f>
        <v>39</v>
      </c>
      <c r="D7169" t="str">
        <f>"Bahdeni Nami"</f>
        <v>Bahdeni Nami</v>
      </c>
    </row>
    <row r="7170" spans="1:4" x14ac:dyDescent="0.2">
      <c r="A7170" t="str">
        <f>"7169"</f>
        <v>7169</v>
      </c>
      <c r="B7170" t="str">
        <f>"-0.14"</f>
        <v>-0.14</v>
      </c>
      <c r="C7170" t="str">
        <f>"25"</f>
        <v>25</v>
      </c>
      <c r="D7170" t="str">
        <f>"Pearl Charles EP"</f>
        <v>Pearl Charles EP</v>
      </c>
    </row>
    <row r="7171" spans="1:4" x14ac:dyDescent="0.2">
      <c r="A7171" t="str">
        <f>"7170"</f>
        <v>7170</v>
      </c>
      <c r="B7171" t="str">
        <f>"0.54"</f>
        <v>0.54</v>
      </c>
      <c r="C7171" t="str">
        <f>"25"</f>
        <v>25</v>
      </c>
      <c r="D7171" t="str">
        <f>"Green Lanes"</f>
        <v>Green Lanes</v>
      </c>
    </row>
    <row r="7172" spans="1:4" x14ac:dyDescent="0.2">
      <c r="A7172" t="str">
        <f>"7171"</f>
        <v>7171</v>
      </c>
      <c r="B7172" t="str">
        <f>"-1.27"</f>
        <v>-1.27</v>
      </c>
      <c r="C7172" t="str">
        <f>"18"</f>
        <v>18</v>
      </c>
      <c r="D7172" t="str">
        <f>"Fratello Mare"</f>
        <v>Fratello Mare</v>
      </c>
    </row>
    <row r="7173" spans="1:4" x14ac:dyDescent="0.2">
      <c r="A7173" t="str">
        <f>"7172"</f>
        <v>7172</v>
      </c>
      <c r="B7173" t="str">
        <f>"-0.55"</f>
        <v>-0.55</v>
      </c>
      <c r="C7173" t="str">
        <f>"34"</f>
        <v>34</v>
      </c>
      <c r="D7173" t="str">
        <f>"Yung Rich Nation"</f>
        <v>Yung Rich Nation</v>
      </c>
    </row>
    <row r="7174" spans="1:4" x14ac:dyDescent="0.2">
      <c r="A7174" t="str">
        <f>"7173"</f>
        <v>7173</v>
      </c>
      <c r="B7174" t="str">
        <f>"-0.39"</f>
        <v>-0.39</v>
      </c>
      <c r="C7174" t="str">
        <f>"39"</f>
        <v>39</v>
      </c>
      <c r="D7174" t="str">
        <f>"L​.​P​.​1. aka ""14 Year Old High School PC​-​Fascist Hype Lords..."</f>
        <v>L​.​P​.​1. aka "14 Year Old High School PC​-​Fascist Hype Lords...</v>
      </c>
    </row>
    <row r="7175" spans="1:4" x14ac:dyDescent="0.2">
      <c r="A7175" t="str">
        <f>"7174"</f>
        <v>7174</v>
      </c>
      <c r="B7175" t="str">
        <f>"0.98"</f>
        <v>0.98</v>
      </c>
      <c r="C7175" t="str">
        <f>"36"</f>
        <v>36</v>
      </c>
      <c r="D7175" t="s">
        <v>251</v>
      </c>
    </row>
    <row r="7176" spans="1:4" x14ac:dyDescent="0.2">
      <c r="A7176" t="str">
        <f>"7175"</f>
        <v>7175</v>
      </c>
      <c r="B7176" t="str">
        <f>"-0.4"</f>
        <v>-0.4</v>
      </c>
      <c r="C7176" t="str">
        <f>"24"</f>
        <v>24</v>
      </c>
      <c r="D7176" t="str">
        <f>"Pain"</f>
        <v>Pain</v>
      </c>
    </row>
    <row r="7177" spans="1:4" x14ac:dyDescent="0.2">
      <c r="A7177" t="str">
        <f>"7176"</f>
        <v>7176</v>
      </c>
      <c r="B7177" t="str">
        <f>"0.21"</f>
        <v>0.21</v>
      </c>
      <c r="C7177" t="str">
        <f>"36"</f>
        <v>36</v>
      </c>
      <c r="D7177" t="str">
        <f>"Live at the 12 Bar"</f>
        <v>Live at the 12 Bar</v>
      </c>
    </row>
    <row r="7178" spans="1:4" x14ac:dyDescent="0.2">
      <c r="A7178" t="str">
        <f>"7177"</f>
        <v>7177</v>
      </c>
      <c r="B7178" t="str">
        <f>"-0.36"</f>
        <v>-0.36</v>
      </c>
      <c r="C7178" t="str">
        <f>"23"</f>
        <v>23</v>
      </c>
      <c r="D7178" t="s">
        <v>252</v>
      </c>
    </row>
    <row r="7179" spans="1:4" x14ac:dyDescent="0.2">
      <c r="A7179" t="str">
        <f>"7178"</f>
        <v>7178</v>
      </c>
      <c r="B7179" t="str">
        <f>"0.39"</f>
        <v>0.39</v>
      </c>
      <c r="C7179" t="str">
        <f>"34"</f>
        <v>34</v>
      </c>
      <c r="D7179" t="str">
        <f>"Living Legend"</f>
        <v>Living Legend</v>
      </c>
    </row>
    <row r="7180" spans="1:4" x14ac:dyDescent="0.2">
      <c r="A7180" t="str">
        <f>"7179"</f>
        <v>7179</v>
      </c>
      <c r="B7180" t="str">
        <f>"0.15"</f>
        <v>0.15</v>
      </c>
      <c r="C7180" t="str">
        <f>"23"</f>
        <v>23</v>
      </c>
      <c r="D7180" t="str">
        <f>"Live at the Fillmore East October 4th &amp; 5th 1968"</f>
        <v>Live at the Fillmore East October 4th &amp; 5th 1968</v>
      </c>
    </row>
    <row r="7181" spans="1:4" x14ac:dyDescent="0.2">
      <c r="A7181" t="str">
        <f>"7180"</f>
        <v>7180</v>
      </c>
      <c r="B7181" t="str">
        <f>"-0.15"</f>
        <v>-0.15</v>
      </c>
      <c r="C7181" t="str">
        <f>"25"</f>
        <v>25</v>
      </c>
      <c r="D7181" t="str">
        <f>"Seraph"</f>
        <v>Seraph</v>
      </c>
    </row>
    <row r="7182" spans="1:4" x14ac:dyDescent="0.2">
      <c r="A7182" t="str">
        <f>"7181"</f>
        <v>7181</v>
      </c>
      <c r="B7182" t="str">
        <f>"0.86"</f>
        <v>0.86</v>
      </c>
      <c r="C7182" t="str">
        <f>"37"</f>
        <v>37</v>
      </c>
      <c r="D7182" t="str">
        <f>"The Blade"</f>
        <v>The Blade</v>
      </c>
    </row>
    <row r="7183" spans="1:4" x14ac:dyDescent="0.2">
      <c r="A7183" t="str">
        <f>"7182"</f>
        <v>7182</v>
      </c>
      <c r="B7183" t="str">
        <f>"0.11"</f>
        <v>0.11</v>
      </c>
      <c r="C7183" t="str">
        <f>"23"</f>
        <v>23</v>
      </c>
      <c r="D7183" t="str">
        <f>"White Reaper Does It Again"</f>
        <v>White Reaper Does It Again</v>
      </c>
    </row>
    <row r="7184" spans="1:4" x14ac:dyDescent="0.2">
      <c r="A7184" t="str">
        <f>"7183"</f>
        <v>7183</v>
      </c>
      <c r="B7184" t="str">
        <f>"-0.37"</f>
        <v>-0.37</v>
      </c>
      <c r="C7184" t="str">
        <f>"22"</f>
        <v>22</v>
      </c>
      <c r="D7184" t="str">
        <f>"Snooty Garbagemen"</f>
        <v>Snooty Garbagemen</v>
      </c>
    </row>
    <row r="7185" spans="1:4" x14ac:dyDescent="0.2">
      <c r="A7185" t="str">
        <f>"7184"</f>
        <v>7184</v>
      </c>
      <c r="B7185" t="str">
        <f>"0.51"</f>
        <v>0.51</v>
      </c>
      <c r="C7185" t="str">
        <f>"39"</f>
        <v>39</v>
      </c>
      <c r="D7185" t="str">
        <f>"No Life For Me"</f>
        <v>No Life For Me</v>
      </c>
    </row>
    <row r="7186" spans="1:4" x14ac:dyDescent="0.2">
      <c r="A7186" t="str">
        <f>"7185"</f>
        <v>7185</v>
      </c>
      <c r="B7186" t="str">
        <f>"0.69"</f>
        <v>0.69</v>
      </c>
      <c r="C7186" t="str">
        <f>"17"</f>
        <v>17</v>
      </c>
      <c r="D7186" t="str">
        <f>"St. Catherine"</f>
        <v>St. Catherine</v>
      </c>
    </row>
    <row r="7187" spans="1:4" x14ac:dyDescent="0.2">
      <c r="A7187" t="str">
        <f>"7186"</f>
        <v>7186</v>
      </c>
      <c r="B7187" t="str">
        <f>"-0.58"</f>
        <v>-0.58</v>
      </c>
      <c r="C7187" t="str">
        <f>"44"</f>
        <v>44</v>
      </c>
      <c r="D7187" t="str">
        <f>"Lost Time"</f>
        <v>Lost Time</v>
      </c>
    </row>
    <row r="7188" spans="1:4" x14ac:dyDescent="0.2">
      <c r="A7188" t="str">
        <f>"7187"</f>
        <v>7187</v>
      </c>
      <c r="B7188" t="str">
        <f>"0.11"</f>
        <v>0.11</v>
      </c>
      <c r="C7188" t="str">
        <f>"29"</f>
        <v>29</v>
      </c>
      <c r="D7188" t="str">
        <f>"Psychic Reader"</f>
        <v>Psychic Reader</v>
      </c>
    </row>
    <row r="7189" spans="1:4" x14ac:dyDescent="0.2">
      <c r="A7189" t="str">
        <f>"7188"</f>
        <v>7188</v>
      </c>
      <c r="B7189" t="str">
        <f>"-0.89"</f>
        <v>-0.89</v>
      </c>
      <c r="C7189" t="str">
        <f>"17"</f>
        <v>17</v>
      </c>
      <c r="D7189" t="str">
        <f>"You Never Show Your Love EP"</f>
        <v>You Never Show Your Love EP</v>
      </c>
    </row>
    <row r="7190" spans="1:4" x14ac:dyDescent="0.2">
      <c r="A7190" t="str">
        <f>"7189"</f>
        <v>7189</v>
      </c>
      <c r="B7190" t="str">
        <f>"0.13"</f>
        <v>0.13</v>
      </c>
      <c r="C7190" t="str">
        <f>"21"</f>
        <v>21</v>
      </c>
      <c r="D7190" t="str">
        <f>"Sketches From An Island 3"</f>
        <v>Sketches From An Island 3</v>
      </c>
    </row>
    <row r="7191" spans="1:4" x14ac:dyDescent="0.2">
      <c r="A7191" t="str">
        <f>"7190"</f>
        <v>7190</v>
      </c>
      <c r="B7191" t="str">
        <f>"-0.43"</f>
        <v>-0.43</v>
      </c>
      <c r="C7191" t="str">
        <f>"38"</f>
        <v>38</v>
      </c>
      <c r="D7191" t="str">
        <f>"Explora EP"</f>
        <v>Explora EP</v>
      </c>
    </row>
    <row r="7192" spans="1:4" x14ac:dyDescent="0.2">
      <c r="A7192" t="str">
        <f>"7191"</f>
        <v>7191</v>
      </c>
      <c r="B7192" t="str">
        <f>"0.44"</f>
        <v>0.44</v>
      </c>
      <c r="C7192" t="str">
        <f>"31"</f>
        <v>31</v>
      </c>
      <c r="D7192" t="str">
        <f>"Momentary Masters"</f>
        <v>Momentary Masters</v>
      </c>
    </row>
    <row r="7193" spans="1:4" x14ac:dyDescent="0.2">
      <c r="A7193" t="str">
        <f>"7192"</f>
        <v>7192</v>
      </c>
      <c r="B7193" t="str">
        <f>"-1.02"</f>
        <v>-1.02</v>
      </c>
      <c r="C7193" t="str">
        <f>"34"</f>
        <v>34</v>
      </c>
      <c r="D7193" t="str">
        <f>"Cascade / The Deluge"</f>
        <v>Cascade / The Deluge</v>
      </c>
    </row>
    <row r="7194" spans="1:4" x14ac:dyDescent="0.2">
      <c r="A7194" t="str">
        <f>"7193"</f>
        <v>7193</v>
      </c>
      <c r="B7194" t="str">
        <f>"0.11"</f>
        <v>0.11</v>
      </c>
      <c r="C7194" t="str">
        <f>"30"</f>
        <v>30</v>
      </c>
      <c r="D7194" t="str">
        <f>"Risveglio"</f>
        <v>Risveglio</v>
      </c>
    </row>
    <row r="7195" spans="1:4" x14ac:dyDescent="0.2">
      <c r="A7195" t="str">
        <f>"7194"</f>
        <v>7194</v>
      </c>
      <c r="B7195" t="str">
        <f>"0.85"</f>
        <v>0.85</v>
      </c>
      <c r="C7195" t="str">
        <f>"19"</f>
        <v>19</v>
      </c>
      <c r="D7195" t="str">
        <f>"as if to each other..."</f>
        <v>as if to each other...</v>
      </c>
    </row>
    <row r="7196" spans="1:4" x14ac:dyDescent="0.2">
      <c r="A7196" t="str">
        <f>"7195"</f>
        <v>7195</v>
      </c>
      <c r="B7196" t="str">
        <f>"-0.56"</f>
        <v>-0.56</v>
      </c>
      <c r="C7196" t="str">
        <f>"18"</f>
        <v>18</v>
      </c>
      <c r="D7196" t="str">
        <f>"Earth"</f>
        <v>Earth</v>
      </c>
    </row>
    <row r="7197" spans="1:4" x14ac:dyDescent="0.2">
      <c r="A7197" t="str">
        <f>"7196"</f>
        <v>7196</v>
      </c>
      <c r="B7197" t="str">
        <f>"-0.04"</f>
        <v>-0.04</v>
      </c>
      <c r="C7197" t="str">
        <f>"64"</f>
        <v>64</v>
      </c>
      <c r="D7197" t="str">
        <f>"Presence"</f>
        <v>Presence</v>
      </c>
    </row>
    <row r="7198" spans="1:4" x14ac:dyDescent="0.2">
      <c r="A7198" t="str">
        <f>"7197"</f>
        <v>7197</v>
      </c>
      <c r="B7198" t="str">
        <f>"1.29"</f>
        <v>1.29</v>
      </c>
      <c r="C7198" t="str">
        <f>"25"</f>
        <v>25</v>
      </c>
      <c r="D7198" t="str">
        <f>"Knockin' Boots"</f>
        <v>Knockin' Boots</v>
      </c>
    </row>
    <row r="7199" spans="1:4" x14ac:dyDescent="0.2">
      <c r="A7199" t="str">
        <f>"7198"</f>
        <v>7198</v>
      </c>
      <c r="B7199" t="str">
        <f>"0.51"</f>
        <v>0.51</v>
      </c>
      <c r="C7199" t="str">
        <f>"36"</f>
        <v>36</v>
      </c>
      <c r="D7199" t="str">
        <f>"Blood"</f>
        <v>Blood</v>
      </c>
    </row>
    <row r="7200" spans="1:4" x14ac:dyDescent="0.2">
      <c r="A7200" t="str">
        <f>"7199"</f>
        <v>7199</v>
      </c>
      <c r="B7200" t="str">
        <f>"0.07"</f>
        <v>0.07</v>
      </c>
      <c r="C7200" t="str">
        <f>"21"</f>
        <v>21</v>
      </c>
      <c r="D7200" t="str">
        <f>"Momentary Lapse of Happily"</f>
        <v>Momentary Lapse of Happily</v>
      </c>
    </row>
    <row r="7201" spans="1:4" x14ac:dyDescent="0.2">
      <c r="A7201" t="str">
        <f>"7200"</f>
        <v>7200</v>
      </c>
      <c r="B7201" t="str">
        <f>"0"</f>
        <v>0</v>
      </c>
      <c r="C7201" t="str">
        <f>"41"</f>
        <v>41</v>
      </c>
      <c r="D7201" t="str">
        <f>"King Heavy Metal"</f>
        <v>King Heavy Metal</v>
      </c>
    </row>
    <row r="7202" spans="1:4" x14ac:dyDescent="0.2">
      <c r="A7202" t="str">
        <f>"7201"</f>
        <v>7201</v>
      </c>
      <c r="B7202" t="str">
        <f>"-0.4"</f>
        <v>-0.4</v>
      </c>
      <c r="C7202" t="str">
        <f>"81"</f>
        <v>81</v>
      </c>
      <c r="D7202" t="str">
        <f>"The Most Lamentable Tragedy"</f>
        <v>The Most Lamentable Tragedy</v>
      </c>
    </row>
    <row r="7203" spans="1:4" x14ac:dyDescent="0.2">
      <c r="A7203" t="str">
        <f>"7202"</f>
        <v>7202</v>
      </c>
      <c r="B7203" t="str">
        <f>"-0.94"</f>
        <v>-0.94</v>
      </c>
      <c r="C7203" t="str">
        <f>"43"</f>
        <v>43</v>
      </c>
      <c r="D7203" t="str">
        <f>"Man Plans God Laughs"</f>
        <v>Man Plans God Laughs</v>
      </c>
    </row>
    <row r="7204" spans="1:4" x14ac:dyDescent="0.2">
      <c r="A7204" t="str">
        <f>"7203"</f>
        <v>7203</v>
      </c>
      <c r="B7204" t="str">
        <f>"-0.33"</f>
        <v>-0.33</v>
      </c>
      <c r="C7204" t="str">
        <f>"44"</f>
        <v>44</v>
      </c>
      <c r="D7204" t="str">
        <f>"VII: Sturm und Drang"</f>
        <v>VII: Sturm und Drang</v>
      </c>
    </row>
    <row r="7205" spans="1:4" x14ac:dyDescent="0.2">
      <c r="A7205" t="str">
        <f>"7204"</f>
        <v>7204</v>
      </c>
      <c r="B7205" t="str">
        <f>"0.72"</f>
        <v>0.72</v>
      </c>
      <c r="C7205" t="str">
        <f>"27"</f>
        <v>27</v>
      </c>
      <c r="D7205" t="str">
        <f>"CASHINTHEBATHROOM EP"</f>
        <v>CASHINTHEBATHROOM EP</v>
      </c>
    </row>
    <row r="7206" spans="1:4" x14ac:dyDescent="0.2">
      <c r="A7206" t="str">
        <f>"7205"</f>
        <v>7205</v>
      </c>
      <c r="B7206" t="str">
        <f>"0.55"</f>
        <v>0.55</v>
      </c>
      <c r="C7206" t="str">
        <f>"22"</f>
        <v>22</v>
      </c>
      <c r="D7206" t="str">
        <f>"Practice What U Preach"</f>
        <v>Practice What U Preach</v>
      </c>
    </row>
    <row r="7207" spans="1:4" x14ac:dyDescent="0.2">
      <c r="A7207" t="str">
        <f>"7206"</f>
        <v>7206</v>
      </c>
      <c r="B7207" t="str">
        <f>"0.75"</f>
        <v>0.75</v>
      </c>
      <c r="C7207" t="str">
        <f>"38"</f>
        <v>38</v>
      </c>
      <c r="D7207" t="str">
        <f>"Miles Davis at Newport 1955-1975: The Bootleg Series Vol. 4"</f>
        <v>Miles Davis at Newport 1955-1975: The Bootleg Series Vol. 4</v>
      </c>
    </row>
    <row r="7208" spans="1:4" x14ac:dyDescent="0.2">
      <c r="A7208" t="str">
        <f>"7207"</f>
        <v>7207</v>
      </c>
      <c r="B7208" t="str">
        <f>"0.31"</f>
        <v>0.31</v>
      </c>
      <c r="C7208" t="str">
        <f>"27"</f>
        <v>27</v>
      </c>
      <c r="D7208" t="str">
        <f>"How Does It Feel"</f>
        <v>How Does It Feel</v>
      </c>
    </row>
    <row r="7209" spans="1:4" x14ac:dyDescent="0.2">
      <c r="A7209" t="str">
        <f>"7208"</f>
        <v>7208</v>
      </c>
      <c r="B7209" t="str">
        <f>"-0.29"</f>
        <v>-0.29</v>
      </c>
      <c r="C7209" t="str">
        <f>"30"</f>
        <v>30</v>
      </c>
      <c r="D7209" t="str">
        <f>"Y Dydd Olaf"</f>
        <v>Y Dydd Olaf</v>
      </c>
    </row>
    <row r="7210" spans="1:4" x14ac:dyDescent="0.2">
      <c r="A7210" t="str">
        <f>"7209"</f>
        <v>7209</v>
      </c>
      <c r="B7210" t="str">
        <f>"0.04"</f>
        <v>0.04</v>
      </c>
      <c r="C7210" t="str">
        <f>"29"</f>
        <v>29</v>
      </c>
      <c r="D7210" t="str">
        <f>"Days"</f>
        <v>Days</v>
      </c>
    </row>
    <row r="7211" spans="1:4" x14ac:dyDescent="0.2">
      <c r="A7211" t="str">
        <f>"7210"</f>
        <v>7210</v>
      </c>
      <c r="B7211" t="str">
        <f>"1.1"</f>
        <v>1.1</v>
      </c>
      <c r="C7211" t="str">
        <f>"28"</f>
        <v>28</v>
      </c>
      <c r="D7211" t="str">
        <f>"Watkins Family Hour"</f>
        <v>Watkins Family Hour</v>
      </c>
    </row>
    <row r="7212" spans="1:4" x14ac:dyDescent="0.2">
      <c r="A7212" t="str">
        <f>"7211"</f>
        <v>7211</v>
      </c>
      <c r="B7212" t="str">
        <f>"0.22"</f>
        <v>0.22</v>
      </c>
      <c r="C7212" t="str">
        <f>"46"</f>
        <v>46</v>
      </c>
      <c r="D7212" t="str">
        <f>"Star Wars"</f>
        <v>Star Wars</v>
      </c>
    </row>
    <row r="7213" spans="1:4" x14ac:dyDescent="0.2">
      <c r="A7213" t="str">
        <f>"7212"</f>
        <v>7212</v>
      </c>
      <c r="B7213" t="str">
        <f>"0.33"</f>
        <v>0.33</v>
      </c>
      <c r="C7213" t="str">
        <f>"28"</f>
        <v>28</v>
      </c>
      <c r="D7213" t="str">
        <f>"Time? Astonishing!"</f>
        <v>Time? Astonishing!</v>
      </c>
    </row>
    <row r="7214" spans="1:4" x14ac:dyDescent="0.2">
      <c r="A7214" t="str">
        <f>"7213"</f>
        <v>7213</v>
      </c>
      <c r="B7214" t="str">
        <f>"0.45"</f>
        <v>0.45</v>
      </c>
      <c r="C7214" t="str">
        <f>"25"</f>
        <v>25</v>
      </c>
      <c r="D7214" t="str">
        <f>"Radiance and Submission"</f>
        <v>Radiance and Submission</v>
      </c>
    </row>
    <row r="7215" spans="1:4" x14ac:dyDescent="0.2">
      <c r="A7215" t="str">
        <f>"7214"</f>
        <v>7214</v>
      </c>
      <c r="B7215" t="str">
        <f>"0.67"</f>
        <v>0.67</v>
      </c>
      <c r="C7215" t="str">
        <f>"29"</f>
        <v>29</v>
      </c>
      <c r="D7215" t="str">
        <f>"The Soul Is the Arena"</f>
        <v>The Soul Is the Arena</v>
      </c>
    </row>
    <row r="7216" spans="1:4" x14ac:dyDescent="0.2">
      <c r="A7216" t="str">
        <f>"7215"</f>
        <v>7215</v>
      </c>
      <c r="B7216" t="str">
        <f>"-1.18"</f>
        <v>-1.18</v>
      </c>
      <c r="C7216" t="str">
        <f>"18"</f>
        <v>18</v>
      </c>
      <c r="D7216" t="str">
        <f>"Many Levels of Laughter"</f>
        <v>Many Levels of Laughter</v>
      </c>
    </row>
    <row r="7217" spans="1:4" x14ac:dyDescent="0.2">
      <c r="A7217" t="str">
        <f>"7216"</f>
        <v>7216</v>
      </c>
      <c r="B7217" t="str">
        <f>"-0.46"</f>
        <v>-0.46</v>
      </c>
      <c r="C7217" t="str">
        <f>"50"</f>
        <v>50</v>
      </c>
      <c r="D7217" t="str">
        <f>"Dirty Sprite 2"</f>
        <v>Dirty Sprite 2</v>
      </c>
    </row>
    <row r="7218" spans="1:4" x14ac:dyDescent="0.2">
      <c r="A7218" t="str">
        <f>"7217"</f>
        <v>7217</v>
      </c>
      <c r="B7218" t="str">
        <f>"-0.14"</f>
        <v>-0.14</v>
      </c>
      <c r="C7218" t="str">
        <f>"44"</f>
        <v>44</v>
      </c>
      <c r="D7218" t="str">
        <f>"Infinite Dissolution"</f>
        <v>Infinite Dissolution</v>
      </c>
    </row>
    <row r="7219" spans="1:4" x14ac:dyDescent="0.2">
      <c r="A7219" t="str">
        <f>"7218"</f>
        <v>7218</v>
      </c>
      <c r="B7219" t="str">
        <f>"0.28"</f>
        <v>0.28</v>
      </c>
      <c r="C7219" t="str">
        <f>"16"</f>
        <v>16</v>
      </c>
      <c r="D7219" t="str">
        <f>"Stay Wild"</f>
        <v>Stay Wild</v>
      </c>
    </row>
    <row r="7220" spans="1:4" x14ac:dyDescent="0.2">
      <c r="A7220" t="str">
        <f>"7219"</f>
        <v>7219</v>
      </c>
      <c r="B7220" t="str">
        <f>"-1.21"</f>
        <v>-1.21</v>
      </c>
      <c r="C7220" t="str">
        <f>"23"</f>
        <v>23</v>
      </c>
      <c r="D7220" t="str">
        <f>"Mable"</f>
        <v>Mable</v>
      </c>
    </row>
    <row r="7221" spans="1:4" x14ac:dyDescent="0.2">
      <c r="A7221" t="str">
        <f>"7220"</f>
        <v>7220</v>
      </c>
      <c r="B7221" t="str">
        <f>"0.52"</f>
        <v>0.52</v>
      </c>
      <c r="C7221" t="str">
        <f>"27"</f>
        <v>27</v>
      </c>
      <c r="D7221" t="str">
        <f>"Subjective Concepts"</f>
        <v>Subjective Concepts</v>
      </c>
    </row>
    <row r="7222" spans="1:4" x14ac:dyDescent="0.2">
      <c r="A7222" t="str">
        <f>"7221"</f>
        <v>7221</v>
      </c>
      <c r="B7222" t="str">
        <f>"2.24"</f>
        <v>2.24</v>
      </c>
      <c r="C7222" t="str">
        <f>"21"</f>
        <v>21</v>
      </c>
      <c r="D7222" t="str">
        <f>"Personal Sunlight"</f>
        <v>Personal Sunlight</v>
      </c>
    </row>
    <row r="7223" spans="1:4" x14ac:dyDescent="0.2">
      <c r="A7223" t="str">
        <f>"7222"</f>
        <v>7222</v>
      </c>
      <c r="B7223" t="str">
        <f>"1.05"</f>
        <v>1.05</v>
      </c>
      <c r="C7223" t="str">
        <f>"26"</f>
        <v>26</v>
      </c>
      <c r="D7223" t="str">
        <f>"Magnifique"</f>
        <v>Magnifique</v>
      </c>
    </row>
    <row r="7224" spans="1:4" x14ac:dyDescent="0.2">
      <c r="A7224" t="str">
        <f>"7223"</f>
        <v>7223</v>
      </c>
      <c r="B7224" t="str">
        <f>"0.05"</f>
        <v>0.05</v>
      </c>
      <c r="C7224" t="str">
        <f>"31"</f>
        <v>31</v>
      </c>
      <c r="D7224" t="str">
        <f>"Communion"</f>
        <v>Communion</v>
      </c>
    </row>
    <row r="7225" spans="1:4" x14ac:dyDescent="0.2">
      <c r="A7225" t="str">
        <f>"7224"</f>
        <v>7224</v>
      </c>
      <c r="B7225" t="str">
        <f>"0.39"</f>
        <v>0.39</v>
      </c>
      <c r="C7225" t="str">
        <f>"17"</f>
        <v>17</v>
      </c>
      <c r="D7225" t="str">
        <f>"Talk From Home"</f>
        <v>Talk From Home</v>
      </c>
    </row>
    <row r="7226" spans="1:4" x14ac:dyDescent="0.2">
      <c r="A7226" t="str">
        <f>"7225"</f>
        <v>7225</v>
      </c>
      <c r="B7226" t="str">
        <f>"-0.08"</f>
        <v>-0.08</v>
      </c>
      <c r="C7226" t="str">
        <f>"33"</f>
        <v>33</v>
      </c>
      <c r="D7226" t="str">
        <f>"Universes"</f>
        <v>Universes</v>
      </c>
    </row>
    <row r="7227" spans="1:4" x14ac:dyDescent="0.2">
      <c r="A7227" t="str">
        <f>"7226"</f>
        <v>7226</v>
      </c>
      <c r="B7227" t="str">
        <f>"0.21"</f>
        <v>0.21</v>
      </c>
      <c r="C7227" t="str">
        <f>"30"</f>
        <v>30</v>
      </c>
      <c r="D7227" t="str">
        <f>"Cinco De Money"</f>
        <v>Cinco De Money</v>
      </c>
    </row>
    <row r="7228" spans="1:4" x14ac:dyDescent="0.2">
      <c r="A7228" t="str">
        <f>"7227"</f>
        <v>7227</v>
      </c>
      <c r="B7228" t="str">
        <f>"0.73"</f>
        <v>0.73</v>
      </c>
      <c r="C7228" t="str">
        <f>"37"</f>
        <v>37</v>
      </c>
      <c r="D7228" t="str">
        <f>"Born in the Echoes"</f>
        <v>Born in the Echoes</v>
      </c>
    </row>
    <row r="7229" spans="1:4" x14ac:dyDescent="0.2">
      <c r="A7229" t="str">
        <f>"7228"</f>
        <v>7228</v>
      </c>
      <c r="B7229" t="str">
        <f>"0.41"</f>
        <v>0.41</v>
      </c>
      <c r="C7229" t="str">
        <f>"35"</f>
        <v>35</v>
      </c>
      <c r="D7229" t="str">
        <f>"Instrumentals 2015"</f>
        <v>Instrumentals 2015</v>
      </c>
    </row>
    <row r="7230" spans="1:4" x14ac:dyDescent="0.2">
      <c r="A7230" t="str">
        <f>"7229"</f>
        <v>7229</v>
      </c>
      <c r="B7230" t="str">
        <f>"0.14"</f>
        <v>0.14</v>
      </c>
      <c r="C7230" t="str">
        <f>"39"</f>
        <v>39</v>
      </c>
      <c r="D7230" t="str">
        <f>"Sing Into My Mouth"</f>
        <v>Sing Into My Mouth</v>
      </c>
    </row>
    <row r="7231" spans="1:4" x14ac:dyDescent="0.2">
      <c r="A7231" t="str">
        <f>"7230"</f>
        <v>7230</v>
      </c>
      <c r="B7231" t="str">
        <f>"0.35"</f>
        <v>0.35</v>
      </c>
      <c r="C7231" t="str">
        <f>"24"</f>
        <v>24</v>
      </c>
      <c r="D7231" t="str">
        <f>"LP"</f>
        <v>LP</v>
      </c>
    </row>
    <row r="7232" spans="1:4" x14ac:dyDescent="0.2">
      <c r="A7232" t="str">
        <f>"7231"</f>
        <v>7231</v>
      </c>
      <c r="B7232" t="str">
        <f>"-0.73"</f>
        <v>-0.73</v>
      </c>
      <c r="C7232" t="str">
        <f>"40"</f>
        <v>40</v>
      </c>
      <c r="D7232" t="str">
        <f>"Heaven Is Earth"</f>
        <v>Heaven Is Earth</v>
      </c>
    </row>
    <row r="7233" spans="1:4" x14ac:dyDescent="0.2">
      <c r="A7233" t="str">
        <f>"7232"</f>
        <v>7232</v>
      </c>
      <c r="B7233" t="str">
        <f>"-0.38"</f>
        <v>-0.38</v>
      </c>
      <c r="C7233" t="str">
        <f>"36"</f>
        <v>36</v>
      </c>
      <c r="D7233" t="str">
        <f>"Something More Than Free"</f>
        <v>Something More Than Free</v>
      </c>
    </row>
    <row r="7234" spans="1:4" x14ac:dyDescent="0.2">
      <c r="A7234" t="str">
        <f>"7233"</f>
        <v>7233</v>
      </c>
      <c r="B7234" t="str">
        <f>"0.98"</f>
        <v>0.98</v>
      </c>
      <c r="C7234" t="str">
        <f>"18"</f>
        <v>18</v>
      </c>
      <c r="D7234" t="str">
        <f>"Retarded Alligator Beats"</f>
        <v>Retarded Alligator Beats</v>
      </c>
    </row>
    <row r="7235" spans="1:4" x14ac:dyDescent="0.2">
      <c r="A7235" t="str">
        <f>"7234"</f>
        <v>7234</v>
      </c>
      <c r="B7235" t="str">
        <f>"-0.01"</f>
        <v>-0.01</v>
      </c>
      <c r="C7235" t="str">
        <f>"34"</f>
        <v>34</v>
      </c>
      <c r="D7235" t="str">
        <f>"Whine of the Mystic"</f>
        <v>Whine of the Mystic</v>
      </c>
    </row>
    <row r="7236" spans="1:4" x14ac:dyDescent="0.2">
      <c r="A7236" t="str">
        <f>"7235"</f>
        <v>7235</v>
      </c>
      <c r="B7236" t="str">
        <f>"-0.45"</f>
        <v>-0.45</v>
      </c>
      <c r="C7236" t="str">
        <f>"38"</f>
        <v>38</v>
      </c>
      <c r="D7236" t="str">
        <f>"Innocent Country"</f>
        <v>Innocent Country</v>
      </c>
    </row>
    <row r="7237" spans="1:4" x14ac:dyDescent="0.2">
      <c r="A7237" t="str">
        <f>"7236"</f>
        <v>7236</v>
      </c>
      <c r="B7237" t="str">
        <f>"1.54"</f>
        <v>1.54</v>
      </c>
      <c r="C7237" t="str">
        <f>"24"</f>
        <v>24</v>
      </c>
      <c r="D7237" t="str">
        <f>"The Life and Times of Raphael De La Ghettó"</f>
        <v>The Life and Times of Raphael De La Ghettó</v>
      </c>
    </row>
    <row r="7238" spans="1:4" x14ac:dyDescent="0.2">
      <c r="A7238" t="str">
        <f>"7237"</f>
        <v>7237</v>
      </c>
      <c r="B7238" t="str">
        <f>"0.38"</f>
        <v>0.38</v>
      </c>
      <c r="C7238" t="str">
        <f>"52"</f>
        <v>52</v>
      </c>
      <c r="D7238" t="str">
        <f>"Currents"</f>
        <v>Currents</v>
      </c>
    </row>
    <row r="7239" spans="1:4" x14ac:dyDescent="0.2">
      <c r="A7239" t="str">
        <f>"7238"</f>
        <v>7238</v>
      </c>
      <c r="B7239" t="str">
        <f>"0.7"</f>
        <v>0.7</v>
      </c>
      <c r="C7239" t="str">
        <f>"32"</f>
        <v>32</v>
      </c>
      <c r="D7239" t="str">
        <f>"Ghost Notes"</f>
        <v>Ghost Notes</v>
      </c>
    </row>
    <row r="7240" spans="1:4" x14ac:dyDescent="0.2">
      <c r="A7240" t="str">
        <f>"7239"</f>
        <v>7239</v>
      </c>
      <c r="B7240" t="str">
        <f>"1.09"</f>
        <v>1.09</v>
      </c>
      <c r="C7240" t="str">
        <f>"38"</f>
        <v>38</v>
      </c>
      <c r="D7240" t="str">
        <f>"Don't Just Sing | An Anthology: 1963-1999"</f>
        <v>Don't Just Sing | An Anthology: 1963-1999</v>
      </c>
    </row>
    <row r="7241" spans="1:4" x14ac:dyDescent="0.2">
      <c r="A7241" t="str">
        <f>"7240"</f>
        <v>7240</v>
      </c>
      <c r="B7241" t="str">
        <f>"-0.23"</f>
        <v>-0.23</v>
      </c>
      <c r="C7241" t="str">
        <f>"29"</f>
        <v>29</v>
      </c>
      <c r="D7241" t="str">
        <f>"Summer Mirage EP"</f>
        <v>Summer Mirage EP</v>
      </c>
    </row>
    <row r="7242" spans="1:4" x14ac:dyDescent="0.2">
      <c r="A7242" t="str">
        <f>"7241"</f>
        <v>7241</v>
      </c>
      <c r="B7242" t="str">
        <f>"-1.14"</f>
        <v>-1.14</v>
      </c>
      <c r="C7242" t="str">
        <f>"27"</f>
        <v>27</v>
      </c>
      <c r="D7242" t="str">
        <f>"Negative Scanner"</f>
        <v>Negative Scanner</v>
      </c>
    </row>
    <row r="7243" spans="1:4" x14ac:dyDescent="0.2">
      <c r="A7243" t="str">
        <f>"7242"</f>
        <v>7242</v>
      </c>
      <c r="B7243" t="str">
        <f>"-0.28"</f>
        <v>-0.28</v>
      </c>
      <c r="C7243" t="str">
        <f>"29"</f>
        <v>29</v>
      </c>
      <c r="D7243" t="str">
        <f>"6613 EP"</f>
        <v>6613 EP</v>
      </c>
    </row>
    <row r="7244" spans="1:4" x14ac:dyDescent="0.2">
      <c r="A7244" t="str">
        <f>"7243"</f>
        <v>7243</v>
      </c>
      <c r="B7244" t="str">
        <f>"-0.61"</f>
        <v>-0.61</v>
      </c>
      <c r="C7244" t="str">
        <f>"24"</f>
        <v>24</v>
      </c>
      <c r="D7244" t="str">
        <f>"Key Markets"</f>
        <v>Key Markets</v>
      </c>
    </row>
    <row r="7245" spans="1:4" x14ac:dyDescent="0.2">
      <c r="A7245" t="str">
        <f>"7244"</f>
        <v>7244</v>
      </c>
      <c r="B7245" t="str">
        <f>"-0.67"</f>
        <v>-0.67</v>
      </c>
      <c r="C7245" t="str">
        <f>"28"</f>
        <v>28</v>
      </c>
      <c r="D7245" t="str">
        <f>"Peacers"</f>
        <v>Peacers</v>
      </c>
    </row>
    <row r="7246" spans="1:4" x14ac:dyDescent="0.2">
      <c r="A7246" t="str">
        <f>"7245"</f>
        <v>7245</v>
      </c>
      <c r="B7246" t="str">
        <f>"-0.44"</f>
        <v>-0.44</v>
      </c>
      <c r="C7246" t="str">
        <f>"31"</f>
        <v>31</v>
      </c>
      <c r="D7246" t="str">
        <f>"Atheist's Cornea"</f>
        <v>Atheist's Cornea</v>
      </c>
    </row>
    <row r="7247" spans="1:4" x14ac:dyDescent="0.2">
      <c r="A7247" t="str">
        <f>"7246"</f>
        <v>7246</v>
      </c>
      <c r="B7247" t="str">
        <f>"1.46"</f>
        <v>1.46</v>
      </c>
      <c r="C7247" t="str">
        <f>"24"</f>
        <v>24</v>
      </c>
      <c r="D7247" t="str">
        <f>"The Conny Plank Session"</f>
        <v>The Conny Plank Session</v>
      </c>
    </row>
    <row r="7248" spans="1:4" x14ac:dyDescent="0.2">
      <c r="A7248" t="str">
        <f>"7247"</f>
        <v>7247</v>
      </c>
      <c r="B7248" t="str">
        <f>"0.17"</f>
        <v>0.17</v>
      </c>
      <c r="C7248" t="str">
        <f>"41"</f>
        <v>41</v>
      </c>
      <c r="D7248" t="str">
        <f>"Nina Revisited… A Tribute to Nina Simone"</f>
        <v>Nina Revisited… A Tribute to Nina Simone</v>
      </c>
    </row>
    <row r="7249" spans="1:4" x14ac:dyDescent="0.2">
      <c r="A7249" t="str">
        <f>"7248"</f>
        <v>7248</v>
      </c>
      <c r="B7249" t="str">
        <f>"0.19"</f>
        <v>0.19</v>
      </c>
      <c r="C7249" t="str">
        <f>"29"</f>
        <v>29</v>
      </c>
      <c r="D7249" t="str">
        <f>"FWA"</f>
        <v>FWA</v>
      </c>
    </row>
    <row r="7250" spans="1:4" x14ac:dyDescent="0.2">
      <c r="A7250" t="str">
        <f>"7249"</f>
        <v>7249</v>
      </c>
      <c r="B7250" t="str">
        <f>"0.32"</f>
        <v>0.32</v>
      </c>
      <c r="C7250" t="str">
        <f>"32"</f>
        <v>32</v>
      </c>
      <c r="D7250" t="str">
        <f>"Ego Death"</f>
        <v>Ego Death</v>
      </c>
    </row>
    <row r="7251" spans="1:4" x14ac:dyDescent="0.2">
      <c r="A7251" t="str">
        <f>"7250"</f>
        <v>7250</v>
      </c>
      <c r="B7251" t="str">
        <f>"0.45"</f>
        <v>0.45</v>
      </c>
      <c r="C7251" t="str">
        <f>"30"</f>
        <v>30</v>
      </c>
      <c r="D7251" t="str">
        <f>"All Is Illusory"</f>
        <v>All Is Illusory</v>
      </c>
    </row>
    <row r="7252" spans="1:4" x14ac:dyDescent="0.2">
      <c r="A7252" t="str">
        <f>"7251"</f>
        <v>7251</v>
      </c>
      <c r="B7252" t="str">
        <f>"-0.69"</f>
        <v>-0.69</v>
      </c>
      <c r="C7252" t="str">
        <f>"18"</f>
        <v>18</v>
      </c>
      <c r="D7252" t="str">
        <f>"Cemetery Highrise Slum"</f>
        <v>Cemetery Highrise Slum</v>
      </c>
    </row>
    <row r="7253" spans="1:4" x14ac:dyDescent="0.2">
      <c r="A7253" t="str">
        <f>"7252"</f>
        <v>7252</v>
      </c>
      <c r="B7253" t="str">
        <f>"0.03"</f>
        <v>0.03</v>
      </c>
      <c r="C7253" t="str">
        <f>"33"</f>
        <v>33</v>
      </c>
      <c r="D7253" t="str">
        <f>"Pomegranates"</f>
        <v>Pomegranates</v>
      </c>
    </row>
    <row r="7254" spans="1:4" x14ac:dyDescent="0.2">
      <c r="A7254" t="str">
        <f>"7253"</f>
        <v>7253</v>
      </c>
      <c r="B7254" t="str">
        <f>"0.08"</f>
        <v>0.08</v>
      </c>
      <c r="C7254" t="str">
        <f>"29"</f>
        <v>29</v>
      </c>
      <c r="D7254" t="str">
        <f>"Make It Happen / Holiday"</f>
        <v>Make It Happen / Holiday</v>
      </c>
    </row>
    <row r="7255" spans="1:4" x14ac:dyDescent="0.2">
      <c r="A7255" t="str">
        <f>"7254"</f>
        <v>7254</v>
      </c>
      <c r="B7255" t="str">
        <f>"0.08"</f>
        <v>0.08</v>
      </c>
      <c r="C7255" t="str">
        <f>"27"</f>
        <v>27</v>
      </c>
      <c r="D7255" t="str">
        <f>"Lucky 7"</f>
        <v>Lucky 7</v>
      </c>
    </row>
    <row r="7256" spans="1:4" x14ac:dyDescent="0.2">
      <c r="A7256" t="str">
        <f>"7255"</f>
        <v>7255</v>
      </c>
      <c r="B7256" t="str">
        <f>"0.5"</f>
        <v>0.5</v>
      </c>
      <c r="C7256" t="str">
        <f>"36"</f>
        <v>36</v>
      </c>
      <c r="D7256" t="str">
        <f>"Houston 3 AM"</f>
        <v>Houston 3 AM</v>
      </c>
    </row>
    <row r="7257" spans="1:4" x14ac:dyDescent="0.2">
      <c r="A7257" t="str">
        <f>"7256"</f>
        <v>7256</v>
      </c>
      <c r="B7257" t="str">
        <f>"0.93"</f>
        <v>0.93</v>
      </c>
      <c r="C7257" t="str">
        <f>"42"</f>
        <v>42</v>
      </c>
      <c r="D7257" t="str">
        <f>"The Wild Animals in My Life"</f>
        <v>The Wild Animals in My Life</v>
      </c>
    </row>
    <row r="7258" spans="1:4" x14ac:dyDescent="0.2">
      <c r="A7258" t="str">
        <f>"7257"</f>
        <v>7257</v>
      </c>
      <c r="B7258" t="str">
        <f>"-0.11"</f>
        <v>-0.11</v>
      </c>
      <c r="C7258" t="str">
        <f>"42"</f>
        <v>42</v>
      </c>
      <c r="D7258" t="str">
        <f>"Twelve Reasons to Die II"</f>
        <v>Twelve Reasons to Die II</v>
      </c>
    </row>
    <row r="7259" spans="1:4" x14ac:dyDescent="0.2">
      <c r="A7259" t="str">
        <f>"7258"</f>
        <v>7258</v>
      </c>
      <c r="B7259" t="str">
        <f>"0.33"</f>
        <v>0.33</v>
      </c>
      <c r="C7259" t="str">
        <f>"24"</f>
        <v>24</v>
      </c>
      <c r="D7259" t="s">
        <v>253</v>
      </c>
    </row>
    <row r="7260" spans="1:4" x14ac:dyDescent="0.2">
      <c r="A7260" t="str">
        <f>"7259"</f>
        <v>7259</v>
      </c>
      <c r="B7260" t="str">
        <f>"0.64"</f>
        <v>0.64</v>
      </c>
      <c r="C7260" t="str">
        <f>"36"</f>
        <v>36</v>
      </c>
      <c r="D7260" t="str">
        <f>"Sonic Praise"</f>
        <v>Sonic Praise</v>
      </c>
    </row>
    <row r="7261" spans="1:4" x14ac:dyDescent="0.2">
      <c r="A7261" t="str">
        <f>"7260"</f>
        <v>7260</v>
      </c>
      <c r="B7261" t="str">
        <f>"-1"</f>
        <v>-1</v>
      </c>
      <c r="C7261" t="str">
        <f>"29"</f>
        <v>29</v>
      </c>
      <c r="D7261" t="str">
        <f>"Perpetual Motion People"</f>
        <v>Perpetual Motion People</v>
      </c>
    </row>
    <row r="7262" spans="1:4" x14ac:dyDescent="0.2">
      <c r="A7262" t="str">
        <f>"7261"</f>
        <v>7261</v>
      </c>
      <c r="B7262" t="str">
        <f>"-0.24"</f>
        <v>-0.24</v>
      </c>
      <c r="C7262" t="str">
        <f>"30"</f>
        <v>30</v>
      </c>
      <c r="D7262" t="str">
        <f>"Pattern of Excel"</f>
        <v>Pattern of Excel</v>
      </c>
    </row>
    <row r="7263" spans="1:4" x14ac:dyDescent="0.2">
      <c r="A7263" t="str">
        <f>"7262"</f>
        <v>7262</v>
      </c>
      <c r="B7263" t="str">
        <f>"0.34"</f>
        <v>0.34</v>
      </c>
      <c r="C7263" t="str">
        <f>"28"</f>
        <v>28</v>
      </c>
      <c r="D7263" t="str">
        <f>"Morning/Evening"</f>
        <v>Morning/Evening</v>
      </c>
    </row>
    <row r="7264" spans="1:4" x14ac:dyDescent="0.2">
      <c r="A7264" t="str">
        <f>"7263"</f>
        <v>7263</v>
      </c>
      <c r="B7264" t="str">
        <f>"0.96"</f>
        <v>0.96</v>
      </c>
      <c r="C7264" t="str">
        <f>"29"</f>
        <v>29</v>
      </c>
      <c r="D7264" t="str">
        <f>"Dreams Worth More Than Money"</f>
        <v>Dreams Worth More Than Money</v>
      </c>
    </row>
    <row r="7265" spans="1:4" x14ac:dyDescent="0.2">
      <c r="A7265" t="str">
        <f>"7264"</f>
        <v>7264</v>
      </c>
      <c r="B7265" t="str">
        <f>"-0.13"</f>
        <v>-0.13</v>
      </c>
      <c r="C7265" t="str">
        <f>"38"</f>
        <v>38</v>
      </c>
      <c r="D7265" t="str">
        <f>"Homesick"</f>
        <v>Homesick</v>
      </c>
    </row>
    <row r="7266" spans="1:4" x14ac:dyDescent="0.2">
      <c r="A7266" t="str">
        <f>"7265"</f>
        <v>7265</v>
      </c>
      <c r="B7266" t="str">
        <f>"0.6"</f>
        <v>0.6</v>
      </c>
      <c r="C7266" t="str">
        <f>"33"</f>
        <v>33</v>
      </c>
      <c r="D7266" t="str">
        <f>"Glider"</f>
        <v>Glider</v>
      </c>
    </row>
    <row r="7267" spans="1:4" x14ac:dyDescent="0.2">
      <c r="A7267" t="str">
        <f>"7266"</f>
        <v>7266</v>
      </c>
      <c r="B7267" t="str">
        <f>"1.42"</f>
        <v>1.42</v>
      </c>
      <c r="C7267" t="str">
        <f>"23"</f>
        <v>23</v>
      </c>
      <c r="D7267" t="str">
        <f>"Mercy"</f>
        <v>Mercy</v>
      </c>
    </row>
    <row r="7268" spans="1:4" x14ac:dyDescent="0.2">
      <c r="A7268" t="str">
        <f>"7267"</f>
        <v>7267</v>
      </c>
      <c r="B7268" t="str">
        <f>"0.9"</f>
        <v>0.9</v>
      </c>
      <c r="C7268" t="str">
        <f>"40"</f>
        <v>40</v>
      </c>
      <c r="D7268" t="str">
        <f>"Wildheart"</f>
        <v>Wildheart</v>
      </c>
    </row>
    <row r="7269" spans="1:4" x14ac:dyDescent="0.2">
      <c r="A7269" t="str">
        <f>"7268"</f>
        <v>7268</v>
      </c>
      <c r="B7269" t="str">
        <f>"1.09"</f>
        <v>1.09</v>
      </c>
      <c r="C7269" t="str">
        <f>"39"</f>
        <v>39</v>
      </c>
      <c r="D7269" t="str">
        <f>"Lemurian"</f>
        <v>Lemurian</v>
      </c>
    </row>
    <row r="7270" spans="1:4" x14ac:dyDescent="0.2">
      <c r="A7270" t="str">
        <f>"7269"</f>
        <v>7269</v>
      </c>
      <c r="B7270" t="str">
        <f>"0.15"</f>
        <v>0.15</v>
      </c>
      <c r="C7270" t="str">
        <f>"33"</f>
        <v>33</v>
      </c>
      <c r="D7270" t="str">
        <f>"Movies EP"</f>
        <v>Movies EP</v>
      </c>
    </row>
    <row r="7271" spans="1:4" x14ac:dyDescent="0.2">
      <c r="A7271" t="str">
        <f>"7270"</f>
        <v>7270</v>
      </c>
      <c r="B7271" t="str">
        <f>"-0.35"</f>
        <v>-0.35</v>
      </c>
      <c r="C7271" t="str">
        <f>"45"</f>
        <v>45</v>
      </c>
      <c r="D7271" t="str">
        <f>"The Gold Album: 18th Dynasty"</f>
        <v>The Gold Album: 18th Dynasty</v>
      </c>
    </row>
    <row r="7272" spans="1:4" x14ac:dyDescent="0.2">
      <c r="A7272" t="str">
        <f>"7271"</f>
        <v>7271</v>
      </c>
      <c r="B7272" t="str">
        <f>"-0.18"</f>
        <v>-0.18</v>
      </c>
      <c r="C7272" t="str">
        <f>"35"</f>
        <v>35</v>
      </c>
      <c r="D7272" t="str">
        <f>"The Heart Is a Monster"</f>
        <v>The Heart Is a Monster</v>
      </c>
    </row>
    <row r="7273" spans="1:4" x14ac:dyDescent="0.2">
      <c r="A7273" t="str">
        <f>"7272"</f>
        <v>7272</v>
      </c>
      <c r="B7273" t="str">
        <f>"-0.91"</f>
        <v>-0.91</v>
      </c>
      <c r="C7273" t="str">
        <f>"25"</f>
        <v>25</v>
      </c>
      <c r="D7273" t="str">
        <f>"The Monsanto Years"</f>
        <v>The Monsanto Years</v>
      </c>
    </row>
    <row r="7274" spans="1:4" x14ac:dyDescent="0.2">
      <c r="A7274" t="str">
        <f>"7273"</f>
        <v>7273</v>
      </c>
      <c r="B7274" t="str">
        <f>"0.07"</f>
        <v>0.07</v>
      </c>
      <c r="C7274" t="str">
        <f>"29"</f>
        <v>29</v>
      </c>
      <c r="D7274" t="str">
        <f>"Moonbuilding 2703 AD"</f>
        <v>Moonbuilding 2703 AD</v>
      </c>
    </row>
    <row r="7275" spans="1:4" x14ac:dyDescent="0.2">
      <c r="A7275" t="str">
        <f>"7274"</f>
        <v>7274</v>
      </c>
      <c r="B7275" t="str">
        <f>"-0.78"</f>
        <v>-0.78</v>
      </c>
      <c r="C7275" t="str">
        <f>"23"</f>
        <v>23</v>
      </c>
      <c r="D7275" t="str">
        <f>"My Love Is Cool"</f>
        <v>My Love Is Cool</v>
      </c>
    </row>
    <row r="7276" spans="1:4" x14ac:dyDescent="0.2">
      <c r="A7276" t="str">
        <f>"7275"</f>
        <v>7275</v>
      </c>
      <c r="B7276" t="str">
        <f>"-0.33"</f>
        <v>-0.33</v>
      </c>
      <c r="C7276" t="str">
        <f>"25"</f>
        <v>25</v>
      </c>
      <c r="D7276" t="str">
        <f>"The Reach"</f>
        <v>The Reach</v>
      </c>
    </row>
    <row r="7277" spans="1:4" x14ac:dyDescent="0.2">
      <c r="A7277" t="str">
        <f>"7276"</f>
        <v>7276</v>
      </c>
      <c r="B7277" t="str">
        <f>"-0.34"</f>
        <v>-0.34</v>
      </c>
      <c r="C7277" t="str">
        <f>"38"</f>
        <v>38</v>
      </c>
      <c r="D7277" t="str">
        <f>"X"</f>
        <v>X</v>
      </c>
    </row>
    <row r="7278" spans="1:4" x14ac:dyDescent="0.2">
      <c r="A7278" t="str">
        <f>"7277"</f>
        <v>7277</v>
      </c>
      <c r="B7278" t="str">
        <f>"-0.45"</f>
        <v>-0.45</v>
      </c>
      <c r="C7278" t="str">
        <f>"55"</f>
        <v>55</v>
      </c>
      <c r="D7278" t="str">
        <f>"Summertime '06"</f>
        <v>Summertime '06</v>
      </c>
    </row>
    <row r="7279" spans="1:4" x14ac:dyDescent="0.2">
      <c r="A7279" t="str">
        <f>"7278"</f>
        <v>7278</v>
      </c>
      <c r="B7279" t="str">
        <f>"0.5"</f>
        <v>0.5</v>
      </c>
      <c r="C7279" t="str">
        <f>"27"</f>
        <v>27</v>
      </c>
      <c r="D7279" t="str">
        <f>"In Another Life"</f>
        <v>In Another Life</v>
      </c>
    </row>
    <row r="7280" spans="1:4" x14ac:dyDescent="0.2">
      <c r="A7280" t="str">
        <f>"7279"</f>
        <v>7279</v>
      </c>
      <c r="B7280" t="str">
        <f>"-0.18"</f>
        <v>-0.18</v>
      </c>
      <c r="C7280" t="str">
        <f>"29"</f>
        <v>29</v>
      </c>
      <c r="D7280" t="str">
        <f>"O∆"</f>
        <v>O∆</v>
      </c>
    </row>
    <row r="7281" spans="1:4" x14ac:dyDescent="0.2">
      <c r="A7281" t="str">
        <f>"7280"</f>
        <v>7280</v>
      </c>
      <c r="B7281" t="str">
        <f>"1.18"</f>
        <v>1.18</v>
      </c>
      <c r="C7281" t="str">
        <f>"36"</f>
        <v>36</v>
      </c>
      <c r="D7281" t="s">
        <v>254</v>
      </c>
    </row>
    <row r="7282" spans="1:4" x14ac:dyDescent="0.2">
      <c r="A7282" t="str">
        <f>"7281"</f>
        <v>7281</v>
      </c>
      <c r="B7282" t="str">
        <f>"-0.68"</f>
        <v>-0.68</v>
      </c>
      <c r="C7282" t="str">
        <f>"18"</f>
        <v>18</v>
      </c>
      <c r="D7282" t="str">
        <f>"Bleeder"</f>
        <v>Bleeder</v>
      </c>
    </row>
    <row r="7283" spans="1:4" x14ac:dyDescent="0.2">
      <c r="A7283" t="str">
        <f>"7282"</f>
        <v>7282</v>
      </c>
      <c r="B7283" t="str">
        <f>"-0.28"</f>
        <v>-0.28</v>
      </c>
      <c r="C7283" t="str">
        <f>"26"</f>
        <v>26</v>
      </c>
      <c r="D7283" t="str">
        <f>"The Beyond / Where the Giants Roam"</f>
        <v>The Beyond / Where the Giants Roam</v>
      </c>
    </row>
    <row r="7284" spans="1:4" x14ac:dyDescent="0.2">
      <c r="A7284" t="str">
        <f>"7283"</f>
        <v>7283</v>
      </c>
      <c r="B7284" t="str">
        <f>"0.18"</f>
        <v>0.18</v>
      </c>
      <c r="C7284" t="str">
        <f>"59"</f>
        <v>59</v>
      </c>
      <c r="D7284" t="str">
        <f>"808s and Dark Grapes III"</f>
        <v>808s and Dark Grapes III</v>
      </c>
    </row>
    <row r="7285" spans="1:4" x14ac:dyDescent="0.2">
      <c r="A7285" t="str">
        <f>"7284"</f>
        <v>7284</v>
      </c>
      <c r="B7285" t="str">
        <f>"-0.5"</f>
        <v>-0.5</v>
      </c>
      <c r="C7285" t="str">
        <f>"30"</f>
        <v>30</v>
      </c>
      <c r="D7285" t="str">
        <f>"Hanging Out the Birds EP"</f>
        <v>Hanging Out the Birds EP</v>
      </c>
    </row>
    <row r="7286" spans="1:4" x14ac:dyDescent="0.2">
      <c r="A7286" t="str">
        <f>"7285"</f>
        <v>7285</v>
      </c>
      <c r="B7286" t="str">
        <f>"-1.65"</f>
        <v>-1.65</v>
      </c>
      <c r="C7286" t="str">
        <f>"34"</f>
        <v>34</v>
      </c>
      <c r="D7286" t="str">
        <f>"Get to Heaven"</f>
        <v>Get to Heaven</v>
      </c>
    </row>
    <row r="7287" spans="1:4" x14ac:dyDescent="0.2">
      <c r="A7287" t="str">
        <f>"7286"</f>
        <v>7286</v>
      </c>
      <c r="B7287" t="str">
        <f>"-0.65"</f>
        <v>-0.65</v>
      </c>
      <c r="C7287" t="str">
        <f>"38"</f>
        <v>38</v>
      </c>
      <c r="D7287" t="str">
        <f>"Untitled"</f>
        <v>Untitled</v>
      </c>
    </row>
    <row r="7288" spans="1:4" x14ac:dyDescent="0.2">
      <c r="A7288" t="str">
        <f>"7287"</f>
        <v>7287</v>
      </c>
      <c r="B7288" t="str">
        <f>"-0.75"</f>
        <v>-0.75</v>
      </c>
      <c r="C7288" t="str">
        <f>"38"</f>
        <v>38</v>
      </c>
      <c r="D7288" t="str">
        <f>"Freedom"</f>
        <v>Freedom</v>
      </c>
    </row>
    <row r="7289" spans="1:4" x14ac:dyDescent="0.2">
      <c r="A7289" t="str">
        <f>"7288"</f>
        <v>7288</v>
      </c>
      <c r="B7289" t="str">
        <f>"-0.47"</f>
        <v>-0.47</v>
      </c>
      <c r="C7289" t="str">
        <f>"32"</f>
        <v>32</v>
      </c>
      <c r="D7289" t="str">
        <f>"Feels Like"</f>
        <v>Feels Like</v>
      </c>
    </row>
    <row r="7290" spans="1:4" x14ac:dyDescent="0.2">
      <c r="A7290" t="str">
        <f>"7289"</f>
        <v>7289</v>
      </c>
      <c r="B7290" t="str">
        <f>"1.13"</f>
        <v>1.13</v>
      </c>
      <c r="C7290" t="str">
        <f>"23"</f>
        <v>23</v>
      </c>
      <c r="D7290" t="str">
        <f>"PeteStrumentals 2"</f>
        <v>PeteStrumentals 2</v>
      </c>
    </row>
    <row r="7291" spans="1:4" x14ac:dyDescent="0.2">
      <c r="A7291" t="str">
        <f>"7290"</f>
        <v>7290</v>
      </c>
      <c r="B7291" t="str">
        <f>"0.19"</f>
        <v>0.19</v>
      </c>
      <c r="C7291" t="str">
        <f>"31"</f>
        <v>31</v>
      </c>
      <c r="D7291" t="s">
        <v>255</v>
      </c>
    </row>
    <row r="7292" spans="1:4" x14ac:dyDescent="0.2">
      <c r="A7292" t="str">
        <f>"7291"</f>
        <v>7291</v>
      </c>
      <c r="B7292" t="str">
        <f>"0.25"</f>
        <v>0.25</v>
      </c>
      <c r="C7292" t="str">
        <f>"30"</f>
        <v>30</v>
      </c>
      <c r="D7292" t="str">
        <f>"High Risk"</f>
        <v>High Risk</v>
      </c>
    </row>
    <row r="7293" spans="1:4" x14ac:dyDescent="0.2">
      <c r="A7293" t="str">
        <f>"7292"</f>
        <v>7292</v>
      </c>
      <c r="B7293" t="str">
        <f>"0.87"</f>
        <v>0.87</v>
      </c>
      <c r="C7293" t="str">
        <f>"27"</f>
        <v>27</v>
      </c>
      <c r="D7293" t="str">
        <f>"Coming Home"</f>
        <v>Coming Home</v>
      </c>
    </row>
    <row r="7294" spans="1:4" x14ac:dyDescent="0.2">
      <c r="A7294" t="str">
        <f>"7293"</f>
        <v>7293</v>
      </c>
      <c r="B7294" t="str">
        <f>"0.36"</f>
        <v>0.36</v>
      </c>
      <c r="C7294" t="str">
        <f>"52"</f>
        <v>52</v>
      </c>
      <c r="D7294" t="str">
        <f>"Pageant Material"</f>
        <v>Pageant Material</v>
      </c>
    </row>
    <row r="7295" spans="1:4" x14ac:dyDescent="0.2">
      <c r="A7295" t="str">
        <f>"7294"</f>
        <v>7294</v>
      </c>
      <c r="B7295" t="str">
        <f>"-0.11"</f>
        <v>-0.11</v>
      </c>
      <c r="C7295" t="str">
        <f>"29"</f>
        <v>29</v>
      </c>
      <c r="D7295" t="str">
        <f>"Still"</f>
        <v>Still</v>
      </c>
    </row>
    <row r="7296" spans="1:4" x14ac:dyDescent="0.2">
      <c r="A7296" t="str">
        <f>"7295"</f>
        <v>7295</v>
      </c>
      <c r="B7296" t="str">
        <f>"-0.17"</f>
        <v>-0.17</v>
      </c>
      <c r="C7296" t="str">
        <f>"34"</f>
        <v>34</v>
      </c>
      <c r="D7296" t="str">
        <f>"Pale Horses"</f>
        <v>Pale Horses</v>
      </c>
    </row>
    <row r="7297" spans="1:4" x14ac:dyDescent="0.2">
      <c r="A7297" t="str">
        <f>"7296"</f>
        <v>7296</v>
      </c>
      <c r="B7297" t="str">
        <f>"-1.3"</f>
        <v>-1.3</v>
      </c>
      <c r="C7297" t="str">
        <f>"34"</f>
        <v>34</v>
      </c>
      <c r="D7297" t="str">
        <f>"Hardy &amp; the Hardknocks: Drownin on a Mountaintop"</f>
        <v>Hardy &amp; the Hardknocks: Drownin on a Mountaintop</v>
      </c>
    </row>
    <row r="7298" spans="1:4" x14ac:dyDescent="0.2">
      <c r="A7298" t="str">
        <f>"7297"</f>
        <v>7297</v>
      </c>
      <c r="B7298" t="str">
        <f>"-0.15"</f>
        <v>-0.15</v>
      </c>
      <c r="C7298" t="str">
        <f>"48"</f>
        <v>48</v>
      </c>
      <c r="D7298" t="str">
        <f>"A Lot of Sorrow"</f>
        <v>A Lot of Sorrow</v>
      </c>
    </row>
    <row r="7299" spans="1:4" x14ac:dyDescent="0.2">
      <c r="A7299" t="str">
        <f>"7298"</f>
        <v>7298</v>
      </c>
      <c r="B7299" t="str">
        <f>"0.07"</f>
        <v>0.07</v>
      </c>
      <c r="C7299" t="str">
        <f>"46"</f>
        <v>46</v>
      </c>
      <c r="D7299" t="str">
        <f>"Bones"</f>
        <v>Bones</v>
      </c>
    </row>
    <row r="7300" spans="1:4" x14ac:dyDescent="0.2">
      <c r="A7300" t="str">
        <f>"7299"</f>
        <v>7299</v>
      </c>
      <c r="B7300" t="str">
        <f>"0.75"</f>
        <v>0.75</v>
      </c>
      <c r="C7300" t="str">
        <f>"44"</f>
        <v>44</v>
      </c>
      <c r="D7300" t="str">
        <f>"Grand Romantic"</f>
        <v>Grand Romantic</v>
      </c>
    </row>
    <row r="7301" spans="1:4" x14ac:dyDescent="0.2">
      <c r="A7301" t="str">
        <f>"7300"</f>
        <v>7300</v>
      </c>
      <c r="B7301" t="str">
        <f>"-0.47"</f>
        <v>-0.47</v>
      </c>
      <c r="C7301" t="str">
        <f>"37"</f>
        <v>37</v>
      </c>
      <c r="D7301" t="s">
        <v>256</v>
      </c>
    </row>
    <row r="7302" spans="1:4" x14ac:dyDescent="0.2">
      <c r="A7302" t="str">
        <f>"7301"</f>
        <v>7301</v>
      </c>
      <c r="B7302" t="str">
        <f>"1.26"</f>
        <v>1.26</v>
      </c>
      <c r="C7302" t="str">
        <f>"36"</f>
        <v>36</v>
      </c>
      <c r="D7302" t="str">
        <f>"Amanecer"</f>
        <v>Amanecer</v>
      </c>
    </row>
    <row r="7303" spans="1:4" x14ac:dyDescent="0.2">
      <c r="A7303" t="str">
        <f>"7302"</f>
        <v>7302</v>
      </c>
      <c r="B7303" t="str">
        <f>"-0.52"</f>
        <v>-0.52</v>
      </c>
      <c r="C7303" t="str">
        <f>"56"</f>
        <v>56</v>
      </c>
      <c r="D7303" t="str">
        <f>"Payola"</f>
        <v>Payola</v>
      </c>
    </row>
    <row r="7304" spans="1:4" x14ac:dyDescent="0.2">
      <c r="A7304" t="str">
        <f>"7303"</f>
        <v>7303</v>
      </c>
      <c r="B7304" t="str">
        <f>"0.21"</f>
        <v>0.21</v>
      </c>
      <c r="C7304" t="str">
        <f>"24"</f>
        <v>24</v>
      </c>
      <c r="D7304" t="str">
        <f>"Gazebo Effect"</f>
        <v>Gazebo Effect</v>
      </c>
    </row>
    <row r="7305" spans="1:4" x14ac:dyDescent="0.2">
      <c r="A7305" t="str">
        <f>"7304"</f>
        <v>7304</v>
      </c>
      <c r="B7305" t="str">
        <f>"0.45"</f>
        <v>0.45</v>
      </c>
      <c r="C7305" t="str">
        <f>"36"</f>
        <v>36</v>
      </c>
      <c r="D7305" t="str">
        <f>"Hunch Music"</f>
        <v>Hunch Music</v>
      </c>
    </row>
    <row r="7306" spans="1:4" x14ac:dyDescent="0.2">
      <c r="A7306" t="str">
        <f>"7305"</f>
        <v>7305</v>
      </c>
      <c r="B7306" t="str">
        <f>"0.57"</f>
        <v>0.57</v>
      </c>
      <c r="C7306" t="str">
        <f>"21"</f>
        <v>21</v>
      </c>
      <c r="D7306" t="str">
        <f>"Tomorrow Will Be Beautiful"</f>
        <v>Tomorrow Will Be Beautiful</v>
      </c>
    </row>
    <row r="7307" spans="1:4" x14ac:dyDescent="0.2">
      <c r="A7307" t="str">
        <f>"7306"</f>
        <v>7306</v>
      </c>
      <c r="B7307" t="str">
        <f>"-0.33"</f>
        <v>-0.33</v>
      </c>
      <c r="C7307" t="str">
        <f>"28"</f>
        <v>28</v>
      </c>
      <c r="D7307" t="str">
        <f>"asdfasdf"</f>
        <v>asdfasdf</v>
      </c>
    </row>
    <row r="7308" spans="1:4" x14ac:dyDescent="0.2">
      <c r="A7308" t="str">
        <f>"7307"</f>
        <v>7307</v>
      </c>
      <c r="B7308" t="str">
        <f>"-0.28"</f>
        <v>-0.28</v>
      </c>
      <c r="C7308" t="str">
        <f>"54"</f>
        <v>54</v>
      </c>
      <c r="D7308" t="str">
        <f>"Sticky Fingers"</f>
        <v>Sticky Fingers</v>
      </c>
    </row>
    <row r="7309" spans="1:4" x14ac:dyDescent="0.2">
      <c r="A7309" t="str">
        <f>"7308"</f>
        <v>7308</v>
      </c>
      <c r="B7309" t="str">
        <f>"-0.75"</f>
        <v>-0.75</v>
      </c>
      <c r="C7309" t="str">
        <f>"20"</f>
        <v>20</v>
      </c>
      <c r="D7309" t="str">
        <f>"Victoria OST"</f>
        <v>Victoria OST</v>
      </c>
    </row>
    <row r="7310" spans="1:4" x14ac:dyDescent="0.2">
      <c r="A7310" t="str">
        <f>"7309"</f>
        <v>7309</v>
      </c>
      <c r="B7310" t="str">
        <f>"0.58"</f>
        <v>0.58</v>
      </c>
      <c r="C7310" t="str">
        <f>"34"</f>
        <v>34</v>
      </c>
      <c r="D7310" t="str">
        <f>"Predatory Headlights"</f>
        <v>Predatory Headlights</v>
      </c>
    </row>
    <row r="7311" spans="1:4" x14ac:dyDescent="0.2">
      <c r="A7311" t="str">
        <f>"7310"</f>
        <v>7310</v>
      </c>
      <c r="B7311" t="str">
        <f>"0.89"</f>
        <v>0.89</v>
      </c>
      <c r="C7311" t="str">
        <f>"27"</f>
        <v>27</v>
      </c>
      <c r="D7311" t="str">
        <f>"Jaakko Eino Kalevi"</f>
        <v>Jaakko Eino Kalevi</v>
      </c>
    </row>
    <row r="7312" spans="1:4" x14ac:dyDescent="0.2">
      <c r="A7312" t="str">
        <f>"7311"</f>
        <v>7311</v>
      </c>
      <c r="B7312" t="str">
        <f>"1.05"</f>
        <v>1.05</v>
      </c>
      <c r="C7312" t="str">
        <f>"25"</f>
        <v>25</v>
      </c>
      <c r="D7312" t="str">
        <f>"Don't Weigh Down the Light"</f>
        <v>Don't Weigh Down the Light</v>
      </c>
    </row>
    <row r="7313" spans="1:4" x14ac:dyDescent="0.2">
      <c r="A7313" t="str">
        <f>"7312"</f>
        <v>7312</v>
      </c>
      <c r="B7313" t="str">
        <f>"0.49"</f>
        <v>0.49</v>
      </c>
      <c r="C7313" t="str">
        <f>"40"</f>
        <v>40</v>
      </c>
      <c r="D7313" t="str">
        <f>"Déjà Vu"</f>
        <v>Déjà Vu</v>
      </c>
    </row>
    <row r="7314" spans="1:4" x14ac:dyDescent="0.2">
      <c r="A7314" t="str">
        <f>"7313"</f>
        <v>7313</v>
      </c>
      <c r="B7314" t="str">
        <f>"0.89"</f>
        <v>0.89</v>
      </c>
      <c r="C7314" t="str">
        <f>"21"</f>
        <v>21</v>
      </c>
      <c r="D7314" t="str">
        <f>"It's It's Remix Time Time EP"</f>
        <v>It's It's Remix Time Time EP</v>
      </c>
    </row>
    <row r="7315" spans="1:4" x14ac:dyDescent="0.2">
      <c r="A7315" t="str">
        <f>"7314"</f>
        <v>7314</v>
      </c>
      <c r="B7315" t="str">
        <f>"0.54"</f>
        <v>0.54</v>
      </c>
      <c r="C7315" t="str">
        <f>"23"</f>
        <v>23</v>
      </c>
      <c r="D7315" t="str">
        <f>"Untitled"</f>
        <v>Untitled</v>
      </c>
    </row>
    <row r="7316" spans="1:4" x14ac:dyDescent="0.2">
      <c r="A7316" t="str">
        <f>"7315"</f>
        <v>7315</v>
      </c>
      <c r="B7316" t="str">
        <f>"0.34"</f>
        <v>0.34</v>
      </c>
      <c r="C7316" t="str">
        <f>"28"</f>
        <v>28</v>
      </c>
      <c r="D7316" t="str">
        <f>"Covered"</f>
        <v>Covered</v>
      </c>
    </row>
    <row r="7317" spans="1:4" x14ac:dyDescent="0.2">
      <c r="A7317" t="str">
        <f>"7316"</f>
        <v>7316</v>
      </c>
      <c r="B7317" t="str">
        <f>"-0.92"</f>
        <v>-0.92</v>
      </c>
      <c r="C7317" t="str">
        <f>"27"</f>
        <v>27</v>
      </c>
      <c r="D7317" t="str">
        <f>"Meridian"</f>
        <v>Meridian</v>
      </c>
    </row>
    <row r="7318" spans="1:4" x14ac:dyDescent="0.2">
      <c r="A7318" t="str">
        <f>"7317"</f>
        <v>7317</v>
      </c>
      <c r="B7318" t="str">
        <f>"-0.95"</f>
        <v>-0.95</v>
      </c>
      <c r="C7318" t="str">
        <f>"39"</f>
        <v>39</v>
      </c>
      <c r="D7318" t="str">
        <f>"Year of the Hare EP"</f>
        <v>Year of the Hare EP</v>
      </c>
    </row>
    <row r="7319" spans="1:4" x14ac:dyDescent="0.2">
      <c r="A7319" t="str">
        <f>"7318"</f>
        <v>7318</v>
      </c>
      <c r="B7319" t="str">
        <f>"0.04"</f>
        <v>0.04</v>
      </c>
      <c r="C7319" t="str">
        <f>"37"</f>
        <v>37</v>
      </c>
      <c r="D7319" t="s">
        <v>257</v>
      </c>
    </row>
    <row r="7320" spans="1:4" x14ac:dyDescent="0.2">
      <c r="A7320" t="str">
        <f>"7319"</f>
        <v>7319</v>
      </c>
      <c r="B7320" t="str">
        <f>"0.54"</f>
        <v>0.54</v>
      </c>
      <c r="C7320" t="str">
        <f>"21"</f>
        <v>21</v>
      </c>
      <c r="D7320" t="str">
        <f>"City of Quartz"</f>
        <v>City of Quartz</v>
      </c>
    </row>
    <row r="7321" spans="1:4" x14ac:dyDescent="0.2">
      <c r="A7321" t="str">
        <f>"7320"</f>
        <v>7320</v>
      </c>
      <c r="B7321" t="str">
        <f>"0.39"</f>
        <v>0.39</v>
      </c>
      <c r="C7321" t="str">
        <f>"32"</f>
        <v>32</v>
      </c>
      <c r="D7321" t="str">
        <f>"1983"</f>
        <v>1983</v>
      </c>
    </row>
    <row r="7322" spans="1:4" x14ac:dyDescent="0.2">
      <c r="A7322" t="str">
        <f>"7321"</f>
        <v>7321</v>
      </c>
      <c r="B7322" t="str">
        <f>"0.66"</f>
        <v>0.66</v>
      </c>
      <c r="C7322" t="str">
        <f>"36"</f>
        <v>36</v>
      </c>
      <c r="D7322" t="str">
        <f>"_genic"</f>
        <v>_genic</v>
      </c>
    </row>
    <row r="7323" spans="1:4" x14ac:dyDescent="0.2">
      <c r="A7323" t="str">
        <f>"7322"</f>
        <v>7322</v>
      </c>
      <c r="B7323" t="str">
        <f>"1"</f>
        <v>1</v>
      </c>
      <c r="C7323" t="str">
        <f>"29"</f>
        <v>29</v>
      </c>
      <c r="D7323" t="str">
        <f>"DJ-Kicks"</f>
        <v>DJ-Kicks</v>
      </c>
    </row>
    <row r="7324" spans="1:4" x14ac:dyDescent="0.2">
      <c r="A7324" t="str">
        <f>"7323"</f>
        <v>7323</v>
      </c>
      <c r="B7324" t="str">
        <f>"0.03"</f>
        <v>0.03</v>
      </c>
      <c r="C7324" t="str">
        <f>"52"</f>
        <v>52</v>
      </c>
      <c r="D7324" t="str">
        <f>"Luminiferous"</f>
        <v>Luminiferous</v>
      </c>
    </row>
    <row r="7325" spans="1:4" x14ac:dyDescent="0.2">
      <c r="A7325" t="str">
        <f>"7324"</f>
        <v>7324</v>
      </c>
      <c r="B7325" t="str">
        <f>"0.27"</f>
        <v>0.27</v>
      </c>
      <c r="C7325" t="str">
        <f>"19"</f>
        <v>19</v>
      </c>
      <c r="D7325" t="str">
        <f>"More Faithful"</f>
        <v>More Faithful</v>
      </c>
    </row>
    <row r="7326" spans="1:4" x14ac:dyDescent="0.2">
      <c r="A7326" t="str">
        <f>"7325"</f>
        <v>7325</v>
      </c>
      <c r="B7326" t="str">
        <f>"-0.43"</f>
        <v>-0.43</v>
      </c>
      <c r="C7326" t="str">
        <f>"22"</f>
        <v>22</v>
      </c>
      <c r="D7326" t="str">
        <f>"Settler"</f>
        <v>Settler</v>
      </c>
    </row>
    <row r="7327" spans="1:4" x14ac:dyDescent="0.2">
      <c r="A7327" t="str">
        <f>"7326"</f>
        <v>7326</v>
      </c>
      <c r="B7327" t="str">
        <f>"0.75"</f>
        <v>0.75</v>
      </c>
      <c r="C7327" t="str">
        <f>"32"</f>
        <v>32</v>
      </c>
      <c r="D7327" t="str">
        <f>"The Great Cybernetic Depression"</f>
        <v>The Great Cybernetic Depression</v>
      </c>
    </row>
    <row r="7328" spans="1:4" x14ac:dyDescent="0.2">
      <c r="A7328" t="str">
        <f>"7327"</f>
        <v>7327</v>
      </c>
      <c r="B7328" t="str">
        <f>"0.57"</f>
        <v>0.57</v>
      </c>
      <c r="C7328" t="str">
        <f>"31"</f>
        <v>31</v>
      </c>
      <c r="D7328" t="str">
        <f>"Lantern"</f>
        <v>Lantern</v>
      </c>
    </row>
    <row r="7329" spans="1:4" x14ac:dyDescent="0.2">
      <c r="A7329" t="str">
        <f>"7328"</f>
        <v>7328</v>
      </c>
      <c r="B7329" t="str">
        <f>"-0.6"</f>
        <v>-0.6</v>
      </c>
      <c r="C7329" t="str">
        <f>"37"</f>
        <v>37</v>
      </c>
      <c r="D7329" t="str">
        <f>"Success"</f>
        <v>Success</v>
      </c>
    </row>
    <row r="7330" spans="1:4" x14ac:dyDescent="0.2">
      <c r="A7330" t="str">
        <f>"7329"</f>
        <v>7329</v>
      </c>
      <c r="B7330" t="str">
        <f>"-0.06"</f>
        <v>-0.06</v>
      </c>
      <c r="C7330" t="str">
        <f>"37"</f>
        <v>37</v>
      </c>
      <c r="D7330" t="str">
        <f>"You're Going to Make It EP"</f>
        <v>You're Going to Make It EP</v>
      </c>
    </row>
    <row r="7331" spans="1:4" x14ac:dyDescent="0.2">
      <c r="A7331" t="str">
        <f>"7330"</f>
        <v>7330</v>
      </c>
      <c r="B7331" t="str">
        <f>"0.5"</f>
        <v>0.5</v>
      </c>
      <c r="C7331" t="str">
        <f>"37"</f>
        <v>37</v>
      </c>
      <c r="D7331" t="str">
        <f>"Red Kite"</f>
        <v>Red Kite</v>
      </c>
    </row>
    <row r="7332" spans="1:4" x14ac:dyDescent="0.2">
      <c r="A7332" t="str">
        <f>"7331"</f>
        <v>7331</v>
      </c>
      <c r="B7332" t="str">
        <f>"-0.16"</f>
        <v>-0.16</v>
      </c>
      <c r="C7332" t="str">
        <f>"33"</f>
        <v>33</v>
      </c>
      <c r="D7332" t="str">
        <f>"Olympic Mess"</f>
        <v>Olympic Mess</v>
      </c>
    </row>
    <row r="7333" spans="1:4" x14ac:dyDescent="0.2">
      <c r="A7333" t="str">
        <f>"7332"</f>
        <v>7332</v>
      </c>
      <c r="B7333" t="str">
        <f>"0.18"</f>
        <v>0.18</v>
      </c>
      <c r="C7333" t="str">
        <f>"24"</f>
        <v>24</v>
      </c>
      <c r="D7333" t="str">
        <f>"FFS"</f>
        <v>FFS</v>
      </c>
    </row>
    <row r="7334" spans="1:4" x14ac:dyDescent="0.2">
      <c r="A7334" t="str">
        <f>"7333"</f>
        <v>7333</v>
      </c>
      <c r="B7334" t="str">
        <f>"-0.39"</f>
        <v>-0.39</v>
      </c>
      <c r="C7334" t="str">
        <f>"40"</f>
        <v>40</v>
      </c>
      <c r="D7334" t="str">
        <f>"Parlay EP"</f>
        <v>Parlay EP</v>
      </c>
    </row>
    <row r="7335" spans="1:4" x14ac:dyDescent="0.2">
      <c r="A7335" t="str">
        <f>"7334"</f>
        <v>7334</v>
      </c>
      <c r="B7335" t="str">
        <f>"-0.35"</f>
        <v>-0.35</v>
      </c>
      <c r="C7335" t="str">
        <f>"24"</f>
        <v>24</v>
      </c>
      <c r="D7335" t="str">
        <f>"Touch Down 2 Cause Hell"</f>
        <v>Touch Down 2 Cause Hell</v>
      </c>
    </row>
    <row r="7336" spans="1:4" x14ac:dyDescent="0.2">
      <c r="A7336" t="str">
        <f>"7335"</f>
        <v>7335</v>
      </c>
      <c r="B7336" t="str">
        <f>"0.39"</f>
        <v>0.39</v>
      </c>
      <c r="C7336" t="str">
        <f>"42"</f>
        <v>42</v>
      </c>
      <c r="D7336" t="str">
        <f>"Basictonalvocabulary"</f>
        <v>Basictonalvocabulary</v>
      </c>
    </row>
    <row r="7337" spans="1:4" x14ac:dyDescent="0.2">
      <c r="A7337" t="str">
        <f>"7336"</f>
        <v>7336</v>
      </c>
      <c r="B7337" t="str">
        <f>"-0.49"</f>
        <v>-0.49</v>
      </c>
      <c r="C7337" t="str">
        <f>"22"</f>
        <v>22</v>
      </c>
      <c r="D7337" t="str">
        <f>"The Fool"</f>
        <v>The Fool</v>
      </c>
    </row>
    <row r="7338" spans="1:4" x14ac:dyDescent="0.2">
      <c r="A7338" t="str">
        <f>"7337"</f>
        <v>7337</v>
      </c>
      <c r="B7338" t="str">
        <f>"0.24"</f>
        <v>0.24</v>
      </c>
      <c r="C7338" t="str">
        <f>"29"</f>
        <v>29</v>
      </c>
      <c r="D7338" t="str">
        <f>"I Don't Want to Let You Down EP"</f>
        <v>I Don't Want to Let You Down EP</v>
      </c>
    </row>
    <row r="7339" spans="1:4" x14ac:dyDescent="0.2">
      <c r="A7339" t="str">
        <f>"7338"</f>
        <v>7338</v>
      </c>
      <c r="B7339" t="str">
        <f>"-0.83"</f>
        <v>-0.83</v>
      </c>
      <c r="C7339" t="str">
        <f>"22"</f>
        <v>22</v>
      </c>
      <c r="D7339" t="str">
        <f>"Restless Ones"</f>
        <v>Restless Ones</v>
      </c>
    </row>
    <row r="7340" spans="1:4" x14ac:dyDescent="0.2">
      <c r="A7340" t="str">
        <f>"7339"</f>
        <v>7339</v>
      </c>
      <c r="B7340" t="str">
        <f>"1.39"</f>
        <v>1.39</v>
      </c>
      <c r="C7340" t="str">
        <f>"20"</f>
        <v>20</v>
      </c>
      <c r="D7340" t="str">
        <f>"Sounding Lines"</f>
        <v>Sounding Lines</v>
      </c>
    </row>
    <row r="7341" spans="1:4" x14ac:dyDescent="0.2">
      <c r="A7341" t="str">
        <f>"7340"</f>
        <v>7340</v>
      </c>
      <c r="B7341" t="str">
        <f>"-1.35"</f>
        <v>-1.35</v>
      </c>
      <c r="C7341" t="str">
        <f>"26"</f>
        <v>26</v>
      </c>
      <c r="D7341" t="str">
        <f>"Wild Nights"</f>
        <v>Wild Nights</v>
      </c>
    </row>
    <row r="7342" spans="1:4" x14ac:dyDescent="0.2">
      <c r="A7342" t="str">
        <f>"7341"</f>
        <v>7341</v>
      </c>
      <c r="B7342" t="str">
        <f>"0.98"</f>
        <v>0.98</v>
      </c>
      <c r="C7342" t="str">
        <f>"29"</f>
        <v>29</v>
      </c>
      <c r="D7342" t="str">
        <f>"Glass Piano"</f>
        <v>Glass Piano</v>
      </c>
    </row>
    <row r="7343" spans="1:4" x14ac:dyDescent="0.2">
      <c r="A7343" t="str">
        <f>"7342"</f>
        <v>7342</v>
      </c>
      <c r="B7343" t="str">
        <f>"-0.25"</f>
        <v>-0.25</v>
      </c>
      <c r="C7343" t="str">
        <f>"39"</f>
        <v>39</v>
      </c>
      <c r="D7343" t="str">
        <f>"Universal Themes"</f>
        <v>Universal Themes</v>
      </c>
    </row>
    <row r="7344" spans="1:4" x14ac:dyDescent="0.2">
      <c r="A7344" t="str">
        <f>"7343"</f>
        <v>7343</v>
      </c>
      <c r="B7344" t="str">
        <f>"-0.34"</f>
        <v>-0.34</v>
      </c>
      <c r="C7344" t="str">
        <f>"71"</f>
        <v>71</v>
      </c>
      <c r="D7344" t="str">
        <f>"The Real Thing"</f>
        <v>The Real Thing</v>
      </c>
    </row>
    <row r="7345" spans="1:4" x14ac:dyDescent="0.2">
      <c r="A7345" t="str">
        <f>"7344"</f>
        <v>7344</v>
      </c>
      <c r="B7345" t="str">
        <f>"-1.35"</f>
        <v>-1.35</v>
      </c>
      <c r="C7345" t="str">
        <f>"28"</f>
        <v>28</v>
      </c>
      <c r="D7345" t="str">
        <f>"Catharsis"</f>
        <v>Catharsis</v>
      </c>
    </row>
    <row r="7346" spans="1:4" x14ac:dyDescent="0.2">
      <c r="A7346" t="str">
        <f>"7345"</f>
        <v>7345</v>
      </c>
      <c r="B7346" t="str">
        <f>"0.37"</f>
        <v>0.37</v>
      </c>
      <c r="C7346" t="str">
        <f>"37"</f>
        <v>37</v>
      </c>
      <c r="D7346" t="str">
        <f>"Everything Is 4"</f>
        <v>Everything Is 4</v>
      </c>
    </row>
    <row r="7347" spans="1:4" x14ac:dyDescent="0.2">
      <c r="A7347" t="str">
        <f>"7346"</f>
        <v>7346</v>
      </c>
      <c r="B7347" t="str">
        <f>"0.4"</f>
        <v>0.4</v>
      </c>
      <c r="C7347" t="str">
        <f>"30"</f>
        <v>30</v>
      </c>
      <c r="D7347" t="str">
        <f>"Weird Prayer"</f>
        <v>Weird Prayer</v>
      </c>
    </row>
    <row r="7348" spans="1:4" x14ac:dyDescent="0.2">
      <c r="A7348" t="str">
        <f>"7347"</f>
        <v>7347</v>
      </c>
      <c r="B7348" t="str">
        <f>"0.68"</f>
        <v>0.68</v>
      </c>
      <c r="C7348" t="str">
        <f>"27"</f>
        <v>27</v>
      </c>
      <c r="D7348" t="s">
        <v>258</v>
      </c>
    </row>
    <row r="7349" spans="1:4" x14ac:dyDescent="0.2">
      <c r="A7349" t="str">
        <f>"7348"</f>
        <v>7348</v>
      </c>
      <c r="B7349" t="str">
        <f>"-0.01"</f>
        <v>-0.01</v>
      </c>
      <c r="C7349" t="str">
        <f>"33"</f>
        <v>33</v>
      </c>
      <c r="D7349" t="str">
        <f>"Drones"</f>
        <v>Drones</v>
      </c>
    </row>
    <row r="7350" spans="1:4" x14ac:dyDescent="0.2">
      <c r="A7350" t="str">
        <f>"7349"</f>
        <v>7349</v>
      </c>
      <c r="B7350" t="str">
        <f>"-1.41"</f>
        <v>-1.41</v>
      </c>
      <c r="C7350" t="str">
        <f>"26"</f>
        <v>26</v>
      </c>
      <c r="D7350" t="str">
        <f>"Amusers and Puzzlers"</f>
        <v>Amusers and Puzzlers</v>
      </c>
    </row>
    <row r="7351" spans="1:4" x14ac:dyDescent="0.2">
      <c r="A7351" t="str">
        <f>"7350"</f>
        <v>7350</v>
      </c>
      <c r="B7351" t="str">
        <f>"-0.93"</f>
        <v>-0.93</v>
      </c>
      <c r="C7351" t="str">
        <f>"31"</f>
        <v>31</v>
      </c>
      <c r="D7351" t="str">
        <f>"Portal/Well"</f>
        <v>Portal/Well</v>
      </c>
    </row>
    <row r="7352" spans="1:4" x14ac:dyDescent="0.2">
      <c r="A7352" t="str">
        <f>"7351"</f>
        <v>7351</v>
      </c>
      <c r="B7352" t="str">
        <f>"-0.3"</f>
        <v>-0.3</v>
      </c>
      <c r="C7352" t="str">
        <f>"30"</f>
        <v>30</v>
      </c>
      <c r="D7352" t="str">
        <f>"Perfect World"</f>
        <v>Perfect World</v>
      </c>
    </row>
    <row r="7353" spans="1:4" x14ac:dyDescent="0.2">
      <c r="A7353" t="str">
        <f>"7352"</f>
        <v>7352</v>
      </c>
      <c r="B7353" t="str">
        <f>"0.77"</f>
        <v>0.77</v>
      </c>
      <c r="C7353" t="str">
        <f>"40"</f>
        <v>40</v>
      </c>
      <c r="D7353" t="str">
        <f>"Corn"</f>
        <v>Corn</v>
      </c>
    </row>
    <row r="7354" spans="1:4" x14ac:dyDescent="0.2">
      <c r="A7354" t="str">
        <f>"7353"</f>
        <v>7353</v>
      </c>
      <c r="B7354" t="str">
        <f>"-0.42"</f>
        <v>-0.42</v>
      </c>
      <c r="C7354" t="str">
        <f>"21"</f>
        <v>21</v>
      </c>
      <c r="D7354" t="str">
        <f>"Sub-Lingual Tablet"</f>
        <v>Sub-Lingual Tablet</v>
      </c>
    </row>
    <row r="7355" spans="1:4" x14ac:dyDescent="0.2">
      <c r="A7355" t="str">
        <f>"7354"</f>
        <v>7354</v>
      </c>
      <c r="B7355" t="str">
        <f>"0.72"</f>
        <v>0.72</v>
      </c>
      <c r="C7355" t="str">
        <f>"30"</f>
        <v>30</v>
      </c>
      <c r="D7355" t="str">
        <f>"Nite-Glo EP"</f>
        <v>Nite-Glo EP</v>
      </c>
    </row>
    <row r="7356" spans="1:4" x14ac:dyDescent="0.2">
      <c r="A7356" t="str">
        <f>"7355"</f>
        <v>7355</v>
      </c>
      <c r="B7356" t="str">
        <f>"0.44"</f>
        <v>0.44</v>
      </c>
      <c r="C7356" t="str">
        <f>"19"</f>
        <v>19</v>
      </c>
      <c r="D7356" t="str">
        <f>"Home Economics"</f>
        <v>Home Economics</v>
      </c>
    </row>
    <row r="7357" spans="1:4" x14ac:dyDescent="0.2">
      <c r="A7357" t="str">
        <f>"7356"</f>
        <v>7356</v>
      </c>
      <c r="B7357" t="str">
        <f>"1.78"</f>
        <v>1.78</v>
      </c>
      <c r="C7357" t="str">
        <f>"32"</f>
        <v>32</v>
      </c>
      <c r="D7357" t="str">
        <f>"City Lights Vol. 3: Soweto"</f>
        <v>City Lights Vol. 3: Soweto</v>
      </c>
    </row>
    <row r="7358" spans="1:4" x14ac:dyDescent="0.2">
      <c r="A7358" t="str">
        <f>"7357"</f>
        <v>7357</v>
      </c>
      <c r="B7358" t="str">
        <f>"0.72"</f>
        <v>0.72</v>
      </c>
      <c r="C7358" t="str">
        <f>"59"</f>
        <v>59</v>
      </c>
      <c r="D7358" t="str">
        <f>"Surf"</f>
        <v>Surf</v>
      </c>
    </row>
    <row r="7359" spans="1:4" x14ac:dyDescent="0.2">
      <c r="A7359" t="str">
        <f>"7358"</f>
        <v>7358</v>
      </c>
      <c r="B7359" t="str">
        <f>"1.29"</f>
        <v>1.29</v>
      </c>
      <c r="C7359" t="str">
        <f>"35"</f>
        <v>35</v>
      </c>
      <c r="D7359" t="str">
        <f>"Before the World Was Big"</f>
        <v>Before the World Was Big</v>
      </c>
    </row>
    <row r="7360" spans="1:4" x14ac:dyDescent="0.2">
      <c r="A7360" t="str">
        <f>"7359"</f>
        <v>7359</v>
      </c>
      <c r="B7360" t="str">
        <f>"0.48"</f>
        <v>0.48</v>
      </c>
      <c r="C7360" t="str">
        <f>"39"</f>
        <v>39</v>
      </c>
      <c r="D7360" t="str">
        <f>"Black Age Blues"</f>
        <v>Black Age Blues</v>
      </c>
    </row>
    <row r="7361" spans="1:4" x14ac:dyDescent="0.2">
      <c r="A7361" t="str">
        <f>"7360"</f>
        <v>7360</v>
      </c>
      <c r="B7361" t="str">
        <f>"0.57"</f>
        <v>0.57</v>
      </c>
      <c r="C7361" t="str">
        <f>"26"</f>
        <v>26</v>
      </c>
      <c r="D7361" t="str">
        <f>"Pay Attention!"</f>
        <v>Pay Attention!</v>
      </c>
    </row>
    <row r="7362" spans="1:4" x14ac:dyDescent="0.2">
      <c r="A7362" t="str">
        <f>"7361"</f>
        <v>7361</v>
      </c>
      <c r="B7362" t="str">
        <f>"0.25"</f>
        <v>0.25</v>
      </c>
      <c r="C7362" t="str">
        <f>"24"</f>
        <v>24</v>
      </c>
      <c r="D7362" t="str">
        <f>"Time Wharp"</f>
        <v>Time Wharp</v>
      </c>
    </row>
    <row r="7363" spans="1:4" x14ac:dyDescent="0.2">
      <c r="A7363" t="str">
        <f>"7362"</f>
        <v>7362</v>
      </c>
      <c r="B7363" t="str">
        <f>"0.94"</f>
        <v>0.94</v>
      </c>
      <c r="C7363" t="str">
        <f>"35"</f>
        <v>35</v>
      </c>
      <c r="D7363" t="str">
        <f>"Chrissybaby Forever"</f>
        <v>Chrissybaby Forever</v>
      </c>
    </row>
    <row r="7364" spans="1:4" x14ac:dyDescent="0.2">
      <c r="A7364" t="str">
        <f>"7363"</f>
        <v>7363</v>
      </c>
      <c r="B7364" t="str">
        <f>"-0.13"</f>
        <v>-0.13</v>
      </c>
      <c r="C7364" t="str">
        <f>"26"</f>
        <v>26</v>
      </c>
      <c r="D7364" t="str">
        <f>"Gold and Stone"</f>
        <v>Gold and Stone</v>
      </c>
    </row>
    <row r="7365" spans="1:4" x14ac:dyDescent="0.2">
      <c r="A7365" t="str">
        <f>"7364"</f>
        <v>7364</v>
      </c>
      <c r="B7365" t="str">
        <f>"-0.71"</f>
        <v>-0.71</v>
      </c>
      <c r="C7365" t="str">
        <f>"18"</f>
        <v>18</v>
      </c>
      <c r="D7365" t="str">
        <f>"Grands Tyrans"</f>
        <v>Grands Tyrans</v>
      </c>
    </row>
    <row r="7366" spans="1:4" x14ac:dyDescent="0.2">
      <c r="A7366" t="str">
        <f>"7365"</f>
        <v>7365</v>
      </c>
      <c r="B7366" t="str">
        <f>"-0.41"</f>
        <v>-0.41</v>
      </c>
      <c r="C7366" t="str">
        <f>"40"</f>
        <v>40</v>
      </c>
      <c r="D7366" t="str">
        <f>"The Clearing"</f>
        <v>The Clearing</v>
      </c>
    </row>
    <row r="7367" spans="1:4" x14ac:dyDescent="0.2">
      <c r="A7367" t="str">
        <f>"7366"</f>
        <v>7366</v>
      </c>
      <c r="B7367" t="str">
        <f>"0.64"</f>
        <v>0.64</v>
      </c>
      <c r="C7367" t="str">
        <f>"25"</f>
        <v>25</v>
      </c>
      <c r="D7367" t="str">
        <f>"The Deslondes"</f>
        <v>The Deslondes</v>
      </c>
    </row>
    <row r="7368" spans="1:4" x14ac:dyDescent="0.2">
      <c r="A7368" t="str">
        <f>"7367"</f>
        <v>7367</v>
      </c>
      <c r="B7368" t="str">
        <f>"-0.04"</f>
        <v>-0.04</v>
      </c>
      <c r="C7368" t="str">
        <f>"27"</f>
        <v>27</v>
      </c>
      <c r="D7368" t="str">
        <f>"Peace Is the Mission"</f>
        <v>Peace Is the Mission</v>
      </c>
    </row>
    <row r="7369" spans="1:4" x14ac:dyDescent="0.2">
      <c r="A7369" t="str">
        <f>"7368"</f>
        <v>7368</v>
      </c>
      <c r="B7369" t="str">
        <f>"0.13"</f>
        <v>0.13</v>
      </c>
      <c r="C7369" t="str">
        <f>"29"</f>
        <v>29</v>
      </c>
      <c r="D7369" t="str">
        <f>"Murder for Hire EP"</f>
        <v>Murder for Hire EP</v>
      </c>
    </row>
    <row r="7370" spans="1:4" x14ac:dyDescent="0.2">
      <c r="A7370" t="str">
        <f>"7369"</f>
        <v>7369</v>
      </c>
      <c r="B7370" t="str">
        <f>"0.31"</f>
        <v>0.31</v>
      </c>
      <c r="C7370" t="str">
        <f>"26"</f>
        <v>26</v>
      </c>
      <c r="D7370" t="str">
        <f>"Era"</f>
        <v>Era</v>
      </c>
    </row>
    <row r="7371" spans="1:4" x14ac:dyDescent="0.2">
      <c r="A7371" t="str">
        <f>"7370"</f>
        <v>7370</v>
      </c>
      <c r="B7371" t="str">
        <f>"-0.68"</f>
        <v>-0.68</v>
      </c>
      <c r="C7371" t="str">
        <f>"30"</f>
        <v>30</v>
      </c>
      <c r="D7371" t="str">
        <f>"Math Ilium Ion EP"</f>
        <v>Math Ilium Ion EP</v>
      </c>
    </row>
    <row r="7372" spans="1:4" x14ac:dyDescent="0.2">
      <c r="A7372" t="str">
        <f>"7371"</f>
        <v>7371</v>
      </c>
      <c r="B7372" t="str">
        <f>"-0.44"</f>
        <v>-0.44</v>
      </c>
      <c r="C7372" t="str">
        <f>"24"</f>
        <v>24</v>
      </c>
      <c r="D7372" t="str">
        <f>"Zhala"</f>
        <v>Zhala</v>
      </c>
    </row>
    <row r="7373" spans="1:4" x14ac:dyDescent="0.2">
      <c r="A7373" t="str">
        <f>"7372"</f>
        <v>7372</v>
      </c>
      <c r="B7373" t="str">
        <f>"0.31"</f>
        <v>0.31</v>
      </c>
      <c r="C7373" t="str">
        <f>"29"</f>
        <v>29</v>
      </c>
      <c r="D7373" t="s">
        <v>259</v>
      </c>
    </row>
    <row r="7374" spans="1:4" x14ac:dyDescent="0.2">
      <c r="A7374" t="str">
        <f>"7373"</f>
        <v>7373</v>
      </c>
      <c r="B7374" t="str">
        <f>"-0.65"</f>
        <v>-0.65</v>
      </c>
      <c r="C7374" t="str">
        <f>"49"</f>
        <v>49</v>
      </c>
      <c r="D7374" t="str">
        <f>"Carnation"</f>
        <v>Carnation</v>
      </c>
    </row>
    <row r="7375" spans="1:4" x14ac:dyDescent="0.2">
      <c r="A7375" t="str">
        <f>"7374"</f>
        <v>7374</v>
      </c>
      <c r="B7375" t="str">
        <f>"0.24"</f>
        <v>0.24</v>
      </c>
      <c r="C7375" t="str">
        <f>"30"</f>
        <v>30</v>
      </c>
      <c r="D7375" t="str">
        <f>"Nozinja Lodge"</f>
        <v>Nozinja Lodge</v>
      </c>
    </row>
    <row r="7376" spans="1:4" x14ac:dyDescent="0.2">
      <c r="A7376" t="str">
        <f>"7375"</f>
        <v>7375</v>
      </c>
      <c r="B7376" t="str">
        <f>"-1.02"</f>
        <v>-1.02</v>
      </c>
      <c r="C7376" t="str">
        <f>"46"</f>
        <v>46</v>
      </c>
      <c r="D7376" t="str">
        <f>"Remember My Name"</f>
        <v>Remember My Name</v>
      </c>
    </row>
    <row r="7377" spans="1:4" x14ac:dyDescent="0.2">
      <c r="A7377" t="str">
        <f>"7376"</f>
        <v>7376</v>
      </c>
      <c r="B7377" t="str">
        <f>"0.1"</f>
        <v>0.1</v>
      </c>
      <c r="C7377" t="str">
        <f>"40"</f>
        <v>40</v>
      </c>
      <c r="D7377" t="str">
        <f>"Love &amp; Fear"</f>
        <v>Love &amp; Fear</v>
      </c>
    </row>
    <row r="7378" spans="1:4" x14ac:dyDescent="0.2">
      <c r="A7378" t="str">
        <f>"7377"</f>
        <v>7377</v>
      </c>
      <c r="B7378" t="str">
        <f>"0.77"</f>
        <v>0.77</v>
      </c>
      <c r="C7378" t="str">
        <f>"49"</f>
        <v>49</v>
      </c>
      <c r="D7378" t="str">
        <f>"In Colour"</f>
        <v>In Colour</v>
      </c>
    </row>
    <row r="7379" spans="1:4" x14ac:dyDescent="0.2">
      <c r="A7379" t="str">
        <f>"7378"</f>
        <v>7378</v>
      </c>
      <c r="B7379" t="str">
        <f>"-0.38"</f>
        <v>-0.38</v>
      </c>
      <c r="C7379" t="str">
        <f>"33"</f>
        <v>33</v>
      </c>
      <c r="D7379" t="str">
        <f>"Algiers"</f>
        <v>Algiers</v>
      </c>
    </row>
    <row r="7380" spans="1:4" x14ac:dyDescent="0.2">
      <c r="A7380" t="str">
        <f>"7379"</f>
        <v>7379</v>
      </c>
      <c r="B7380" t="str">
        <f>"0.27"</f>
        <v>0.27</v>
      </c>
      <c r="C7380" t="str">
        <f>"42"</f>
        <v>42</v>
      </c>
      <c r="D7380" t="str">
        <f>"Why Make Sense?"</f>
        <v>Why Make Sense?</v>
      </c>
    </row>
    <row r="7381" spans="1:4" x14ac:dyDescent="0.2">
      <c r="A7381" t="str">
        <f>"7380"</f>
        <v>7380</v>
      </c>
      <c r="B7381" t="str">
        <f>"-0.55"</f>
        <v>-0.55</v>
      </c>
      <c r="C7381" t="str">
        <f>"24"</f>
        <v>24</v>
      </c>
      <c r="D7381" t="str">
        <f>"Tundra"</f>
        <v>Tundra</v>
      </c>
    </row>
    <row r="7382" spans="1:4" x14ac:dyDescent="0.2">
      <c r="A7382" t="str">
        <f>"7381"</f>
        <v>7381</v>
      </c>
      <c r="B7382" t="str">
        <f>"0.43"</f>
        <v>0.43</v>
      </c>
      <c r="C7382" t="str">
        <f>"41"</f>
        <v>41</v>
      </c>
      <c r="D7382" t="str">
        <f>"The Desired Effect"</f>
        <v>The Desired Effect</v>
      </c>
    </row>
    <row r="7383" spans="1:4" x14ac:dyDescent="0.2">
      <c r="A7383" t="str">
        <f>"7382"</f>
        <v>7382</v>
      </c>
      <c r="B7383" t="str">
        <f>"-0.73"</f>
        <v>-0.73</v>
      </c>
      <c r="C7383" t="str">
        <f>"42"</f>
        <v>42</v>
      </c>
      <c r="D7383" t="str">
        <f>"The L-Shaped Man"</f>
        <v>The L-Shaped Man</v>
      </c>
    </row>
    <row r="7384" spans="1:4" x14ac:dyDescent="0.2">
      <c r="A7384" t="str">
        <f>"7383"</f>
        <v>7383</v>
      </c>
      <c r="B7384" t="str">
        <f>"-0.69"</f>
        <v>-0.69</v>
      </c>
      <c r="C7384" t="str">
        <f>"26"</f>
        <v>26</v>
      </c>
      <c r="D7384" t="str">
        <f>"Before We Forgot How to Dream"</f>
        <v>Before We Forgot How to Dream</v>
      </c>
    </row>
    <row r="7385" spans="1:4" x14ac:dyDescent="0.2">
      <c r="A7385" t="str">
        <f>"7384"</f>
        <v>7384</v>
      </c>
      <c r="B7385" t="str">
        <f>"-0.8"</f>
        <v>-0.8</v>
      </c>
      <c r="C7385" t="str">
        <f>"36"</f>
        <v>36</v>
      </c>
      <c r="D7385" t="str">
        <f>"Hysteria"</f>
        <v>Hysteria</v>
      </c>
    </row>
    <row r="7386" spans="1:4" x14ac:dyDescent="0.2">
      <c r="A7386" t="str">
        <f>"7385"</f>
        <v>7385</v>
      </c>
      <c r="B7386" t="str">
        <f>"0.07"</f>
        <v>0.07</v>
      </c>
      <c r="C7386" t="str">
        <f>"46"</f>
        <v>46</v>
      </c>
      <c r="D7386" t="str">
        <f>"Aria of Vernal Tombs"</f>
        <v>Aria of Vernal Tombs</v>
      </c>
    </row>
    <row r="7387" spans="1:4" x14ac:dyDescent="0.2">
      <c r="A7387" t="str">
        <f>"7386"</f>
        <v>7386</v>
      </c>
      <c r="B7387" t="str">
        <f>"-0.63"</f>
        <v>-0.63</v>
      </c>
      <c r="C7387" t="str">
        <f>"53"</f>
        <v>53</v>
      </c>
      <c r="D7387" t="str">
        <f>"At.Long.Last.A$AP"</f>
        <v>At.Long.Last.A$AP</v>
      </c>
    </row>
    <row r="7388" spans="1:4" x14ac:dyDescent="0.2">
      <c r="A7388" t="str">
        <f>"7387"</f>
        <v>7387</v>
      </c>
      <c r="B7388" t="str">
        <f>"0.8"</f>
        <v>0.8</v>
      </c>
      <c r="C7388" t="str">
        <f>"75"</f>
        <v>75</v>
      </c>
      <c r="D7388" t="str">
        <f>"Frankie Knuckles: House Masters"</f>
        <v>Frankie Knuckles: House Masters</v>
      </c>
    </row>
    <row r="7389" spans="1:4" x14ac:dyDescent="0.2">
      <c r="A7389" t="str">
        <f>"7388"</f>
        <v>7388</v>
      </c>
      <c r="B7389" t="str">
        <f>"-0.03"</f>
        <v>-0.03</v>
      </c>
      <c r="C7389" t="str">
        <f>"26"</f>
        <v>26</v>
      </c>
      <c r="D7389" t="str">
        <f>"English Graffiti"</f>
        <v>English Graffiti</v>
      </c>
    </row>
    <row r="7390" spans="1:4" x14ac:dyDescent="0.2">
      <c r="A7390" t="str">
        <f>"7389"</f>
        <v>7389</v>
      </c>
      <c r="B7390" t="str">
        <f>"-0.23"</f>
        <v>-0.23</v>
      </c>
      <c r="C7390" t="str">
        <f>"44"</f>
        <v>44</v>
      </c>
      <c r="D7390" t="str">
        <f>"Noise Tape Self"</f>
        <v>Noise Tape Self</v>
      </c>
    </row>
    <row r="7391" spans="1:4" x14ac:dyDescent="0.2">
      <c r="A7391" t="str">
        <f>"7390"</f>
        <v>7390</v>
      </c>
      <c r="B7391" t="str">
        <f>"1.01"</f>
        <v>1.01</v>
      </c>
      <c r="C7391" t="str">
        <f>"30"</f>
        <v>30</v>
      </c>
      <c r="D7391" t="str">
        <f>"Square EP"</f>
        <v>Square EP</v>
      </c>
    </row>
    <row r="7392" spans="1:4" x14ac:dyDescent="0.2">
      <c r="A7392" t="str">
        <f>"7391"</f>
        <v>7391</v>
      </c>
      <c r="B7392" t="str">
        <f>"-0.85"</f>
        <v>-0.85</v>
      </c>
      <c r="C7392" t="str">
        <f>"34"</f>
        <v>34</v>
      </c>
      <c r="D7392" t="str">
        <f>"Filth"</f>
        <v>Filth</v>
      </c>
    </row>
    <row r="7393" spans="1:4" x14ac:dyDescent="0.2">
      <c r="A7393" t="str">
        <f>"7392"</f>
        <v>7392</v>
      </c>
      <c r="B7393" t="str">
        <f>"-0.92"</f>
        <v>-0.92</v>
      </c>
      <c r="C7393" t="str">
        <f>"48"</f>
        <v>48</v>
      </c>
      <c r="D7393" t="str">
        <f>"King Gucci"</f>
        <v>King Gucci</v>
      </c>
    </row>
    <row r="7394" spans="1:4" x14ac:dyDescent="0.2">
      <c r="A7394" t="str">
        <f>"7393"</f>
        <v>7393</v>
      </c>
      <c r="B7394" t="str">
        <f>"0.73"</f>
        <v>0.73</v>
      </c>
      <c r="C7394" t="str">
        <f>"20"</f>
        <v>20</v>
      </c>
      <c r="D7394" t="str">
        <f>"Consumer Complaints"</f>
        <v>Consumer Complaints</v>
      </c>
    </row>
    <row r="7395" spans="1:4" x14ac:dyDescent="0.2">
      <c r="A7395" t="str">
        <f>"7394"</f>
        <v>7394</v>
      </c>
      <c r="B7395" t="str">
        <f>"-0.36"</f>
        <v>-0.36</v>
      </c>
      <c r="C7395" t="str">
        <f>"31"</f>
        <v>31</v>
      </c>
      <c r="D7395" t="str">
        <f>"Nature"</f>
        <v>Nature</v>
      </c>
    </row>
    <row r="7396" spans="1:4" x14ac:dyDescent="0.2">
      <c r="A7396" t="str">
        <f>"7395"</f>
        <v>7395</v>
      </c>
      <c r="B7396" t="str">
        <f>"-0.77"</f>
        <v>-0.77</v>
      </c>
      <c r="C7396" t="str">
        <f>"46"</f>
        <v>46</v>
      </c>
      <c r="D7396" t="str">
        <f>"Qliphoth"</f>
        <v>Qliphoth</v>
      </c>
    </row>
    <row r="7397" spans="1:4" x14ac:dyDescent="0.2">
      <c r="A7397" t="str">
        <f>"7396"</f>
        <v>7396</v>
      </c>
      <c r="B7397" t="str">
        <f>"-0.05"</f>
        <v>-0.05</v>
      </c>
      <c r="C7397" t="str">
        <f>"34"</f>
        <v>34</v>
      </c>
      <c r="D7397" t="str">
        <f>"Remembering Mountains: Unheard Songs by Karen Dalton"</f>
        <v>Remembering Mountains: Unheard Songs by Karen Dalton</v>
      </c>
    </row>
    <row r="7398" spans="1:4" x14ac:dyDescent="0.2">
      <c r="A7398" t="str">
        <f>"7397"</f>
        <v>7397</v>
      </c>
      <c r="B7398" t="str">
        <f>"0.19"</f>
        <v>0.19</v>
      </c>
      <c r="C7398" t="str">
        <f>"23"</f>
        <v>23</v>
      </c>
      <c r="D7398" t="str">
        <f>"What You Hear (Is What You Hear)"</f>
        <v>What You Hear (Is What You Hear)</v>
      </c>
    </row>
    <row r="7399" spans="1:4" x14ac:dyDescent="0.2">
      <c r="A7399" t="str">
        <f>"7398"</f>
        <v>7398</v>
      </c>
      <c r="B7399" t="str">
        <f>"0.69"</f>
        <v>0.69</v>
      </c>
      <c r="C7399" t="str">
        <f>"31"</f>
        <v>31</v>
      </c>
      <c r="D7399" t="str">
        <f>"Assembling"</f>
        <v>Assembling</v>
      </c>
    </row>
    <row r="7400" spans="1:4" x14ac:dyDescent="0.2">
      <c r="A7400" t="str">
        <f>"7399"</f>
        <v>7399</v>
      </c>
      <c r="B7400" t="str">
        <f>"-0.04"</f>
        <v>-0.04</v>
      </c>
      <c r="C7400" t="str">
        <f>"30"</f>
        <v>30</v>
      </c>
      <c r="D7400" t="str">
        <f>"Have a Nice Life"</f>
        <v>Have a Nice Life</v>
      </c>
    </row>
    <row r="7401" spans="1:4" x14ac:dyDescent="0.2">
      <c r="A7401" t="str">
        <f>"7400"</f>
        <v>7400</v>
      </c>
      <c r="B7401" t="str">
        <f>"0.93"</f>
        <v>0.93</v>
      </c>
      <c r="C7401" t="str">
        <f>"25"</f>
        <v>25</v>
      </c>
      <c r="D7401" t="s">
        <v>260</v>
      </c>
    </row>
    <row r="7402" spans="1:4" x14ac:dyDescent="0.2">
      <c r="A7402" t="str">
        <f>"7401"</f>
        <v>7401</v>
      </c>
      <c r="B7402" t="str">
        <f>"0.22"</f>
        <v>0.22</v>
      </c>
      <c r="C7402" t="str">
        <f>"43"</f>
        <v>43</v>
      </c>
      <c r="D7402" t="str">
        <f>"Multi-Love"</f>
        <v>Multi-Love</v>
      </c>
    </row>
    <row r="7403" spans="1:4" x14ac:dyDescent="0.2">
      <c r="A7403" t="str">
        <f>"7402"</f>
        <v>7402</v>
      </c>
      <c r="B7403" t="str">
        <f>"-0.71"</f>
        <v>-0.71</v>
      </c>
      <c r="C7403" t="str">
        <f>"41"</f>
        <v>41</v>
      </c>
      <c r="D7403" t="str">
        <f>"Days With Dr. Yen Lo"</f>
        <v>Days With Dr. Yen Lo</v>
      </c>
    </row>
    <row r="7404" spans="1:4" x14ac:dyDescent="0.2">
      <c r="A7404" t="str">
        <f>"7403"</f>
        <v>7403</v>
      </c>
      <c r="B7404" t="str">
        <f>"-1.13"</f>
        <v>-1.13</v>
      </c>
      <c r="C7404" t="str">
        <f>"18"</f>
        <v>18</v>
      </c>
      <c r="D7404" t="str">
        <f>"UFO Rot"</f>
        <v>UFO Rot</v>
      </c>
    </row>
    <row r="7405" spans="1:4" x14ac:dyDescent="0.2">
      <c r="A7405" t="str">
        <f>"7404"</f>
        <v>7404</v>
      </c>
      <c r="B7405" t="str">
        <f>"-0.48"</f>
        <v>-0.48</v>
      </c>
      <c r="C7405" t="str">
        <f>"20"</f>
        <v>20</v>
      </c>
      <c r="D7405" t="str">
        <f>"Casino Life 2: Brown Bag Legend"</f>
        <v>Casino Life 2: Brown Bag Legend</v>
      </c>
    </row>
    <row r="7406" spans="1:4" x14ac:dyDescent="0.2">
      <c r="A7406" t="str">
        <f>"7405"</f>
        <v>7405</v>
      </c>
      <c r="B7406" t="str">
        <f>"-1.35"</f>
        <v>-1.35</v>
      </c>
      <c r="C7406" t="str">
        <f>"16"</f>
        <v>16</v>
      </c>
      <c r="D7406" t="str">
        <f>"LO"</f>
        <v>LO</v>
      </c>
    </row>
    <row r="7407" spans="1:4" x14ac:dyDescent="0.2">
      <c r="A7407" t="str">
        <f>"7406"</f>
        <v>7406</v>
      </c>
      <c r="B7407" t="str">
        <f>"1.39"</f>
        <v>1.39</v>
      </c>
      <c r="C7407" t="str">
        <f>"26"</f>
        <v>26</v>
      </c>
      <c r="D7407" t="str">
        <f>"February 15 EP"</f>
        <v>February 15 EP</v>
      </c>
    </row>
    <row r="7408" spans="1:4" x14ac:dyDescent="0.2">
      <c r="A7408" t="str">
        <f>"7407"</f>
        <v>7407</v>
      </c>
      <c r="B7408" t="str">
        <f>"0.45"</f>
        <v>0.45</v>
      </c>
      <c r="C7408" t="str">
        <f>"37"</f>
        <v>37</v>
      </c>
      <c r="D7408" t="str">
        <f>"Highlights"</f>
        <v>Highlights</v>
      </c>
    </row>
    <row r="7409" spans="1:4" x14ac:dyDescent="0.2">
      <c r="A7409" t="str">
        <f>"7408"</f>
        <v>7408</v>
      </c>
      <c r="B7409" t="str">
        <f>"0.51"</f>
        <v>0.51</v>
      </c>
      <c r="C7409" t="str">
        <f>"39"</f>
        <v>39</v>
      </c>
      <c r="D7409" t="str">
        <f>"A Shapeless Pool of Lovely Pale Colours Suspended in the Darkness"</f>
        <v>A Shapeless Pool of Lovely Pale Colours Suspended in the Darkness</v>
      </c>
    </row>
    <row r="7410" spans="1:4" x14ac:dyDescent="0.2">
      <c r="A7410" t="str">
        <f>"7409"</f>
        <v>7409</v>
      </c>
      <c r="B7410" t="str">
        <f>"0.43"</f>
        <v>0.43</v>
      </c>
      <c r="C7410" t="str">
        <f>"30"</f>
        <v>30</v>
      </c>
      <c r="D7410" t="s">
        <v>261</v>
      </c>
    </row>
    <row r="7411" spans="1:4" x14ac:dyDescent="0.2">
      <c r="A7411" t="str">
        <f>"7410"</f>
        <v>7410</v>
      </c>
      <c r="B7411" t="str">
        <f>"0.24"</f>
        <v>0.24</v>
      </c>
      <c r="C7411" t="str">
        <f>"26"</f>
        <v>26</v>
      </c>
      <c r="D7411" t="str">
        <f>"Fundamentals"</f>
        <v>Fundamentals</v>
      </c>
    </row>
    <row r="7412" spans="1:4" x14ac:dyDescent="0.2">
      <c r="A7412" t="str">
        <f>"7411"</f>
        <v>7411</v>
      </c>
      <c r="B7412" t="str">
        <f>"0.18"</f>
        <v>0.18</v>
      </c>
      <c r="C7412" t="str">
        <f>"51"</f>
        <v>51</v>
      </c>
      <c r="D7412" t="str">
        <f>"Platform"</f>
        <v>Platform</v>
      </c>
    </row>
    <row r="7413" spans="1:4" x14ac:dyDescent="0.2">
      <c r="A7413" t="str">
        <f>"7412"</f>
        <v>7412</v>
      </c>
      <c r="B7413" t="str">
        <f>"0.04"</f>
        <v>0.04</v>
      </c>
      <c r="C7413" t="str">
        <f>"33"</f>
        <v>33</v>
      </c>
      <c r="D7413" t="str">
        <f>"Mutilator Defeated at Last"</f>
        <v>Mutilator Defeated at Last</v>
      </c>
    </row>
    <row r="7414" spans="1:4" x14ac:dyDescent="0.2">
      <c r="A7414" t="str">
        <f>"7413"</f>
        <v>7413</v>
      </c>
      <c r="B7414" t="str">
        <f>"-1.15"</f>
        <v>-1.15</v>
      </c>
      <c r="C7414" t="str">
        <f>"32"</f>
        <v>32</v>
      </c>
      <c r="D7414" t="str">
        <f>"Welcome Back to Milk"</f>
        <v>Welcome Back to Milk</v>
      </c>
    </row>
    <row r="7415" spans="1:4" x14ac:dyDescent="0.2">
      <c r="A7415" t="str">
        <f>"7414"</f>
        <v>7414</v>
      </c>
      <c r="B7415" t="str">
        <f>"0.85"</f>
        <v>0.85</v>
      </c>
      <c r="C7415" t="str">
        <f>"24"</f>
        <v>24</v>
      </c>
      <c r="D7415" t="str">
        <f>"True Colors"</f>
        <v>True Colors</v>
      </c>
    </row>
    <row r="7416" spans="1:4" x14ac:dyDescent="0.2">
      <c r="A7416" t="str">
        <f>"7415"</f>
        <v>7415</v>
      </c>
      <c r="B7416" t="str">
        <f>"0.36"</f>
        <v>0.36</v>
      </c>
      <c r="C7416" t="str">
        <f>"38"</f>
        <v>38</v>
      </c>
      <c r="D7416" t="str">
        <f>"Holly Miranda"</f>
        <v>Holly Miranda</v>
      </c>
    </row>
    <row r="7417" spans="1:4" x14ac:dyDescent="0.2">
      <c r="A7417" t="str">
        <f>"7416"</f>
        <v>7416</v>
      </c>
      <c r="B7417" t="str">
        <f>"-0.4"</f>
        <v>-0.4</v>
      </c>
      <c r="C7417" t="str">
        <f>"31"</f>
        <v>31</v>
      </c>
      <c r="D7417" t="str">
        <f>"Last Year's Savage"</f>
        <v>Last Year's Savage</v>
      </c>
    </row>
    <row r="7418" spans="1:4" x14ac:dyDescent="0.2">
      <c r="A7418" t="str">
        <f>"7417"</f>
        <v>7417</v>
      </c>
      <c r="B7418" t="str">
        <f>"-0.68"</f>
        <v>-0.68</v>
      </c>
      <c r="C7418" t="str">
        <f>"36"</f>
        <v>36</v>
      </c>
      <c r="D7418" t="str">
        <f>"Sol Invictus"</f>
        <v>Sol Invictus</v>
      </c>
    </row>
    <row r="7419" spans="1:4" x14ac:dyDescent="0.2">
      <c r="A7419" t="str">
        <f>"7418"</f>
        <v>7418</v>
      </c>
      <c r="B7419" t="str">
        <f>"-0.42"</f>
        <v>-0.42</v>
      </c>
      <c r="C7419" t="str">
        <f>"28"</f>
        <v>28</v>
      </c>
      <c r="D7419" t="str">
        <f>"Peanut Butter"</f>
        <v>Peanut Butter</v>
      </c>
    </row>
    <row r="7420" spans="1:4" x14ac:dyDescent="0.2">
      <c r="A7420" t="str">
        <f>"7419"</f>
        <v>7419</v>
      </c>
      <c r="B7420" t="str">
        <f>"0.74"</f>
        <v>0.74</v>
      </c>
      <c r="C7420" t="str">
        <f>"61"</f>
        <v>61</v>
      </c>
      <c r="D7420" t="str">
        <f>"The Complete Cecil Taylor in Berlin '88"</f>
        <v>The Complete Cecil Taylor in Berlin '88</v>
      </c>
    </row>
    <row r="7421" spans="1:4" x14ac:dyDescent="0.2">
      <c r="A7421" t="str">
        <f>"7420"</f>
        <v>7420</v>
      </c>
      <c r="B7421" t="str">
        <f>"1.12"</f>
        <v>1.12</v>
      </c>
      <c r="C7421" t="str">
        <f>"45"</f>
        <v>45</v>
      </c>
      <c r="D7421" t="str">
        <f>"River"</f>
        <v>River</v>
      </c>
    </row>
    <row r="7422" spans="1:4" x14ac:dyDescent="0.2">
      <c r="A7422" t="str">
        <f>"7421"</f>
        <v>7421</v>
      </c>
      <c r="B7422" t="str">
        <f>"0.23"</f>
        <v>0.23</v>
      </c>
      <c r="C7422" t="str">
        <f>"43"</f>
        <v>43</v>
      </c>
      <c r="D7422" t="str">
        <f>"I Was Crossing a Bridge"</f>
        <v>I Was Crossing a Bridge</v>
      </c>
    </row>
    <row r="7423" spans="1:4" x14ac:dyDescent="0.2">
      <c r="A7423" t="str">
        <f>"7422"</f>
        <v>7422</v>
      </c>
      <c r="B7423" t="str">
        <f>"0.82"</f>
        <v>0.82</v>
      </c>
      <c r="C7423" t="str">
        <f>"38"</f>
        <v>38</v>
      </c>
      <c r="D7423" t="str">
        <f>"Ratchet"</f>
        <v>Ratchet</v>
      </c>
    </row>
    <row r="7424" spans="1:4" x14ac:dyDescent="0.2">
      <c r="A7424" t="str">
        <f>"7423"</f>
        <v>7423</v>
      </c>
      <c r="B7424" t="str">
        <f>"1.05"</f>
        <v>1.05</v>
      </c>
      <c r="C7424" t="str">
        <f>"42"</f>
        <v>42</v>
      </c>
      <c r="D7424" t="str">
        <f>"In Plain Speech"</f>
        <v>In Plain Speech</v>
      </c>
    </row>
    <row r="7425" spans="1:4" x14ac:dyDescent="0.2">
      <c r="A7425" t="str">
        <f>"7424"</f>
        <v>7424</v>
      </c>
      <c r="B7425" t="str">
        <f>"0.11"</f>
        <v>0.11</v>
      </c>
      <c r="C7425" t="str">
        <f>"39"</f>
        <v>39</v>
      </c>
      <c r="D7425" t="str">
        <f>"Blues: The ""Dark Paintings"" of Mark Rothko"</f>
        <v>Blues: The "Dark Paintings" of Mark Rothko</v>
      </c>
    </row>
    <row r="7426" spans="1:4" x14ac:dyDescent="0.2">
      <c r="A7426" t="str">
        <f>"7425"</f>
        <v>7425</v>
      </c>
      <c r="B7426" t="str">
        <f>"-0.1"</f>
        <v>-0.1</v>
      </c>
      <c r="C7426" t="str">
        <f>"36"</f>
        <v>36</v>
      </c>
      <c r="D7426" t="str">
        <f>"Music for Wood and Strings"</f>
        <v>Music for Wood and Strings</v>
      </c>
    </row>
    <row r="7427" spans="1:4" x14ac:dyDescent="0.2">
      <c r="A7427" t="str">
        <f>"7426"</f>
        <v>7426</v>
      </c>
      <c r="B7427" t="str">
        <f>"-0.73"</f>
        <v>-0.73</v>
      </c>
      <c r="C7427" t="str">
        <f>"24"</f>
        <v>24</v>
      </c>
      <c r="D7427" t="str">
        <f>"1000 EP"</f>
        <v>1000 EP</v>
      </c>
    </row>
    <row r="7428" spans="1:4" x14ac:dyDescent="0.2">
      <c r="A7428" t="str">
        <f>"7427"</f>
        <v>7427</v>
      </c>
      <c r="B7428" t="str">
        <f>"0.78"</f>
        <v>0.78</v>
      </c>
      <c r="C7428" t="str">
        <f>"50"</f>
        <v>50</v>
      </c>
      <c r="D7428" t="str">
        <f>"Simple Songs"</f>
        <v>Simple Songs</v>
      </c>
    </row>
    <row r="7429" spans="1:4" x14ac:dyDescent="0.2">
      <c r="A7429" t="str">
        <f>"7428"</f>
        <v>7428</v>
      </c>
      <c r="B7429" t="str">
        <f>"-0.21"</f>
        <v>-0.21</v>
      </c>
      <c r="C7429" t="str">
        <f>"34"</f>
        <v>34</v>
      </c>
      <c r="D7429" t="str">
        <f>"Blossoming Decay"</f>
        <v>Blossoming Decay</v>
      </c>
    </row>
    <row r="7430" spans="1:4" x14ac:dyDescent="0.2">
      <c r="A7430" t="str">
        <f>"7429"</f>
        <v>7429</v>
      </c>
      <c r="B7430" t="str">
        <f>"1.28"</f>
        <v>1.28</v>
      </c>
      <c r="C7430" t="str">
        <f>"24"</f>
        <v>24</v>
      </c>
      <c r="D7430" t="str">
        <f>"Visions"</f>
        <v>Visions</v>
      </c>
    </row>
    <row r="7431" spans="1:4" x14ac:dyDescent="0.2">
      <c r="A7431" t="str">
        <f>"7430"</f>
        <v>7430</v>
      </c>
      <c r="B7431" t="str">
        <f>"-0.99"</f>
        <v>-0.99</v>
      </c>
      <c r="C7431" t="str">
        <f>"49"</f>
        <v>49</v>
      </c>
      <c r="D7431" t="str">
        <f>"Brother I Prove You Wrong"</f>
        <v>Brother I Prove You Wrong</v>
      </c>
    </row>
    <row r="7432" spans="1:4" x14ac:dyDescent="0.2">
      <c r="A7432" t="str">
        <f>"7431"</f>
        <v>7431</v>
      </c>
      <c r="B7432" t="str">
        <f>"0.03"</f>
        <v>0.03</v>
      </c>
      <c r="C7432" t="str">
        <f>"35"</f>
        <v>35</v>
      </c>
      <c r="D7432" t="str">
        <f>"Boys"</f>
        <v>Boys</v>
      </c>
    </row>
    <row r="7433" spans="1:4" x14ac:dyDescent="0.2">
      <c r="A7433" t="str">
        <f>"7432"</f>
        <v>7432</v>
      </c>
      <c r="B7433" t="str">
        <f>"-0.28"</f>
        <v>-0.28</v>
      </c>
      <c r="C7433" t="str">
        <f>"53"</f>
        <v>53</v>
      </c>
      <c r="D7433" t="str">
        <f>"Frozen Niagara Falls"</f>
        <v>Frozen Niagara Falls</v>
      </c>
    </row>
    <row r="7434" spans="1:4" x14ac:dyDescent="0.2">
      <c r="A7434" t="str">
        <f>"7433"</f>
        <v>7433</v>
      </c>
      <c r="B7434" t="str">
        <f>"0.46"</f>
        <v>0.46</v>
      </c>
      <c r="C7434" t="str">
        <f>"28"</f>
        <v>28</v>
      </c>
      <c r="D7434" t="str">
        <f>"Rivington Não Rio"</f>
        <v>Rivington Não Rio</v>
      </c>
    </row>
    <row r="7435" spans="1:4" x14ac:dyDescent="0.2">
      <c r="A7435" t="str">
        <f>"7434"</f>
        <v>7434</v>
      </c>
      <c r="B7435" t="str">
        <f>"0.88"</f>
        <v>0.88</v>
      </c>
      <c r="C7435" t="str">
        <f>"35"</f>
        <v>35</v>
      </c>
      <c r="D7435" t="str">
        <f>"Life of a Hot Boy 2: Real Trapper"</f>
        <v>Life of a Hot Boy 2: Real Trapper</v>
      </c>
    </row>
    <row r="7436" spans="1:4" x14ac:dyDescent="0.2">
      <c r="A7436" t="str">
        <f>"7435"</f>
        <v>7435</v>
      </c>
      <c r="B7436" t="str">
        <f>"1.18"</f>
        <v>1.18</v>
      </c>
      <c r="C7436" t="str">
        <f>"28"</f>
        <v>28</v>
      </c>
      <c r="D7436" t="str">
        <f>"Send Two Sunsets"</f>
        <v>Send Two Sunsets</v>
      </c>
    </row>
    <row r="7437" spans="1:4" x14ac:dyDescent="0.2">
      <c r="A7437" t="str">
        <f>"7436"</f>
        <v>7436</v>
      </c>
      <c r="B7437" t="str">
        <f>"0.15"</f>
        <v>0.15</v>
      </c>
      <c r="C7437" t="str">
        <f>"23"</f>
        <v>23</v>
      </c>
      <c r="D7437" t="str">
        <f>"High on Tulsa Heat"</f>
        <v>High on Tulsa Heat</v>
      </c>
    </row>
    <row r="7438" spans="1:4" x14ac:dyDescent="0.2">
      <c r="A7438" t="str">
        <f>"7437"</f>
        <v>7437</v>
      </c>
      <c r="B7438" t="str">
        <f>"0.91"</f>
        <v>0.91</v>
      </c>
      <c r="C7438" t="str">
        <f>"23"</f>
        <v>23</v>
      </c>
      <c r="D7438" t="str">
        <f>"Bush"</f>
        <v>Bush</v>
      </c>
    </row>
    <row r="7439" spans="1:4" x14ac:dyDescent="0.2">
      <c r="A7439" t="str">
        <f>"7438"</f>
        <v>7438</v>
      </c>
      <c r="B7439" t="str">
        <f>"-1.08"</f>
        <v>-1.08</v>
      </c>
      <c r="C7439" t="str">
        <f>"36"</f>
        <v>36</v>
      </c>
      <c r="D7439" t="str">
        <f>"Hairless Toys"</f>
        <v>Hairless Toys</v>
      </c>
    </row>
    <row r="7440" spans="1:4" x14ac:dyDescent="0.2">
      <c r="A7440" t="str">
        <f>"7439"</f>
        <v>7439</v>
      </c>
      <c r="B7440" t="str">
        <f>"-0.05"</f>
        <v>-0.05</v>
      </c>
      <c r="C7440" t="str">
        <f>"34"</f>
        <v>34</v>
      </c>
      <c r="D7440" t="str">
        <f>"Dumb Flesh"</f>
        <v>Dumb Flesh</v>
      </c>
    </row>
    <row r="7441" spans="1:4" x14ac:dyDescent="0.2">
      <c r="A7441" t="str">
        <f>"7440"</f>
        <v>7440</v>
      </c>
      <c r="B7441" t="str">
        <f>"0.88"</f>
        <v>0.88</v>
      </c>
      <c r="C7441" t="str">
        <f>"41"</f>
        <v>41</v>
      </c>
      <c r="D7441" t="str">
        <f>"Hud Dreems"</f>
        <v>Hud Dreems</v>
      </c>
    </row>
    <row r="7442" spans="1:4" x14ac:dyDescent="0.2">
      <c r="A7442" t="str">
        <f>"7441"</f>
        <v>7441</v>
      </c>
      <c r="B7442" t="str">
        <f>"-0.65"</f>
        <v>-0.65</v>
      </c>
      <c r="C7442" t="str">
        <f>"39"</f>
        <v>39</v>
      </c>
      <c r="D7442" t="str">
        <f>"Danger in the Club"</f>
        <v>Danger in the Club</v>
      </c>
    </row>
    <row r="7443" spans="1:4" x14ac:dyDescent="0.2">
      <c r="A7443" t="str">
        <f>"7442"</f>
        <v>7442</v>
      </c>
      <c r="B7443" t="str">
        <f>"0.7"</f>
        <v>0.7</v>
      </c>
      <c r="C7443" t="str">
        <f>"33"</f>
        <v>33</v>
      </c>
      <c r="D7443" t="str">
        <f>"HIVE1"</f>
        <v>HIVE1</v>
      </c>
    </row>
    <row r="7444" spans="1:4" x14ac:dyDescent="0.2">
      <c r="A7444" t="str">
        <f>"7443"</f>
        <v>7443</v>
      </c>
      <c r="B7444" t="str">
        <f>"0"</f>
        <v>0</v>
      </c>
      <c r="C7444" t="str">
        <f>"26"</f>
        <v>26</v>
      </c>
      <c r="D7444" t="str">
        <f>"The Hydrangeas Whisper"</f>
        <v>The Hydrangeas Whisper</v>
      </c>
    </row>
    <row r="7445" spans="1:4" x14ac:dyDescent="0.2">
      <c r="A7445" t="str">
        <f>"7444"</f>
        <v>7444</v>
      </c>
      <c r="B7445" t="str">
        <f>"0.51"</f>
        <v>0.51</v>
      </c>
      <c r="C7445" t="str">
        <f>"24"</f>
        <v>24</v>
      </c>
      <c r="D7445" t="str">
        <f>"Mask"</f>
        <v>Mask</v>
      </c>
    </row>
    <row r="7446" spans="1:4" x14ac:dyDescent="0.2">
      <c r="A7446" t="str">
        <f>"7445"</f>
        <v>7445</v>
      </c>
      <c r="B7446" t="str">
        <f>"0.49"</f>
        <v>0.49</v>
      </c>
      <c r="C7446" t="str">
        <f>"31"</f>
        <v>31</v>
      </c>
      <c r="D7446" t="str">
        <f>"New Alhambra"</f>
        <v>New Alhambra</v>
      </c>
    </row>
    <row r="7447" spans="1:4" x14ac:dyDescent="0.2">
      <c r="A7447" t="str">
        <f>"7446"</f>
        <v>7446</v>
      </c>
      <c r="B7447" t="str">
        <f>"0.44"</f>
        <v>0.44</v>
      </c>
      <c r="C7447" t="str">
        <f>"18"</f>
        <v>18</v>
      </c>
      <c r="D7447" t="str">
        <f>"Anxiety's Kiss"</f>
        <v>Anxiety's Kiss</v>
      </c>
    </row>
    <row r="7448" spans="1:4" x14ac:dyDescent="0.2">
      <c r="A7448" t="str">
        <f>"7447"</f>
        <v>7447</v>
      </c>
      <c r="B7448" t="str">
        <f>"-0.32"</f>
        <v>-0.32</v>
      </c>
      <c r="C7448" t="str">
        <f>"40"</f>
        <v>40</v>
      </c>
      <c r="D7448" t="str">
        <f>"Dark Bird Is Home"</f>
        <v>Dark Bird Is Home</v>
      </c>
    </row>
    <row r="7449" spans="1:4" x14ac:dyDescent="0.2">
      <c r="A7449" t="str">
        <f>"7448"</f>
        <v>7448</v>
      </c>
      <c r="B7449" t="str">
        <f>"0.49"</f>
        <v>0.49</v>
      </c>
      <c r="C7449" t="str">
        <f>"30"</f>
        <v>30</v>
      </c>
      <c r="D7449" t="str">
        <f>"1000 Palms"</f>
        <v>1000 Palms</v>
      </c>
    </row>
    <row r="7450" spans="1:4" x14ac:dyDescent="0.2">
      <c r="A7450" t="str">
        <f>"7449"</f>
        <v>7449</v>
      </c>
      <c r="B7450" t="str">
        <f>"0.51"</f>
        <v>0.51</v>
      </c>
      <c r="C7450" t="str">
        <f>"25"</f>
        <v>25</v>
      </c>
      <c r="D7450" t="str">
        <f>"O.K."</f>
        <v>O.K.</v>
      </c>
    </row>
    <row r="7451" spans="1:4" x14ac:dyDescent="0.2">
      <c r="A7451" t="str">
        <f>"7450"</f>
        <v>7450</v>
      </c>
      <c r="B7451" t="str">
        <f>"0.7"</f>
        <v>0.7</v>
      </c>
      <c r="C7451" t="str">
        <f>"26"</f>
        <v>26</v>
      </c>
      <c r="D7451" t="str">
        <f>"Who Me?"</f>
        <v>Who Me?</v>
      </c>
    </row>
    <row r="7452" spans="1:4" x14ac:dyDescent="0.2">
      <c r="A7452" t="str">
        <f>"7451"</f>
        <v>7451</v>
      </c>
      <c r="B7452" t="str">
        <f>"0.5"</f>
        <v>0.5</v>
      </c>
      <c r="C7452" t="str">
        <f>"39"</f>
        <v>39</v>
      </c>
      <c r="D7452" t="str">
        <f>"Songs From Suicide Bridge"</f>
        <v>Songs From Suicide Bridge</v>
      </c>
    </row>
    <row r="7453" spans="1:4" x14ac:dyDescent="0.2">
      <c r="A7453" t="str">
        <f>"7452"</f>
        <v>7452</v>
      </c>
      <c r="B7453" t="str">
        <f>"1.26"</f>
        <v>1.26</v>
      </c>
      <c r="C7453" t="str">
        <f>"37"</f>
        <v>37</v>
      </c>
      <c r="D7453" t="str">
        <f>"The Epic"</f>
        <v>The Epic</v>
      </c>
    </row>
    <row r="7454" spans="1:4" x14ac:dyDescent="0.2">
      <c r="A7454" t="str">
        <f>"7453"</f>
        <v>7453</v>
      </c>
      <c r="B7454" t="str">
        <f>"-0.42"</f>
        <v>-0.42</v>
      </c>
      <c r="C7454" t="str">
        <f>"44"</f>
        <v>44</v>
      </c>
      <c r="D7454" t="str">
        <f>"Full Communism"</f>
        <v>Full Communism</v>
      </c>
    </row>
    <row r="7455" spans="1:4" x14ac:dyDescent="0.2">
      <c r="A7455" t="str">
        <f>"7454"</f>
        <v>7454</v>
      </c>
      <c r="B7455" t="str">
        <f>"0.65"</f>
        <v>0.65</v>
      </c>
      <c r="C7455" t="str">
        <f>"28"</f>
        <v>28</v>
      </c>
      <c r="D7455" t="str">
        <f>"Jackie"</f>
        <v>Jackie</v>
      </c>
    </row>
    <row r="7456" spans="1:4" x14ac:dyDescent="0.2">
      <c r="A7456" t="str">
        <f>"7455"</f>
        <v>7455</v>
      </c>
      <c r="B7456" t="str">
        <f>"0.52"</f>
        <v>0.52</v>
      </c>
      <c r="C7456" t="str">
        <f>"27"</f>
        <v>27</v>
      </c>
      <c r="D7456" t="str">
        <f>"Michael Angelo"</f>
        <v>Michael Angelo</v>
      </c>
    </row>
    <row r="7457" spans="1:4" x14ac:dyDescent="0.2">
      <c r="A7457" t="str">
        <f>"7456"</f>
        <v>7456</v>
      </c>
      <c r="B7457" t="str">
        <f>"-1.14"</f>
        <v>-1.14</v>
      </c>
      <c r="C7457" t="str">
        <f>"37"</f>
        <v>37</v>
      </c>
      <c r="D7457" t="str">
        <f>"GRM Works"</f>
        <v>GRM Works</v>
      </c>
    </row>
    <row r="7458" spans="1:4" x14ac:dyDescent="0.2">
      <c r="A7458" t="str">
        <f>"7457"</f>
        <v>7457</v>
      </c>
      <c r="B7458" t="str">
        <f>"0.32"</f>
        <v>0.32</v>
      </c>
      <c r="C7458" t="str">
        <f>"33"</f>
        <v>33</v>
      </c>
      <c r="D7458" t="str">
        <f>"MCIII"</f>
        <v>MCIII</v>
      </c>
    </row>
    <row r="7459" spans="1:4" x14ac:dyDescent="0.2">
      <c r="A7459" t="str">
        <f>"7458"</f>
        <v>7458</v>
      </c>
      <c r="B7459" t="str">
        <f>"-0.83"</f>
        <v>-0.83</v>
      </c>
      <c r="C7459" t="str">
        <f>"30"</f>
        <v>30</v>
      </c>
      <c r="D7459" t="str">
        <f>"Sprinter"</f>
        <v>Sprinter</v>
      </c>
    </row>
    <row r="7460" spans="1:4" x14ac:dyDescent="0.2">
      <c r="A7460" t="str">
        <f>"7459"</f>
        <v>7459</v>
      </c>
      <c r="B7460" t="str">
        <f>"0.08"</f>
        <v>0.08</v>
      </c>
      <c r="C7460" t="str">
        <f>"36"</f>
        <v>36</v>
      </c>
      <c r="D7460" t="str">
        <f>"Wilder Mind"</f>
        <v>Wilder Mind</v>
      </c>
    </row>
    <row r="7461" spans="1:4" x14ac:dyDescent="0.2">
      <c r="A7461" t="str">
        <f>"7460"</f>
        <v>7460</v>
      </c>
      <c r="B7461" t="str">
        <f>"-0.5"</f>
        <v>-0.5</v>
      </c>
      <c r="C7461" t="str">
        <f>"38"</f>
        <v>38</v>
      </c>
      <c r="D7461" t="str">
        <f>"II"</f>
        <v>II</v>
      </c>
    </row>
    <row r="7462" spans="1:4" x14ac:dyDescent="0.2">
      <c r="A7462" t="str">
        <f>"7461"</f>
        <v>7461</v>
      </c>
      <c r="B7462" t="str">
        <f>"0.41"</f>
        <v>0.41</v>
      </c>
      <c r="C7462" t="str">
        <f>"28"</f>
        <v>28</v>
      </c>
      <c r="D7462" t="str">
        <f>"Chassis"</f>
        <v>Chassis</v>
      </c>
    </row>
    <row r="7463" spans="1:4" x14ac:dyDescent="0.2">
      <c r="A7463" t="str">
        <f>"7462"</f>
        <v>7462</v>
      </c>
      <c r="B7463" t="str">
        <f>"0.41"</f>
        <v>0.41</v>
      </c>
      <c r="C7463" t="str">
        <f>"33"</f>
        <v>33</v>
      </c>
      <c r="D7463" t="str">
        <f>"California Nights"</f>
        <v>California Nights</v>
      </c>
    </row>
    <row r="7464" spans="1:4" x14ac:dyDescent="0.2">
      <c r="A7464" t="str">
        <f>"7463"</f>
        <v>7463</v>
      </c>
      <c r="B7464" t="str">
        <f>"0.25"</f>
        <v>0.25</v>
      </c>
      <c r="C7464" t="str">
        <f>"110"</f>
        <v>110</v>
      </c>
      <c r="D7464" t="str">
        <f>"Down Colorful Hill"</f>
        <v>Down Colorful Hill</v>
      </c>
    </row>
    <row r="7465" spans="1:4" x14ac:dyDescent="0.2">
      <c r="A7465" t="str">
        <f>"7464"</f>
        <v>7464</v>
      </c>
      <c r="B7465" t="str">
        <f>"0.13"</f>
        <v>0.13</v>
      </c>
      <c r="C7465" t="str">
        <f>"25"</f>
        <v>25</v>
      </c>
      <c r="D7465" t="str">
        <f>"You Should Be Here"</f>
        <v>You Should Be Here</v>
      </c>
    </row>
    <row r="7466" spans="1:4" x14ac:dyDescent="0.2">
      <c r="A7466" t="str">
        <f>"7465"</f>
        <v>7465</v>
      </c>
      <c r="B7466" t="str">
        <f>"0.93"</f>
        <v>0.93</v>
      </c>
      <c r="C7466" t="str">
        <f>"33"</f>
        <v>33</v>
      </c>
      <c r="D7466" t="str">
        <f>"Fated"</f>
        <v>Fated</v>
      </c>
    </row>
    <row r="7467" spans="1:4" x14ac:dyDescent="0.2">
      <c r="A7467" t="str">
        <f>"7466"</f>
        <v>7466</v>
      </c>
      <c r="B7467" t="str">
        <f>"0.11"</f>
        <v>0.11</v>
      </c>
      <c r="C7467" t="str">
        <f>"31"</f>
        <v>31</v>
      </c>
      <c r="D7467" t="str">
        <f>"Peripheral Vision"</f>
        <v>Peripheral Vision</v>
      </c>
    </row>
    <row r="7468" spans="1:4" x14ac:dyDescent="0.2">
      <c r="A7468" t="str">
        <f>"7467"</f>
        <v>7467</v>
      </c>
      <c r="B7468" t="str">
        <f>"0.02"</f>
        <v>0.02</v>
      </c>
      <c r="C7468" t="str">
        <f>"42"</f>
        <v>42</v>
      </c>
      <c r="D7468" t="str">
        <f>"Runddans"</f>
        <v>Runddans</v>
      </c>
    </row>
    <row r="7469" spans="1:4" x14ac:dyDescent="0.2">
      <c r="A7469" t="str">
        <f>"7468"</f>
        <v>7468</v>
      </c>
      <c r="B7469" t="str">
        <f>"0.17"</f>
        <v>0.17</v>
      </c>
      <c r="C7469" t="str">
        <f>"48"</f>
        <v>48</v>
      </c>
      <c r="D7469" t="str">
        <f>"Loyalty"</f>
        <v>Loyalty</v>
      </c>
    </row>
    <row r="7470" spans="1:4" x14ac:dyDescent="0.2">
      <c r="A7470" t="str">
        <f>"7469"</f>
        <v>7469</v>
      </c>
      <c r="B7470" t="str">
        <f>"-0.03"</f>
        <v>-0.03</v>
      </c>
      <c r="C7470" t="str">
        <f>"23"</f>
        <v>23</v>
      </c>
      <c r="D7470" t="str">
        <f>"Marauding in Paradise"</f>
        <v>Marauding in Paradise</v>
      </c>
    </row>
    <row r="7471" spans="1:4" x14ac:dyDescent="0.2">
      <c r="A7471" t="str">
        <f>"7470"</f>
        <v>7470</v>
      </c>
      <c r="B7471" t="str">
        <f>"0.24"</f>
        <v>0.24</v>
      </c>
      <c r="C7471" t="str">
        <f>"26"</f>
        <v>26</v>
      </c>
      <c r="D7471" t="str">
        <f>"Born Under Saturn"</f>
        <v>Born Under Saturn</v>
      </c>
    </row>
    <row r="7472" spans="1:4" x14ac:dyDescent="0.2">
      <c r="A7472" t="str">
        <f>"7471"</f>
        <v>7471</v>
      </c>
      <c r="B7472" t="str">
        <f>"-0.95"</f>
        <v>-0.95</v>
      </c>
      <c r="C7472" t="str">
        <f>"33"</f>
        <v>33</v>
      </c>
      <c r="D7472" t="str">
        <f>"Actions"</f>
        <v>Actions</v>
      </c>
    </row>
    <row r="7473" spans="1:4" x14ac:dyDescent="0.2">
      <c r="A7473" t="str">
        <f>"7472"</f>
        <v>7472</v>
      </c>
      <c r="B7473" t="str">
        <f>"0.13"</f>
        <v>0.13</v>
      </c>
      <c r="C7473" t="str">
        <f>"52"</f>
        <v>52</v>
      </c>
      <c r="D7473" t="str">
        <f>"PC Music Volume 1"</f>
        <v>PC Music Volume 1</v>
      </c>
    </row>
    <row r="7474" spans="1:4" x14ac:dyDescent="0.2">
      <c r="A7474" t="str">
        <f>"7473"</f>
        <v>7473</v>
      </c>
      <c r="B7474" t="str">
        <f>"-0.26"</f>
        <v>-0.26</v>
      </c>
      <c r="C7474" t="str">
        <f>"34"</f>
        <v>34</v>
      </c>
      <c r="D7474" t="str">
        <f>"Painted Shut"</f>
        <v>Painted Shut</v>
      </c>
    </row>
    <row r="7475" spans="1:4" x14ac:dyDescent="0.2">
      <c r="A7475" t="str">
        <f>"7474"</f>
        <v>7474</v>
      </c>
      <c r="B7475" t="str">
        <f>"-0.01"</f>
        <v>-0.01</v>
      </c>
      <c r="C7475" t="str">
        <f>"31"</f>
        <v>31</v>
      </c>
      <c r="D7475" t="str">
        <f>"Almighty DP"</f>
        <v>Almighty DP</v>
      </c>
    </row>
    <row r="7476" spans="1:4" x14ac:dyDescent="0.2">
      <c r="A7476" t="str">
        <f>"7475"</f>
        <v>7475</v>
      </c>
      <c r="B7476" t="str">
        <f>"0.78"</f>
        <v>0.78</v>
      </c>
      <c r="C7476" t="str">
        <f>"21"</f>
        <v>21</v>
      </c>
      <c r="D7476" t="str">
        <f>"Fading Love"</f>
        <v>Fading Love</v>
      </c>
    </row>
    <row r="7477" spans="1:4" x14ac:dyDescent="0.2">
      <c r="A7477" t="str">
        <f>"7476"</f>
        <v>7476</v>
      </c>
      <c r="B7477" t="str">
        <f>"-0.13"</f>
        <v>-0.13</v>
      </c>
      <c r="C7477" t="str">
        <f>"32"</f>
        <v>32</v>
      </c>
      <c r="D7477" t="str">
        <f>"Hairball"</f>
        <v>Hairball</v>
      </c>
    </row>
    <row r="7478" spans="1:4" x14ac:dyDescent="0.2">
      <c r="A7478" t="str">
        <f>"7477"</f>
        <v>7477</v>
      </c>
      <c r="B7478" t="str">
        <f>"0.38"</f>
        <v>0.38</v>
      </c>
      <c r="C7478" t="str">
        <f>"33"</f>
        <v>33</v>
      </c>
      <c r="D7478" t="str">
        <f>"+-"</f>
        <v>+-</v>
      </c>
    </row>
    <row r="7479" spans="1:4" x14ac:dyDescent="0.2">
      <c r="A7479" t="str">
        <f>"7478"</f>
        <v>7478</v>
      </c>
      <c r="B7479" t="str">
        <f>"1.59"</f>
        <v>1.59</v>
      </c>
      <c r="C7479" t="str">
        <f>"30"</f>
        <v>30</v>
      </c>
      <c r="D7479" t="str">
        <f>"Transporteur EP"</f>
        <v>Transporteur EP</v>
      </c>
    </row>
    <row r="7480" spans="1:4" x14ac:dyDescent="0.2">
      <c r="A7480" t="str">
        <f>"7479"</f>
        <v>7479</v>
      </c>
      <c r="B7480" t="str">
        <f>"0.37"</f>
        <v>0.37</v>
      </c>
      <c r="C7480" t="str">
        <f>"32"</f>
        <v>32</v>
      </c>
      <c r="D7480" t="str">
        <f>"The Good Fight"</f>
        <v>The Good Fight</v>
      </c>
    </row>
    <row r="7481" spans="1:4" x14ac:dyDescent="0.2">
      <c r="A7481" t="str">
        <f>"7480"</f>
        <v>7480</v>
      </c>
      <c r="B7481" t="str">
        <f>"-0.16"</f>
        <v>-0.16</v>
      </c>
      <c r="C7481" t="str">
        <f>"36"</f>
        <v>36</v>
      </c>
      <c r="D7481" t="str">
        <f>"Foremost &amp; Fair"</f>
        <v>Foremost &amp; Fair</v>
      </c>
    </row>
    <row r="7482" spans="1:4" x14ac:dyDescent="0.2">
      <c r="A7482" t="str">
        <f>"7481"</f>
        <v>7481</v>
      </c>
      <c r="B7482" t="str">
        <f>"1.22"</f>
        <v>1.22</v>
      </c>
      <c r="C7482" t="str">
        <f>"30"</f>
        <v>30</v>
      </c>
      <c r="D7482" t="str">
        <f>"Fast Food"</f>
        <v>Fast Food</v>
      </c>
    </row>
    <row r="7483" spans="1:4" x14ac:dyDescent="0.2">
      <c r="A7483" t="str">
        <f>"7482"</f>
        <v>7482</v>
      </c>
      <c r="B7483" t="str">
        <f>"-0.01"</f>
        <v>-0.01</v>
      </c>
      <c r="C7483" t="str">
        <f>"31"</f>
        <v>31</v>
      </c>
      <c r="D7483" t="str">
        <f>"The Waterfall"</f>
        <v>The Waterfall</v>
      </c>
    </row>
    <row r="7484" spans="1:4" x14ac:dyDescent="0.2">
      <c r="A7484" t="str">
        <f>"7483"</f>
        <v>7483</v>
      </c>
      <c r="B7484" t="str">
        <f>"-0.88"</f>
        <v>-0.88</v>
      </c>
      <c r="C7484" t="str">
        <f>"21"</f>
        <v>21</v>
      </c>
      <c r="D7484" t="str">
        <f>"Deep in the Iris"</f>
        <v>Deep in the Iris</v>
      </c>
    </row>
    <row r="7485" spans="1:4" x14ac:dyDescent="0.2">
      <c r="A7485" t="str">
        <f>"7484"</f>
        <v>7484</v>
      </c>
      <c r="B7485" t="str">
        <f>"-0.35"</f>
        <v>-0.35</v>
      </c>
      <c r="C7485" t="str">
        <f>"36"</f>
        <v>36</v>
      </c>
      <c r="D7485" t="str">
        <f>"Four Phantoms"</f>
        <v>Four Phantoms</v>
      </c>
    </row>
    <row r="7486" spans="1:4" x14ac:dyDescent="0.2">
      <c r="A7486" t="str">
        <f>"7485"</f>
        <v>7485</v>
      </c>
      <c r="B7486" t="str">
        <f>"0.86"</f>
        <v>0.86</v>
      </c>
      <c r="C7486" t="str">
        <f>"29"</f>
        <v>29</v>
      </c>
      <c r="D7486" t="str">
        <f>".Wav Theory"</f>
        <v>.Wav Theory</v>
      </c>
    </row>
    <row r="7487" spans="1:4" x14ac:dyDescent="0.2">
      <c r="A7487" t="str">
        <f>"7486"</f>
        <v>7486</v>
      </c>
      <c r="B7487" t="str">
        <f>"-0.17"</f>
        <v>-0.17</v>
      </c>
      <c r="C7487" t="str">
        <f>"31"</f>
        <v>31</v>
      </c>
      <c r="D7487" t="str">
        <f>"The Female Form"</f>
        <v>The Female Form</v>
      </c>
    </row>
    <row r="7488" spans="1:4" x14ac:dyDescent="0.2">
      <c r="A7488" t="str">
        <f>"7487"</f>
        <v>7487</v>
      </c>
      <c r="B7488" t="str">
        <f>"0.47"</f>
        <v>0.47</v>
      </c>
      <c r="C7488" t="str">
        <f>"37"</f>
        <v>37</v>
      </c>
      <c r="D7488" t="str">
        <f>"MG"</f>
        <v>MG</v>
      </c>
    </row>
    <row r="7489" spans="1:4" x14ac:dyDescent="0.2">
      <c r="A7489" t="str">
        <f>"7488"</f>
        <v>7488</v>
      </c>
      <c r="B7489" t="str">
        <f>"-1.2"</f>
        <v>-1.2</v>
      </c>
      <c r="C7489" t="str">
        <f>"26"</f>
        <v>26</v>
      </c>
      <c r="D7489" t="str">
        <f>"Sunshine Redux"</f>
        <v>Sunshine Redux</v>
      </c>
    </row>
    <row r="7490" spans="1:4" x14ac:dyDescent="0.2">
      <c r="A7490" t="str">
        <f>"7489"</f>
        <v>7489</v>
      </c>
      <c r="B7490" t="str">
        <f>"0.8"</f>
        <v>0.8</v>
      </c>
      <c r="C7490" t="str">
        <f>"31"</f>
        <v>31</v>
      </c>
      <c r="D7490" t="str">
        <f>"Qalgebra"</f>
        <v>Qalgebra</v>
      </c>
    </row>
    <row r="7491" spans="1:4" x14ac:dyDescent="0.2">
      <c r="A7491" t="str">
        <f>"7490"</f>
        <v>7490</v>
      </c>
      <c r="B7491" t="str">
        <f>"0.93"</f>
        <v>0.93</v>
      </c>
      <c r="C7491" t="str">
        <f>"19"</f>
        <v>19</v>
      </c>
      <c r="D7491" t="str">
        <f>"Cosmic Drag"</f>
        <v>Cosmic Drag</v>
      </c>
    </row>
    <row r="7492" spans="1:4" x14ac:dyDescent="0.2">
      <c r="A7492" t="str">
        <f>"7491"</f>
        <v>7491</v>
      </c>
      <c r="B7492" t="str">
        <f>"-0.58"</f>
        <v>-0.58</v>
      </c>
      <c r="C7492" t="str">
        <f>"23"</f>
        <v>23</v>
      </c>
      <c r="D7492" t="str">
        <f>"Ripe"</f>
        <v>Ripe</v>
      </c>
    </row>
    <row r="7493" spans="1:4" x14ac:dyDescent="0.2">
      <c r="A7493" t="str">
        <f>"7492"</f>
        <v>7492</v>
      </c>
      <c r="B7493" t="str">
        <f>"-0.28"</f>
        <v>-0.28</v>
      </c>
      <c r="C7493" t="str">
        <f>"40"</f>
        <v>40</v>
      </c>
      <c r="D7493" t="str">
        <f>"The Magic Whip"</f>
        <v>The Magic Whip</v>
      </c>
    </row>
    <row r="7494" spans="1:4" x14ac:dyDescent="0.2">
      <c r="A7494" t="str">
        <f>"7493"</f>
        <v>7493</v>
      </c>
      <c r="B7494" t="str">
        <f>"0.44"</f>
        <v>0.44</v>
      </c>
      <c r="C7494" t="str">
        <f>"25"</f>
        <v>25</v>
      </c>
      <c r="D7494" t="str">
        <f>"IF"</f>
        <v>IF</v>
      </c>
    </row>
    <row r="7495" spans="1:4" x14ac:dyDescent="0.2">
      <c r="A7495" t="str">
        <f>"7494"</f>
        <v>7494</v>
      </c>
      <c r="B7495" t="str">
        <f>"1.16"</f>
        <v>1.16</v>
      </c>
      <c r="C7495" t="str">
        <f>"25"</f>
        <v>25</v>
      </c>
      <c r="D7495" t="str">
        <f>"These Things"</f>
        <v>These Things</v>
      </c>
    </row>
    <row r="7496" spans="1:4" x14ac:dyDescent="0.2">
      <c r="A7496" t="str">
        <f>"7495"</f>
        <v>7495</v>
      </c>
      <c r="B7496" t="str">
        <f>"-0.74"</f>
        <v>-0.74</v>
      </c>
      <c r="C7496" t="str">
        <f>"38"</f>
        <v>38</v>
      </c>
      <c r="D7496" t="str">
        <f>"Love Story"</f>
        <v>Love Story</v>
      </c>
    </row>
    <row r="7497" spans="1:4" x14ac:dyDescent="0.2">
      <c r="A7497" t="str">
        <f>"7496"</f>
        <v>7496</v>
      </c>
      <c r="B7497" t="str">
        <f>"-0.14"</f>
        <v>-0.14</v>
      </c>
      <c r="C7497" t="str">
        <f>"27"</f>
        <v>27</v>
      </c>
      <c r="D7497" t="str">
        <f>"Intermission EP"</f>
        <v>Intermission EP</v>
      </c>
    </row>
    <row r="7498" spans="1:4" x14ac:dyDescent="0.2">
      <c r="A7498" t="str">
        <f>"7497"</f>
        <v>7497</v>
      </c>
      <c r="B7498" t="str">
        <f>"0.28"</f>
        <v>0.28</v>
      </c>
      <c r="C7498" t="str">
        <f>"41"</f>
        <v>41</v>
      </c>
      <c r="D7498" t="str">
        <f>"Live at Carnegie Hall"</f>
        <v>Live at Carnegie Hall</v>
      </c>
    </row>
    <row r="7499" spans="1:4" x14ac:dyDescent="0.2">
      <c r="A7499" t="str">
        <f>"7498"</f>
        <v>7498</v>
      </c>
      <c r="B7499" t="str">
        <f>"0.45"</f>
        <v>0.45</v>
      </c>
      <c r="C7499" t="str">
        <f>"27"</f>
        <v>27</v>
      </c>
      <c r="D7499" t="str">
        <f>"Never Were the Way She Was"</f>
        <v>Never Were the Way She Was</v>
      </c>
    </row>
    <row r="7500" spans="1:4" x14ac:dyDescent="0.2">
      <c r="A7500" t="str">
        <f>"7499"</f>
        <v>7499</v>
      </c>
      <c r="B7500" t="str">
        <f>"-0.3"</f>
        <v>-0.3</v>
      </c>
      <c r="C7500" t="str">
        <f>"41"</f>
        <v>41</v>
      </c>
      <c r="D7500" t="str">
        <f>"Who Is the Sender?"</f>
        <v>Who Is the Sender?</v>
      </c>
    </row>
    <row r="7501" spans="1:4" x14ac:dyDescent="0.2">
      <c r="A7501" t="str">
        <f>"7500"</f>
        <v>7500</v>
      </c>
      <c r="B7501" t="str">
        <f>"0.94"</f>
        <v>0.94</v>
      </c>
      <c r="C7501" t="str">
        <f>"31"</f>
        <v>31</v>
      </c>
      <c r="D7501" t="str">
        <f>"Begging Please"</f>
        <v>Begging Please</v>
      </c>
    </row>
    <row r="7502" spans="1:4" x14ac:dyDescent="0.2">
      <c r="A7502" t="str">
        <f>"7501"</f>
        <v>7501</v>
      </c>
      <c r="B7502" t="str">
        <f>"0.52"</f>
        <v>0.52</v>
      </c>
      <c r="C7502" t="str">
        <f>"25"</f>
        <v>25</v>
      </c>
      <c r="D7502" t="str">
        <f>"Nutty World 2"</f>
        <v>Nutty World 2</v>
      </c>
    </row>
    <row r="7503" spans="1:4" x14ac:dyDescent="0.2">
      <c r="A7503" t="str">
        <f>"7502"</f>
        <v>7502</v>
      </c>
      <c r="B7503" t="str">
        <f>"-0.6"</f>
        <v>-0.6</v>
      </c>
      <c r="C7503" t="str">
        <f>"47"</f>
        <v>47</v>
      </c>
      <c r="D7503" t="str">
        <f>"Barter 6"</f>
        <v>Barter 6</v>
      </c>
    </row>
    <row r="7504" spans="1:4" x14ac:dyDescent="0.2">
      <c r="A7504" t="str">
        <f>"7503"</f>
        <v>7503</v>
      </c>
      <c r="B7504" t="str">
        <f>"-1.09"</f>
        <v>-1.09</v>
      </c>
      <c r="C7504" t="str">
        <f>"36"</f>
        <v>36</v>
      </c>
      <c r="D7504" t="str">
        <f>"II EP"</f>
        <v>II EP</v>
      </c>
    </row>
    <row r="7505" spans="1:4" x14ac:dyDescent="0.2">
      <c r="A7505" t="str">
        <f>"7504"</f>
        <v>7504</v>
      </c>
      <c r="B7505" t="str">
        <f>"0.21"</f>
        <v>0.21</v>
      </c>
      <c r="C7505" t="str">
        <f>"24"</f>
        <v>24</v>
      </c>
      <c r="D7505" t="str">
        <f>"The Night Took Us in Like Family"</f>
        <v>The Night Took Us in Like Family</v>
      </c>
    </row>
    <row r="7506" spans="1:4" x14ac:dyDescent="0.2">
      <c r="A7506" t="str">
        <f>"7505"</f>
        <v>7505</v>
      </c>
      <c r="B7506" t="str">
        <f>"0.15"</f>
        <v>0.15</v>
      </c>
      <c r="C7506" t="str">
        <f>"35"</f>
        <v>35</v>
      </c>
      <c r="D7506" t="str">
        <f>"Beauty Pill Describes Things As They Are"</f>
        <v>Beauty Pill Describes Things As They Are</v>
      </c>
    </row>
    <row r="7507" spans="1:4" x14ac:dyDescent="0.2">
      <c r="A7507" t="str">
        <f>"7506"</f>
        <v>7506</v>
      </c>
      <c r="B7507" t="str">
        <f>"0.82"</f>
        <v>0.82</v>
      </c>
      <c r="C7507" t="str">
        <f>"34"</f>
        <v>34</v>
      </c>
      <c r="D7507" t="str">
        <f>"Your Good Fortune EP"</f>
        <v>Your Good Fortune EP</v>
      </c>
    </row>
    <row r="7508" spans="1:4" x14ac:dyDescent="0.2">
      <c r="A7508" t="str">
        <f>"7507"</f>
        <v>7507</v>
      </c>
      <c r="B7508" t="str">
        <f>"0.5"</f>
        <v>0.5</v>
      </c>
      <c r="C7508" t="str">
        <f>"46"</f>
        <v>46</v>
      </c>
      <c r="D7508" t="str">
        <f>"Sound &amp; Color"</f>
        <v>Sound &amp; Color</v>
      </c>
    </row>
    <row r="7509" spans="1:4" x14ac:dyDescent="0.2">
      <c r="A7509" t="str">
        <f>"7508"</f>
        <v>7508</v>
      </c>
      <c r="B7509" t="str">
        <f>"0.6"</f>
        <v>0.6</v>
      </c>
      <c r="C7509" t="str">
        <f>"44"</f>
        <v>44</v>
      </c>
      <c r="D7509" t="str">
        <f>"N.E.W."</f>
        <v>N.E.W.</v>
      </c>
    </row>
    <row r="7510" spans="1:4" x14ac:dyDescent="0.2">
      <c r="A7510" t="str">
        <f>"7509"</f>
        <v>7509</v>
      </c>
      <c r="B7510" t="str">
        <f>"0.35"</f>
        <v>0.35</v>
      </c>
      <c r="C7510" t="str">
        <f>"25"</f>
        <v>25</v>
      </c>
      <c r="D7510" t="str">
        <f>"Makes a King"</f>
        <v>Makes a King</v>
      </c>
    </row>
    <row r="7511" spans="1:4" x14ac:dyDescent="0.2">
      <c r="A7511" t="str">
        <f>"7510"</f>
        <v>7510</v>
      </c>
      <c r="B7511" t="str">
        <f>"0.74"</f>
        <v>0.74</v>
      </c>
      <c r="C7511" t="str">
        <f>"38"</f>
        <v>38</v>
      </c>
      <c r="D7511" t="str">
        <f>"The Float"</f>
        <v>The Float</v>
      </c>
    </row>
    <row r="7512" spans="1:4" x14ac:dyDescent="0.2">
      <c r="A7512" t="str">
        <f>"7511"</f>
        <v>7511</v>
      </c>
      <c r="B7512" t="str">
        <f>"-1.38"</f>
        <v>-1.38</v>
      </c>
      <c r="C7512" t="str">
        <f>"40"</f>
        <v>40</v>
      </c>
      <c r="D7512" t="str">
        <f>"Transient"</f>
        <v>Transient</v>
      </c>
    </row>
    <row r="7513" spans="1:4" x14ac:dyDescent="0.2">
      <c r="A7513" t="str">
        <f>"7512"</f>
        <v>7512</v>
      </c>
      <c r="B7513" t="str">
        <f>"1.54"</f>
        <v>1.54</v>
      </c>
      <c r="C7513" t="str">
        <f>"39"</f>
        <v>39</v>
      </c>
      <c r="D7513" t="str">
        <f>"Kindred"</f>
        <v>Kindred</v>
      </c>
    </row>
    <row r="7514" spans="1:4" x14ac:dyDescent="0.2">
      <c r="A7514" t="str">
        <f>"7513"</f>
        <v>7513</v>
      </c>
      <c r="B7514" t="str">
        <f>"0.6"</f>
        <v>0.6</v>
      </c>
      <c r="C7514" t="str">
        <f>"29"</f>
        <v>29</v>
      </c>
      <c r="D7514" t="s">
        <v>262</v>
      </c>
    </row>
    <row r="7515" spans="1:4" x14ac:dyDescent="0.2">
      <c r="A7515" t="str">
        <f>"7514"</f>
        <v>7514</v>
      </c>
      <c r="B7515" t="str">
        <f>"0.72"</f>
        <v>0.72</v>
      </c>
      <c r="C7515" t="str">
        <f>"41"</f>
        <v>41</v>
      </c>
      <c r="D7515" t="str">
        <f>"Edge of the Sun"</f>
        <v>Edge of the Sun</v>
      </c>
    </row>
    <row r="7516" spans="1:4" x14ac:dyDescent="0.2">
      <c r="A7516" t="str">
        <f>"7515"</f>
        <v>7515</v>
      </c>
      <c r="B7516" t="str">
        <f>"1.47"</f>
        <v>1.47</v>
      </c>
      <c r="C7516" t="str">
        <f>"23"</f>
        <v>23</v>
      </c>
      <c r="D7516" t="str">
        <f>"Permanent Exile"</f>
        <v>Permanent Exile</v>
      </c>
    </row>
    <row r="7517" spans="1:4" x14ac:dyDescent="0.2">
      <c r="A7517" t="str">
        <f>"7516"</f>
        <v>7516</v>
      </c>
      <c r="B7517" t="str">
        <f>"0.65"</f>
        <v>0.65</v>
      </c>
      <c r="C7517" t="str">
        <f>"28"</f>
        <v>28</v>
      </c>
      <c r="D7517" t="str">
        <f>"Verde EP"</f>
        <v>Verde EP</v>
      </c>
    </row>
    <row r="7518" spans="1:4" x14ac:dyDescent="0.2">
      <c r="A7518" t="str">
        <f>"7517"</f>
        <v>7517</v>
      </c>
      <c r="B7518" t="str">
        <f>"0.02"</f>
        <v>0.02</v>
      </c>
      <c r="C7518" t="str">
        <f>"32"</f>
        <v>32</v>
      </c>
      <c r="D7518" t="str">
        <f>"Untethered Moon"</f>
        <v>Untethered Moon</v>
      </c>
    </row>
    <row r="7519" spans="1:4" x14ac:dyDescent="0.2">
      <c r="A7519" t="str">
        <f>"7518"</f>
        <v>7518</v>
      </c>
      <c r="B7519" t="str">
        <f>"1.07"</f>
        <v>1.07</v>
      </c>
      <c r="C7519" t="str">
        <f>"33"</f>
        <v>33</v>
      </c>
      <c r="D7519" t="str">
        <f>"Wire"</f>
        <v>Wire</v>
      </c>
    </row>
    <row r="7520" spans="1:4" x14ac:dyDescent="0.2">
      <c r="A7520" t="str">
        <f>"7519"</f>
        <v>7519</v>
      </c>
      <c r="B7520" t="str">
        <f>"0.18"</f>
        <v>0.18</v>
      </c>
      <c r="C7520" t="str">
        <f>"28"</f>
        <v>28</v>
      </c>
      <c r="D7520" t="str">
        <f>"Lost River OST"</f>
        <v>Lost River OST</v>
      </c>
    </row>
    <row r="7521" spans="1:4" x14ac:dyDescent="0.2">
      <c r="A7521" t="str">
        <f>"7520"</f>
        <v>7520</v>
      </c>
      <c r="B7521" t="str">
        <f>"-0.23"</f>
        <v>-0.23</v>
      </c>
      <c r="C7521" t="str">
        <f>"34"</f>
        <v>34</v>
      </c>
      <c r="D7521" t="str">
        <f>"The Children of the Night"</f>
        <v>The Children of the Night</v>
      </c>
    </row>
    <row r="7522" spans="1:4" x14ac:dyDescent="0.2">
      <c r="A7522" t="str">
        <f>"7521"</f>
        <v>7521</v>
      </c>
      <c r="B7522" t="str">
        <f>"-0.21"</f>
        <v>-0.21</v>
      </c>
      <c r="C7522" t="str">
        <f>"37"</f>
        <v>37</v>
      </c>
      <c r="D7522" t="str">
        <f>"Heretical Anatomy"</f>
        <v>Heretical Anatomy</v>
      </c>
    </row>
    <row r="7523" spans="1:4" x14ac:dyDescent="0.2">
      <c r="A7523" t="str">
        <f>"7522"</f>
        <v>7522</v>
      </c>
      <c r="B7523" t="str">
        <f>"-0.28"</f>
        <v>-0.28</v>
      </c>
      <c r="C7523" t="str">
        <f>"28"</f>
        <v>28</v>
      </c>
      <c r="D7523" t="str">
        <f>"Foil Deer"</f>
        <v>Foil Deer</v>
      </c>
    </row>
    <row r="7524" spans="1:4" x14ac:dyDescent="0.2">
      <c r="A7524" t="str">
        <f>"7523"</f>
        <v>7523</v>
      </c>
      <c r="B7524" t="str">
        <f>"-0.31"</f>
        <v>-0.31</v>
      </c>
      <c r="C7524" t="str">
        <f>"26"</f>
        <v>26</v>
      </c>
      <c r="D7524" t="str">
        <f>"Damogen Furies"</f>
        <v>Damogen Furies</v>
      </c>
    </row>
    <row r="7525" spans="1:4" x14ac:dyDescent="0.2">
      <c r="A7525" t="str">
        <f>"7524"</f>
        <v>7524</v>
      </c>
      <c r="B7525" t="str">
        <f>"-0.3"</f>
        <v>-0.3</v>
      </c>
      <c r="C7525" t="str">
        <f>"29"</f>
        <v>29</v>
      </c>
      <c r="D7525" t="str">
        <f>"Jackrabbit"</f>
        <v>Jackrabbit</v>
      </c>
    </row>
    <row r="7526" spans="1:4" x14ac:dyDescent="0.2">
      <c r="A7526" t="str">
        <f>"7525"</f>
        <v>7525</v>
      </c>
      <c r="B7526" t="str">
        <f>"0.21"</f>
        <v>0.21</v>
      </c>
      <c r="C7526" t="str">
        <f>"21"</f>
        <v>21</v>
      </c>
      <c r="D7526" t="str">
        <f>"The Early Years EP"</f>
        <v>The Early Years EP</v>
      </c>
    </row>
    <row r="7527" spans="1:4" x14ac:dyDescent="0.2">
      <c r="A7527" t="str">
        <f>"7526"</f>
        <v>7526</v>
      </c>
      <c r="B7527" t="str">
        <f>"0.96"</f>
        <v>0.96</v>
      </c>
      <c r="C7527" t="str">
        <f>"25"</f>
        <v>25</v>
      </c>
      <c r="D7527" t="str">
        <f>"Mars Is a Very Bad Place For Love"</f>
        <v>Mars Is a Very Bad Place For Love</v>
      </c>
    </row>
    <row r="7528" spans="1:4" x14ac:dyDescent="0.2">
      <c r="A7528" t="str">
        <f>"7527"</f>
        <v>7527</v>
      </c>
      <c r="B7528" t="str">
        <f>"0.46"</f>
        <v>0.46</v>
      </c>
      <c r="C7528" t="str">
        <f>"34"</f>
        <v>34</v>
      </c>
      <c r="D7528" t="str">
        <f>"Cherry Bomb"</f>
        <v>Cherry Bomb</v>
      </c>
    </row>
    <row r="7529" spans="1:4" x14ac:dyDescent="0.2">
      <c r="A7529" t="str">
        <f>"7528"</f>
        <v>7528</v>
      </c>
      <c r="B7529" t="str">
        <f>"-1.05"</f>
        <v>-1.05</v>
      </c>
      <c r="C7529" t="str">
        <f>"54"</f>
        <v>54</v>
      </c>
      <c r="D7529" t="str">
        <f>"Black Bastards"</f>
        <v>Black Bastards</v>
      </c>
    </row>
    <row r="7530" spans="1:4" x14ac:dyDescent="0.2">
      <c r="A7530" t="str">
        <f>"7529"</f>
        <v>7529</v>
      </c>
      <c r="B7530" t="str">
        <f>"0.01"</f>
        <v>0.01</v>
      </c>
      <c r="C7530" t="str">
        <f>"44"</f>
        <v>44</v>
      </c>
      <c r="D7530" t="str">
        <f>"Froot"</f>
        <v>Froot</v>
      </c>
    </row>
    <row r="7531" spans="1:4" x14ac:dyDescent="0.2">
      <c r="A7531" t="str">
        <f>"7530"</f>
        <v>7530</v>
      </c>
      <c r="B7531" t="str">
        <f>"1.17"</f>
        <v>1.17</v>
      </c>
      <c r="C7531" t="str">
        <f>"40"</f>
        <v>40</v>
      </c>
      <c r="D7531" t="str">
        <f>"The Alchemist and Oh No Present: Welcome to Los Santos"</f>
        <v>The Alchemist and Oh No Present: Welcome to Los Santos</v>
      </c>
    </row>
    <row r="7532" spans="1:4" x14ac:dyDescent="0.2">
      <c r="A7532" t="str">
        <f>"7531"</f>
        <v>7531</v>
      </c>
      <c r="B7532" t="str">
        <f>"0.69"</f>
        <v>0.69</v>
      </c>
      <c r="C7532" t="str">
        <f>"23"</f>
        <v>23</v>
      </c>
      <c r="D7532" t="str">
        <f>"A Forest of Arms"</f>
        <v>A Forest of Arms</v>
      </c>
    </row>
    <row r="7533" spans="1:4" x14ac:dyDescent="0.2">
      <c r="A7533" t="str">
        <f>"7532"</f>
        <v>7532</v>
      </c>
      <c r="B7533" t="str">
        <f>"0.98"</f>
        <v>0.98</v>
      </c>
      <c r="C7533" t="str">
        <f>"23"</f>
        <v>23</v>
      </c>
      <c r="D7533" t="str">
        <f>"Commissions II"</f>
        <v>Commissions II</v>
      </c>
    </row>
    <row r="7534" spans="1:4" x14ac:dyDescent="0.2">
      <c r="A7534" t="str">
        <f>"7533"</f>
        <v>7533</v>
      </c>
      <c r="B7534" t="str">
        <f>"0.24"</f>
        <v>0.24</v>
      </c>
      <c r="C7534" t="str">
        <f>"78"</f>
        <v>78</v>
      </c>
      <c r="D7534" t="str">
        <f>"Little Earthquakes"</f>
        <v>Little Earthquakes</v>
      </c>
    </row>
    <row r="7535" spans="1:4" x14ac:dyDescent="0.2">
      <c r="A7535" t="str">
        <f>"7534"</f>
        <v>7534</v>
      </c>
      <c r="B7535" t="str">
        <f>"0.31"</f>
        <v>0.31</v>
      </c>
      <c r="C7535" t="str">
        <f>"33"</f>
        <v>33</v>
      </c>
      <c r="D7535" t="str">
        <f>"Bashed Out"</f>
        <v>Bashed Out</v>
      </c>
    </row>
    <row r="7536" spans="1:4" x14ac:dyDescent="0.2">
      <c r="A7536" t="str">
        <f>"7535"</f>
        <v>7535</v>
      </c>
      <c r="B7536" t="str">
        <f>"-0.74"</f>
        <v>-0.74</v>
      </c>
      <c r="C7536" t="str">
        <f>"24"</f>
        <v>24</v>
      </c>
      <c r="D7536" t="str">
        <f>"Sewing Machine"</f>
        <v>Sewing Machine</v>
      </c>
    </row>
    <row r="7537" spans="1:4" x14ac:dyDescent="0.2">
      <c r="A7537" t="str">
        <f>"7536"</f>
        <v>7536</v>
      </c>
      <c r="B7537" t="str">
        <f>"0.51"</f>
        <v>0.51</v>
      </c>
      <c r="C7537" t="str">
        <f>"33"</f>
        <v>33</v>
      </c>
      <c r="D7537" t="str">
        <f>"Kathryn Calder"</f>
        <v>Kathryn Calder</v>
      </c>
    </row>
    <row r="7538" spans="1:4" x14ac:dyDescent="0.2">
      <c r="A7538" t="str">
        <f>"7537"</f>
        <v>7537</v>
      </c>
      <c r="B7538" t="str">
        <f>"-0.52"</f>
        <v>-0.52</v>
      </c>
      <c r="C7538" t="str">
        <f>"56"</f>
        <v>56</v>
      </c>
      <c r="D7538" t="str">
        <f>"Bad Moon Rising"</f>
        <v>Bad Moon Rising</v>
      </c>
    </row>
    <row r="7539" spans="1:4" x14ac:dyDescent="0.2">
      <c r="A7539" t="str">
        <f>"7538"</f>
        <v>7538</v>
      </c>
      <c r="B7539" t="str">
        <f>"-1.61"</f>
        <v>-1.61</v>
      </c>
      <c r="C7539" t="str">
        <f>"27"</f>
        <v>27</v>
      </c>
      <c r="D7539" t="s">
        <v>263</v>
      </c>
    </row>
    <row r="7540" spans="1:4" x14ac:dyDescent="0.2">
      <c r="A7540" t="str">
        <f>"7539"</f>
        <v>7539</v>
      </c>
      <c r="B7540" t="str">
        <f>"0.64"</f>
        <v>0.64</v>
      </c>
      <c r="C7540" t="str">
        <f>"29"</f>
        <v>29</v>
      </c>
      <c r="D7540" t="str">
        <f>"The Past We Leave Behind"</f>
        <v>The Past We Leave Behind</v>
      </c>
    </row>
    <row r="7541" spans="1:4" x14ac:dyDescent="0.2">
      <c r="A7541" t="str">
        <f>"7540"</f>
        <v>7540</v>
      </c>
      <c r="B7541" t="str">
        <f>"-0.56"</f>
        <v>-0.56</v>
      </c>
      <c r="C7541" t="str">
        <f>"34"</f>
        <v>34</v>
      </c>
      <c r="D7541" t="str">
        <f>"Infinite House"</f>
        <v>Infinite House</v>
      </c>
    </row>
    <row r="7542" spans="1:4" x14ac:dyDescent="0.2">
      <c r="A7542" t="str">
        <f>"7541"</f>
        <v>7541</v>
      </c>
      <c r="B7542" t="str">
        <f>"-0.37"</f>
        <v>-0.37</v>
      </c>
      <c r="C7542" t="str">
        <f>"27"</f>
        <v>27</v>
      </c>
      <c r="D7542" t="str">
        <f>"Trickfinger"</f>
        <v>Trickfinger</v>
      </c>
    </row>
    <row r="7543" spans="1:4" x14ac:dyDescent="0.2">
      <c r="A7543" t="str">
        <f>"7542"</f>
        <v>7542</v>
      </c>
      <c r="B7543" t="str">
        <f>"0.99"</f>
        <v>0.99</v>
      </c>
      <c r="C7543" t="str">
        <f>"35"</f>
        <v>35</v>
      </c>
      <c r="D7543" t="str">
        <f>"Crown EP"</f>
        <v>Crown EP</v>
      </c>
    </row>
    <row r="7544" spans="1:4" x14ac:dyDescent="0.2">
      <c r="A7544" t="str">
        <f>"7543"</f>
        <v>7543</v>
      </c>
      <c r="B7544" t="str">
        <f>"0.75"</f>
        <v>0.75</v>
      </c>
      <c r="C7544" t="str">
        <f>"38"</f>
        <v>38</v>
      </c>
      <c r="D7544" t="str">
        <f>"In Remembrance"</f>
        <v>In Remembrance</v>
      </c>
    </row>
    <row r="7545" spans="1:4" x14ac:dyDescent="0.2">
      <c r="A7545" t="str">
        <f>"7544"</f>
        <v>7544</v>
      </c>
      <c r="B7545" t="str">
        <f>"-0.25"</f>
        <v>-0.25</v>
      </c>
      <c r="C7545" t="str">
        <f>"25"</f>
        <v>25</v>
      </c>
      <c r="D7545" t="str">
        <f>"New Glow"</f>
        <v>New Glow</v>
      </c>
    </row>
    <row r="7546" spans="1:4" x14ac:dyDescent="0.2">
      <c r="A7546" t="str">
        <f>"7545"</f>
        <v>7545</v>
      </c>
      <c r="B7546" t="str">
        <f>"0.83"</f>
        <v>0.83</v>
      </c>
      <c r="C7546" t="str">
        <f>"34"</f>
        <v>34</v>
      </c>
      <c r="D7546" t="str">
        <f>"Zoy Zoy"</f>
        <v>Zoy Zoy</v>
      </c>
    </row>
    <row r="7547" spans="1:4" x14ac:dyDescent="0.2">
      <c r="A7547" t="str">
        <f>"7546"</f>
        <v>7546</v>
      </c>
      <c r="B7547" t="str">
        <f>"0.17"</f>
        <v>0.17</v>
      </c>
      <c r="C7547" t="str">
        <f>"35"</f>
        <v>35</v>
      </c>
      <c r="D7547" t="str">
        <f>"Cool It"</f>
        <v>Cool It</v>
      </c>
    </row>
    <row r="7548" spans="1:4" x14ac:dyDescent="0.2">
      <c r="A7548" t="str">
        <f>"7547"</f>
        <v>7547</v>
      </c>
      <c r="B7548" t="str">
        <f>"0.61"</f>
        <v>0.61</v>
      </c>
      <c r="C7548" t="str">
        <f>"40"</f>
        <v>40</v>
      </c>
      <c r="D7548" t="str">
        <f>"Drink More Water 5"</f>
        <v>Drink More Water 5</v>
      </c>
    </row>
    <row r="7549" spans="1:4" x14ac:dyDescent="0.2">
      <c r="A7549" t="str">
        <f>"7548"</f>
        <v>7548</v>
      </c>
      <c r="B7549" t="str">
        <f>"1.08"</f>
        <v>1.08</v>
      </c>
      <c r="C7549" t="str">
        <f>"22"</f>
        <v>22</v>
      </c>
      <c r="D7549" t="str">
        <f>"Non-Believers"</f>
        <v>Non-Believers</v>
      </c>
    </row>
    <row r="7550" spans="1:4" x14ac:dyDescent="0.2">
      <c r="A7550" t="str">
        <f>"7549"</f>
        <v>7549</v>
      </c>
      <c r="B7550" t="str">
        <f>"0.42"</f>
        <v>0.42</v>
      </c>
      <c r="C7550" t="str">
        <f>"24"</f>
        <v>24</v>
      </c>
      <c r="D7550" t="str">
        <f>"Know America"</f>
        <v>Know America</v>
      </c>
    </row>
    <row r="7551" spans="1:4" x14ac:dyDescent="0.2">
      <c r="A7551" t="str">
        <f>"7550"</f>
        <v>7550</v>
      </c>
      <c r="B7551" t="str">
        <f>"1.03"</f>
        <v>1.03</v>
      </c>
      <c r="C7551" t="str">
        <f>"26"</f>
        <v>26</v>
      </c>
      <c r="D7551" t="str">
        <f>"loloU"</f>
        <v>loloU</v>
      </c>
    </row>
    <row r="7552" spans="1:4" x14ac:dyDescent="0.2">
      <c r="A7552" t="str">
        <f>"7551"</f>
        <v>7551</v>
      </c>
      <c r="B7552" t="str">
        <f>"0.45"</f>
        <v>0.45</v>
      </c>
      <c r="C7552" t="str">
        <f>"32"</f>
        <v>32</v>
      </c>
      <c r="D7552" t="str">
        <f>"Darling Arithmetic"</f>
        <v>Darling Arithmetic</v>
      </c>
    </row>
    <row r="7553" spans="1:4" x14ac:dyDescent="0.2">
      <c r="A7553" t="str">
        <f>"7552"</f>
        <v>7552</v>
      </c>
      <c r="B7553" t="str">
        <f>"0.2"</f>
        <v>0.2</v>
      </c>
      <c r="C7553" t="str">
        <f>"29"</f>
        <v>29</v>
      </c>
      <c r="D7553" t="str">
        <f>"The Best of the Best Show"</f>
        <v>The Best of the Best Show</v>
      </c>
    </row>
    <row r="7554" spans="1:4" x14ac:dyDescent="0.2">
      <c r="A7554" t="str">
        <f>"7553"</f>
        <v>7553</v>
      </c>
      <c r="B7554" t="str">
        <f>"0.75"</f>
        <v>0.75</v>
      </c>
      <c r="C7554" t="str">
        <f>"27"</f>
        <v>27</v>
      </c>
      <c r="D7554" t="str">
        <f>"Pilot Talk III"</f>
        <v>Pilot Talk III</v>
      </c>
    </row>
    <row r="7555" spans="1:4" x14ac:dyDescent="0.2">
      <c r="A7555" t="str">
        <f>"7554"</f>
        <v>7554</v>
      </c>
      <c r="B7555" t="str">
        <f>"1.11"</f>
        <v>1.11</v>
      </c>
      <c r="C7555" t="str">
        <f>"24"</f>
        <v>24</v>
      </c>
      <c r="D7555" t="str">
        <f>"Solo"</f>
        <v>Solo</v>
      </c>
    </row>
    <row r="7556" spans="1:4" x14ac:dyDescent="0.2">
      <c r="A7556" t="str">
        <f>"7555"</f>
        <v>7555</v>
      </c>
      <c r="B7556" t="str">
        <f>"-0.29"</f>
        <v>-0.29</v>
      </c>
      <c r="C7556" t="str">
        <f>"25"</f>
        <v>25</v>
      </c>
      <c r="D7556" t="str">
        <f>"Suuns and Jerusalem in My Heart"</f>
        <v>Suuns and Jerusalem in My Heart</v>
      </c>
    </row>
    <row r="7557" spans="1:4" x14ac:dyDescent="0.2">
      <c r="A7557" t="str">
        <f>"7556"</f>
        <v>7556</v>
      </c>
      <c r="B7557" t="str">
        <f>"-0.72"</f>
        <v>-0.72</v>
      </c>
      <c r="C7557" t="str">
        <f>"39"</f>
        <v>39</v>
      </c>
      <c r="D7557" t="str">
        <f>"Culture of Volume"</f>
        <v>Culture of Volume</v>
      </c>
    </row>
    <row r="7558" spans="1:4" x14ac:dyDescent="0.2">
      <c r="A7558" t="str">
        <f>"7557"</f>
        <v>7557</v>
      </c>
      <c r="B7558" t="str">
        <f>"-0.96"</f>
        <v>-0.96</v>
      </c>
      <c r="C7558" t="str">
        <f>"35"</f>
        <v>35</v>
      </c>
      <c r="D7558" t="str">
        <f>"White Men Are Black Men Too"</f>
        <v>White Men Are Black Men Too</v>
      </c>
    </row>
    <row r="7559" spans="1:4" x14ac:dyDescent="0.2">
      <c r="A7559" t="str">
        <f>"7558"</f>
        <v>7558</v>
      </c>
      <c r="B7559" t="str">
        <f>"-0.71"</f>
        <v>-0.71</v>
      </c>
      <c r="C7559" t="str">
        <f>"47"</f>
        <v>47</v>
      </c>
      <c r="D7559" t="str">
        <f>"All Are Saved"</f>
        <v>All Are Saved</v>
      </c>
    </row>
    <row r="7560" spans="1:4" x14ac:dyDescent="0.2">
      <c r="A7560" t="str">
        <f>"7559"</f>
        <v>7559</v>
      </c>
      <c r="B7560" t="str">
        <f>"0.84"</f>
        <v>0.84</v>
      </c>
      <c r="C7560" t="str">
        <f>"27"</f>
        <v>27</v>
      </c>
      <c r="D7560" t="str">
        <f>"No Pier Pressure"</f>
        <v>No Pier Pressure</v>
      </c>
    </row>
    <row r="7561" spans="1:4" x14ac:dyDescent="0.2">
      <c r="A7561" t="str">
        <f>"7560"</f>
        <v>7560</v>
      </c>
      <c r="B7561" t="str">
        <f>"-0.46"</f>
        <v>-0.46</v>
      </c>
      <c r="C7561" t="str">
        <f>"44"</f>
        <v>44</v>
      </c>
      <c r="D7561" t="str">
        <f>"The Air Conditioned Nightmare"</f>
        <v>The Air Conditioned Nightmare</v>
      </c>
    </row>
    <row r="7562" spans="1:4" x14ac:dyDescent="0.2">
      <c r="A7562" t="str">
        <f>"7561"</f>
        <v>7561</v>
      </c>
      <c r="B7562" t="str">
        <f>"-0.35"</f>
        <v>-0.35</v>
      </c>
      <c r="C7562" t="str">
        <f>"26"</f>
        <v>26</v>
      </c>
      <c r="D7562" t="str">
        <f>"Glitterbug"</f>
        <v>Glitterbug</v>
      </c>
    </row>
    <row r="7563" spans="1:4" x14ac:dyDescent="0.2">
      <c r="A7563" t="str">
        <f>"7562"</f>
        <v>7562</v>
      </c>
      <c r="B7563" t="str">
        <f>"0.38"</f>
        <v>0.38</v>
      </c>
      <c r="C7563" t="str">
        <f>"54"</f>
        <v>54</v>
      </c>
      <c r="D7563" t="str">
        <f>"Ivy Tripp"</f>
        <v>Ivy Tripp</v>
      </c>
    </row>
    <row r="7564" spans="1:4" x14ac:dyDescent="0.2">
      <c r="A7564" t="str">
        <f>"7563"</f>
        <v>7563</v>
      </c>
      <c r="B7564" t="str">
        <f>"0.95"</f>
        <v>0.95</v>
      </c>
      <c r="C7564" t="str">
        <f>"41"</f>
        <v>41</v>
      </c>
      <c r="D7564" t="str">
        <f>"Super Saiyan Vol. 2"</f>
        <v>Super Saiyan Vol. 2</v>
      </c>
    </row>
    <row r="7565" spans="1:4" x14ac:dyDescent="0.2">
      <c r="A7565" t="str">
        <f>"7564"</f>
        <v>7564</v>
      </c>
      <c r="B7565" t="str">
        <f>"-0.28"</f>
        <v>-0.28</v>
      </c>
      <c r="C7565" t="str">
        <f>"27"</f>
        <v>27</v>
      </c>
      <c r="D7565" t="str">
        <f>"Crooked Doors"</f>
        <v>Crooked Doors</v>
      </c>
    </row>
    <row r="7566" spans="1:4" x14ac:dyDescent="0.2">
      <c r="A7566" t="str">
        <f>"7565"</f>
        <v>7565</v>
      </c>
      <c r="B7566" t="str">
        <f>"-0.34"</f>
        <v>-0.34</v>
      </c>
      <c r="C7566" t="str">
        <f>"38"</f>
        <v>38</v>
      </c>
      <c r="D7566" t="str">
        <f>"Wrought"</f>
        <v>Wrought</v>
      </c>
    </row>
    <row r="7567" spans="1:4" x14ac:dyDescent="0.2">
      <c r="A7567" t="str">
        <f>"7566"</f>
        <v>7566</v>
      </c>
      <c r="B7567" t="str">
        <f>"0.78"</f>
        <v>0.78</v>
      </c>
      <c r="C7567" t="str">
        <f>"21"</f>
        <v>21</v>
      </c>
      <c r="D7567" t="str">
        <f>"Sintetizzatrice"</f>
        <v>Sintetizzatrice</v>
      </c>
    </row>
    <row r="7568" spans="1:4" x14ac:dyDescent="0.2">
      <c r="A7568" t="str">
        <f>"7567"</f>
        <v>7567</v>
      </c>
      <c r="B7568" t="str">
        <f>"-0.63"</f>
        <v>-0.63</v>
      </c>
      <c r="C7568" t="str">
        <f>"49"</f>
        <v>49</v>
      </c>
      <c r="D7568" t="str">
        <f>"What For?"</f>
        <v>What For?</v>
      </c>
    </row>
    <row r="7569" spans="1:4" x14ac:dyDescent="0.2">
      <c r="A7569" t="str">
        <f>"7568"</f>
        <v>7568</v>
      </c>
      <c r="B7569" t="str">
        <f>"0.71"</f>
        <v>0.71</v>
      </c>
      <c r="C7569" t="str">
        <f>"48"</f>
        <v>48</v>
      </c>
      <c r="D7569" t="str">
        <f>"Sympathy"</f>
        <v>Sympathy</v>
      </c>
    </row>
    <row r="7570" spans="1:4" x14ac:dyDescent="0.2">
      <c r="A7570" t="str">
        <f>"7569"</f>
        <v>7569</v>
      </c>
      <c r="B7570" t="str">
        <f>"0.52"</f>
        <v>0.52</v>
      </c>
      <c r="C7570" t="str">
        <f>"21"</f>
        <v>21</v>
      </c>
      <c r="D7570" t="str">
        <f>"Captain of None"</f>
        <v>Captain of None</v>
      </c>
    </row>
    <row r="7571" spans="1:4" x14ac:dyDescent="0.2">
      <c r="A7571" t="str">
        <f>"7570"</f>
        <v>7570</v>
      </c>
      <c r="B7571" t="str">
        <f>"0.32"</f>
        <v>0.32</v>
      </c>
      <c r="C7571" t="str">
        <f>"35"</f>
        <v>35</v>
      </c>
      <c r="D7571" t="str">
        <f>"Lucid Dreaming"</f>
        <v>Lucid Dreaming</v>
      </c>
    </row>
    <row r="7572" spans="1:4" x14ac:dyDescent="0.2">
      <c r="A7572" t="str">
        <f>"7571"</f>
        <v>7571</v>
      </c>
      <c r="B7572" t="str">
        <f>"-1.23"</f>
        <v>-1.23</v>
      </c>
      <c r="C7572" t="str">
        <f>"34"</f>
        <v>34</v>
      </c>
      <c r="D7572" t="str">
        <f>"Dark Red"</f>
        <v>Dark Red</v>
      </c>
    </row>
    <row r="7573" spans="1:4" x14ac:dyDescent="0.2">
      <c r="A7573" t="str">
        <f>"7572"</f>
        <v>7572</v>
      </c>
      <c r="B7573" t="str">
        <f>"0.8"</f>
        <v>0.8</v>
      </c>
      <c r="C7573" t="str">
        <f>"44"</f>
        <v>44</v>
      </c>
      <c r="D7573" t="str">
        <f>"Beat the Champ"</f>
        <v>Beat the Champ</v>
      </c>
    </row>
    <row r="7574" spans="1:4" x14ac:dyDescent="0.2">
      <c r="A7574" t="str">
        <f>"7573"</f>
        <v>7573</v>
      </c>
      <c r="B7574" t="str">
        <f>"-0.68"</f>
        <v>-0.68</v>
      </c>
      <c r="C7574" t="str">
        <f>"27"</f>
        <v>27</v>
      </c>
      <c r="D7574" t="s">
        <v>264</v>
      </c>
    </row>
    <row r="7575" spans="1:4" x14ac:dyDescent="0.2">
      <c r="A7575" t="str">
        <f>"7574"</f>
        <v>7574</v>
      </c>
      <c r="B7575" t="str">
        <f>"0.55"</f>
        <v>0.55</v>
      </c>
      <c r="C7575" t="str">
        <f>"31"</f>
        <v>31</v>
      </c>
      <c r="D7575" t="str">
        <f>"American Wrestlers"</f>
        <v>American Wrestlers</v>
      </c>
    </row>
    <row r="7576" spans="1:4" x14ac:dyDescent="0.2">
      <c r="A7576" t="str">
        <f>"7575"</f>
        <v>7575</v>
      </c>
      <c r="B7576" t="str">
        <f>"-0.14"</f>
        <v>-0.14</v>
      </c>
      <c r="C7576" t="str">
        <f>"33"</f>
        <v>33</v>
      </c>
      <c r="D7576" t="str">
        <f>"Lustmore"</f>
        <v>Lustmore</v>
      </c>
    </row>
    <row r="7577" spans="1:4" x14ac:dyDescent="0.2">
      <c r="A7577" t="str">
        <f>"7576"</f>
        <v>7576</v>
      </c>
      <c r="B7577" t="str">
        <f>"0.03"</f>
        <v>0.03</v>
      </c>
      <c r="C7577" t="str">
        <f>"26"</f>
        <v>26</v>
      </c>
      <c r="D7577" t="str">
        <f>"This World Is Not Enough"</f>
        <v>This World Is Not Enough</v>
      </c>
    </row>
    <row r="7578" spans="1:4" x14ac:dyDescent="0.2">
      <c r="A7578" t="str">
        <f>"7577"</f>
        <v>7577</v>
      </c>
      <c r="B7578" t="str">
        <f>"0.13"</f>
        <v>0.13</v>
      </c>
      <c r="C7578" t="str">
        <f>"27"</f>
        <v>27</v>
      </c>
      <c r="D7578" t="str">
        <f>"Escape From Evil"</f>
        <v>Escape From Evil</v>
      </c>
    </row>
    <row r="7579" spans="1:4" x14ac:dyDescent="0.2">
      <c r="A7579" t="str">
        <f>"7578"</f>
        <v>7578</v>
      </c>
      <c r="B7579" t="str">
        <f>"-0.06"</f>
        <v>-0.06</v>
      </c>
      <c r="C7579" t="str">
        <f>"23"</f>
        <v>23</v>
      </c>
      <c r="D7579" t="str">
        <f>"Deeper"</f>
        <v>Deeper</v>
      </c>
    </row>
    <row r="7580" spans="1:4" x14ac:dyDescent="0.2">
      <c r="A7580" t="str">
        <f>"7579"</f>
        <v>7579</v>
      </c>
      <c r="B7580" t="str">
        <f>"-0.54"</f>
        <v>-0.54</v>
      </c>
      <c r="C7580" t="str">
        <f>"26"</f>
        <v>26</v>
      </c>
      <c r="D7580" t="str">
        <f>"Ludaversal"</f>
        <v>Ludaversal</v>
      </c>
    </row>
    <row r="7581" spans="1:4" x14ac:dyDescent="0.2">
      <c r="A7581" t="str">
        <f>"7580"</f>
        <v>7580</v>
      </c>
      <c r="B7581" t="str">
        <f>"-0.29"</f>
        <v>-0.29</v>
      </c>
      <c r="C7581" t="str">
        <f>"30"</f>
        <v>30</v>
      </c>
      <c r="D7581" t="str">
        <f>"This Is the Sonics"</f>
        <v>This Is the Sonics</v>
      </c>
    </row>
    <row r="7582" spans="1:4" x14ac:dyDescent="0.2">
      <c r="A7582" t="str">
        <f>"7581"</f>
        <v>7581</v>
      </c>
      <c r="B7582" t="str">
        <f>"0.23"</f>
        <v>0.23</v>
      </c>
      <c r="C7582" t="str">
        <f>"20"</f>
        <v>20</v>
      </c>
      <c r="D7582" t="str">
        <f>"Living Daylight"</f>
        <v>Living Daylight</v>
      </c>
    </row>
    <row r="7583" spans="1:4" x14ac:dyDescent="0.2">
      <c r="A7583" t="str">
        <f>"7582"</f>
        <v>7582</v>
      </c>
      <c r="B7583" t="str">
        <f>"-0.41"</f>
        <v>-0.41</v>
      </c>
      <c r="C7583" t="str">
        <f>"35"</f>
        <v>35</v>
      </c>
      <c r="D7583" t="str">
        <f>"Dark Energy"</f>
        <v>Dark Energy</v>
      </c>
    </row>
    <row r="7584" spans="1:4" x14ac:dyDescent="0.2">
      <c r="A7584" t="str">
        <f>"7583"</f>
        <v>7583</v>
      </c>
      <c r="B7584" t="str">
        <f>"0.02"</f>
        <v>0.02</v>
      </c>
      <c r="C7584" t="str">
        <f>"40"</f>
        <v>40</v>
      </c>
      <c r="D7584" t="str">
        <f>"Kintsugi"</f>
        <v>Kintsugi</v>
      </c>
    </row>
    <row r="7585" spans="1:4" x14ac:dyDescent="0.2">
      <c r="A7585" t="str">
        <f>"7584"</f>
        <v>7584</v>
      </c>
      <c r="B7585" t="str">
        <f>"-0.54"</f>
        <v>-0.54</v>
      </c>
      <c r="C7585" t="str">
        <f>"40"</f>
        <v>40</v>
      </c>
      <c r="D7585" t="str">
        <f>"The Album About Nothing"</f>
        <v>The Album About Nothing</v>
      </c>
    </row>
    <row r="7586" spans="1:4" x14ac:dyDescent="0.2">
      <c r="A7586" t="str">
        <f>"7585"</f>
        <v>7585</v>
      </c>
      <c r="B7586" t="str">
        <f>"0.31"</f>
        <v>0.31</v>
      </c>
      <c r="C7586" t="str">
        <f>"50"</f>
        <v>50</v>
      </c>
      <c r="D7586" t="str">
        <f>"The Iron Way"</f>
        <v>The Iron Way</v>
      </c>
    </row>
    <row r="7587" spans="1:4" x14ac:dyDescent="0.2">
      <c r="A7587" t="str">
        <f>"7586"</f>
        <v>7586</v>
      </c>
      <c r="B7587" t="str">
        <f>"-0.02"</f>
        <v>-0.02</v>
      </c>
      <c r="C7587" t="str">
        <f>"30"</f>
        <v>30</v>
      </c>
      <c r="D7587" t="str">
        <f>"Director"</f>
        <v>Director</v>
      </c>
    </row>
    <row r="7588" spans="1:4" x14ac:dyDescent="0.2">
      <c r="A7588" t="str">
        <f>"7587"</f>
        <v>7587</v>
      </c>
      <c r="B7588" t="str">
        <f>"0.32"</f>
        <v>0.32</v>
      </c>
      <c r="C7588" t="str">
        <f>"46"</f>
        <v>46</v>
      </c>
      <c r="D7588" t="s">
        <v>265</v>
      </c>
    </row>
    <row r="7589" spans="1:4" x14ac:dyDescent="0.2">
      <c r="A7589" t="str">
        <f>"7588"</f>
        <v>7588</v>
      </c>
      <c r="B7589" t="str">
        <f>"1.22"</f>
        <v>1.22</v>
      </c>
      <c r="C7589" t="str">
        <f>"25"</f>
        <v>25</v>
      </c>
      <c r="D7589" t="s">
        <v>266</v>
      </c>
    </row>
    <row r="7590" spans="1:4" x14ac:dyDescent="0.2">
      <c r="A7590" t="str">
        <f>"7589"</f>
        <v>7589</v>
      </c>
      <c r="B7590" t="str">
        <f>"-1.11"</f>
        <v>-1.11</v>
      </c>
      <c r="C7590" t="str">
        <f>"26"</f>
        <v>26</v>
      </c>
      <c r="D7590" t="str">
        <f>"Sonnet"</f>
        <v>Sonnet</v>
      </c>
    </row>
    <row r="7591" spans="1:4" x14ac:dyDescent="0.2">
      <c r="A7591" t="str">
        <f>"7590"</f>
        <v>7590</v>
      </c>
      <c r="B7591" t="str">
        <f>"-0.13"</f>
        <v>-0.13</v>
      </c>
      <c r="C7591" t="str">
        <f>"26"</f>
        <v>26</v>
      </c>
      <c r="D7591" t="str">
        <f>"Cosmic Troubles"</f>
        <v>Cosmic Troubles</v>
      </c>
    </row>
    <row r="7592" spans="1:4" x14ac:dyDescent="0.2">
      <c r="A7592" t="str">
        <f>"7591"</f>
        <v>7591</v>
      </c>
      <c r="B7592" t="str">
        <f>"-0.7"</f>
        <v>-0.7</v>
      </c>
      <c r="C7592" t="str">
        <f>"33"</f>
        <v>33</v>
      </c>
      <c r="D7592" t="str">
        <f>"It Follows OST"</f>
        <v>It Follows OST</v>
      </c>
    </row>
    <row r="7593" spans="1:4" x14ac:dyDescent="0.2">
      <c r="A7593" t="str">
        <f>"7592"</f>
        <v>7592</v>
      </c>
      <c r="B7593" t="str">
        <f>"-0.96"</f>
        <v>-0.96</v>
      </c>
      <c r="C7593" t="str">
        <f>"42"</f>
        <v>42</v>
      </c>
      <c r="D7593" t="str">
        <f>"Jenny Death"</f>
        <v>Jenny Death</v>
      </c>
    </row>
    <row r="7594" spans="1:4" x14ac:dyDescent="0.2">
      <c r="A7594" t="str">
        <f>"7593"</f>
        <v>7593</v>
      </c>
      <c r="B7594" t="str">
        <f>"-0.05"</f>
        <v>-0.05</v>
      </c>
      <c r="C7594" t="str">
        <f>"19"</f>
        <v>19</v>
      </c>
      <c r="D7594" t="str">
        <f>"Insides"</f>
        <v>Insides</v>
      </c>
    </row>
    <row r="7595" spans="1:4" x14ac:dyDescent="0.2">
      <c r="A7595" t="str">
        <f>"7594"</f>
        <v>7594</v>
      </c>
      <c r="B7595" t="str">
        <f>"-0.43"</f>
        <v>-0.43</v>
      </c>
      <c r="C7595" t="str">
        <f>"16"</f>
        <v>16</v>
      </c>
      <c r="D7595" t="str">
        <f>"Rave Cave EP"</f>
        <v>Rave Cave EP</v>
      </c>
    </row>
    <row r="7596" spans="1:4" x14ac:dyDescent="0.2">
      <c r="A7596" t="str">
        <f>"7595"</f>
        <v>7595</v>
      </c>
      <c r="B7596" t="str">
        <f>"0.88"</f>
        <v>0.88</v>
      </c>
      <c r="C7596" t="str">
        <f>"23"</f>
        <v>23</v>
      </c>
      <c r="D7596" t="str">
        <f>"Deep Hits"</f>
        <v>Deep Hits</v>
      </c>
    </row>
    <row r="7597" spans="1:4" x14ac:dyDescent="0.2">
      <c r="A7597" t="str">
        <f>"7596"</f>
        <v>7596</v>
      </c>
      <c r="B7597" t="str">
        <f>"-1.23"</f>
        <v>-1.23</v>
      </c>
      <c r="C7597" t="str">
        <f>"22"</f>
        <v>22</v>
      </c>
      <c r="D7597" t="str">
        <f>"Phase IV OST"</f>
        <v>Phase IV OST</v>
      </c>
    </row>
    <row r="7598" spans="1:4" x14ac:dyDescent="0.2">
      <c r="A7598" t="str">
        <f>"7597"</f>
        <v>7597</v>
      </c>
      <c r="B7598" t="str">
        <f>"0.28"</f>
        <v>0.28</v>
      </c>
      <c r="C7598" t="str">
        <f>"73"</f>
        <v>73</v>
      </c>
      <c r="D7598" t="str">
        <f>"Carrie &amp; Lowell"</f>
        <v>Carrie &amp; Lowell</v>
      </c>
    </row>
    <row r="7599" spans="1:4" x14ac:dyDescent="0.2">
      <c r="A7599" t="str">
        <f>"7598"</f>
        <v>7598</v>
      </c>
      <c r="B7599" t="str">
        <f>"-0.18"</f>
        <v>-0.18</v>
      </c>
      <c r="C7599" t="str">
        <f>"32"</f>
        <v>32</v>
      </c>
      <c r="D7599" t="str">
        <f>"The Day Is My Enemy"</f>
        <v>The Day Is My Enemy</v>
      </c>
    </row>
    <row r="7600" spans="1:4" x14ac:dyDescent="0.2">
      <c r="A7600" t="str">
        <f>"7599"</f>
        <v>7599</v>
      </c>
      <c r="B7600" t="str">
        <f>"0.61"</f>
        <v>0.61</v>
      </c>
      <c r="C7600" t="str">
        <f>"33"</f>
        <v>33</v>
      </c>
      <c r="D7600" t="str">
        <f>"Primrose Green"</f>
        <v>Primrose Green</v>
      </c>
    </row>
    <row r="7601" spans="1:4" x14ac:dyDescent="0.2">
      <c r="A7601" t="str">
        <f>"7600"</f>
        <v>7600</v>
      </c>
      <c r="B7601" t="str">
        <f>"0.01"</f>
        <v>0.01</v>
      </c>
      <c r="C7601" t="str">
        <f>"24"</f>
        <v>24</v>
      </c>
      <c r="D7601" t="str">
        <f>"III"</f>
        <v>III</v>
      </c>
    </row>
    <row r="7602" spans="1:4" x14ac:dyDescent="0.2">
      <c r="A7602" t="str">
        <f>"7601"</f>
        <v>7601</v>
      </c>
      <c r="B7602" t="str">
        <f>"1.83"</f>
        <v>1.83</v>
      </c>
      <c r="C7602" t="str">
        <f>"18"</f>
        <v>18</v>
      </c>
      <c r="D7602" t="str">
        <f>"Adventure"</f>
        <v>Adventure</v>
      </c>
    </row>
    <row r="7603" spans="1:4" x14ac:dyDescent="0.2">
      <c r="A7603" t="str">
        <f>"7602"</f>
        <v>7602</v>
      </c>
      <c r="B7603" t="str">
        <f>"-1.91"</f>
        <v>-1.91</v>
      </c>
      <c r="C7603" t="str">
        <f>"22"</f>
        <v>22</v>
      </c>
      <c r="D7603" t="str">
        <f>"56 Nights"</f>
        <v>56 Nights</v>
      </c>
    </row>
    <row r="7604" spans="1:4" x14ac:dyDescent="0.2">
      <c r="A7604" t="str">
        <f>"7603"</f>
        <v>7603</v>
      </c>
      <c r="B7604" t="str">
        <f>"-0.93"</f>
        <v>-0.93</v>
      </c>
      <c r="C7604" t="str">
        <f>"28"</f>
        <v>28</v>
      </c>
      <c r="D7604" t="str">
        <f>"Short Movie"</f>
        <v>Short Movie</v>
      </c>
    </row>
    <row r="7605" spans="1:4" x14ac:dyDescent="0.2">
      <c r="A7605" t="str">
        <f>"7604"</f>
        <v>7604</v>
      </c>
      <c r="B7605" t="str">
        <f>"-0.42"</f>
        <v>-0.42</v>
      </c>
      <c r="C7605" t="str">
        <f>"25"</f>
        <v>25</v>
      </c>
      <c r="D7605" t="str">
        <f>"700 Fill EP"</f>
        <v>700 Fill EP</v>
      </c>
    </row>
    <row r="7606" spans="1:4" x14ac:dyDescent="0.2">
      <c r="A7606" t="str">
        <f>"7605"</f>
        <v>7605</v>
      </c>
      <c r="B7606" t="str">
        <f>"0.66"</f>
        <v>0.66</v>
      </c>
      <c r="C7606" t="str">
        <f>"20"</f>
        <v>20</v>
      </c>
      <c r="D7606" t="str">
        <f>"Flame Rave EP"</f>
        <v>Flame Rave EP</v>
      </c>
    </row>
    <row r="7607" spans="1:4" x14ac:dyDescent="0.2">
      <c r="A7607" t="str">
        <f>"7606"</f>
        <v>7606</v>
      </c>
      <c r="B7607" t="str">
        <f>"-1.16"</f>
        <v>-1.16</v>
      </c>
      <c r="C7607" t="str">
        <f>"43"</f>
        <v>43</v>
      </c>
      <c r="D7607" t="str">
        <f>"Waiting"</f>
        <v>Waiting</v>
      </c>
    </row>
    <row r="7608" spans="1:4" x14ac:dyDescent="0.2">
      <c r="A7608" t="str">
        <f>"7607"</f>
        <v>7607</v>
      </c>
      <c r="B7608" t="str">
        <f>"-0.45"</f>
        <v>-0.45</v>
      </c>
      <c r="C7608" t="str">
        <f>"55"</f>
        <v>55</v>
      </c>
      <c r="D7608" t="str">
        <f>"The Ark Work"</f>
        <v>The Ark Work</v>
      </c>
    </row>
    <row r="7609" spans="1:4" x14ac:dyDescent="0.2">
      <c r="A7609" t="str">
        <f>"7608"</f>
        <v>7608</v>
      </c>
      <c r="B7609" t="str">
        <f>"0.26"</f>
        <v>0.26</v>
      </c>
      <c r="C7609" t="str">
        <f>"32"</f>
        <v>32</v>
      </c>
      <c r="D7609" t="str">
        <f>"Claustrophobia"</f>
        <v>Claustrophobia</v>
      </c>
    </row>
    <row r="7610" spans="1:4" x14ac:dyDescent="0.2">
      <c r="A7610" t="str">
        <f>"7609"</f>
        <v>7609</v>
      </c>
      <c r="B7610" t="str">
        <f>"-1.18"</f>
        <v>-1.18</v>
      </c>
      <c r="C7610" t="str">
        <f>"28"</f>
        <v>28</v>
      </c>
      <c r="D7610" t="str">
        <f>"Nasty Witch Rock"</f>
        <v>Nasty Witch Rock</v>
      </c>
    </row>
    <row r="7611" spans="1:4" x14ac:dyDescent="0.2">
      <c r="A7611" t="str">
        <f>"7610"</f>
        <v>7610</v>
      </c>
      <c r="B7611" t="str">
        <f>"-0.03"</f>
        <v>-0.03</v>
      </c>
      <c r="C7611" t="str">
        <f>"34"</f>
        <v>34</v>
      </c>
      <c r="D7611" t="str">
        <f>"New York Before the War"</f>
        <v>New York Before the War</v>
      </c>
    </row>
    <row r="7612" spans="1:4" x14ac:dyDescent="0.2">
      <c r="A7612" t="str">
        <f>"7611"</f>
        <v>7611</v>
      </c>
      <c r="B7612" t="str">
        <f>"1.36"</f>
        <v>1.36</v>
      </c>
      <c r="C7612" t="str">
        <f>"32"</f>
        <v>32</v>
      </c>
      <c r="D7612" t="str">
        <f>"Chambers"</f>
        <v>Chambers</v>
      </c>
    </row>
    <row r="7613" spans="1:4" x14ac:dyDescent="0.2">
      <c r="A7613" t="str">
        <f>"7612"</f>
        <v>7612</v>
      </c>
      <c r="B7613" t="str">
        <f>"-0.38"</f>
        <v>-0.38</v>
      </c>
      <c r="C7613" t="str">
        <f>"38"</f>
        <v>38</v>
      </c>
      <c r="D7613" t="str">
        <f>"Mr. Wonderful"</f>
        <v>Mr. Wonderful</v>
      </c>
    </row>
    <row r="7614" spans="1:4" x14ac:dyDescent="0.2">
      <c r="A7614" t="str">
        <f>"7613"</f>
        <v>7613</v>
      </c>
      <c r="B7614" t="str">
        <f>"-0.15"</f>
        <v>-0.15</v>
      </c>
      <c r="C7614" t="str">
        <f>"30"</f>
        <v>30</v>
      </c>
      <c r="D7614" t="str">
        <f>"Dream a Garden"</f>
        <v>Dream a Garden</v>
      </c>
    </row>
    <row r="7615" spans="1:4" x14ac:dyDescent="0.2">
      <c r="A7615" t="str">
        <f>"7614"</f>
        <v>7614</v>
      </c>
      <c r="B7615" t="str">
        <f>"-0.02"</f>
        <v>-0.02</v>
      </c>
      <c r="C7615" t="str">
        <f>"53"</f>
        <v>53</v>
      </c>
      <c r="D7615" t="str">
        <f>"Who's Gonna Get Fucked First?"</f>
        <v>Who's Gonna Get Fucked First?</v>
      </c>
    </row>
    <row r="7616" spans="1:4" x14ac:dyDescent="0.2">
      <c r="A7616" t="str">
        <f>"7615"</f>
        <v>7615</v>
      </c>
      <c r="B7616" t="str">
        <f>"-0.37"</f>
        <v>-0.37</v>
      </c>
      <c r="C7616" t="str">
        <f>"26"</f>
        <v>26</v>
      </c>
      <c r="D7616" t="str">
        <f>"Time to Go Home"</f>
        <v>Time to Go Home</v>
      </c>
    </row>
    <row r="7617" spans="1:4" x14ac:dyDescent="0.2">
      <c r="A7617" t="str">
        <f>"7616"</f>
        <v>7616</v>
      </c>
      <c r="B7617" t="str">
        <f>"-0.3"</f>
        <v>-0.3</v>
      </c>
      <c r="C7617" t="str">
        <f>"22"</f>
        <v>22</v>
      </c>
      <c r="D7617" t="str">
        <f>"For All My Sisters"</f>
        <v>For All My Sisters</v>
      </c>
    </row>
    <row r="7618" spans="1:4" x14ac:dyDescent="0.2">
      <c r="A7618" t="str">
        <f>"7617"</f>
        <v>7617</v>
      </c>
      <c r="B7618" t="str">
        <f>"-0.53"</f>
        <v>-0.53</v>
      </c>
      <c r="C7618" t="str">
        <f>"32"</f>
        <v>32</v>
      </c>
      <c r="D7618" t="s">
        <v>267</v>
      </c>
    </row>
    <row r="7619" spans="1:4" x14ac:dyDescent="0.2">
      <c r="A7619" t="str">
        <f>"7618"</f>
        <v>7618</v>
      </c>
      <c r="B7619" t="str">
        <f>"-0.09"</f>
        <v>-0.09</v>
      </c>
      <c r="C7619" t="str">
        <f>"25"</f>
        <v>25</v>
      </c>
      <c r="D7619" t="str">
        <f>"Summer in Pain"</f>
        <v>Summer in Pain</v>
      </c>
    </row>
    <row r="7620" spans="1:4" x14ac:dyDescent="0.2">
      <c r="A7620" t="str">
        <f>"7619"</f>
        <v>7619</v>
      </c>
      <c r="B7620" t="str">
        <f>"-0.25"</f>
        <v>-0.25</v>
      </c>
      <c r="C7620" t="str">
        <f>"23"</f>
        <v>23</v>
      </c>
      <c r="D7620" t="str">
        <f>"Freedom Tower-No Wave Dance Party 2015"</f>
        <v>Freedom Tower-No Wave Dance Party 2015</v>
      </c>
    </row>
    <row r="7621" spans="1:4" x14ac:dyDescent="0.2">
      <c r="A7621" t="str">
        <f>"7620"</f>
        <v>7620</v>
      </c>
      <c r="B7621" t="str">
        <f>"-0.53"</f>
        <v>-0.53</v>
      </c>
      <c r="C7621" t="str">
        <f>"34"</f>
        <v>34</v>
      </c>
      <c r="D7621" t="str">
        <f>"I Am All Your Own"</f>
        <v>I Am All Your Own</v>
      </c>
    </row>
    <row r="7622" spans="1:4" x14ac:dyDescent="0.2">
      <c r="A7622" t="str">
        <f>"7621"</f>
        <v>7621</v>
      </c>
      <c r="B7622" t="str">
        <f>"-1.38"</f>
        <v>-1.38</v>
      </c>
      <c r="C7622" t="str">
        <f>"23"</f>
        <v>23</v>
      </c>
      <c r="D7622" t="str">
        <f>"Era of Manifestations"</f>
        <v>Era of Manifestations</v>
      </c>
    </row>
    <row r="7623" spans="1:4" x14ac:dyDescent="0.2">
      <c r="A7623" t="str">
        <f>"7622"</f>
        <v>7622</v>
      </c>
      <c r="B7623" t="str">
        <f>"-0.73"</f>
        <v>-0.73</v>
      </c>
      <c r="C7623" t="str">
        <f>"28"</f>
        <v>28</v>
      </c>
      <c r="D7623" t="s">
        <v>268</v>
      </c>
    </row>
    <row r="7624" spans="1:4" x14ac:dyDescent="0.2">
      <c r="A7624" t="str">
        <f>"7623"</f>
        <v>7623</v>
      </c>
      <c r="B7624" t="str">
        <f>"0.13"</f>
        <v>0.13</v>
      </c>
      <c r="C7624" t="str">
        <f>"42"</f>
        <v>42</v>
      </c>
      <c r="D7624" t="str">
        <f>"Complete Strangers"</f>
        <v>Complete Strangers</v>
      </c>
    </row>
    <row r="7625" spans="1:4" x14ac:dyDescent="0.2">
      <c r="A7625" t="str">
        <f>"7624"</f>
        <v>7624</v>
      </c>
      <c r="B7625" t="str">
        <f>"0.28"</f>
        <v>0.28</v>
      </c>
      <c r="C7625" t="str">
        <f>"28"</f>
        <v>28</v>
      </c>
      <c r="D7625" t="str">
        <f>"The Scene Between"</f>
        <v>The Scene Between</v>
      </c>
    </row>
    <row r="7626" spans="1:4" x14ac:dyDescent="0.2">
      <c r="A7626" t="str">
        <f>"7625"</f>
        <v>7625</v>
      </c>
      <c r="B7626" t="str">
        <f>"0.44"</f>
        <v>0.44</v>
      </c>
      <c r="C7626" t="str">
        <f>"22"</f>
        <v>22</v>
      </c>
      <c r="D7626" t="str">
        <f>"Love &amp; Torture"</f>
        <v>Love &amp; Torture</v>
      </c>
    </row>
    <row r="7627" spans="1:4" x14ac:dyDescent="0.2">
      <c r="A7627" t="str">
        <f>"7626"</f>
        <v>7626</v>
      </c>
      <c r="B7627" t="str">
        <f>"0.91"</f>
        <v>0.91</v>
      </c>
      <c r="C7627" t="str">
        <f>"24"</f>
        <v>24</v>
      </c>
      <c r="D7627" t="str">
        <f>"The Silence"</f>
        <v>The Silence</v>
      </c>
    </row>
    <row r="7628" spans="1:4" x14ac:dyDescent="0.2">
      <c r="A7628" t="str">
        <f>"7627"</f>
        <v>7627</v>
      </c>
      <c r="B7628" t="str">
        <f>"-0.41"</f>
        <v>-0.41</v>
      </c>
      <c r="C7628" t="str">
        <f>"28"</f>
        <v>28</v>
      </c>
      <c r="D7628" t="str">
        <f>"Eclipse"</f>
        <v>Eclipse</v>
      </c>
    </row>
    <row r="7629" spans="1:4" x14ac:dyDescent="0.2">
      <c r="A7629" t="str">
        <f>"7628"</f>
        <v>7628</v>
      </c>
      <c r="B7629" t="str">
        <f>"0.11"</f>
        <v>0.11</v>
      </c>
      <c r="C7629" t="str">
        <f>"21"</f>
        <v>21</v>
      </c>
      <c r="D7629" t="str">
        <f>"Amethyst"</f>
        <v>Amethyst</v>
      </c>
    </row>
    <row r="7630" spans="1:4" x14ac:dyDescent="0.2">
      <c r="A7630" t="str">
        <f>"7629"</f>
        <v>7629</v>
      </c>
      <c r="B7630" t="str">
        <f>"0.04"</f>
        <v>0.04</v>
      </c>
      <c r="C7630" t="str">
        <f>"27"</f>
        <v>27</v>
      </c>
      <c r="D7630" t="str">
        <f>"It Never Goes Out"</f>
        <v>It Never Goes Out</v>
      </c>
    </row>
    <row r="7631" spans="1:4" x14ac:dyDescent="0.2">
      <c r="A7631" t="str">
        <f>"7630"</f>
        <v>7630</v>
      </c>
      <c r="B7631" t="str">
        <f>"0.19"</f>
        <v>0.19</v>
      </c>
      <c r="C7631" t="str">
        <f>"21"</f>
        <v>21</v>
      </c>
      <c r="D7631" t="str">
        <f>"It's Decided"</f>
        <v>It's Decided</v>
      </c>
    </row>
    <row r="7632" spans="1:4" x14ac:dyDescent="0.2">
      <c r="A7632" t="str">
        <f>"7631"</f>
        <v>7631</v>
      </c>
      <c r="B7632" t="str">
        <f>"0.29"</f>
        <v>0.29</v>
      </c>
      <c r="C7632" t="str">
        <f>"26"</f>
        <v>26</v>
      </c>
      <c r="D7632" t="str">
        <f>"Reminisce"</f>
        <v>Reminisce</v>
      </c>
    </row>
    <row r="7633" spans="1:4" x14ac:dyDescent="0.2">
      <c r="A7633" t="str">
        <f>"7632"</f>
        <v>7632</v>
      </c>
      <c r="B7633" t="str">
        <f>"-1.29"</f>
        <v>-1.29</v>
      </c>
      <c r="C7633" t="str">
        <f>"45"</f>
        <v>45</v>
      </c>
      <c r="D7633" t="str">
        <f>"To Pimp a Butterfly"</f>
        <v>To Pimp a Butterfly</v>
      </c>
    </row>
    <row r="7634" spans="1:4" x14ac:dyDescent="0.2">
      <c r="A7634" t="str">
        <f>"7633"</f>
        <v>7633</v>
      </c>
      <c r="B7634" t="str">
        <f>"0.27"</f>
        <v>0.27</v>
      </c>
      <c r="C7634" t="str">
        <f>"21"</f>
        <v>21</v>
      </c>
      <c r="D7634" t="str">
        <f>"Maze of Woods"</f>
        <v>Maze of Woods</v>
      </c>
    </row>
    <row r="7635" spans="1:4" x14ac:dyDescent="0.2">
      <c r="A7635" t="str">
        <f>"7634"</f>
        <v>7634</v>
      </c>
      <c r="B7635" t="str">
        <f>"0.03"</f>
        <v>0.03</v>
      </c>
      <c r="C7635" t="str">
        <f>"20"</f>
        <v>20</v>
      </c>
      <c r="D7635" t="str">
        <f>"Palmbomen II"</f>
        <v>Palmbomen II</v>
      </c>
    </row>
    <row r="7636" spans="1:4" x14ac:dyDescent="0.2">
      <c r="A7636" t="str">
        <f>"7635"</f>
        <v>7635</v>
      </c>
      <c r="B7636" t="str">
        <f>"1.22"</f>
        <v>1.22</v>
      </c>
      <c r="C7636" t="str">
        <f>"27"</f>
        <v>27</v>
      </c>
      <c r="D7636" t="str">
        <f>"Golem"</f>
        <v>Golem</v>
      </c>
    </row>
    <row r="7637" spans="1:4" x14ac:dyDescent="0.2">
      <c r="A7637" t="str">
        <f>"7636"</f>
        <v>7636</v>
      </c>
      <c r="B7637" t="str">
        <f>"-1.05"</f>
        <v>-1.05</v>
      </c>
      <c r="C7637" t="str">
        <f>"25"</f>
        <v>25</v>
      </c>
      <c r="D7637" t="str">
        <f>"Maxo 187"</f>
        <v>Maxo 187</v>
      </c>
    </row>
    <row r="7638" spans="1:4" x14ac:dyDescent="0.2">
      <c r="A7638" t="str">
        <f>"7637"</f>
        <v>7637</v>
      </c>
      <c r="B7638" t="str">
        <f>"0.02"</f>
        <v>0.02</v>
      </c>
      <c r="C7638" t="str">
        <f>"40"</f>
        <v>40</v>
      </c>
      <c r="D7638" t="str">
        <f>"Fantasy Empire"</f>
        <v>Fantasy Empire</v>
      </c>
    </row>
    <row r="7639" spans="1:4" x14ac:dyDescent="0.2">
      <c r="A7639" t="str">
        <f>"7638"</f>
        <v>7638</v>
      </c>
      <c r="B7639" t="str">
        <f>"-0.51"</f>
        <v>-0.51</v>
      </c>
      <c r="C7639" t="str">
        <f>"31"</f>
        <v>31</v>
      </c>
      <c r="D7639" t="str">
        <f>"Trap Genius"</f>
        <v>Trap Genius</v>
      </c>
    </row>
    <row r="7640" spans="1:4" x14ac:dyDescent="0.2">
      <c r="A7640" t="str">
        <f>"7639"</f>
        <v>7639</v>
      </c>
      <c r="B7640" t="str">
        <f>"0.18"</f>
        <v>0.18</v>
      </c>
      <c r="C7640" t="str">
        <f>"25"</f>
        <v>25</v>
      </c>
      <c r="D7640" t="str">
        <f>"No News from Home"</f>
        <v>No News from Home</v>
      </c>
    </row>
    <row r="7641" spans="1:4" x14ac:dyDescent="0.2">
      <c r="A7641" t="str">
        <f>"7640"</f>
        <v>7640</v>
      </c>
      <c r="B7641" t="str">
        <f>"-0.21"</f>
        <v>-0.21</v>
      </c>
      <c r="C7641" t="str">
        <f>"27"</f>
        <v>27</v>
      </c>
      <c r="D7641" t="str">
        <f>"Pill EP"</f>
        <v>Pill EP</v>
      </c>
    </row>
    <row r="7642" spans="1:4" x14ac:dyDescent="0.2">
      <c r="A7642" t="str">
        <f>"7641"</f>
        <v>7641</v>
      </c>
      <c r="B7642" t="str">
        <f>"0.75"</f>
        <v>0.75</v>
      </c>
      <c r="C7642" t="str">
        <f>"26"</f>
        <v>26</v>
      </c>
      <c r="D7642" t="str">
        <f>"A Readymade Ceremony"</f>
        <v>A Readymade Ceremony</v>
      </c>
    </row>
    <row r="7643" spans="1:4" x14ac:dyDescent="0.2">
      <c r="A7643" t="str">
        <f>"7642"</f>
        <v>7642</v>
      </c>
      <c r="B7643" t="str">
        <f>"-0.22"</f>
        <v>-0.22</v>
      </c>
      <c r="C7643" t="str">
        <f>"39"</f>
        <v>39</v>
      </c>
      <c r="D7643" t="str">
        <f>"Strangers to Ourselves"</f>
        <v>Strangers to Ourselves</v>
      </c>
    </row>
    <row r="7644" spans="1:4" x14ac:dyDescent="0.2">
      <c r="A7644" t="str">
        <f>"7643"</f>
        <v>7643</v>
      </c>
      <c r="B7644" t="str">
        <f>"0.33"</f>
        <v>0.33</v>
      </c>
      <c r="C7644" t="str">
        <f>"38"</f>
        <v>38</v>
      </c>
      <c r="D7644" t="str">
        <f>"Year Book 2005-2014"</f>
        <v>Year Book 2005-2014</v>
      </c>
    </row>
    <row r="7645" spans="1:4" x14ac:dyDescent="0.2">
      <c r="A7645" t="str">
        <f>"7644"</f>
        <v>7644</v>
      </c>
      <c r="B7645" t="str">
        <f>"0"</f>
        <v>0</v>
      </c>
      <c r="C7645" t="str">
        <f>"21"</f>
        <v>21</v>
      </c>
      <c r="D7645" t="str">
        <f>"Soft Control"</f>
        <v>Soft Control</v>
      </c>
    </row>
    <row r="7646" spans="1:4" x14ac:dyDescent="0.2">
      <c r="A7646" t="str">
        <f>"7645"</f>
        <v>7645</v>
      </c>
      <c r="B7646" t="str">
        <f>"-0.27"</f>
        <v>-0.27</v>
      </c>
      <c r="C7646" t="str">
        <f>"26"</f>
        <v>26</v>
      </c>
      <c r="D7646" t="str">
        <f>"Alkali"</f>
        <v>Alkali</v>
      </c>
    </row>
    <row r="7647" spans="1:4" x14ac:dyDescent="0.2">
      <c r="A7647" t="str">
        <f>"7646"</f>
        <v>7646</v>
      </c>
      <c r="B7647" t="str">
        <f>"0.42"</f>
        <v>0.42</v>
      </c>
      <c r="C7647" t="str">
        <f>"32"</f>
        <v>32</v>
      </c>
      <c r="D7647" t="str">
        <f>"It Was Triumph We Once Proposed…Songs of Jason Molina"</f>
        <v>It Was Triumph We Once Proposed…Songs of Jason Molina</v>
      </c>
    </row>
    <row r="7648" spans="1:4" x14ac:dyDescent="0.2">
      <c r="A7648" t="str">
        <f>"7647"</f>
        <v>7647</v>
      </c>
      <c r="B7648" t="str">
        <f>"0.55"</f>
        <v>0.55</v>
      </c>
      <c r="C7648" t="str">
        <f>"46"</f>
        <v>46</v>
      </c>
      <c r="D7648" t="str">
        <f>"Goon"</f>
        <v>Goon</v>
      </c>
    </row>
    <row r="7649" spans="1:4" x14ac:dyDescent="0.2">
      <c r="A7649" t="str">
        <f>"7648"</f>
        <v>7648</v>
      </c>
      <c r="B7649" t="str">
        <f>"1.09"</f>
        <v>1.09</v>
      </c>
      <c r="C7649" t="str">
        <f>"30"</f>
        <v>30</v>
      </c>
      <c r="D7649" t="str">
        <f>"Kailash"</f>
        <v>Kailash</v>
      </c>
    </row>
    <row r="7650" spans="1:4" x14ac:dyDescent="0.2">
      <c r="A7650" t="str">
        <f>"7649"</f>
        <v>7649</v>
      </c>
      <c r="B7650" t="str">
        <f>"-0.27"</f>
        <v>-0.27</v>
      </c>
      <c r="C7650" t="str">
        <f>"27"</f>
        <v>27</v>
      </c>
      <c r="D7650" t="str">
        <f>"B4FRVR"</f>
        <v>B4FRVR</v>
      </c>
    </row>
    <row r="7651" spans="1:4" x14ac:dyDescent="0.2">
      <c r="A7651" t="str">
        <f>"7650"</f>
        <v>7650</v>
      </c>
      <c r="B7651" t="str">
        <f>"0.4"</f>
        <v>0.4</v>
      </c>
      <c r="C7651" t="str">
        <f>"39"</f>
        <v>39</v>
      </c>
      <c r="D7651" t="str">
        <f>"A Northern Meadow"</f>
        <v>A Northern Meadow</v>
      </c>
    </row>
    <row r="7652" spans="1:4" x14ac:dyDescent="0.2">
      <c r="A7652" t="str">
        <f>"7651"</f>
        <v>7651</v>
      </c>
      <c r="B7652" t="str">
        <f>"0.1"</f>
        <v>0.1</v>
      </c>
      <c r="C7652" t="str">
        <f>"36"</f>
        <v>36</v>
      </c>
      <c r="D7652" t="str">
        <f>"Setter of Unseen Snares"</f>
        <v>Setter of Unseen Snares</v>
      </c>
    </row>
    <row r="7653" spans="1:4" x14ac:dyDescent="0.2">
      <c r="A7653" t="str">
        <f>"7652"</f>
        <v>7652</v>
      </c>
      <c r="B7653" t="str">
        <f>"-0.72"</f>
        <v>-0.72</v>
      </c>
      <c r="C7653" t="str">
        <f>"35"</f>
        <v>35</v>
      </c>
      <c r="D7653" t="str">
        <f>"Rebel Heart"</f>
        <v>Rebel Heart</v>
      </c>
    </row>
    <row r="7654" spans="1:4" x14ac:dyDescent="0.2">
      <c r="A7654" t="str">
        <f>"7653"</f>
        <v>7653</v>
      </c>
      <c r="B7654" t="str">
        <f>"-0.27"</f>
        <v>-0.27</v>
      </c>
      <c r="C7654" t="str">
        <f>"21"</f>
        <v>21</v>
      </c>
      <c r="D7654" t="str">
        <f>"Heterocetera EP"</f>
        <v>Heterocetera EP</v>
      </c>
    </row>
    <row r="7655" spans="1:4" x14ac:dyDescent="0.2">
      <c r="A7655" t="str">
        <f>"7654"</f>
        <v>7654</v>
      </c>
      <c r="B7655" t="str">
        <f>"0.4"</f>
        <v>0.4</v>
      </c>
      <c r="C7655" t="str">
        <f>"35"</f>
        <v>35</v>
      </c>
      <c r="D7655" t="str">
        <f>"Stackin' N Mackin' Vol. 2"</f>
        <v>Stackin' N Mackin' Vol. 2</v>
      </c>
    </row>
    <row r="7656" spans="1:4" x14ac:dyDescent="0.2">
      <c r="A7656" t="str">
        <f>"7655"</f>
        <v>7655</v>
      </c>
      <c r="B7656" t="str">
        <f>"0.82"</f>
        <v>0.82</v>
      </c>
      <c r="C7656" t="str">
        <f>"25"</f>
        <v>25</v>
      </c>
      <c r="D7656" t="str">
        <f>"Seth Avett &amp; Jessica Lea Mayfield Sing Elliott Smith"</f>
        <v>Seth Avett &amp; Jessica Lea Mayfield Sing Elliott Smith</v>
      </c>
    </row>
    <row r="7657" spans="1:4" x14ac:dyDescent="0.2">
      <c r="A7657" t="str">
        <f>"7656"</f>
        <v>7656</v>
      </c>
      <c r="B7657" t="str">
        <f>"0.01"</f>
        <v>0.01</v>
      </c>
      <c r="C7657" t="str">
        <f>"24"</f>
        <v>24</v>
      </c>
      <c r="D7657" t="str">
        <f>"In Times"</f>
        <v>In Times</v>
      </c>
    </row>
    <row r="7658" spans="1:4" x14ac:dyDescent="0.2">
      <c r="A7658" t="str">
        <f>"7657"</f>
        <v>7657</v>
      </c>
      <c r="B7658" t="str">
        <f>"0.6"</f>
        <v>0.6</v>
      </c>
      <c r="C7658" t="str">
        <f>"39"</f>
        <v>39</v>
      </c>
      <c r="D7658" t="str">
        <f>"Original Soundtrack from Season 1 of ""Empire"""</f>
        <v>Original Soundtrack from Season 1 of "Empire"</v>
      </c>
    </row>
    <row r="7659" spans="1:4" x14ac:dyDescent="0.2">
      <c r="A7659" t="str">
        <f>"7658"</f>
        <v>7658</v>
      </c>
      <c r="B7659" t="str">
        <f>"1"</f>
        <v>1</v>
      </c>
      <c r="C7659" t="str">
        <f>"19"</f>
        <v>19</v>
      </c>
      <c r="D7659" t="str">
        <f>"If I Kill This Thing We're All Going to Eat for a Week"</f>
        <v>If I Kill This Thing We're All Going to Eat for a Week</v>
      </c>
    </row>
    <row r="7660" spans="1:4" x14ac:dyDescent="0.2">
      <c r="A7660" t="str">
        <f>"7659"</f>
        <v>7659</v>
      </c>
      <c r="B7660" t="str">
        <f>"1.02"</f>
        <v>1.02</v>
      </c>
      <c r="C7660" t="str">
        <f>"24"</f>
        <v>24</v>
      </c>
      <c r="D7660" t="str">
        <f>"Sallows"</f>
        <v>Sallows</v>
      </c>
    </row>
    <row r="7661" spans="1:4" x14ac:dyDescent="0.2">
      <c r="A7661" t="str">
        <f>"7660"</f>
        <v>7660</v>
      </c>
      <c r="B7661" t="str">
        <f>"-0.57"</f>
        <v>-0.57</v>
      </c>
      <c r="C7661" t="str">
        <f>"23"</f>
        <v>23</v>
      </c>
      <c r="D7661" t="str">
        <f>"Where Evil Dwells"</f>
        <v>Where Evil Dwells</v>
      </c>
    </row>
    <row r="7662" spans="1:4" x14ac:dyDescent="0.2">
      <c r="A7662" t="str">
        <f>"7661"</f>
        <v>7661</v>
      </c>
      <c r="B7662" t="str">
        <f>"0.37"</f>
        <v>0.37</v>
      </c>
      <c r="C7662" t="str">
        <f>"23"</f>
        <v>23</v>
      </c>
      <c r="D7662" t="str">
        <f>"How I (Rhythm Love Affair) EP"</f>
        <v>How I (Rhythm Love Affair) EP</v>
      </c>
    </row>
    <row r="7663" spans="1:4" x14ac:dyDescent="0.2">
      <c r="A7663" t="str">
        <f>"7662"</f>
        <v>7662</v>
      </c>
      <c r="B7663" t="str">
        <f>"-0.55"</f>
        <v>-0.55</v>
      </c>
      <c r="C7663" t="str">
        <f>"35"</f>
        <v>35</v>
      </c>
      <c r="D7663" t="str">
        <f>"Eat Pray Thug"</f>
        <v>Eat Pray Thug</v>
      </c>
    </row>
    <row r="7664" spans="1:4" x14ac:dyDescent="0.2">
      <c r="A7664" t="str">
        <f>"7663"</f>
        <v>7663</v>
      </c>
      <c r="B7664" t="str">
        <f>"0.12"</f>
        <v>0.12</v>
      </c>
      <c r="C7664" t="str">
        <f>"39"</f>
        <v>39</v>
      </c>
      <c r="D7664" t="str">
        <f>"Pearson Sound"</f>
        <v>Pearson Sound</v>
      </c>
    </row>
    <row r="7665" spans="1:4" x14ac:dyDescent="0.2">
      <c r="A7665" t="str">
        <f>"7664"</f>
        <v>7664</v>
      </c>
      <c r="B7665" t="str">
        <f>"1.13"</f>
        <v>1.13</v>
      </c>
      <c r="C7665" t="str">
        <f>"22"</f>
        <v>22</v>
      </c>
      <c r="D7665" t="str">
        <f>"Late Night Tales"</f>
        <v>Late Night Tales</v>
      </c>
    </row>
    <row r="7666" spans="1:4" x14ac:dyDescent="0.2">
      <c r="A7666" t="str">
        <f>"7665"</f>
        <v>7665</v>
      </c>
      <c r="B7666" t="str">
        <f>"0.12"</f>
        <v>0.12</v>
      </c>
      <c r="C7666" t="str">
        <f>"28"</f>
        <v>28</v>
      </c>
      <c r="D7666" t="str">
        <f>"Fast-Moving Clouds"</f>
        <v>Fast-Moving Clouds</v>
      </c>
    </row>
    <row r="7667" spans="1:4" x14ac:dyDescent="0.2">
      <c r="A7667" t="str">
        <f>"7666"</f>
        <v>7666</v>
      </c>
      <c r="B7667" t="str">
        <f>"-0.42"</f>
        <v>-0.42</v>
      </c>
      <c r="C7667" t="str">
        <f>"29"</f>
        <v>29</v>
      </c>
      <c r="D7667" t="str">
        <f>"Wasted on the Dream"</f>
        <v>Wasted on the Dream</v>
      </c>
    </row>
    <row r="7668" spans="1:4" x14ac:dyDescent="0.2">
      <c r="A7668" t="str">
        <f>"7667"</f>
        <v>7667</v>
      </c>
      <c r="B7668" t="str">
        <f>"-0.12"</f>
        <v>-0.12</v>
      </c>
      <c r="C7668" t="str">
        <f>"34"</f>
        <v>34</v>
      </c>
      <c r="D7668" t="str">
        <f>"Blade of the Ronin"</f>
        <v>Blade of the Ronin</v>
      </c>
    </row>
    <row r="7669" spans="1:4" x14ac:dyDescent="0.2">
      <c r="A7669" t="str">
        <f>"7668"</f>
        <v>7668</v>
      </c>
      <c r="B7669" t="str">
        <f>"-0.13"</f>
        <v>-0.13</v>
      </c>
      <c r="C7669" t="str">
        <f>"26"</f>
        <v>26</v>
      </c>
      <c r="D7669" t="str">
        <f>"Ripe 4 Luv"</f>
        <v>Ripe 4 Luv</v>
      </c>
    </row>
    <row r="7670" spans="1:4" x14ac:dyDescent="0.2">
      <c r="A7670" t="str">
        <f>"7669"</f>
        <v>7669</v>
      </c>
      <c r="B7670" t="str">
        <f>"0.07"</f>
        <v>0.07</v>
      </c>
      <c r="C7670" t="str">
        <f>"16"</f>
        <v>16</v>
      </c>
      <c r="D7670" t="str">
        <f>"SOL"</f>
        <v>SOL</v>
      </c>
    </row>
    <row r="7671" spans="1:4" x14ac:dyDescent="0.2">
      <c r="A7671" t="str">
        <f>"7670"</f>
        <v>7670</v>
      </c>
      <c r="B7671" t="str">
        <f>"0.02"</f>
        <v>0.02</v>
      </c>
      <c r="C7671" t="str">
        <f>"39"</f>
        <v>39</v>
      </c>
      <c r="D7671" t="str">
        <f>"The Offer"</f>
        <v>The Offer</v>
      </c>
    </row>
    <row r="7672" spans="1:4" x14ac:dyDescent="0.2">
      <c r="A7672" t="str">
        <f>"7671"</f>
        <v>7671</v>
      </c>
      <c r="B7672" t="str">
        <f>"-0.82"</f>
        <v>-0.82</v>
      </c>
      <c r="C7672" t="str">
        <f>"32"</f>
        <v>32</v>
      </c>
      <c r="D7672" t="str">
        <f>"Mysteries"</f>
        <v>Mysteries</v>
      </c>
    </row>
    <row r="7673" spans="1:4" x14ac:dyDescent="0.2">
      <c r="A7673" t="str">
        <f>"7672"</f>
        <v>7672</v>
      </c>
      <c r="B7673" t="str">
        <f>"1.07"</f>
        <v>1.07</v>
      </c>
      <c r="C7673" t="str">
        <f>"32"</f>
        <v>32</v>
      </c>
      <c r="D7673" t="str">
        <f>"Fresh Blood"</f>
        <v>Fresh Blood</v>
      </c>
    </row>
    <row r="7674" spans="1:4" x14ac:dyDescent="0.2">
      <c r="A7674" t="str">
        <f>"7673"</f>
        <v>7673</v>
      </c>
      <c r="B7674" t="str">
        <f>"-0.5"</f>
        <v>-0.5</v>
      </c>
      <c r="C7674" t="str">
        <f>"31"</f>
        <v>31</v>
      </c>
      <c r="D7674" t="str">
        <f>"Behold"</f>
        <v>Behold</v>
      </c>
    </row>
    <row r="7675" spans="1:4" x14ac:dyDescent="0.2">
      <c r="A7675" t="str">
        <f>"7674"</f>
        <v>7674</v>
      </c>
      <c r="B7675" t="str">
        <f>"1.06"</f>
        <v>1.06</v>
      </c>
      <c r="C7675" t="str">
        <f>"21"</f>
        <v>21</v>
      </c>
      <c r="D7675" t="str">
        <f>"I Wasn't Born to Lose You"</f>
        <v>I Wasn't Born to Lose You</v>
      </c>
    </row>
    <row r="7676" spans="1:4" x14ac:dyDescent="0.2">
      <c r="A7676" t="str">
        <f>"7675"</f>
        <v>7675</v>
      </c>
      <c r="B7676" t="str">
        <f>"0.58"</f>
        <v>0.58</v>
      </c>
      <c r="C7676" t="str">
        <f>"26"</f>
        <v>26</v>
      </c>
      <c r="D7676" t="str">
        <f>"Out of the Garden"</f>
        <v>Out of the Garden</v>
      </c>
    </row>
    <row r="7677" spans="1:4" x14ac:dyDescent="0.2">
      <c r="A7677" t="str">
        <f>"7676"</f>
        <v>7676</v>
      </c>
      <c r="B7677" t="str">
        <f>"-0.42"</f>
        <v>-0.42</v>
      </c>
      <c r="C7677" t="str">
        <f>"29"</f>
        <v>29</v>
      </c>
      <c r="D7677" t="str">
        <f>"15 EP"</f>
        <v>15 EP</v>
      </c>
    </row>
    <row r="7678" spans="1:4" x14ac:dyDescent="0.2">
      <c r="A7678" t="str">
        <f>"7677"</f>
        <v>7677</v>
      </c>
      <c r="B7678" t="str">
        <f>"-0.45"</f>
        <v>-0.45</v>
      </c>
      <c r="C7678" t="str">
        <f>"21"</f>
        <v>21</v>
      </c>
      <c r="D7678" t="str">
        <f>"Policy"</f>
        <v>Policy</v>
      </c>
    </row>
    <row r="7679" spans="1:4" x14ac:dyDescent="0.2">
      <c r="A7679" t="str">
        <f>"7678"</f>
        <v>7678</v>
      </c>
      <c r="B7679" t="str">
        <f>"-0.43"</f>
        <v>-0.43</v>
      </c>
      <c r="C7679" t="str">
        <f>"30"</f>
        <v>30</v>
      </c>
      <c r="D7679" t="s">
        <v>269</v>
      </c>
    </row>
    <row r="7680" spans="1:4" x14ac:dyDescent="0.2">
      <c r="A7680" t="str">
        <f>"7679"</f>
        <v>7679</v>
      </c>
      <c r="B7680" t="str">
        <f>"0.42"</f>
        <v>0.42</v>
      </c>
      <c r="C7680" t="str">
        <f>"30"</f>
        <v>30</v>
      </c>
      <c r="D7680" t="str">
        <f>"Ultra-High Frequencies: The Chicago Party"</f>
        <v>Ultra-High Frequencies: The Chicago Party</v>
      </c>
    </row>
    <row r="7681" spans="1:4" x14ac:dyDescent="0.2">
      <c r="A7681" t="str">
        <f>"7680"</f>
        <v>7680</v>
      </c>
      <c r="B7681" t="str">
        <f>"1.16"</f>
        <v>1.16</v>
      </c>
      <c r="C7681" t="str">
        <f>"20"</f>
        <v>20</v>
      </c>
      <c r="D7681" t="str">
        <f>"The Door Behind the Door"</f>
        <v>The Door Behind the Door</v>
      </c>
    </row>
    <row r="7682" spans="1:4" x14ac:dyDescent="0.2">
      <c r="A7682" t="str">
        <f>"7681"</f>
        <v>7681</v>
      </c>
      <c r="B7682" t="str">
        <f>"-0.04"</f>
        <v>-0.04</v>
      </c>
      <c r="C7682" t="str">
        <f>"26"</f>
        <v>26</v>
      </c>
      <c r="D7682" t="str">
        <f>"Perfect Abandon"</f>
        <v>Perfect Abandon</v>
      </c>
    </row>
    <row r="7683" spans="1:4" x14ac:dyDescent="0.2">
      <c r="A7683" t="str">
        <f>"7682"</f>
        <v>7682</v>
      </c>
      <c r="B7683" t="str">
        <f>"0.33"</f>
        <v>0.33</v>
      </c>
      <c r="C7683" t="str">
        <f>"17"</f>
        <v>17</v>
      </c>
      <c r="D7683" t="str">
        <f>"Skrillex and Diplo Present Jack Ü"</f>
        <v>Skrillex and Diplo Present Jack Ü</v>
      </c>
    </row>
    <row r="7684" spans="1:4" x14ac:dyDescent="0.2">
      <c r="A7684" t="str">
        <f>"7683"</f>
        <v>7683</v>
      </c>
      <c r="B7684" t="str">
        <f>"-0.96"</f>
        <v>-0.96</v>
      </c>
      <c r="C7684" t="str">
        <f>"23"</f>
        <v>23</v>
      </c>
      <c r="D7684" t="str">
        <f>"Universal Coolers"</f>
        <v>Universal Coolers</v>
      </c>
    </row>
    <row r="7685" spans="1:4" x14ac:dyDescent="0.2">
      <c r="A7685" t="str">
        <f>"7684"</f>
        <v>7684</v>
      </c>
      <c r="B7685" t="str">
        <f>"-0.13"</f>
        <v>-0.13</v>
      </c>
      <c r="C7685" t="str">
        <f>"20"</f>
        <v>20</v>
      </c>
      <c r="D7685" t="str">
        <f>"Valis"</f>
        <v>Valis</v>
      </c>
    </row>
    <row r="7686" spans="1:4" x14ac:dyDescent="0.2">
      <c r="A7686" t="str">
        <f>"7685"</f>
        <v>7685</v>
      </c>
      <c r="B7686" t="str">
        <f>"-0.82"</f>
        <v>-0.82</v>
      </c>
      <c r="C7686" t="str">
        <f>"37"</f>
        <v>37</v>
      </c>
      <c r="D7686" t="str">
        <f>"Sixteen Chapel"</f>
        <v>Sixteen Chapel</v>
      </c>
    </row>
    <row r="7687" spans="1:4" x14ac:dyDescent="0.2">
      <c r="A7687" t="str">
        <f>"7686"</f>
        <v>7686</v>
      </c>
      <c r="B7687" t="str">
        <f>"-0.4"</f>
        <v>-0.4</v>
      </c>
      <c r="C7687" t="str">
        <f>"19"</f>
        <v>19</v>
      </c>
      <c r="D7687" t="str">
        <f>"Metalepsis"</f>
        <v>Metalepsis</v>
      </c>
    </row>
    <row r="7688" spans="1:4" x14ac:dyDescent="0.2">
      <c r="A7688" t="str">
        <f>"7687"</f>
        <v>7687</v>
      </c>
      <c r="B7688" t="str">
        <f>"-0.77"</f>
        <v>-0.77</v>
      </c>
      <c r="C7688" t="str">
        <f>"33"</f>
        <v>33</v>
      </c>
      <c r="D7688" t="str">
        <f>"Aureate Gloom"</f>
        <v>Aureate Gloom</v>
      </c>
    </row>
    <row r="7689" spans="1:4" x14ac:dyDescent="0.2">
      <c r="A7689" t="str">
        <f>"7688"</f>
        <v>7688</v>
      </c>
      <c r="B7689" t="str">
        <f>"-0.01"</f>
        <v>-0.01</v>
      </c>
      <c r="C7689" t="str">
        <f>"26"</f>
        <v>26</v>
      </c>
      <c r="D7689" t="str">
        <f>"After"</f>
        <v>After</v>
      </c>
    </row>
    <row r="7690" spans="1:4" x14ac:dyDescent="0.2">
      <c r="A7690" t="str">
        <f>"7689"</f>
        <v>7689</v>
      </c>
      <c r="B7690" t="str">
        <f>"0.39"</f>
        <v>0.39</v>
      </c>
      <c r="C7690" t="str">
        <f>"16"</f>
        <v>16</v>
      </c>
      <c r="D7690" t="str">
        <f>"Shadow of the Sun"</f>
        <v>Shadow of the Sun</v>
      </c>
    </row>
    <row r="7691" spans="1:4" x14ac:dyDescent="0.2">
      <c r="A7691" t="str">
        <f>"7690"</f>
        <v>7690</v>
      </c>
      <c r="B7691" t="str">
        <f>"0.62"</f>
        <v>0.62</v>
      </c>
      <c r="C7691" t="str">
        <f>"29"</f>
        <v>29</v>
      </c>
      <c r="D7691" t="str">
        <f>"The Republic"</f>
        <v>The Republic</v>
      </c>
    </row>
    <row r="7692" spans="1:4" x14ac:dyDescent="0.2">
      <c r="A7692" t="str">
        <f>"7691"</f>
        <v>7691</v>
      </c>
      <c r="B7692" t="str">
        <f>"-0.41"</f>
        <v>-0.41</v>
      </c>
      <c r="C7692" t="str">
        <f>"25"</f>
        <v>25</v>
      </c>
      <c r="D7692" t="str">
        <f>"Faintly Lit"</f>
        <v>Faintly Lit</v>
      </c>
    </row>
    <row r="7693" spans="1:4" x14ac:dyDescent="0.2">
      <c r="A7693" t="str">
        <f>"7692"</f>
        <v>7692</v>
      </c>
      <c r="B7693" t="str">
        <f>"-0.19"</f>
        <v>-0.19</v>
      </c>
      <c r="C7693" t="str">
        <f>"41"</f>
        <v>41</v>
      </c>
      <c r="D7693" t="str">
        <f>"Levon Vincent"</f>
        <v>Levon Vincent</v>
      </c>
    </row>
    <row r="7694" spans="1:4" x14ac:dyDescent="0.2">
      <c r="A7694" t="str">
        <f>"7693"</f>
        <v>7693</v>
      </c>
      <c r="B7694" t="str">
        <f>"-0.26"</f>
        <v>-0.26</v>
      </c>
      <c r="C7694" t="str">
        <f>"37"</f>
        <v>37</v>
      </c>
      <c r="D7694" t="str">
        <f>"Revisionist"</f>
        <v>Revisionist</v>
      </c>
    </row>
    <row r="7695" spans="1:4" x14ac:dyDescent="0.2">
      <c r="A7695" t="str">
        <f>"7694"</f>
        <v>7694</v>
      </c>
      <c r="B7695" t="str">
        <f>"-0.21"</f>
        <v>-0.21</v>
      </c>
      <c r="C7695" t="str">
        <f>"33"</f>
        <v>33</v>
      </c>
      <c r="D7695" t="str">
        <f>"Shades of a Blue Orphanage"</f>
        <v>Shades of a Blue Orphanage</v>
      </c>
    </row>
    <row r="7696" spans="1:4" x14ac:dyDescent="0.2">
      <c r="A7696" t="str">
        <f>"7695"</f>
        <v>7695</v>
      </c>
      <c r="B7696" t="str">
        <f>"0.6"</f>
        <v>0.6</v>
      </c>
      <c r="C7696" t="str">
        <f>"28"</f>
        <v>28</v>
      </c>
      <c r="D7696" t="str">
        <f>"True Romance"</f>
        <v>True Romance</v>
      </c>
    </row>
    <row r="7697" spans="1:4" x14ac:dyDescent="0.2">
      <c r="A7697" t="str">
        <f>"7696"</f>
        <v>7696</v>
      </c>
      <c r="B7697" t="str">
        <f>"0.53"</f>
        <v>0.53</v>
      </c>
      <c r="C7697" t="str">
        <f>"34"</f>
        <v>34</v>
      </c>
      <c r="D7697" t="str">
        <f>"Music For Amplified Keyboard Instruments"</f>
        <v>Music For Amplified Keyboard Instruments</v>
      </c>
    </row>
    <row r="7698" spans="1:4" x14ac:dyDescent="0.2">
      <c r="A7698" t="str">
        <f>"7697"</f>
        <v>7697</v>
      </c>
      <c r="B7698" t="str">
        <f>"0.17"</f>
        <v>0.17</v>
      </c>
      <c r="C7698" t="str">
        <f>"46"</f>
        <v>46</v>
      </c>
      <c r="D7698" t="str">
        <f>"another eternity"</f>
        <v>another eternity</v>
      </c>
    </row>
    <row r="7699" spans="1:4" x14ac:dyDescent="0.2">
      <c r="A7699" t="str">
        <f>"7698"</f>
        <v>7698</v>
      </c>
      <c r="B7699" t="str">
        <f>"1.36"</f>
        <v>1.36</v>
      </c>
      <c r="C7699" t="str">
        <f>"30"</f>
        <v>30</v>
      </c>
      <c r="D7699" t="str">
        <f>"Chasing Yesterday"</f>
        <v>Chasing Yesterday</v>
      </c>
    </row>
    <row r="7700" spans="1:4" x14ac:dyDescent="0.2">
      <c r="A7700" t="str">
        <f>"7699"</f>
        <v>7699</v>
      </c>
      <c r="B7700" t="str">
        <f>"0.84"</f>
        <v>0.84</v>
      </c>
      <c r="C7700" t="str">
        <f>"47"</f>
        <v>47</v>
      </c>
      <c r="D7700" t="str">
        <f>"Lead Belly: The Smithsonian Folkways Collection"</f>
        <v>Lead Belly: The Smithsonian Folkways Collection</v>
      </c>
    </row>
    <row r="7701" spans="1:4" x14ac:dyDescent="0.2">
      <c r="A7701" t="str">
        <f>"7700"</f>
        <v>7700</v>
      </c>
      <c r="B7701" t="str">
        <f>"0.59"</f>
        <v>0.59</v>
      </c>
      <c r="C7701" t="str">
        <f>"14"</f>
        <v>14</v>
      </c>
      <c r="D7701" t="str">
        <f>"Wool Sucking"</f>
        <v>Wool Sucking</v>
      </c>
    </row>
    <row r="7702" spans="1:4" x14ac:dyDescent="0.2">
      <c r="A7702" t="str">
        <f>"7701"</f>
        <v>7701</v>
      </c>
      <c r="B7702" t="str">
        <f>"-0.72"</f>
        <v>-0.72</v>
      </c>
      <c r="C7702" t="str">
        <f>"40"</f>
        <v>40</v>
      </c>
      <c r="D7702" t="str">
        <f>"You're Better Than This"</f>
        <v>You're Better Than This</v>
      </c>
    </row>
    <row r="7703" spans="1:4" x14ac:dyDescent="0.2">
      <c r="A7703" t="str">
        <f>"7702"</f>
        <v>7702</v>
      </c>
      <c r="B7703" t="str">
        <f>"-0.94"</f>
        <v>-0.94</v>
      </c>
      <c r="C7703" t="str">
        <f>"46"</f>
        <v>46</v>
      </c>
      <c r="D7703" t="str">
        <f>"Sorry 4 the Weight"</f>
        <v>Sorry 4 the Weight</v>
      </c>
    </row>
    <row r="7704" spans="1:4" x14ac:dyDescent="0.2">
      <c r="A7704" t="str">
        <f>"7703"</f>
        <v>7703</v>
      </c>
      <c r="B7704" t="str">
        <f>"1.57"</f>
        <v>1.57</v>
      </c>
      <c r="C7704" t="str">
        <f>"18"</f>
        <v>18</v>
      </c>
      <c r="D7704" t="str">
        <f>"Live at Third Man Records"</f>
        <v>Live at Third Man Records</v>
      </c>
    </row>
    <row r="7705" spans="1:4" x14ac:dyDescent="0.2">
      <c r="A7705" t="str">
        <f>"7704"</f>
        <v>7704</v>
      </c>
      <c r="B7705" t="str">
        <f>"-0.61"</f>
        <v>-0.61</v>
      </c>
      <c r="C7705" t="str">
        <f>"27"</f>
        <v>27</v>
      </c>
      <c r="D7705" t="str">
        <f>"Dance 4 a Dollar EP"</f>
        <v>Dance 4 a Dollar EP</v>
      </c>
    </row>
    <row r="7706" spans="1:4" x14ac:dyDescent="0.2">
      <c r="A7706" t="str">
        <f>"7705"</f>
        <v>7705</v>
      </c>
      <c r="B7706" t="str">
        <f>"-0.89"</f>
        <v>-0.89</v>
      </c>
      <c r="C7706" t="str">
        <f>"27"</f>
        <v>27</v>
      </c>
      <c r="D7706" t="str">
        <f>"O Shudder"</f>
        <v>O Shudder</v>
      </c>
    </row>
    <row r="7707" spans="1:4" x14ac:dyDescent="0.2">
      <c r="A7707" t="str">
        <f>"7706"</f>
        <v>7706</v>
      </c>
      <c r="B7707" t="str">
        <f>"-0.17"</f>
        <v>-0.17</v>
      </c>
      <c r="C7707" t="str">
        <f>"34"</f>
        <v>34</v>
      </c>
      <c r="D7707" t="str">
        <f>"The Long Goodbye"</f>
        <v>The Long Goodbye</v>
      </c>
    </row>
    <row r="7708" spans="1:4" x14ac:dyDescent="0.2">
      <c r="A7708" t="str">
        <f>"7707"</f>
        <v>7707</v>
      </c>
      <c r="B7708" t="str">
        <f>"0.64"</f>
        <v>0.64</v>
      </c>
      <c r="C7708" t="str">
        <f>"52"</f>
        <v>52</v>
      </c>
      <c r="D7708" t="str">
        <f>"Future Brown"</f>
        <v>Future Brown</v>
      </c>
    </row>
    <row r="7709" spans="1:4" x14ac:dyDescent="0.2">
      <c r="A7709" t="str">
        <f>"7708"</f>
        <v>7708</v>
      </c>
      <c r="B7709" t="str">
        <f>"-0.09"</f>
        <v>-0.09</v>
      </c>
      <c r="C7709" t="str">
        <f>"32"</f>
        <v>32</v>
      </c>
      <c r="D7709" t="str">
        <f>"Dena Tape 2"</f>
        <v>Dena Tape 2</v>
      </c>
    </row>
    <row r="7710" spans="1:4" x14ac:dyDescent="0.2">
      <c r="A7710" t="str">
        <f>"7709"</f>
        <v>7709</v>
      </c>
      <c r="B7710" t="str">
        <f>"0.15"</f>
        <v>0.15</v>
      </c>
      <c r="C7710" t="str">
        <f>"28"</f>
        <v>28</v>
      </c>
      <c r="D7710" t="str">
        <f>"What Happens Next"</f>
        <v>What Happens Next</v>
      </c>
    </row>
    <row r="7711" spans="1:4" x14ac:dyDescent="0.2">
      <c r="A7711" t="str">
        <f>"7710"</f>
        <v>7710</v>
      </c>
      <c r="B7711" t="str">
        <f>"-0.36"</f>
        <v>-0.36</v>
      </c>
      <c r="C7711" t="str">
        <f>"27"</f>
        <v>27</v>
      </c>
      <c r="D7711" t="str">
        <f>"The Cliff EP"</f>
        <v>The Cliff EP</v>
      </c>
    </row>
    <row r="7712" spans="1:4" x14ac:dyDescent="0.2">
      <c r="A7712" t="str">
        <f>"7711"</f>
        <v>7711</v>
      </c>
      <c r="B7712" t="str">
        <f>"-0.9"</f>
        <v>-0.9</v>
      </c>
      <c r="C7712" t="str">
        <f>"41"</f>
        <v>41</v>
      </c>
      <c r="D7712" t="str">
        <f>"Citizen Zombie"</f>
        <v>Citizen Zombie</v>
      </c>
    </row>
    <row r="7713" spans="1:4" x14ac:dyDescent="0.2">
      <c r="A7713" t="str">
        <f>"7712"</f>
        <v>7712</v>
      </c>
      <c r="B7713" t="str">
        <f>"0.46"</f>
        <v>0.46</v>
      </c>
      <c r="C7713" t="str">
        <f>"32"</f>
        <v>32</v>
      </c>
      <c r="D7713" t="str">
        <f>"Dark Sky Paradise"</f>
        <v>Dark Sky Paradise</v>
      </c>
    </row>
    <row r="7714" spans="1:4" x14ac:dyDescent="0.2">
      <c r="A7714" t="str">
        <f>"7713"</f>
        <v>7713</v>
      </c>
      <c r="B7714" t="str">
        <f>"-0.18"</f>
        <v>-0.18</v>
      </c>
      <c r="C7714" t="str">
        <f>"33"</f>
        <v>33</v>
      </c>
      <c r="D7714" t="str">
        <f>"Seasonal Hire"</f>
        <v>Seasonal Hire</v>
      </c>
    </row>
    <row r="7715" spans="1:4" x14ac:dyDescent="0.2">
      <c r="A7715" t="str">
        <f>"7714"</f>
        <v>7714</v>
      </c>
      <c r="B7715" t="str">
        <f>"0.6"</f>
        <v>0.6</v>
      </c>
      <c r="C7715" t="str">
        <f>"28"</f>
        <v>28</v>
      </c>
      <c r="D7715" t="str">
        <f>"EarthEE"</f>
        <v>EarthEE</v>
      </c>
    </row>
    <row r="7716" spans="1:4" x14ac:dyDescent="0.2">
      <c r="A7716" t="str">
        <f>"7715"</f>
        <v>7715</v>
      </c>
      <c r="B7716" t="str">
        <f>"-0.71"</f>
        <v>-0.71</v>
      </c>
      <c r="C7716" t="str">
        <f>"28"</f>
        <v>28</v>
      </c>
      <c r="D7716" t="str">
        <f>"Joey"</f>
        <v>Joey</v>
      </c>
    </row>
    <row r="7717" spans="1:4" x14ac:dyDescent="0.2">
      <c r="A7717" t="str">
        <f>"7716"</f>
        <v>7716</v>
      </c>
      <c r="B7717" t="str">
        <f>"0.35"</f>
        <v>0.35</v>
      </c>
      <c r="C7717" t="str">
        <f>"28"</f>
        <v>28</v>
      </c>
      <c r="D7717" t="str">
        <f>"Terraplane"</f>
        <v>Terraplane</v>
      </c>
    </row>
    <row r="7718" spans="1:4" x14ac:dyDescent="0.2">
      <c r="A7718" t="str">
        <f>"7717"</f>
        <v>7717</v>
      </c>
      <c r="B7718" t="str">
        <f>"0.81"</f>
        <v>0.81</v>
      </c>
      <c r="C7718" t="str">
        <f>"95"</f>
        <v>95</v>
      </c>
      <c r="D7718" t="str">
        <f>"Led Zeppelin IV"</f>
        <v>Led Zeppelin IV</v>
      </c>
    </row>
    <row r="7719" spans="1:4" x14ac:dyDescent="0.2">
      <c r="A7719" t="str">
        <f>"7718"</f>
        <v>7718</v>
      </c>
      <c r="B7719" t="str">
        <f>"-0.42"</f>
        <v>-0.42</v>
      </c>
      <c r="C7719" t="str">
        <f>"35"</f>
        <v>35</v>
      </c>
      <c r="D7719" t="str">
        <f>"Archive Series Volume No. 1"</f>
        <v>Archive Series Volume No. 1</v>
      </c>
    </row>
    <row r="7720" spans="1:4" x14ac:dyDescent="0.2">
      <c r="A7720" t="str">
        <f>"7719"</f>
        <v>7719</v>
      </c>
      <c r="B7720" t="str">
        <f>"0.25"</f>
        <v>0.25</v>
      </c>
      <c r="C7720" t="str">
        <f>"21"</f>
        <v>21</v>
      </c>
      <c r="D7720" t="str">
        <f>"Wild Strawberries"</f>
        <v>Wild Strawberries</v>
      </c>
    </row>
    <row r="7721" spans="1:4" x14ac:dyDescent="0.2">
      <c r="A7721" t="str">
        <f>"7720"</f>
        <v>7720</v>
      </c>
      <c r="B7721" t="str">
        <f>"0.18"</f>
        <v>0.18</v>
      </c>
      <c r="C7721" t="str">
        <f>"22"</f>
        <v>22</v>
      </c>
      <c r="D7721" t="str">
        <f>"Over Easy EP"</f>
        <v>Over Easy EP</v>
      </c>
    </row>
    <row r="7722" spans="1:4" x14ac:dyDescent="0.2">
      <c r="A7722" t="str">
        <f>"7721"</f>
        <v>7721</v>
      </c>
      <c r="B7722" t="str">
        <f>"-0.33"</f>
        <v>-0.33</v>
      </c>
      <c r="C7722" t="str">
        <f>"21"</f>
        <v>21</v>
      </c>
      <c r="D7722" t="str">
        <f>"I Want to Grow Up"</f>
        <v>I Want to Grow Up</v>
      </c>
    </row>
    <row r="7723" spans="1:4" x14ac:dyDescent="0.2">
      <c r="A7723" t="str">
        <f>"7722"</f>
        <v>7722</v>
      </c>
      <c r="B7723" t="str">
        <f>"0.03"</f>
        <v>0.03</v>
      </c>
      <c r="C7723" t="str">
        <f>"35"</f>
        <v>35</v>
      </c>
      <c r="D7723" t="str">
        <f>"Gliss Riffer"</f>
        <v>Gliss Riffer</v>
      </c>
    </row>
    <row r="7724" spans="1:4" x14ac:dyDescent="0.2">
      <c r="A7724" t="str">
        <f>"7723"</f>
        <v>7723</v>
      </c>
      <c r="B7724" t="str">
        <f>"-0.24"</f>
        <v>-0.24</v>
      </c>
      <c r="C7724" t="str">
        <f>"39"</f>
        <v>39</v>
      </c>
      <c r="D7724" t="str">
        <f>"Restarter"</f>
        <v>Restarter</v>
      </c>
    </row>
    <row r="7725" spans="1:4" x14ac:dyDescent="0.2">
      <c r="A7725" t="str">
        <f>"7724"</f>
        <v>7724</v>
      </c>
      <c r="B7725" t="str">
        <f>"-1.44"</f>
        <v>-1.44</v>
      </c>
      <c r="C7725" t="str">
        <f>"27"</f>
        <v>27</v>
      </c>
      <c r="D7725" t="str">
        <f>"Rose Mountain"</f>
        <v>Rose Mountain</v>
      </c>
    </row>
    <row r="7726" spans="1:4" x14ac:dyDescent="0.2">
      <c r="A7726" t="str">
        <f>"7725"</f>
        <v>7725</v>
      </c>
      <c r="B7726" t="str">
        <f>"0.43"</f>
        <v>0.43</v>
      </c>
      <c r="C7726" t="str">
        <f>"49"</f>
        <v>49</v>
      </c>
      <c r="D7726" t="str">
        <f>"Ibeyi"</f>
        <v>Ibeyi</v>
      </c>
    </row>
    <row r="7727" spans="1:4" x14ac:dyDescent="0.2">
      <c r="A7727" t="str">
        <f>"7726"</f>
        <v>7726</v>
      </c>
      <c r="B7727" t="str">
        <f>"0.08"</f>
        <v>0.08</v>
      </c>
      <c r="C7727" t="str">
        <f>"31"</f>
        <v>31</v>
      </c>
      <c r="D7727" t="str">
        <f>"Nadastrom"</f>
        <v>Nadastrom</v>
      </c>
    </row>
    <row r="7728" spans="1:4" x14ac:dyDescent="0.2">
      <c r="A7728" t="str">
        <f>"7727"</f>
        <v>7727</v>
      </c>
      <c r="B7728" t="str">
        <f>"0.94"</f>
        <v>0.94</v>
      </c>
      <c r="C7728" t="str">
        <f>"15"</f>
        <v>15</v>
      </c>
      <c r="D7728" t="str">
        <f>"Bad News Boys"</f>
        <v>Bad News Boys</v>
      </c>
    </row>
    <row r="7729" spans="1:4" x14ac:dyDescent="0.2">
      <c r="A7729" t="str">
        <f>"7728"</f>
        <v>7728</v>
      </c>
      <c r="B7729" t="str">
        <f>"1.39"</f>
        <v>1.39</v>
      </c>
      <c r="C7729" t="str">
        <f>"50"</f>
        <v>50</v>
      </c>
      <c r="D7729" t="s">
        <v>270</v>
      </c>
    </row>
    <row r="7730" spans="1:4" x14ac:dyDescent="0.2">
      <c r="A7730" t="str">
        <f>"7729"</f>
        <v>7729</v>
      </c>
      <c r="B7730" t="str">
        <f>"-0.25"</f>
        <v>-0.25</v>
      </c>
      <c r="C7730" t="str">
        <f>"25"</f>
        <v>25</v>
      </c>
      <c r="D7730" t="str">
        <f>"Should the Light Go Out"</f>
        <v>Should the Light Go Out</v>
      </c>
    </row>
    <row r="7731" spans="1:4" x14ac:dyDescent="0.2">
      <c r="A7731" t="str">
        <f>"7730"</f>
        <v>7730</v>
      </c>
      <c r="B7731" t="str">
        <f>"-0.22"</f>
        <v>-0.22</v>
      </c>
      <c r="C7731" t="str">
        <f>"31"</f>
        <v>31</v>
      </c>
      <c r="D7731" t="str">
        <f>"Rapture"</f>
        <v>Rapture</v>
      </c>
    </row>
    <row r="7732" spans="1:4" x14ac:dyDescent="0.2">
      <c r="A7732" t="str">
        <f>"7731"</f>
        <v>7731</v>
      </c>
      <c r="B7732" t="str">
        <f>"-0.15"</f>
        <v>-0.15</v>
      </c>
      <c r="C7732" t="str">
        <f>"33"</f>
        <v>33</v>
      </c>
      <c r="D7732" t="str">
        <f>"Great Big Flamingo Burning Moon"</f>
        <v>Great Big Flamingo Burning Moon</v>
      </c>
    </row>
    <row r="7733" spans="1:4" x14ac:dyDescent="0.2">
      <c r="A7733" t="str">
        <f>"7732"</f>
        <v>7732</v>
      </c>
      <c r="B7733" t="str">
        <f>"0.17"</f>
        <v>0.17</v>
      </c>
      <c r="C7733" t="str">
        <f>"42"</f>
        <v>42</v>
      </c>
      <c r="D7733" t="str">
        <f>"Live at the Music Hall"</f>
        <v>Live at the Music Hall</v>
      </c>
    </row>
    <row r="7734" spans="1:4" x14ac:dyDescent="0.2">
      <c r="A7734" t="str">
        <f>"7733"</f>
        <v>7733</v>
      </c>
      <c r="B7734" t="str">
        <f>"-0.49"</f>
        <v>-0.49</v>
      </c>
      <c r="C7734" t="str">
        <f>"58"</f>
        <v>58</v>
      </c>
      <c r="D7734" t="str">
        <f>"Punk 45: Extermination Nights in the Sixth City"</f>
        <v>Punk 45: Extermination Nights in the Sixth City</v>
      </c>
    </row>
    <row r="7735" spans="1:4" x14ac:dyDescent="0.2">
      <c r="A7735" t="str">
        <f>"7734"</f>
        <v>7734</v>
      </c>
      <c r="B7735" t="str">
        <f>"1.39"</f>
        <v>1.39</v>
      </c>
      <c r="C7735" t="str">
        <f>"28"</f>
        <v>28</v>
      </c>
      <c r="D7735" t="str">
        <f>"Guitars and Microphones"</f>
        <v>Guitars and Microphones</v>
      </c>
    </row>
    <row r="7736" spans="1:4" x14ac:dyDescent="0.2">
      <c r="A7736" t="str">
        <f>"7735"</f>
        <v>7735</v>
      </c>
      <c r="B7736" t="str">
        <f>"0.31"</f>
        <v>0.31</v>
      </c>
      <c r="C7736" t="str">
        <f>"25"</f>
        <v>25</v>
      </c>
      <c r="D7736" t="str">
        <f>"Drippin' for a Tripp"</f>
        <v>Drippin' for a Tripp</v>
      </c>
    </row>
    <row r="7737" spans="1:4" x14ac:dyDescent="0.2">
      <c r="A7737" t="str">
        <f>"7736"</f>
        <v>7736</v>
      </c>
      <c r="B7737" t="str">
        <f>"0.03"</f>
        <v>0.03</v>
      </c>
      <c r="C7737" t="str">
        <f>"34"</f>
        <v>34</v>
      </c>
      <c r="D7737" t="str">
        <f>"Ryu No Sumika"</f>
        <v>Ryu No Sumika</v>
      </c>
    </row>
    <row r="7738" spans="1:4" x14ac:dyDescent="0.2">
      <c r="A7738" t="str">
        <f>"7737"</f>
        <v>7737</v>
      </c>
      <c r="B7738" t="str">
        <f>"0.79"</f>
        <v>0.79</v>
      </c>
      <c r="C7738" t="str">
        <f>"36"</f>
        <v>36</v>
      </c>
      <c r="D7738" t="str">
        <f>"Vestiges &amp; Claws"</f>
        <v>Vestiges &amp; Claws</v>
      </c>
    </row>
    <row r="7739" spans="1:4" x14ac:dyDescent="0.2">
      <c r="A7739" t="str">
        <f>"7738"</f>
        <v>7738</v>
      </c>
      <c r="B7739" t="str">
        <f>"-0.15"</f>
        <v>-0.15</v>
      </c>
      <c r="C7739" t="str">
        <f>"24"</f>
        <v>24</v>
      </c>
      <c r="D7739" t="str">
        <f>"A Distant Fist Unclenching"</f>
        <v>A Distant Fist Unclenching</v>
      </c>
    </row>
    <row r="7740" spans="1:4" x14ac:dyDescent="0.2">
      <c r="A7740" t="str">
        <f>"7739"</f>
        <v>7739</v>
      </c>
      <c r="B7740" t="str">
        <f>"-1.08"</f>
        <v>-1.08</v>
      </c>
      <c r="C7740" t="str">
        <f>"20"</f>
        <v>20</v>
      </c>
      <c r="D7740" t="str">
        <f>"Tragedy of the Commons EP"</f>
        <v>Tragedy of the Commons EP</v>
      </c>
    </row>
    <row r="7741" spans="1:4" x14ac:dyDescent="0.2">
      <c r="A7741" t="str">
        <f>"7740"</f>
        <v>7740</v>
      </c>
      <c r="B7741" t="str">
        <f>"0.36"</f>
        <v>0.36</v>
      </c>
      <c r="C7741" t="str">
        <f>"32"</f>
        <v>32</v>
      </c>
      <c r="D7741" t="str">
        <f>"Carter Tutti Plays Chris &amp; Cosey"</f>
        <v>Carter Tutti Plays Chris &amp; Cosey</v>
      </c>
    </row>
    <row r="7742" spans="1:4" x14ac:dyDescent="0.2">
      <c r="A7742" t="str">
        <f>"7741"</f>
        <v>7741</v>
      </c>
      <c r="B7742" t="str">
        <f>"-0.14"</f>
        <v>-0.14</v>
      </c>
      <c r="C7742" t="str">
        <f>"23"</f>
        <v>23</v>
      </c>
      <c r="D7742" t="str">
        <f>"Comb the Feelings Through Your Hair"</f>
        <v>Comb the Feelings Through Your Hair</v>
      </c>
    </row>
    <row r="7743" spans="1:4" x14ac:dyDescent="0.2">
      <c r="A7743" t="str">
        <f>"7742"</f>
        <v>7742</v>
      </c>
      <c r="B7743" t="str">
        <f>"-0.02"</f>
        <v>-0.02</v>
      </c>
      <c r="C7743" t="str">
        <f>"43"</f>
        <v>43</v>
      </c>
      <c r="D7743" t="str">
        <f>"If You're Reading This It's Too Late"</f>
        <v>If You're Reading This It's Too Late</v>
      </c>
    </row>
    <row r="7744" spans="1:4" x14ac:dyDescent="0.2">
      <c r="A7744" t="str">
        <f>"7743"</f>
        <v>7743</v>
      </c>
      <c r="B7744" t="str">
        <f>"0.74"</f>
        <v>0.74</v>
      </c>
      <c r="C7744" t="str">
        <f>"71"</f>
        <v>71</v>
      </c>
      <c r="D7744" t="str">
        <f>"Freedom Highway Complete"</f>
        <v>Freedom Highway Complete</v>
      </c>
    </row>
    <row r="7745" spans="1:4" x14ac:dyDescent="0.2">
      <c r="A7745" t="str">
        <f>"7744"</f>
        <v>7744</v>
      </c>
      <c r="B7745" t="str">
        <f>"0.37"</f>
        <v>0.37</v>
      </c>
      <c r="C7745" t="str">
        <f>"41"</f>
        <v>41</v>
      </c>
      <c r="D7745" t="str">
        <f>"Shuvit! EP"</f>
        <v>Shuvit! EP</v>
      </c>
    </row>
    <row r="7746" spans="1:4" x14ac:dyDescent="0.2">
      <c r="A7746" t="str">
        <f>"7745"</f>
        <v>7745</v>
      </c>
      <c r="B7746" t="str">
        <f>"0.21"</f>
        <v>0.21</v>
      </c>
      <c r="C7746" t="str">
        <f>"31"</f>
        <v>31</v>
      </c>
      <c r="D7746" t="str">
        <f>"Early Surf"</f>
        <v>Early Surf</v>
      </c>
    </row>
    <row r="7747" spans="1:4" x14ac:dyDescent="0.2">
      <c r="A7747" t="str">
        <f>"7746"</f>
        <v>7746</v>
      </c>
      <c r="B7747" t="str">
        <f>"0.58"</f>
        <v>0.58</v>
      </c>
      <c r="C7747" t="str">
        <f>"22"</f>
        <v>22</v>
      </c>
      <c r="D7747" t="str">
        <f>"Fortune"</f>
        <v>Fortune</v>
      </c>
    </row>
    <row r="7748" spans="1:4" x14ac:dyDescent="0.2">
      <c r="A7748" t="str">
        <f>"7747"</f>
        <v>7747</v>
      </c>
      <c r="B7748" t="str">
        <f>"-0.51"</f>
        <v>-0.51</v>
      </c>
      <c r="C7748" t="str">
        <f>"34"</f>
        <v>34</v>
      </c>
      <c r="D7748" t="str">
        <f>"Sour Soul"</f>
        <v>Sour Soul</v>
      </c>
    </row>
    <row r="7749" spans="1:4" x14ac:dyDescent="0.2">
      <c r="A7749" t="str">
        <f>"7748"</f>
        <v>7748</v>
      </c>
      <c r="B7749" t="str">
        <f>"0.08"</f>
        <v>0.08</v>
      </c>
      <c r="C7749" t="str">
        <f>"34"</f>
        <v>34</v>
      </c>
      <c r="D7749" t="str">
        <f>"Picture You"</f>
        <v>Picture You</v>
      </c>
    </row>
    <row r="7750" spans="1:4" x14ac:dyDescent="0.2">
      <c r="A7750" t="str">
        <f>"7749"</f>
        <v>7749</v>
      </c>
      <c r="B7750" t="str">
        <f>"-0.27"</f>
        <v>-0.27</v>
      </c>
      <c r="C7750" t="str">
        <f>"31"</f>
        <v>31</v>
      </c>
      <c r="D7750" t="str">
        <f>"The Mainframe"</f>
        <v>The Mainframe</v>
      </c>
    </row>
    <row r="7751" spans="1:4" x14ac:dyDescent="0.2">
      <c r="A7751" t="str">
        <f>"7750"</f>
        <v>7750</v>
      </c>
      <c r="B7751" t="str">
        <f>"0.44"</f>
        <v>0.44</v>
      </c>
      <c r="C7751" t="str">
        <f>"30"</f>
        <v>30</v>
      </c>
      <c r="D7751" t="str">
        <f>"Supermoon EP"</f>
        <v>Supermoon EP</v>
      </c>
    </row>
    <row r="7752" spans="1:4" x14ac:dyDescent="0.2">
      <c r="A7752" t="str">
        <f>"7751"</f>
        <v>7751</v>
      </c>
      <c r="B7752" t="str">
        <f>"-0.88"</f>
        <v>-0.88</v>
      </c>
      <c r="C7752" t="str">
        <f>"20"</f>
        <v>20</v>
      </c>
      <c r="D7752" t="str">
        <f>"Modern Streets"</f>
        <v>Modern Streets</v>
      </c>
    </row>
    <row r="7753" spans="1:4" x14ac:dyDescent="0.2">
      <c r="A7753" t="str">
        <f>"7752"</f>
        <v>7752</v>
      </c>
      <c r="B7753" t="str">
        <f>"1.14"</f>
        <v>1.14</v>
      </c>
      <c r="C7753" t="str">
        <f>"39"</f>
        <v>39</v>
      </c>
      <c r="D7753" t="str">
        <f>"The Moon Rang Like a Bell (Remixed)"</f>
        <v>The Moon Rang Like a Bell (Remixed)</v>
      </c>
    </row>
    <row r="7754" spans="1:4" x14ac:dyDescent="0.2">
      <c r="A7754" t="str">
        <f>"7753"</f>
        <v>7753</v>
      </c>
      <c r="B7754" t="str">
        <f>"-0.12"</f>
        <v>-0.12</v>
      </c>
      <c r="C7754" t="str">
        <f>"43"</f>
        <v>43</v>
      </c>
      <c r="D7754" t="str">
        <f>"Body Pill"</f>
        <v>Body Pill</v>
      </c>
    </row>
    <row r="7755" spans="1:4" x14ac:dyDescent="0.2">
      <c r="A7755" t="str">
        <f>"7754"</f>
        <v>7754</v>
      </c>
      <c r="B7755" t="str">
        <f>"0.2"</f>
        <v>0.2</v>
      </c>
      <c r="C7755" t="str">
        <f>"31"</f>
        <v>31</v>
      </c>
      <c r="D7755" t="str">
        <f>"Transfixiation"</f>
        <v>Transfixiation</v>
      </c>
    </row>
    <row r="7756" spans="1:4" x14ac:dyDescent="0.2">
      <c r="A7756" t="str">
        <f>"7755"</f>
        <v>7755</v>
      </c>
      <c r="B7756" t="str">
        <f>"1.02"</f>
        <v>1.02</v>
      </c>
      <c r="C7756" t="str">
        <f>"28"</f>
        <v>28</v>
      </c>
      <c r="D7756" t="str">
        <f>"Tangier Sessions"</f>
        <v>Tangier Sessions</v>
      </c>
    </row>
    <row r="7757" spans="1:4" x14ac:dyDescent="0.2">
      <c r="A7757" t="str">
        <f>"7756"</f>
        <v>7756</v>
      </c>
      <c r="B7757" t="str">
        <f>"1.22"</f>
        <v>1.22</v>
      </c>
      <c r="C7757" t="str">
        <f>"25"</f>
        <v>25</v>
      </c>
      <c r="D7757" t="str">
        <f>"It'll All Be Over"</f>
        <v>It'll All Be Over</v>
      </c>
    </row>
    <row r="7758" spans="1:4" x14ac:dyDescent="0.2">
      <c r="A7758" t="str">
        <f>"7757"</f>
        <v>7757</v>
      </c>
      <c r="B7758" t="str">
        <f>"-1.3"</f>
        <v>-1.3</v>
      </c>
      <c r="C7758" t="str">
        <f>"22"</f>
        <v>22</v>
      </c>
      <c r="D7758" t="str">
        <f>"Mourn"</f>
        <v>Mourn</v>
      </c>
    </row>
    <row r="7759" spans="1:4" x14ac:dyDescent="0.2">
      <c r="A7759" t="str">
        <f>"7758"</f>
        <v>7758</v>
      </c>
      <c r="B7759" t="str">
        <f>"0.06"</f>
        <v>0.06</v>
      </c>
      <c r="C7759" t="str">
        <f>"33"</f>
        <v>33</v>
      </c>
      <c r="D7759" t="str">
        <f>"Talent Night at the Ashram"</f>
        <v>Talent Night at the Ashram</v>
      </c>
    </row>
    <row r="7760" spans="1:4" x14ac:dyDescent="0.2">
      <c r="A7760" t="str">
        <f>"7759"</f>
        <v>7759</v>
      </c>
      <c r="B7760" t="str">
        <f>"0.17"</f>
        <v>0.17</v>
      </c>
      <c r="C7760" t="str">
        <f>"28"</f>
        <v>28</v>
      </c>
      <c r="D7760" t="str">
        <f>"I Sell the Circus"</f>
        <v>I Sell the Circus</v>
      </c>
    </row>
    <row r="7761" spans="1:4" x14ac:dyDescent="0.2">
      <c r="A7761" t="str">
        <f>"7760"</f>
        <v>7760</v>
      </c>
      <c r="B7761" t="str">
        <f>"1.52"</f>
        <v>1.52</v>
      </c>
      <c r="C7761" t="str">
        <f>"40"</f>
        <v>40</v>
      </c>
      <c r="D7761" t="str">
        <f>"Pioneer of Nothing EP"</f>
        <v>Pioneer of Nothing EP</v>
      </c>
    </row>
    <row r="7762" spans="1:4" x14ac:dyDescent="0.2">
      <c r="A7762" t="str">
        <f>"7761"</f>
        <v>7761</v>
      </c>
      <c r="B7762" t="str">
        <f>"-0.19"</f>
        <v>-0.19</v>
      </c>
      <c r="C7762" t="str">
        <f>"23"</f>
        <v>23</v>
      </c>
      <c r="D7762" t="str">
        <f>"The Deal"</f>
        <v>The Deal</v>
      </c>
    </row>
    <row r="7763" spans="1:4" x14ac:dyDescent="0.2">
      <c r="A7763" t="str">
        <f>"7762"</f>
        <v>7762</v>
      </c>
      <c r="B7763" t="str">
        <f>"-0.49"</f>
        <v>-0.49</v>
      </c>
      <c r="C7763" t="str">
        <f>"32"</f>
        <v>32</v>
      </c>
      <c r="D7763" t="str">
        <f>"Hyperview"</f>
        <v>Hyperview</v>
      </c>
    </row>
    <row r="7764" spans="1:4" x14ac:dyDescent="0.2">
      <c r="A7764" t="str">
        <f>"7763"</f>
        <v>7763</v>
      </c>
      <c r="B7764" t="str">
        <f>"-0.83"</f>
        <v>-0.83</v>
      </c>
      <c r="C7764" t="str">
        <f>"29"</f>
        <v>29</v>
      </c>
      <c r="D7764" t="str">
        <f>"Man It Feels Like Space Again"</f>
        <v>Man It Feels Like Space Again</v>
      </c>
    </row>
    <row r="7765" spans="1:4" x14ac:dyDescent="0.2">
      <c r="A7765" t="str">
        <f>"7764"</f>
        <v>7764</v>
      </c>
      <c r="B7765" t="str">
        <f>"-0.72"</f>
        <v>-0.72</v>
      </c>
      <c r="C7765" t="str">
        <f>"24"</f>
        <v>24</v>
      </c>
      <c r="D7765" t="str">
        <f>"First Light"</f>
        <v>First Light</v>
      </c>
    </row>
    <row r="7766" spans="1:4" x14ac:dyDescent="0.2">
      <c r="A7766" t="str">
        <f>"7765"</f>
        <v>7765</v>
      </c>
      <c r="B7766" t="str">
        <f>"1"</f>
        <v>1</v>
      </c>
      <c r="C7766" t="str">
        <f>"39"</f>
        <v>39</v>
      </c>
      <c r="D7766" t="str">
        <f>"Reflection"</f>
        <v>Reflection</v>
      </c>
    </row>
    <row r="7767" spans="1:4" x14ac:dyDescent="0.2">
      <c r="A7767" t="str">
        <f>"7766"</f>
        <v>7766</v>
      </c>
      <c r="B7767" t="str">
        <f>"0.21"</f>
        <v>0.21</v>
      </c>
      <c r="C7767" t="str">
        <f>"14"</f>
        <v>14</v>
      </c>
      <c r="D7767" t="str">
        <f>"S EP"</f>
        <v>S EP</v>
      </c>
    </row>
    <row r="7768" spans="1:4" x14ac:dyDescent="0.2">
      <c r="A7768" t="str">
        <f>"7767"</f>
        <v>7767</v>
      </c>
      <c r="B7768" t="str">
        <f>"-0.7"</f>
        <v>-0.7</v>
      </c>
      <c r="C7768" t="str">
        <f>"29"</f>
        <v>29</v>
      </c>
      <c r="D7768" t="str">
        <f>"Hexadic"</f>
        <v>Hexadic</v>
      </c>
    </row>
    <row r="7769" spans="1:4" x14ac:dyDescent="0.2">
      <c r="A7769" t="str">
        <f>"7768"</f>
        <v>7768</v>
      </c>
      <c r="B7769" t="str">
        <f>"0.13"</f>
        <v>0.13</v>
      </c>
      <c r="C7769" t="str">
        <f>"27"</f>
        <v>27</v>
      </c>
      <c r="D7769" t="str">
        <f>"Non-Fiction"</f>
        <v>Non-Fiction</v>
      </c>
    </row>
    <row r="7770" spans="1:4" x14ac:dyDescent="0.2">
      <c r="A7770" t="str">
        <f>"7769"</f>
        <v>7769</v>
      </c>
      <c r="B7770" t="str">
        <f>"0.95"</f>
        <v>0.95</v>
      </c>
      <c r="C7770" t="str">
        <f>"39"</f>
        <v>39</v>
      </c>
      <c r="D7770" t="str">
        <f>"Quarterbacks"</f>
        <v>Quarterbacks</v>
      </c>
    </row>
    <row r="7771" spans="1:4" x14ac:dyDescent="0.2">
      <c r="A7771" t="str">
        <f>"7770"</f>
        <v>7770</v>
      </c>
      <c r="B7771" t="str">
        <f>"-0.46"</f>
        <v>-0.46</v>
      </c>
      <c r="C7771" t="str">
        <f>"24"</f>
        <v>24</v>
      </c>
      <c r="D7771" t="str">
        <f>"Late Night Endless"</f>
        <v>Late Night Endless</v>
      </c>
    </row>
    <row r="7772" spans="1:4" x14ac:dyDescent="0.2">
      <c r="A7772" t="str">
        <f>"7771"</f>
        <v>7771</v>
      </c>
      <c r="B7772" t="str">
        <f>"-0.56"</f>
        <v>-0.56</v>
      </c>
      <c r="C7772" t="str">
        <f>"42"</f>
        <v>42</v>
      </c>
      <c r="D7772" t="str">
        <f>"Time"</f>
        <v>Time</v>
      </c>
    </row>
    <row r="7773" spans="1:4" x14ac:dyDescent="0.2">
      <c r="A7773" t="str">
        <f>"7772"</f>
        <v>7772</v>
      </c>
      <c r="B7773" t="str">
        <f>"-0.19"</f>
        <v>-0.19</v>
      </c>
      <c r="C7773" t="str">
        <f>"45"</f>
        <v>45</v>
      </c>
      <c r="D7773" t="s">
        <v>271</v>
      </c>
    </row>
    <row r="7774" spans="1:4" x14ac:dyDescent="0.2">
      <c r="A7774" t="str">
        <f>"7773"</f>
        <v>7773</v>
      </c>
      <c r="B7774" t="str">
        <f>"-0.88"</f>
        <v>-0.88</v>
      </c>
      <c r="C7774" t="str">
        <f>"31"</f>
        <v>31</v>
      </c>
      <c r="D7774" t="str">
        <f>"A Year With 13 Moons"</f>
        <v>A Year With 13 Moons</v>
      </c>
    </row>
    <row r="7775" spans="1:4" x14ac:dyDescent="0.2">
      <c r="A7775" t="str">
        <f>"7774"</f>
        <v>7774</v>
      </c>
      <c r="B7775" t="str">
        <f>"0.54"</f>
        <v>0.54</v>
      </c>
      <c r="C7775" t="str">
        <f>"17"</f>
        <v>17</v>
      </c>
      <c r="D7775" t="str">
        <f>"Cigarette Machine EP"</f>
        <v>Cigarette Machine EP</v>
      </c>
    </row>
    <row r="7776" spans="1:4" x14ac:dyDescent="0.2">
      <c r="A7776" t="str">
        <f>"7775"</f>
        <v>7775</v>
      </c>
      <c r="B7776" t="str">
        <f>"-0.38"</f>
        <v>-0.38</v>
      </c>
      <c r="C7776" t="str">
        <f>"20"</f>
        <v>20</v>
      </c>
      <c r="D7776" t="str">
        <f>"Creatures"</f>
        <v>Creatures</v>
      </c>
    </row>
    <row r="7777" spans="1:4" x14ac:dyDescent="0.2">
      <c r="A7777" t="str">
        <f>"7776"</f>
        <v>7776</v>
      </c>
      <c r="B7777" t="str">
        <f>"-0.64"</f>
        <v>-0.64</v>
      </c>
      <c r="C7777" t="str">
        <f>"39"</f>
        <v>39</v>
      </c>
      <c r="D7777" t="str">
        <f>"Vol. 1"</f>
        <v>Vol. 1</v>
      </c>
    </row>
    <row r="7778" spans="1:4" x14ac:dyDescent="0.2">
      <c r="A7778" t="str">
        <f>"7777"</f>
        <v>7777</v>
      </c>
      <c r="B7778" t="str">
        <f>"0.76"</f>
        <v>0.76</v>
      </c>
      <c r="C7778" t="str">
        <f>"47"</f>
        <v>47</v>
      </c>
      <c r="D7778" t="str">
        <f>"Sleeping Tapes"</f>
        <v>Sleeping Tapes</v>
      </c>
    </row>
    <row r="7779" spans="1:4" x14ac:dyDescent="0.2">
      <c r="A7779" t="str">
        <f>"7778"</f>
        <v>7778</v>
      </c>
      <c r="B7779" t="str">
        <f>"0.31"</f>
        <v>0.31</v>
      </c>
      <c r="C7779" t="str">
        <f>"18"</f>
        <v>18</v>
      </c>
      <c r="D7779" t="str">
        <f>"Africa Express Presents... Terry Riley's In C Mali"</f>
        <v>Africa Express Presents... Terry Riley's In C Mali</v>
      </c>
    </row>
    <row r="7780" spans="1:4" x14ac:dyDescent="0.2">
      <c r="A7780" t="str">
        <f>"7779"</f>
        <v>7779</v>
      </c>
      <c r="B7780" t="str">
        <f>"-1.14"</f>
        <v>-1.14</v>
      </c>
      <c r="C7780" t="str">
        <f>"70"</f>
        <v>70</v>
      </c>
      <c r="D7780" t="str">
        <f>"Scar Sighted"</f>
        <v>Scar Sighted</v>
      </c>
    </row>
    <row r="7781" spans="1:4" x14ac:dyDescent="0.2">
      <c r="A7781" t="str">
        <f>"7780"</f>
        <v>7780</v>
      </c>
      <c r="B7781" t="str">
        <f>"-1.18"</f>
        <v>-1.18</v>
      </c>
      <c r="C7781" t="str">
        <f>"28"</f>
        <v>28</v>
      </c>
      <c r="D7781" t="str">
        <f>"Fight for Yourself"</f>
        <v>Fight for Yourself</v>
      </c>
    </row>
    <row r="7782" spans="1:4" x14ac:dyDescent="0.2">
      <c r="A7782" t="str">
        <f>"7781"</f>
        <v>7781</v>
      </c>
      <c r="B7782" t="str">
        <f>"-0.85"</f>
        <v>-0.85</v>
      </c>
      <c r="C7782" t="str">
        <f>"38"</f>
        <v>38</v>
      </c>
      <c r="D7782" t="str">
        <f>"A Flourish and a Spoil"</f>
        <v>A Flourish and a Spoil</v>
      </c>
    </row>
    <row r="7783" spans="1:4" x14ac:dyDescent="0.2">
      <c r="A7783" t="str">
        <f>"7782"</f>
        <v>7782</v>
      </c>
      <c r="B7783" t="str">
        <f>"-0.69"</f>
        <v>-0.69</v>
      </c>
      <c r="C7783" t="str">
        <f>"54"</f>
        <v>54</v>
      </c>
      <c r="D7783" t="str">
        <f>"Lost Themes"</f>
        <v>Lost Themes</v>
      </c>
    </row>
    <row r="7784" spans="1:4" x14ac:dyDescent="0.2">
      <c r="A7784" t="str">
        <f>"7783"</f>
        <v>7783</v>
      </c>
      <c r="B7784" t="str">
        <f>"-0.24"</f>
        <v>-0.24</v>
      </c>
      <c r="C7784" t="str">
        <f>"53"</f>
        <v>53</v>
      </c>
      <c r="D7784" t="str">
        <f>"COIN COIN Chapter Three: river run thee"</f>
        <v>COIN COIN Chapter Three: river run thee</v>
      </c>
    </row>
    <row r="7785" spans="1:4" x14ac:dyDescent="0.2">
      <c r="A7785" t="str">
        <f>"7784"</f>
        <v>7784</v>
      </c>
      <c r="B7785" t="str">
        <f>"0"</f>
        <v>0</v>
      </c>
      <c r="C7785" t="str">
        <f>"24"</f>
        <v>24</v>
      </c>
      <c r="D7785" t="str">
        <f>"Fantastic Planet"</f>
        <v>Fantastic Planet</v>
      </c>
    </row>
    <row r="7786" spans="1:4" x14ac:dyDescent="0.2">
      <c r="A7786" t="str">
        <f>"7785"</f>
        <v>7785</v>
      </c>
      <c r="B7786" t="str">
        <f>"-0.11"</f>
        <v>-0.11</v>
      </c>
      <c r="C7786" t="str">
        <f>"37"</f>
        <v>37</v>
      </c>
      <c r="D7786" t="str">
        <f>"Dance Mania: Ghetto Madness"</f>
        <v>Dance Mania: Ghetto Madness</v>
      </c>
    </row>
    <row r="7787" spans="1:4" x14ac:dyDescent="0.2">
      <c r="A7787" t="str">
        <f>"7786"</f>
        <v>7786</v>
      </c>
      <c r="B7787" t="str">
        <f>"-0.12"</f>
        <v>-0.12</v>
      </c>
      <c r="C7787" t="str">
        <f>"29"</f>
        <v>29</v>
      </c>
      <c r="D7787" t="str">
        <f>"Revisionist"</f>
        <v>Revisionist</v>
      </c>
    </row>
    <row r="7788" spans="1:4" x14ac:dyDescent="0.2">
      <c r="A7788" t="str">
        <f>"7787"</f>
        <v>7787</v>
      </c>
      <c r="B7788" t="str">
        <f>"-0.11"</f>
        <v>-0.11</v>
      </c>
      <c r="C7788" t="str">
        <f>"44"</f>
        <v>44</v>
      </c>
      <c r="D7788" t="str">
        <f>"Sauna"</f>
        <v>Sauna</v>
      </c>
    </row>
    <row r="7789" spans="1:4" x14ac:dyDescent="0.2">
      <c r="A7789" t="str">
        <f>"7788"</f>
        <v>7788</v>
      </c>
      <c r="B7789" t="str">
        <f>"0.83"</f>
        <v>0.83</v>
      </c>
      <c r="C7789" t="str">
        <f>"22"</f>
        <v>22</v>
      </c>
      <c r="D7789" t="str">
        <f>"Home"</f>
        <v>Home</v>
      </c>
    </row>
    <row r="7790" spans="1:4" x14ac:dyDescent="0.2">
      <c r="A7790" t="str">
        <f>"7789"</f>
        <v>7789</v>
      </c>
      <c r="B7790" t="str">
        <f>"1.69"</f>
        <v>1.69</v>
      </c>
      <c r="C7790" t="str">
        <f>"19"</f>
        <v>19</v>
      </c>
      <c r="D7790" t="str">
        <f>"Signs Under Test"</f>
        <v>Signs Under Test</v>
      </c>
    </row>
    <row r="7791" spans="1:4" x14ac:dyDescent="0.2">
      <c r="A7791" t="str">
        <f>"7790"</f>
        <v>7790</v>
      </c>
      <c r="B7791" t="str">
        <f>"1.38"</f>
        <v>1.38</v>
      </c>
      <c r="C7791" t="str">
        <f>"21"</f>
        <v>21</v>
      </c>
      <c r="D7791" t="str">
        <f>"Flyaway Garden"</f>
        <v>Flyaway Garden</v>
      </c>
    </row>
    <row r="7792" spans="1:4" x14ac:dyDescent="0.2">
      <c r="A7792" t="str">
        <f>"7791"</f>
        <v>7791</v>
      </c>
      <c r="B7792" t="str">
        <f>"-0.39"</f>
        <v>-0.39</v>
      </c>
      <c r="C7792" t="str">
        <f>"22"</f>
        <v>22</v>
      </c>
      <c r="D7792" t="str">
        <f>"Teaspoon to the Ocean"</f>
        <v>Teaspoon to the Ocean</v>
      </c>
    </row>
    <row r="7793" spans="1:4" x14ac:dyDescent="0.2">
      <c r="A7793" t="str">
        <f>"7792"</f>
        <v>7792</v>
      </c>
      <c r="B7793" t="str">
        <f>"0.27"</f>
        <v>0.27</v>
      </c>
      <c r="C7793" t="str">
        <f>"45"</f>
        <v>45</v>
      </c>
      <c r="D7793" t="str">
        <f>"Shadows in the Night"</f>
        <v>Shadows in the Night</v>
      </c>
    </row>
    <row r="7794" spans="1:4" x14ac:dyDescent="0.2">
      <c r="A7794" t="str">
        <f>"7793"</f>
        <v>7793</v>
      </c>
      <c r="B7794" t="str">
        <f>"-0.42"</f>
        <v>-0.42</v>
      </c>
      <c r="C7794" t="str">
        <f>"39"</f>
        <v>39</v>
      </c>
      <c r="D7794" t="str">
        <f>"B4.DA.$$"</f>
        <v>B4.DA.$$</v>
      </c>
    </row>
    <row r="7795" spans="1:4" x14ac:dyDescent="0.2">
      <c r="A7795" t="str">
        <f>"7794"</f>
        <v>7794</v>
      </c>
      <c r="B7795" t="str">
        <f>"-0.15"</f>
        <v>-0.15</v>
      </c>
      <c r="C7795" t="str">
        <f>"22"</f>
        <v>22</v>
      </c>
      <c r="D7795" t="str">
        <f>"Depersonalisation"</f>
        <v>Depersonalisation</v>
      </c>
    </row>
    <row r="7796" spans="1:4" x14ac:dyDescent="0.2">
      <c r="A7796" t="str">
        <f>"7795"</f>
        <v>7795</v>
      </c>
      <c r="B7796" t="str">
        <f>"-0.29"</f>
        <v>-0.29</v>
      </c>
      <c r="C7796" t="str">
        <f>"30"</f>
        <v>30</v>
      </c>
      <c r="D7796" t="str">
        <f>"Boogalou Reed"</f>
        <v>Boogalou Reed</v>
      </c>
    </row>
    <row r="7797" spans="1:4" x14ac:dyDescent="0.2">
      <c r="A7797" t="str">
        <f>"7796"</f>
        <v>7796</v>
      </c>
      <c r="B7797" t="str">
        <f>"0.13"</f>
        <v>0.13</v>
      </c>
      <c r="C7797" t="str">
        <f>"29"</f>
        <v>29</v>
      </c>
      <c r="D7797" t="str">
        <f>"Big Dark Love"</f>
        <v>Big Dark Love</v>
      </c>
    </row>
    <row r="7798" spans="1:4" x14ac:dyDescent="0.2">
      <c r="A7798" t="str">
        <f>"7797"</f>
        <v>7797</v>
      </c>
      <c r="B7798" t="str">
        <f>"0.45"</f>
        <v>0.45</v>
      </c>
      <c r="C7798" t="str">
        <f>"33"</f>
        <v>33</v>
      </c>
      <c r="D7798" t="str">
        <f>"Southern Grammar EP"</f>
        <v>Southern Grammar EP</v>
      </c>
    </row>
    <row r="7799" spans="1:4" x14ac:dyDescent="0.2">
      <c r="A7799" t="str">
        <f>"7798"</f>
        <v>7798</v>
      </c>
      <c r="B7799" t="str">
        <f>"0.56"</f>
        <v>0.56</v>
      </c>
      <c r="C7799" t="str">
        <f>"51"</f>
        <v>51</v>
      </c>
      <c r="D7799" t="str">
        <f>"Music to Strip By"</f>
        <v>Music to Strip By</v>
      </c>
    </row>
    <row r="7800" spans="1:4" x14ac:dyDescent="0.2">
      <c r="A7800" t="str">
        <f>"7799"</f>
        <v>7799</v>
      </c>
      <c r="B7800" t="str">
        <f>"0.49"</f>
        <v>0.49</v>
      </c>
      <c r="C7800" t="str">
        <f>"46"</f>
        <v>46</v>
      </c>
      <c r="D7800" t="str">
        <f>"Summoning Suns"</f>
        <v>Summoning Suns</v>
      </c>
    </row>
    <row r="7801" spans="1:4" x14ac:dyDescent="0.2">
      <c r="A7801" t="str">
        <f>"7800"</f>
        <v>7800</v>
      </c>
      <c r="B7801" t="str">
        <f>"-0.22"</f>
        <v>-0.22</v>
      </c>
      <c r="C7801" t="str">
        <f>"39"</f>
        <v>39</v>
      </c>
      <c r="D7801" t="str">
        <f>"We Are Undone"</f>
        <v>We Are Undone</v>
      </c>
    </row>
    <row r="7802" spans="1:4" x14ac:dyDescent="0.2">
      <c r="A7802" t="str">
        <f>"7801"</f>
        <v>7801</v>
      </c>
      <c r="B7802" t="str">
        <f>"0.46"</f>
        <v>0.46</v>
      </c>
      <c r="C7802" t="str">
        <f>"33"</f>
        <v>33</v>
      </c>
      <c r="D7802" t="str">
        <f>"All We Are"</f>
        <v>All We Are</v>
      </c>
    </row>
    <row r="7803" spans="1:4" x14ac:dyDescent="0.2">
      <c r="A7803" t="str">
        <f>"7802"</f>
        <v>7802</v>
      </c>
      <c r="B7803" t="str">
        <f>"-0.66"</f>
        <v>-0.66</v>
      </c>
      <c r="C7803" t="str">
        <f>"25"</f>
        <v>25</v>
      </c>
      <c r="D7803" t="str">
        <f>"Sorry 4 the Wait 2"</f>
        <v>Sorry 4 the Wait 2</v>
      </c>
    </row>
    <row r="7804" spans="1:4" x14ac:dyDescent="0.2">
      <c r="A7804" t="str">
        <f>"7803"</f>
        <v>7803</v>
      </c>
      <c r="B7804" t="str">
        <f>"0.28"</f>
        <v>0.28</v>
      </c>
      <c r="C7804" t="str">
        <f>"42"</f>
        <v>42</v>
      </c>
      <c r="D7804" t="str">
        <f>"Reality Show"</f>
        <v>Reality Show</v>
      </c>
    </row>
    <row r="7805" spans="1:4" x14ac:dyDescent="0.2">
      <c r="A7805" t="str">
        <f>"7804"</f>
        <v>7804</v>
      </c>
      <c r="B7805" t="str">
        <f>"0.38"</f>
        <v>0.38</v>
      </c>
      <c r="C7805" t="str">
        <f>"20"</f>
        <v>20</v>
      </c>
      <c r="D7805" t="str">
        <f>"Further/Deeper"</f>
        <v>Further/Deeper</v>
      </c>
    </row>
    <row r="7806" spans="1:4" x14ac:dyDescent="0.2">
      <c r="A7806" t="str">
        <f>"7805"</f>
        <v>7805</v>
      </c>
      <c r="B7806" t="str">
        <f>"-0.57"</f>
        <v>-0.57</v>
      </c>
      <c r="C7806" t="str">
        <f>"30"</f>
        <v>30</v>
      </c>
      <c r="D7806" t="str">
        <f>"Weird Moons"</f>
        <v>Weird Moons</v>
      </c>
    </row>
    <row r="7807" spans="1:4" x14ac:dyDescent="0.2">
      <c r="A7807" t="str">
        <f>"7806"</f>
        <v>7806</v>
      </c>
      <c r="B7807" t="str">
        <f>"0.15"</f>
        <v>0.15</v>
      </c>
      <c r="C7807" t="str">
        <f>"21"</f>
        <v>21</v>
      </c>
      <c r="D7807" t="str">
        <f>"The Cost of Victory"</f>
        <v>The Cost of Victory</v>
      </c>
    </row>
    <row r="7808" spans="1:4" x14ac:dyDescent="0.2">
      <c r="A7808" t="str">
        <f>"7807"</f>
        <v>7807</v>
      </c>
      <c r="B7808" t="str">
        <f>"-0.75"</f>
        <v>-0.75</v>
      </c>
      <c r="C7808" t="str">
        <f>"28"</f>
        <v>28</v>
      </c>
      <c r="D7808" t="str">
        <f>"Beast Mode"</f>
        <v>Beast Mode</v>
      </c>
    </row>
    <row r="7809" spans="1:4" x14ac:dyDescent="0.2">
      <c r="A7809" t="str">
        <f>"7808"</f>
        <v>7808</v>
      </c>
      <c r="B7809" t="str">
        <f>"0.3"</f>
        <v>0.3</v>
      </c>
      <c r="C7809" t="str">
        <f>"32"</f>
        <v>32</v>
      </c>
      <c r="D7809" t="str">
        <f>"Matador"</f>
        <v>Matador</v>
      </c>
    </row>
    <row r="7810" spans="1:4" x14ac:dyDescent="0.2">
      <c r="A7810" t="str">
        <f>"7809"</f>
        <v>7809</v>
      </c>
      <c r="B7810" t="str">
        <f>"-0.51"</f>
        <v>-0.51</v>
      </c>
      <c r="C7810" t="str">
        <f>"28"</f>
        <v>28</v>
      </c>
      <c r="D7810" t="str">
        <f>"Back From the Grave Vol. 9"</f>
        <v>Back From the Grave Vol. 9</v>
      </c>
    </row>
    <row r="7811" spans="1:4" x14ac:dyDescent="0.2">
      <c r="A7811" t="str">
        <f>"7810"</f>
        <v>7810</v>
      </c>
      <c r="B7811" t="str">
        <f>"-0.41"</f>
        <v>-0.41</v>
      </c>
      <c r="C7811" t="str">
        <f>"47"</f>
        <v>47</v>
      </c>
      <c r="D7811" t="str">
        <f>"Tierra Y Libertad"</f>
        <v>Tierra Y Libertad</v>
      </c>
    </row>
    <row r="7812" spans="1:4" x14ac:dyDescent="0.2">
      <c r="A7812" t="str">
        <f>"7811"</f>
        <v>7811</v>
      </c>
      <c r="B7812" t="str">
        <f>"0.55"</f>
        <v>0.55</v>
      </c>
      <c r="C7812" t="str">
        <f>"39"</f>
        <v>39</v>
      </c>
      <c r="D7812" t="str">
        <f>"Xe"</f>
        <v>Xe</v>
      </c>
    </row>
    <row r="7813" spans="1:4" x14ac:dyDescent="0.2">
      <c r="A7813" t="str">
        <f>"7812"</f>
        <v>7812</v>
      </c>
      <c r="B7813" t="str">
        <f>"0.2"</f>
        <v>0.2</v>
      </c>
      <c r="C7813" t="str">
        <f>"46"</f>
        <v>46</v>
      </c>
      <c r="D7813" t="str">
        <f>"On Your Own Love Again"</f>
        <v>On Your Own Love Again</v>
      </c>
    </row>
    <row r="7814" spans="1:4" x14ac:dyDescent="0.2">
      <c r="A7814" t="str">
        <f>"7813"</f>
        <v>7813</v>
      </c>
      <c r="B7814" t="str">
        <f>"0.63"</f>
        <v>0.63</v>
      </c>
      <c r="C7814" t="str">
        <f>"31"</f>
        <v>31</v>
      </c>
      <c r="D7814" t="str">
        <f>"Range Anxiety"</f>
        <v>Range Anxiety</v>
      </c>
    </row>
    <row r="7815" spans="1:4" x14ac:dyDescent="0.2">
      <c r="A7815" t="str">
        <f>"7814"</f>
        <v>7814</v>
      </c>
      <c r="B7815" t="str">
        <f>"0.22"</f>
        <v>0.22</v>
      </c>
      <c r="C7815" t="str">
        <f>"22"</f>
        <v>22</v>
      </c>
      <c r="D7815" t="str">
        <f>"Part 8 EP"</f>
        <v>Part 8 EP</v>
      </c>
    </row>
    <row r="7816" spans="1:4" x14ac:dyDescent="0.2">
      <c r="A7816" t="str">
        <f>"7815"</f>
        <v>7815</v>
      </c>
      <c r="B7816" t="str">
        <f>"0.11"</f>
        <v>0.11</v>
      </c>
      <c r="C7816" t="str">
        <f>"28"</f>
        <v>28</v>
      </c>
      <c r="D7816" t="str">
        <f>"Apex Predator - Easy Meat"</f>
        <v>Apex Predator - Easy Meat</v>
      </c>
    </row>
    <row r="7817" spans="1:4" x14ac:dyDescent="0.2">
      <c r="A7817" t="str">
        <f>"7816"</f>
        <v>7816</v>
      </c>
      <c r="B7817" t="str">
        <f>"-0.53"</f>
        <v>-0.53</v>
      </c>
      <c r="C7817" t="str">
        <f>"55"</f>
        <v>55</v>
      </c>
      <c r="D7817" t="str">
        <f>"Miscontinuum Album"</f>
        <v>Miscontinuum Album</v>
      </c>
    </row>
    <row r="7818" spans="1:4" x14ac:dyDescent="0.2">
      <c r="A7818" t="str">
        <f>"7817"</f>
        <v>7817</v>
      </c>
      <c r="B7818" t="str">
        <f>"1.13"</f>
        <v>1.13</v>
      </c>
      <c r="C7818" t="str">
        <f>"27"</f>
        <v>27</v>
      </c>
      <c r="D7818" t="str">
        <f>"Computer Controlled Acoustic Instruments pt2 EP"</f>
        <v>Computer Controlled Acoustic Instruments pt2 EP</v>
      </c>
    </row>
    <row r="7819" spans="1:4" x14ac:dyDescent="0.2">
      <c r="A7819" t="str">
        <f>"7818"</f>
        <v>7818</v>
      </c>
      <c r="B7819" t="str">
        <f>"-0.75"</f>
        <v>-0.75</v>
      </c>
      <c r="C7819" t="str">
        <f>"26"</f>
        <v>26</v>
      </c>
      <c r="D7819" t="str">
        <f>"All Hands"</f>
        <v>All Hands</v>
      </c>
    </row>
    <row r="7820" spans="1:4" x14ac:dyDescent="0.2">
      <c r="A7820" t="str">
        <f>"7819"</f>
        <v>7819</v>
      </c>
      <c r="B7820" t="str">
        <f>"-0.99"</f>
        <v>-0.99</v>
      </c>
      <c r="C7820" t="str">
        <f>"42"</f>
        <v>42</v>
      </c>
      <c r="D7820" t="s">
        <v>272</v>
      </c>
    </row>
    <row r="7821" spans="1:4" x14ac:dyDescent="0.2">
      <c r="A7821" t="str">
        <f>"7820"</f>
        <v>7820</v>
      </c>
      <c r="B7821" t="str">
        <f>"-0.87"</f>
        <v>-0.87</v>
      </c>
      <c r="C7821" t="str">
        <f>"29"</f>
        <v>29</v>
      </c>
      <c r="D7821" t="str">
        <f>"Mansion Songs"</f>
        <v>Mansion Songs</v>
      </c>
    </row>
    <row r="7822" spans="1:4" x14ac:dyDescent="0.2">
      <c r="A7822" t="str">
        <f>"7821"</f>
        <v>7821</v>
      </c>
      <c r="B7822" t="str">
        <f>"1.63"</f>
        <v>1.63</v>
      </c>
      <c r="C7822" t="str">
        <f>"20"</f>
        <v>20</v>
      </c>
      <c r="D7822" t="str">
        <f>"Antico Adagio"</f>
        <v>Antico Adagio</v>
      </c>
    </row>
    <row r="7823" spans="1:4" x14ac:dyDescent="0.2">
      <c r="A7823" t="str">
        <f>"7822"</f>
        <v>7822</v>
      </c>
      <c r="B7823" t="str">
        <f>"-0.01"</f>
        <v>-0.01</v>
      </c>
      <c r="C7823" t="str">
        <f>"38"</f>
        <v>38</v>
      </c>
      <c r="D7823" t="str">
        <f>"Natalie Prass"</f>
        <v>Natalie Prass</v>
      </c>
    </row>
    <row r="7824" spans="1:4" x14ac:dyDescent="0.2">
      <c r="A7824" t="str">
        <f>"7823"</f>
        <v>7823</v>
      </c>
      <c r="B7824" t="str">
        <f>"0.22"</f>
        <v>0.22</v>
      </c>
      <c r="C7824" t="str">
        <f>"23"</f>
        <v>23</v>
      </c>
      <c r="D7824" t="str">
        <f>"No One Is $afe"</f>
        <v>No One Is $afe</v>
      </c>
    </row>
    <row r="7825" spans="1:4" x14ac:dyDescent="0.2">
      <c r="A7825" t="str">
        <f>"7824"</f>
        <v>7824</v>
      </c>
      <c r="B7825" t="str">
        <f>"0.45"</f>
        <v>0.45</v>
      </c>
      <c r="C7825" t="str">
        <f>"26"</f>
        <v>26</v>
      </c>
      <c r="D7825" t="str">
        <f>"Alasdair Roberts"</f>
        <v>Alasdair Roberts</v>
      </c>
    </row>
    <row r="7826" spans="1:4" x14ac:dyDescent="0.2">
      <c r="A7826" t="str">
        <f>"7825"</f>
        <v>7825</v>
      </c>
      <c r="B7826" t="str">
        <f>"0.05"</f>
        <v>0.05</v>
      </c>
      <c r="C7826" t="str">
        <f>"64"</f>
        <v>64</v>
      </c>
      <c r="D7826" t="str">
        <f>"Collected #1"</f>
        <v>Collected #1</v>
      </c>
    </row>
    <row r="7827" spans="1:4" x14ac:dyDescent="0.2">
      <c r="A7827" t="str">
        <f>"7826"</f>
        <v>7826</v>
      </c>
      <c r="B7827" t="str">
        <f>"-0.38"</f>
        <v>-0.38</v>
      </c>
      <c r="C7827" t="str">
        <f>"18"</f>
        <v>18</v>
      </c>
      <c r="D7827" t="str">
        <f>"Seltzer"</f>
        <v>Seltzer</v>
      </c>
    </row>
    <row r="7828" spans="1:4" x14ac:dyDescent="0.2">
      <c r="A7828" t="str">
        <f>"7827"</f>
        <v>7827</v>
      </c>
      <c r="B7828" t="str">
        <f>"0.31"</f>
        <v>0.31</v>
      </c>
      <c r="C7828" t="str">
        <f>"41"</f>
        <v>41</v>
      </c>
      <c r="D7828" t="str">
        <f>"Vulnicura"</f>
        <v>Vulnicura</v>
      </c>
    </row>
    <row r="7829" spans="1:4" x14ac:dyDescent="0.2">
      <c r="A7829" t="str">
        <f>"7828"</f>
        <v>7828</v>
      </c>
      <c r="B7829" t="str">
        <f>"0.17"</f>
        <v>0.17</v>
      </c>
      <c r="C7829" t="str">
        <f>"29"</f>
        <v>29</v>
      </c>
      <c r="D7829" t="str">
        <f>"The King of Anxiety EP"</f>
        <v>The King of Anxiety EP</v>
      </c>
    </row>
    <row r="7830" spans="1:4" x14ac:dyDescent="0.2">
      <c r="A7830" t="str">
        <f>"7829"</f>
        <v>7829</v>
      </c>
      <c r="B7830" t="str">
        <f>"0.09"</f>
        <v>0.09</v>
      </c>
      <c r="C7830" t="str">
        <f>"28"</f>
        <v>28</v>
      </c>
      <c r="D7830" t="str">
        <f>"The Planet EP"</f>
        <v>The Planet EP</v>
      </c>
    </row>
    <row r="7831" spans="1:4" x14ac:dyDescent="0.2">
      <c r="A7831" t="str">
        <f>"7830"</f>
        <v>7830</v>
      </c>
      <c r="B7831" t="str">
        <f>"-0.23"</f>
        <v>-0.23</v>
      </c>
      <c r="C7831" t="str">
        <f>"42"</f>
        <v>42</v>
      </c>
      <c r="D7831" t="str">
        <f>"Phantom Delia EP"</f>
        <v>Phantom Delia EP</v>
      </c>
    </row>
    <row r="7832" spans="1:4" x14ac:dyDescent="0.2">
      <c r="A7832" t="str">
        <f>"7831"</f>
        <v>7831</v>
      </c>
      <c r="B7832" t="str">
        <f>"-0.84"</f>
        <v>-0.84</v>
      </c>
      <c r="C7832" t="str">
        <f>"24"</f>
        <v>24</v>
      </c>
      <c r="D7832" t="str">
        <f>"Ratworld"</f>
        <v>Ratworld</v>
      </c>
    </row>
    <row r="7833" spans="1:4" x14ac:dyDescent="0.2">
      <c r="A7833" t="str">
        <f>"7832"</f>
        <v>7832</v>
      </c>
      <c r="B7833" t="str">
        <f>"0.07"</f>
        <v>0.07</v>
      </c>
      <c r="C7833" t="str">
        <f>"59"</f>
        <v>59</v>
      </c>
      <c r="D7833" t="str">
        <f>"Viet Cong"</f>
        <v>Viet Cong</v>
      </c>
    </row>
    <row r="7834" spans="1:4" x14ac:dyDescent="0.2">
      <c r="A7834" t="str">
        <f>"7833"</f>
        <v>7833</v>
      </c>
      <c r="B7834" t="str">
        <f>"-0.28"</f>
        <v>-0.28</v>
      </c>
      <c r="C7834" t="str">
        <f>"50"</f>
        <v>50</v>
      </c>
      <c r="D7834" t="str">
        <f>"Tetsuo &amp; Youth"</f>
        <v>Tetsuo &amp; Youth</v>
      </c>
    </row>
    <row r="7835" spans="1:4" x14ac:dyDescent="0.2">
      <c r="A7835" t="str">
        <f>"7834"</f>
        <v>7834</v>
      </c>
      <c r="B7835" t="str">
        <f>"1.11"</f>
        <v>1.11</v>
      </c>
      <c r="C7835" t="str">
        <f>"51"</f>
        <v>51</v>
      </c>
      <c r="D7835" t="s">
        <v>273</v>
      </c>
    </row>
    <row r="7836" spans="1:4" x14ac:dyDescent="0.2">
      <c r="A7836" t="str">
        <f>"7835"</f>
        <v>7835</v>
      </c>
      <c r="B7836" t="str">
        <f>"0.07"</f>
        <v>0.07</v>
      </c>
      <c r="C7836" t="str">
        <f>"42"</f>
        <v>42</v>
      </c>
      <c r="D7836" t="str">
        <f>"Runners in the Nerved World"</f>
        <v>Runners in the Nerved World</v>
      </c>
    </row>
    <row r="7837" spans="1:4" x14ac:dyDescent="0.2">
      <c r="A7837" t="str">
        <f>"7836"</f>
        <v>7836</v>
      </c>
      <c r="B7837" t="str">
        <f>"-0.72"</f>
        <v>-0.72</v>
      </c>
      <c r="C7837" t="str">
        <f>"35"</f>
        <v>35</v>
      </c>
      <c r="D7837" t="str">
        <f>"Final Fantasy"</f>
        <v>Final Fantasy</v>
      </c>
    </row>
    <row r="7838" spans="1:4" x14ac:dyDescent="0.2">
      <c r="A7838" t="str">
        <f>"7837"</f>
        <v>7837</v>
      </c>
      <c r="B7838" t="str">
        <f>"0.64"</f>
        <v>0.64</v>
      </c>
      <c r="C7838" t="str">
        <f>"53"</f>
        <v>53</v>
      </c>
      <c r="D7838" t="str">
        <f>"Girls in Peacetime Want to Dance"</f>
        <v>Girls in Peacetime Want to Dance</v>
      </c>
    </row>
    <row r="7839" spans="1:4" x14ac:dyDescent="0.2">
      <c r="A7839" t="str">
        <f>"7838"</f>
        <v>7838</v>
      </c>
      <c r="B7839" t="str">
        <f>"-1.38"</f>
        <v>-1.38</v>
      </c>
      <c r="C7839" t="str">
        <f>"32"</f>
        <v>32</v>
      </c>
      <c r="D7839" t="str">
        <f>"Uptown Special"</f>
        <v>Uptown Special</v>
      </c>
    </row>
    <row r="7840" spans="1:4" x14ac:dyDescent="0.2">
      <c r="A7840" t="str">
        <f>"7839"</f>
        <v>7839</v>
      </c>
      <c r="B7840" t="str">
        <f>"-0.23"</f>
        <v>-0.23</v>
      </c>
      <c r="C7840" t="str">
        <f>"24"</f>
        <v>24</v>
      </c>
      <c r="D7840" t="str">
        <f>"Lost Weekend"</f>
        <v>Lost Weekend</v>
      </c>
    </row>
    <row r="7841" spans="1:4" x14ac:dyDescent="0.2">
      <c r="A7841" t="str">
        <f>"7840"</f>
        <v>7840</v>
      </c>
      <c r="B7841" t="str">
        <f>"-0.42"</f>
        <v>-0.42</v>
      </c>
      <c r="C7841" t="str">
        <f>"32"</f>
        <v>32</v>
      </c>
      <c r="D7841" t="str">
        <f>"Where in Our Woods"</f>
        <v>Where in Our Woods</v>
      </c>
    </row>
    <row r="7842" spans="1:4" x14ac:dyDescent="0.2">
      <c r="A7842" t="str">
        <f>"7841"</f>
        <v>7841</v>
      </c>
      <c r="B7842" t="str">
        <f>"-0.67"</f>
        <v>-0.67</v>
      </c>
      <c r="C7842" t="str">
        <f>"38"</f>
        <v>38</v>
      </c>
      <c r="D7842" t="str">
        <f>"Further Out"</f>
        <v>Further Out</v>
      </c>
    </row>
    <row r="7843" spans="1:4" x14ac:dyDescent="0.2">
      <c r="A7843" t="str">
        <f>"7842"</f>
        <v>7842</v>
      </c>
      <c r="B7843" t="str">
        <f>"0.05"</f>
        <v>0.05</v>
      </c>
      <c r="C7843" t="str">
        <f>"52"</f>
        <v>52</v>
      </c>
      <c r="D7843" t="str">
        <f>"No Cities to Love"</f>
        <v>No Cities to Love</v>
      </c>
    </row>
    <row r="7844" spans="1:4" x14ac:dyDescent="0.2">
      <c r="A7844" t="str">
        <f>"7843"</f>
        <v>7843</v>
      </c>
      <c r="B7844" t="str">
        <f>"1.23"</f>
        <v>1.23</v>
      </c>
      <c r="C7844" t="str">
        <f>"22"</f>
        <v>22</v>
      </c>
      <c r="D7844" t="str">
        <f>"Nights in the Dark"</f>
        <v>Nights in the Dark</v>
      </c>
    </row>
    <row r="7845" spans="1:4" x14ac:dyDescent="0.2">
      <c r="A7845" t="str">
        <f>"7844"</f>
        <v>7844</v>
      </c>
      <c r="B7845" t="str">
        <f>"0"</f>
        <v>0</v>
      </c>
      <c r="C7845" t="str">
        <f>"22"</f>
        <v>22</v>
      </c>
      <c r="D7845" t="str">
        <f>"Slurrup"</f>
        <v>Slurrup</v>
      </c>
    </row>
    <row r="7846" spans="1:4" x14ac:dyDescent="0.2">
      <c r="A7846" t="str">
        <f>"7845"</f>
        <v>7845</v>
      </c>
      <c r="B7846" t="str">
        <f>"0.36"</f>
        <v>0.36</v>
      </c>
      <c r="C7846" t="str">
        <f>"32"</f>
        <v>32</v>
      </c>
      <c r="D7846" t="str">
        <f>"Lawd Forgive Me"</f>
        <v>Lawd Forgive Me</v>
      </c>
    </row>
    <row r="7847" spans="1:4" x14ac:dyDescent="0.2">
      <c r="A7847" t="str">
        <f>"7846"</f>
        <v>7846</v>
      </c>
      <c r="B7847" t="str">
        <f>"-0.1"</f>
        <v>-0.1</v>
      </c>
      <c r="C7847" t="str">
        <f>"27"</f>
        <v>27</v>
      </c>
      <c r="D7847" t="str">
        <f>"Season"</f>
        <v>Season</v>
      </c>
    </row>
    <row r="7848" spans="1:4" x14ac:dyDescent="0.2">
      <c r="A7848" t="str">
        <f>"7847"</f>
        <v>7847</v>
      </c>
      <c r="B7848" t="str">
        <f>"0.69"</f>
        <v>0.69</v>
      </c>
      <c r="C7848" t="str">
        <f>"44"</f>
        <v>44</v>
      </c>
      <c r="D7848" t="s">
        <v>274</v>
      </c>
    </row>
    <row r="7849" spans="1:4" x14ac:dyDescent="0.2">
      <c r="A7849" t="str">
        <f>"7848"</f>
        <v>7848</v>
      </c>
      <c r="B7849" t="str">
        <f>"0.21"</f>
        <v>0.21</v>
      </c>
      <c r="C7849" t="str">
        <f>"29"</f>
        <v>29</v>
      </c>
      <c r="D7849" t="str">
        <f>"Individ"</f>
        <v>Individ</v>
      </c>
    </row>
    <row r="7850" spans="1:4" x14ac:dyDescent="0.2">
      <c r="A7850" t="str">
        <f>"7849"</f>
        <v>7849</v>
      </c>
      <c r="B7850" t="str">
        <f>"1.39"</f>
        <v>1.39</v>
      </c>
      <c r="C7850" t="str">
        <f>"29"</f>
        <v>29</v>
      </c>
      <c r="D7850" t="str">
        <f>"Cowboy Worship EP"</f>
        <v>Cowboy Worship EP</v>
      </c>
    </row>
    <row r="7851" spans="1:4" x14ac:dyDescent="0.2">
      <c r="A7851" t="str">
        <f>"7850"</f>
        <v>7850</v>
      </c>
      <c r="B7851" t="str">
        <f>"-0.97"</f>
        <v>-0.97</v>
      </c>
      <c r="C7851" t="str">
        <f>"39"</f>
        <v>39</v>
      </c>
      <c r="D7851" t="str">
        <f>"Irreal"</f>
        <v>Irreal</v>
      </c>
    </row>
    <row r="7852" spans="1:4" x14ac:dyDescent="0.2">
      <c r="A7852" t="str">
        <f>"7851"</f>
        <v>7851</v>
      </c>
      <c r="B7852" t="str">
        <f>"0.43"</f>
        <v>0.43</v>
      </c>
      <c r="C7852" t="str">
        <f>"27"</f>
        <v>27</v>
      </c>
      <c r="D7852" t="str">
        <f>"Euclid"</f>
        <v>Euclid</v>
      </c>
    </row>
    <row r="7853" spans="1:4" x14ac:dyDescent="0.2">
      <c r="A7853" t="str">
        <f>"7852"</f>
        <v>7852</v>
      </c>
      <c r="B7853" t="str">
        <f>"0.63"</f>
        <v>0.63</v>
      </c>
      <c r="C7853" t="str">
        <f>"17"</f>
        <v>17</v>
      </c>
      <c r="D7853" t="str">
        <f>"SremmLife"</f>
        <v>SremmLife</v>
      </c>
    </row>
    <row r="7854" spans="1:4" x14ac:dyDescent="0.2">
      <c r="A7854" t="str">
        <f>"7853"</f>
        <v>7853</v>
      </c>
      <c r="B7854" t="str">
        <f>"0.06"</f>
        <v>0.06</v>
      </c>
      <c r="C7854" t="str">
        <f>"44"</f>
        <v>44</v>
      </c>
      <c r="D7854" t="str">
        <f>"Blackheart"</f>
        <v>Blackheart</v>
      </c>
    </row>
    <row r="7855" spans="1:4" x14ac:dyDescent="0.2">
      <c r="A7855" t="str">
        <f>"7854"</f>
        <v>7854</v>
      </c>
      <c r="B7855" t="str">
        <f>"0.83"</f>
        <v>0.83</v>
      </c>
      <c r="C7855" t="str">
        <f>"37"</f>
        <v>37</v>
      </c>
      <c r="D7855" t="str">
        <f>"Ransom"</f>
        <v>Ransom</v>
      </c>
    </row>
    <row r="7856" spans="1:4" x14ac:dyDescent="0.2">
      <c r="A7856" t="str">
        <f>"7855"</f>
        <v>7855</v>
      </c>
      <c r="B7856" t="str">
        <f>"0.93"</f>
        <v>0.93</v>
      </c>
      <c r="C7856" t="str">
        <f>"20"</f>
        <v>20</v>
      </c>
      <c r="D7856" t="str">
        <f>"Cosmic Vibrations"</f>
        <v>Cosmic Vibrations</v>
      </c>
    </row>
    <row r="7857" spans="1:4" x14ac:dyDescent="0.2">
      <c r="A7857" t="str">
        <f>"7856"</f>
        <v>7856</v>
      </c>
      <c r="B7857" t="str">
        <f>"-0.26"</f>
        <v>-0.26</v>
      </c>
      <c r="C7857" t="str">
        <f>"28"</f>
        <v>28</v>
      </c>
      <c r="D7857" t="str">
        <f>"The Dead of the World"</f>
        <v>The Dead of the World</v>
      </c>
    </row>
    <row r="7858" spans="1:4" x14ac:dyDescent="0.2">
      <c r="A7858" t="str">
        <f>"7857"</f>
        <v>7857</v>
      </c>
      <c r="B7858" t="str">
        <f>"1.03"</f>
        <v>1.03</v>
      </c>
      <c r="C7858" t="str">
        <f>"31"</f>
        <v>31</v>
      </c>
      <c r="D7858" t="str">
        <f>"Mr. Face EP"</f>
        <v>Mr. Face EP</v>
      </c>
    </row>
    <row r="7859" spans="1:4" x14ac:dyDescent="0.2">
      <c r="A7859" t="str">
        <f>"7858"</f>
        <v>7858</v>
      </c>
      <c r="B7859" t="str">
        <f>"0.56"</f>
        <v>0.56</v>
      </c>
      <c r="C7859" t="str">
        <f>"39"</f>
        <v>39</v>
      </c>
      <c r="D7859" t="str">
        <f>"Sunset Mountain"</f>
        <v>Sunset Mountain</v>
      </c>
    </row>
    <row r="7860" spans="1:4" x14ac:dyDescent="0.2">
      <c r="A7860" t="str">
        <f>"7859"</f>
        <v>7859</v>
      </c>
      <c r="B7860" t="str">
        <f>"1.35"</f>
        <v>1.35</v>
      </c>
      <c r="C7860" t="str">
        <f>"24"</f>
        <v>24</v>
      </c>
      <c r="D7860" t="str">
        <f>"Unmoored by the Wind"</f>
        <v>Unmoored by the Wind</v>
      </c>
    </row>
    <row r="7861" spans="1:4" x14ac:dyDescent="0.2">
      <c r="A7861" t="str">
        <f>"7860"</f>
        <v>7860</v>
      </c>
      <c r="B7861" t="str">
        <f>"-0.65"</f>
        <v>-0.65</v>
      </c>
      <c r="C7861" t="str">
        <f>"24"</f>
        <v>24</v>
      </c>
      <c r="D7861" t="str">
        <f>"Money Train"</f>
        <v>Money Train</v>
      </c>
    </row>
    <row r="7862" spans="1:4" x14ac:dyDescent="0.2">
      <c r="A7862" t="str">
        <f>"7861"</f>
        <v>7861</v>
      </c>
      <c r="B7862" t="str">
        <f>"0.79"</f>
        <v>0.79</v>
      </c>
      <c r="C7862" t="str">
        <f>"32"</f>
        <v>32</v>
      </c>
      <c r="D7862" t="str">
        <f>"There's a Star Above the Manger Tonight"</f>
        <v>There's a Star Above the Manger Tonight</v>
      </c>
    </row>
    <row r="7863" spans="1:4" x14ac:dyDescent="0.2">
      <c r="A7863" t="str">
        <f>"7862"</f>
        <v>7862</v>
      </c>
      <c r="B7863" t="str">
        <f>"-0.2"</f>
        <v>-0.2</v>
      </c>
      <c r="C7863" t="str">
        <f>"37"</f>
        <v>37</v>
      </c>
      <c r="D7863" t="str">
        <f>"Remixes Made With Tennis Data"</f>
        <v>Remixes Made With Tennis Data</v>
      </c>
    </row>
    <row r="7864" spans="1:4" x14ac:dyDescent="0.2">
      <c r="A7864" t="str">
        <f>"7863"</f>
        <v>7863</v>
      </c>
      <c r="B7864" t="str">
        <f>"1.06"</f>
        <v>1.06</v>
      </c>
      <c r="C7864" t="str">
        <f>"32"</f>
        <v>32</v>
      </c>
      <c r="D7864" t="str">
        <f>"Meditation"</f>
        <v>Meditation</v>
      </c>
    </row>
    <row r="7865" spans="1:4" x14ac:dyDescent="0.2">
      <c r="A7865" t="str">
        <f>"7864"</f>
        <v>7864</v>
      </c>
      <c r="B7865" t="str">
        <f>"0.46"</f>
        <v>0.46</v>
      </c>
      <c r="C7865" t="str">
        <f>"35"</f>
        <v>35</v>
      </c>
      <c r="D7865" t="str">
        <f>"Clouds"</f>
        <v>Clouds</v>
      </c>
    </row>
    <row r="7866" spans="1:4" x14ac:dyDescent="0.2">
      <c r="A7866" t="str">
        <f>"7865"</f>
        <v>7865</v>
      </c>
      <c r="B7866" t="str">
        <f>"-1.24"</f>
        <v>-1.24</v>
      </c>
      <c r="C7866" t="str">
        <f>"20"</f>
        <v>20</v>
      </c>
      <c r="D7866" t="str">
        <f>"Preacher's Son"</f>
        <v>Preacher's Son</v>
      </c>
    </row>
    <row r="7867" spans="1:4" x14ac:dyDescent="0.2">
      <c r="A7867" t="str">
        <f>"7866"</f>
        <v>7866</v>
      </c>
      <c r="B7867" t="str">
        <f>"0.49"</f>
        <v>0.49</v>
      </c>
      <c r="C7867" t="str">
        <f>"33"</f>
        <v>33</v>
      </c>
      <c r="D7867" t="str">
        <f>"Dreams and Images"</f>
        <v>Dreams and Images</v>
      </c>
    </row>
    <row r="7868" spans="1:4" x14ac:dyDescent="0.2">
      <c r="A7868" t="str">
        <f>"7867"</f>
        <v>7867</v>
      </c>
      <c r="B7868" t="str">
        <f>"-0.64"</f>
        <v>-0.64</v>
      </c>
      <c r="C7868" t="str">
        <f>"25"</f>
        <v>25</v>
      </c>
      <c r="D7868" t="str">
        <f>"Fashion Week"</f>
        <v>Fashion Week</v>
      </c>
    </row>
    <row r="7869" spans="1:4" x14ac:dyDescent="0.2">
      <c r="A7869" t="str">
        <f>"7868"</f>
        <v>7868</v>
      </c>
      <c r="B7869" t="str">
        <f>"-0.08"</f>
        <v>-0.08</v>
      </c>
      <c r="C7869" t="str">
        <f>"34"</f>
        <v>34</v>
      </c>
      <c r="D7869" t="str">
        <f>"Luca Brasi 2"</f>
        <v>Luca Brasi 2</v>
      </c>
    </row>
    <row r="7870" spans="1:4" x14ac:dyDescent="0.2">
      <c r="A7870" t="str">
        <f>"7869"</f>
        <v>7869</v>
      </c>
      <c r="B7870" t="str">
        <f>"0.1"</f>
        <v>0.1</v>
      </c>
      <c r="C7870" t="str">
        <f>"39"</f>
        <v>39</v>
      </c>
      <c r="D7870" t="str">
        <f>"Ghost Culture"</f>
        <v>Ghost Culture</v>
      </c>
    </row>
    <row r="7871" spans="1:4" x14ac:dyDescent="0.2">
      <c r="A7871" t="str">
        <f>"7870"</f>
        <v>7870</v>
      </c>
      <c r="B7871" t="str">
        <f>"0.48"</f>
        <v>0.48</v>
      </c>
      <c r="C7871" t="str">
        <f>"26"</f>
        <v>26</v>
      </c>
      <c r="D7871" t="str">
        <f>"From Out Here"</f>
        <v>From Out Here</v>
      </c>
    </row>
    <row r="7872" spans="1:4" x14ac:dyDescent="0.2">
      <c r="A7872" t="str">
        <f>"7871"</f>
        <v>7871</v>
      </c>
      <c r="B7872" t="str">
        <f>"-0.93"</f>
        <v>-0.93</v>
      </c>
      <c r="C7872" t="str">
        <f>"34"</f>
        <v>34</v>
      </c>
      <c r="D7872" t="str">
        <f>"Celebrating the Music of Inside Llewyn Davis"</f>
        <v>Celebrating the Music of Inside Llewyn Davis</v>
      </c>
    </row>
    <row r="7873" spans="1:4" x14ac:dyDescent="0.2">
      <c r="A7873" t="str">
        <f>"7872"</f>
        <v>7872</v>
      </c>
      <c r="B7873" t="str">
        <f>"-0.31"</f>
        <v>-0.31</v>
      </c>
      <c r="C7873" t="str">
        <f>"44"</f>
        <v>44</v>
      </c>
      <c r="D7873" t="str">
        <f>"Panda Bear Meets the Grim Reaper"</f>
        <v>Panda Bear Meets the Grim Reaper</v>
      </c>
    </row>
    <row r="7874" spans="1:4" x14ac:dyDescent="0.2">
      <c r="A7874" t="str">
        <f>"7873"</f>
        <v>7873</v>
      </c>
      <c r="B7874" t="str">
        <f>"0.21"</f>
        <v>0.21</v>
      </c>
      <c r="C7874" t="str">
        <f>"20"</f>
        <v>20</v>
      </c>
      <c r="D7874" t="str">
        <f>"Inherent Vice OST"</f>
        <v>Inherent Vice OST</v>
      </c>
    </row>
    <row r="7875" spans="1:4" x14ac:dyDescent="0.2">
      <c r="A7875" t="str">
        <f>"7874"</f>
        <v>7874</v>
      </c>
      <c r="B7875" t="str">
        <f>"-0.28"</f>
        <v>-0.28</v>
      </c>
      <c r="C7875" t="str">
        <f>"73"</f>
        <v>73</v>
      </c>
      <c r="D7875" t="str">
        <f>"Nobody"</f>
        <v>Nobody</v>
      </c>
    </row>
    <row r="7876" spans="1:4" x14ac:dyDescent="0.2">
      <c r="A7876" t="str">
        <f>"7875"</f>
        <v>7875</v>
      </c>
      <c r="B7876" t="str">
        <f>"0.08"</f>
        <v>0.08</v>
      </c>
      <c r="C7876" t="str">
        <f>"25"</f>
        <v>25</v>
      </c>
      <c r="D7876" t="str">
        <f>"Breaking EP"</f>
        <v>Breaking EP</v>
      </c>
    </row>
    <row r="7877" spans="1:4" x14ac:dyDescent="0.2">
      <c r="A7877" t="str">
        <f>"7876"</f>
        <v>7876</v>
      </c>
      <c r="B7877" t="str">
        <f>"-0.08"</f>
        <v>-0.08</v>
      </c>
      <c r="C7877" t="str">
        <f>"35"</f>
        <v>35</v>
      </c>
      <c r="D7877" t="str">
        <f>"Brian Chippendale &amp; Greg Saunier"</f>
        <v>Brian Chippendale &amp; Greg Saunier</v>
      </c>
    </row>
    <row r="7878" spans="1:4" x14ac:dyDescent="0.2">
      <c r="A7878" t="str">
        <f>"7877"</f>
        <v>7877</v>
      </c>
      <c r="B7878" t="str">
        <f>"-0.51"</f>
        <v>-0.51</v>
      </c>
      <c r="C7878" t="str">
        <f>"45"</f>
        <v>45</v>
      </c>
      <c r="D7878" t="str">
        <f>"Black Messiah"</f>
        <v>Black Messiah</v>
      </c>
    </row>
    <row r="7879" spans="1:4" x14ac:dyDescent="0.2">
      <c r="A7879" t="str">
        <f>"7878"</f>
        <v>7878</v>
      </c>
      <c r="B7879" t="str">
        <f>"-0.69"</f>
        <v>-0.69</v>
      </c>
      <c r="C7879" t="str">
        <f>"103"</f>
        <v>103</v>
      </c>
      <c r="D7879" t="str">
        <f>"The Pinkprint"</f>
        <v>The Pinkprint</v>
      </c>
    </row>
    <row r="7880" spans="1:4" x14ac:dyDescent="0.2">
      <c r="A7880" t="str">
        <f>"7879"</f>
        <v>7879</v>
      </c>
      <c r="B7880" t="str">
        <f>"-0.04"</f>
        <v>-0.04</v>
      </c>
      <c r="C7880" t="str">
        <f>"48"</f>
        <v>48</v>
      </c>
      <c r="D7880" t="str">
        <f>"Sucker"</f>
        <v>Sucker</v>
      </c>
    </row>
    <row r="7881" spans="1:4" x14ac:dyDescent="0.2">
      <c r="A7881" t="str">
        <f>"7880"</f>
        <v>7880</v>
      </c>
      <c r="B7881" t="str">
        <f>"-0.24"</f>
        <v>-0.24</v>
      </c>
      <c r="C7881" t="str">
        <f>"45"</f>
        <v>45</v>
      </c>
      <c r="D7881" t="str">
        <f>"American Intelligence"</f>
        <v>American Intelligence</v>
      </c>
    </row>
    <row r="7882" spans="1:4" x14ac:dyDescent="0.2">
      <c r="A7882" t="str">
        <f>"7881"</f>
        <v>7881</v>
      </c>
      <c r="B7882" t="str">
        <f>"0.3"</f>
        <v>0.3</v>
      </c>
      <c r="C7882" t="str">
        <f>"80"</f>
        <v>80</v>
      </c>
      <c r="D7882" t="s">
        <v>275</v>
      </c>
    </row>
    <row r="7883" spans="1:4" x14ac:dyDescent="0.2">
      <c r="A7883" t="str">
        <f>"7882"</f>
        <v>7882</v>
      </c>
      <c r="B7883" t="str">
        <f>"0.77"</f>
        <v>0.77</v>
      </c>
      <c r="C7883" t="str">
        <f>"75"</f>
        <v>75</v>
      </c>
      <c r="D7883" t="str">
        <f>"Box Set"</f>
        <v>Box Set</v>
      </c>
    </row>
    <row r="7884" spans="1:4" x14ac:dyDescent="0.2">
      <c r="A7884" t="str">
        <f>"7883"</f>
        <v>7883</v>
      </c>
      <c r="B7884" t="str">
        <f>"-0.09"</f>
        <v>-0.09</v>
      </c>
      <c r="C7884" t="str">
        <f>"22"</f>
        <v>22</v>
      </c>
      <c r="D7884" t="str">
        <f>"Disconnected Words Connect the Worlds"</f>
        <v>Disconnected Words Connect the Worlds</v>
      </c>
    </row>
    <row r="7885" spans="1:4" x14ac:dyDescent="0.2">
      <c r="A7885" t="str">
        <f>"7884"</f>
        <v>7884</v>
      </c>
      <c r="B7885" t="str">
        <f>"0.54"</f>
        <v>0.54</v>
      </c>
      <c r="C7885" t="str">
        <f>"36"</f>
        <v>36</v>
      </c>
      <c r="D7885" t="str">
        <f>"2014 Forest Hills Drive"</f>
        <v>2014 Forest Hills Drive</v>
      </c>
    </row>
    <row r="7886" spans="1:4" x14ac:dyDescent="0.2">
      <c r="A7886" t="str">
        <f>"7885"</f>
        <v>7885</v>
      </c>
      <c r="B7886" t="str">
        <f>"0.26"</f>
        <v>0.26</v>
      </c>
      <c r="C7886" t="str">
        <f>"23"</f>
        <v>23</v>
      </c>
      <c r="D7886" t="str">
        <f>"V A R I A N T EP"</f>
        <v>V A R I A N T EP</v>
      </c>
    </row>
    <row r="7887" spans="1:4" x14ac:dyDescent="0.2">
      <c r="A7887" t="str">
        <f>"7886"</f>
        <v>7886</v>
      </c>
      <c r="B7887" t="str">
        <f>"-0.82"</f>
        <v>-0.82</v>
      </c>
      <c r="C7887" t="str">
        <f>"25"</f>
        <v>25</v>
      </c>
      <c r="D7887" t="str">
        <f>"Ferg Forever"</f>
        <v>Ferg Forever</v>
      </c>
    </row>
    <row r="7888" spans="1:4" x14ac:dyDescent="0.2">
      <c r="A7888" t="str">
        <f>"7887"</f>
        <v>7887</v>
      </c>
      <c r="B7888" t="str">
        <f>"0.39"</f>
        <v>0.39</v>
      </c>
      <c r="C7888" t="str">
        <f>"27"</f>
        <v>27</v>
      </c>
      <c r="D7888" t="str">
        <f>"Law 3: Now or Never"</f>
        <v>Law 3: Now or Never</v>
      </c>
    </row>
    <row r="7889" spans="1:4" x14ac:dyDescent="0.2">
      <c r="A7889" t="str">
        <f>"7888"</f>
        <v>7888</v>
      </c>
      <c r="B7889" t="str">
        <f>"-0.29"</f>
        <v>-0.29</v>
      </c>
      <c r="C7889" t="str">
        <f>"45"</f>
        <v>45</v>
      </c>
      <c r="D7889" t="str">
        <f>"Ciphers + Axioms"</f>
        <v>Ciphers + Axioms</v>
      </c>
    </row>
    <row r="7890" spans="1:4" x14ac:dyDescent="0.2">
      <c r="A7890" t="str">
        <f>"7889"</f>
        <v>7889</v>
      </c>
      <c r="B7890" t="str">
        <f>"-0.76"</f>
        <v>-0.76</v>
      </c>
      <c r="C7890" t="str">
        <f>"58"</f>
        <v>58</v>
      </c>
      <c r="D7890" t="str">
        <f>"36 Seasons"</f>
        <v>36 Seasons</v>
      </c>
    </row>
    <row r="7891" spans="1:4" x14ac:dyDescent="0.2">
      <c r="A7891" t="str">
        <f>"7890"</f>
        <v>7890</v>
      </c>
      <c r="B7891" t="str">
        <f>"1.48"</f>
        <v>1.48</v>
      </c>
      <c r="C7891" t="str">
        <f>"50"</f>
        <v>50</v>
      </c>
      <c r="D7891" t="str">
        <f>"Live in Dublin"</f>
        <v>Live in Dublin</v>
      </c>
    </row>
    <row r="7892" spans="1:4" x14ac:dyDescent="0.2">
      <c r="A7892" t="str">
        <f>"7891"</f>
        <v>7891</v>
      </c>
      <c r="B7892" t="str">
        <f>"-0.35"</f>
        <v>-0.35</v>
      </c>
      <c r="C7892" t="str">
        <f>"45"</f>
        <v>45</v>
      </c>
      <c r="D7892" t="str">
        <f>"What Happened to the World"</f>
        <v>What Happened to the World</v>
      </c>
    </row>
    <row r="7893" spans="1:4" x14ac:dyDescent="0.2">
      <c r="A7893" t="str">
        <f>"7892"</f>
        <v>7892</v>
      </c>
      <c r="B7893" t="str">
        <f>"-0.39"</f>
        <v>-0.39</v>
      </c>
      <c r="C7893" t="str">
        <f>"39"</f>
        <v>39</v>
      </c>
      <c r="D7893" t="str">
        <f>"Random Cosmic Violence"</f>
        <v>Random Cosmic Violence</v>
      </c>
    </row>
    <row r="7894" spans="1:4" x14ac:dyDescent="0.2">
      <c r="A7894" t="str">
        <f>"7893"</f>
        <v>7893</v>
      </c>
      <c r="B7894" t="str">
        <f>"1.64"</f>
        <v>1.64</v>
      </c>
      <c r="C7894" t="str">
        <f>"18"</f>
        <v>18</v>
      </c>
      <c r="D7894" t="str">
        <f>"Sandopolis"</f>
        <v>Sandopolis</v>
      </c>
    </row>
    <row r="7895" spans="1:4" x14ac:dyDescent="0.2">
      <c r="A7895" t="str">
        <f>"7894"</f>
        <v>7894</v>
      </c>
      <c r="B7895" t="str">
        <f>"0.51"</f>
        <v>0.51</v>
      </c>
      <c r="C7895" t="str">
        <f>"41"</f>
        <v>41</v>
      </c>
      <c r="D7895" t="str">
        <f>"The London Sessions"</f>
        <v>The London Sessions</v>
      </c>
    </row>
    <row r="7896" spans="1:4" x14ac:dyDescent="0.2">
      <c r="A7896" t="str">
        <f>"7895"</f>
        <v>7895</v>
      </c>
      <c r="B7896" t="str">
        <f>"0.81"</f>
        <v>0.81</v>
      </c>
      <c r="C7896" t="str">
        <f>"46"</f>
        <v>46</v>
      </c>
      <c r="D7896" t="s">
        <v>276</v>
      </c>
    </row>
    <row r="7897" spans="1:4" x14ac:dyDescent="0.2">
      <c r="A7897" t="str">
        <f>"7896"</f>
        <v>7896</v>
      </c>
      <c r="B7897" t="str">
        <f>"0.69"</f>
        <v>0.69</v>
      </c>
      <c r="C7897" t="str">
        <f>"45"</f>
        <v>45</v>
      </c>
      <c r="D7897" t="str">
        <f>"Where Greater Men Have Fallen"</f>
        <v>Where Greater Men Have Fallen</v>
      </c>
    </row>
    <row r="7898" spans="1:4" x14ac:dyDescent="0.2">
      <c r="A7898" t="str">
        <f>"7897"</f>
        <v>7897</v>
      </c>
      <c r="B7898" t="str">
        <f>"0.09"</f>
        <v>0.09</v>
      </c>
      <c r="C7898" t="str">
        <f>"29"</f>
        <v>29</v>
      </c>
      <c r="D7898" t="str">
        <f>"Parallel Memories"</f>
        <v>Parallel Memories</v>
      </c>
    </row>
    <row r="7899" spans="1:4" x14ac:dyDescent="0.2">
      <c r="A7899" t="str">
        <f>"7898"</f>
        <v>7898</v>
      </c>
      <c r="B7899" t="str">
        <f>"-0.25"</f>
        <v>-0.25</v>
      </c>
      <c r="C7899" t="str">
        <f>"33"</f>
        <v>33</v>
      </c>
      <c r="D7899" t="str">
        <f>"Gymnosphere: Song of the Rose"</f>
        <v>Gymnosphere: Song of the Rose</v>
      </c>
    </row>
    <row r="7900" spans="1:4" x14ac:dyDescent="0.2">
      <c r="A7900" t="str">
        <f>"7899"</f>
        <v>7899</v>
      </c>
      <c r="B7900" t="str">
        <f>"0.64"</f>
        <v>0.64</v>
      </c>
      <c r="C7900" t="str">
        <f>"47"</f>
        <v>47</v>
      </c>
      <c r="D7900" t="str">
        <f>"Monuments to an Elegy"</f>
        <v>Monuments to an Elegy</v>
      </c>
    </row>
    <row r="7901" spans="1:4" x14ac:dyDescent="0.2">
      <c r="A7901" t="str">
        <f>"7900"</f>
        <v>7900</v>
      </c>
      <c r="B7901" t="str">
        <f>"0"</f>
        <v>0</v>
      </c>
      <c r="C7901" t="str">
        <f>"32"</f>
        <v>32</v>
      </c>
      <c r="D7901" t="str">
        <f>"A Los Campesinos! Christmas EP"</f>
        <v>A Los Campesinos! Christmas EP</v>
      </c>
    </row>
    <row r="7902" spans="1:4" x14ac:dyDescent="0.2">
      <c r="A7902" t="str">
        <f>"7901"</f>
        <v>7901</v>
      </c>
      <c r="B7902" t="str">
        <f>"-0.24"</f>
        <v>-0.24</v>
      </c>
      <c r="C7902" t="str">
        <f>"17"</f>
        <v>17</v>
      </c>
      <c r="D7902" t="str">
        <f>"12"</f>
        <v>12</v>
      </c>
    </row>
    <row r="7903" spans="1:4" x14ac:dyDescent="0.2">
      <c r="A7903" t="str">
        <f>"7902"</f>
        <v>7902</v>
      </c>
      <c r="B7903" t="str">
        <f>"-0.1"</f>
        <v>-0.1</v>
      </c>
      <c r="C7903" t="str">
        <f>"26"</f>
        <v>26</v>
      </c>
      <c r="D7903" t="str">
        <f>"Teenage Retirement"</f>
        <v>Teenage Retirement</v>
      </c>
    </row>
    <row r="7904" spans="1:4" x14ac:dyDescent="0.2">
      <c r="A7904" t="str">
        <f>"7903"</f>
        <v>7903</v>
      </c>
      <c r="B7904" t="str">
        <f>"-0.78"</f>
        <v>-0.78</v>
      </c>
      <c r="C7904" t="str">
        <f>"66"</f>
        <v>66</v>
      </c>
      <c r="D7904" t="str">
        <f>"The Ape of God"</f>
        <v>The Ape of God</v>
      </c>
    </row>
    <row r="7905" spans="1:4" x14ac:dyDescent="0.2">
      <c r="A7905" t="str">
        <f>"7904"</f>
        <v>7904</v>
      </c>
      <c r="B7905" t="str">
        <f>"0.43"</f>
        <v>0.43</v>
      </c>
      <c r="C7905" t="str">
        <f>"46"</f>
        <v>46</v>
      </c>
      <c r="D7905" t="str">
        <f>"Nerve Net"</f>
        <v>Nerve Net</v>
      </c>
    </row>
    <row r="7906" spans="1:4" x14ac:dyDescent="0.2">
      <c r="A7906" t="str">
        <f>"7905"</f>
        <v>7905</v>
      </c>
      <c r="B7906" t="str">
        <f>"-0.19"</f>
        <v>-0.19</v>
      </c>
      <c r="C7906" t="str">
        <f>"51"</f>
        <v>51</v>
      </c>
      <c r="D7906" t="s">
        <v>154</v>
      </c>
    </row>
    <row r="7907" spans="1:4" x14ac:dyDescent="0.2">
      <c r="A7907" t="str">
        <f>"7906"</f>
        <v>7906</v>
      </c>
      <c r="B7907" t="str">
        <f>"-0.16"</f>
        <v>-0.16</v>
      </c>
      <c r="C7907" t="str">
        <f>"26"</f>
        <v>26</v>
      </c>
      <c r="D7907" t="str">
        <f>"Minoans"</f>
        <v>Minoans</v>
      </c>
    </row>
    <row r="7908" spans="1:4" x14ac:dyDescent="0.2">
      <c r="A7908" t="str">
        <f>"7907"</f>
        <v>7907</v>
      </c>
      <c r="B7908" t="str">
        <f>"0.16"</f>
        <v>0.16</v>
      </c>
      <c r="C7908" t="str">
        <f>"39"</f>
        <v>39</v>
      </c>
      <c r="D7908" t="str">
        <f>"I'm in Your Mind Fuzz"</f>
        <v>I'm in Your Mind Fuzz</v>
      </c>
    </row>
    <row r="7909" spans="1:4" x14ac:dyDescent="0.2">
      <c r="A7909" t="str">
        <f>"7908"</f>
        <v>7908</v>
      </c>
      <c r="B7909" t="str">
        <f>"0.88"</f>
        <v>0.88</v>
      </c>
      <c r="C7909" t="str">
        <f>"42"</f>
        <v>42</v>
      </c>
      <c r="D7909" t="str">
        <f>"Power of Anonymity"</f>
        <v>Power of Anonymity</v>
      </c>
    </row>
    <row r="7910" spans="1:4" x14ac:dyDescent="0.2">
      <c r="A7910" t="str">
        <f>"7909"</f>
        <v>7909</v>
      </c>
      <c r="B7910" t="str">
        <f>"0.22"</f>
        <v>0.22</v>
      </c>
      <c r="C7910" t="str">
        <f>"36"</f>
        <v>36</v>
      </c>
      <c r="D7910" t="str">
        <f>"Florida"</f>
        <v>Florida</v>
      </c>
    </row>
    <row r="7911" spans="1:4" x14ac:dyDescent="0.2">
      <c r="A7911" t="str">
        <f>"7910"</f>
        <v>7910</v>
      </c>
      <c r="B7911" t="str">
        <f>"-0.92"</f>
        <v>-0.92</v>
      </c>
      <c r="C7911" t="str">
        <f>"34"</f>
        <v>34</v>
      </c>
      <c r="D7911" t="str">
        <f>"The Church"</f>
        <v>The Church</v>
      </c>
    </row>
    <row r="7912" spans="1:4" x14ac:dyDescent="0.2">
      <c r="A7912" t="str">
        <f>"7911"</f>
        <v>7911</v>
      </c>
      <c r="B7912" t="str">
        <f>"0.1"</f>
        <v>0.1</v>
      </c>
      <c r="C7912" t="str">
        <f>"29"</f>
        <v>29</v>
      </c>
      <c r="D7912" t="str">
        <f>"Clean-Cut"</f>
        <v>Clean-Cut</v>
      </c>
    </row>
    <row r="7913" spans="1:4" x14ac:dyDescent="0.2">
      <c r="A7913" t="str">
        <f>"7912"</f>
        <v>7912</v>
      </c>
      <c r="B7913" t="str">
        <f>"0.04"</f>
        <v>0.04</v>
      </c>
      <c r="C7913" t="str">
        <f>"17"</f>
        <v>17</v>
      </c>
      <c r="D7913" t="str">
        <f>"Silk Rhodes"</f>
        <v>Silk Rhodes</v>
      </c>
    </row>
    <row r="7914" spans="1:4" x14ac:dyDescent="0.2">
      <c r="A7914" t="str">
        <f>"7913"</f>
        <v>7913</v>
      </c>
      <c r="B7914" t="str">
        <f>"0.83"</f>
        <v>0.83</v>
      </c>
      <c r="C7914" t="str">
        <f>"25"</f>
        <v>25</v>
      </c>
      <c r="D7914" t="str">
        <f>"Truly Blessed"</f>
        <v>Truly Blessed</v>
      </c>
    </row>
    <row r="7915" spans="1:4" x14ac:dyDescent="0.2">
      <c r="A7915" t="str">
        <f>"7914"</f>
        <v>7914</v>
      </c>
      <c r="B7915" t="str">
        <f>"-0.7"</f>
        <v>-0.7</v>
      </c>
      <c r="C7915" t="str">
        <f>"33"</f>
        <v>33</v>
      </c>
      <c r="D7915" t="str">
        <f>"A Better Tomorrow"</f>
        <v>A Better Tomorrow</v>
      </c>
    </row>
    <row r="7916" spans="1:4" x14ac:dyDescent="0.2">
      <c r="A7916" t="str">
        <f>"7915"</f>
        <v>7915</v>
      </c>
      <c r="B7916" t="str">
        <f>"-0.19"</f>
        <v>-0.19</v>
      </c>
      <c r="C7916" t="str">
        <f>"39"</f>
        <v>39</v>
      </c>
      <c r="D7916" t="str">
        <f>"Fourth World Vol. 1: Possible Musics"</f>
        <v>Fourth World Vol. 1: Possible Musics</v>
      </c>
    </row>
    <row r="7917" spans="1:4" x14ac:dyDescent="0.2">
      <c r="A7917" t="str">
        <f>"7916"</f>
        <v>7916</v>
      </c>
      <c r="B7917" t="str">
        <f>"0.24"</f>
        <v>0.24</v>
      </c>
      <c r="C7917" t="str">
        <f>"33"</f>
        <v>33</v>
      </c>
      <c r="D7917" t="str">
        <f>"Cadillactica"</f>
        <v>Cadillactica</v>
      </c>
    </row>
    <row r="7918" spans="1:4" x14ac:dyDescent="0.2">
      <c r="A7918" t="str">
        <f>"7917"</f>
        <v>7917</v>
      </c>
      <c r="B7918" t="str">
        <f>"-0.68"</f>
        <v>-0.68</v>
      </c>
      <c r="C7918" t="str">
        <f>"32"</f>
        <v>32</v>
      </c>
      <c r="D7918" t="str">
        <f>"At War With Reality"</f>
        <v>At War With Reality</v>
      </c>
    </row>
    <row r="7919" spans="1:4" x14ac:dyDescent="0.2">
      <c r="A7919" t="str">
        <f>"7918"</f>
        <v>7918</v>
      </c>
      <c r="B7919" t="str">
        <f>"-0.63"</f>
        <v>-0.63</v>
      </c>
      <c r="C7919" t="str">
        <f>"33"</f>
        <v>33</v>
      </c>
      <c r="D7919" t="str">
        <f>"Full of Hell &amp; Merzbow"</f>
        <v>Full of Hell &amp; Merzbow</v>
      </c>
    </row>
    <row r="7920" spans="1:4" x14ac:dyDescent="0.2">
      <c r="A7920" t="str">
        <f>"7919"</f>
        <v>7919</v>
      </c>
      <c r="B7920" t="str">
        <f>"-0.19"</f>
        <v>-0.19</v>
      </c>
      <c r="C7920" t="str">
        <f>"35"</f>
        <v>35</v>
      </c>
      <c r="D7920" t="str">
        <f>"Extra Painful"</f>
        <v>Extra Painful</v>
      </c>
    </row>
    <row r="7921" spans="1:4" x14ac:dyDescent="0.2">
      <c r="A7921" t="str">
        <f>"7920"</f>
        <v>7920</v>
      </c>
      <c r="B7921" t="str">
        <f>"1.57"</f>
        <v>1.57</v>
      </c>
      <c r="C7921" t="str">
        <f>"28"</f>
        <v>28</v>
      </c>
      <c r="D7921" t="str">
        <f>"Classics"</f>
        <v>Classics</v>
      </c>
    </row>
    <row r="7922" spans="1:4" x14ac:dyDescent="0.2">
      <c r="A7922" t="str">
        <f>"7921"</f>
        <v>7921</v>
      </c>
      <c r="B7922" t="str">
        <f>"0.83"</f>
        <v>0.83</v>
      </c>
      <c r="C7922" t="str">
        <f>"30"</f>
        <v>30</v>
      </c>
      <c r="D7922" t="str">
        <f>"Noctilucence EP"</f>
        <v>Noctilucence EP</v>
      </c>
    </row>
    <row r="7923" spans="1:4" x14ac:dyDescent="0.2">
      <c r="A7923" t="str">
        <f>"7922"</f>
        <v>7922</v>
      </c>
      <c r="B7923" t="str">
        <f>"0.5"</f>
        <v>0.5</v>
      </c>
      <c r="C7923" t="str">
        <f>"26"</f>
        <v>26</v>
      </c>
      <c r="D7923" t="str">
        <f>"Confidence"</f>
        <v>Confidence</v>
      </c>
    </row>
    <row r="7924" spans="1:4" x14ac:dyDescent="0.2">
      <c r="A7924" t="str">
        <f>"7923"</f>
        <v>7923</v>
      </c>
      <c r="B7924" t="str">
        <f>"0.85"</f>
        <v>0.85</v>
      </c>
      <c r="C7924" t="str">
        <f>"32"</f>
        <v>32</v>
      </c>
      <c r="D7924" t="str">
        <f>"You Go Girl"</f>
        <v>You Go Girl</v>
      </c>
    </row>
    <row r="7925" spans="1:4" x14ac:dyDescent="0.2">
      <c r="A7925" t="str">
        <f>"7924"</f>
        <v>7924</v>
      </c>
      <c r="B7925" t="str">
        <f>"-0.19"</f>
        <v>-0.19</v>
      </c>
      <c r="C7925" t="str">
        <f>"51"</f>
        <v>51</v>
      </c>
      <c r="D7925" t="str">
        <f>"Didn't It Rain"</f>
        <v>Didn't It Rain</v>
      </c>
    </row>
    <row r="7926" spans="1:4" x14ac:dyDescent="0.2">
      <c r="A7926" t="str">
        <f>"7925"</f>
        <v>7925</v>
      </c>
      <c r="B7926" t="str">
        <f>"0"</f>
        <v>0</v>
      </c>
      <c r="C7926" t="str">
        <f>"27"</f>
        <v>27</v>
      </c>
      <c r="D7926" t="str">
        <f>"Music Industry 3. Fitness Industry 1. EP"</f>
        <v>Music Industry 3. Fitness Industry 1. EP</v>
      </c>
    </row>
    <row r="7927" spans="1:4" x14ac:dyDescent="0.2">
      <c r="A7927" t="str">
        <f>"7926"</f>
        <v>7926</v>
      </c>
      <c r="B7927" t="str">
        <f>"-0.4"</f>
        <v>-0.4</v>
      </c>
      <c r="C7927" t="str">
        <f>"40"</f>
        <v>40</v>
      </c>
      <c r="D7927" t="str">
        <f>"Void"</f>
        <v>Void</v>
      </c>
    </row>
    <row r="7928" spans="1:4" x14ac:dyDescent="0.2">
      <c r="A7928" t="str">
        <f>"7927"</f>
        <v>7927</v>
      </c>
      <c r="B7928" t="str">
        <f>"-1.1"</f>
        <v>-1.1</v>
      </c>
      <c r="C7928" t="str">
        <f>"31"</f>
        <v>31</v>
      </c>
      <c r="D7928" t="str">
        <f>"Privacy"</f>
        <v>Privacy</v>
      </c>
    </row>
    <row r="7929" spans="1:4" x14ac:dyDescent="0.2">
      <c r="A7929" t="str">
        <f>"7928"</f>
        <v>7928</v>
      </c>
      <c r="B7929" t="str">
        <f>"-0.02"</f>
        <v>-0.02</v>
      </c>
      <c r="C7929" t="str">
        <f>"42"</f>
        <v>42</v>
      </c>
      <c r="D7929" t="str">
        <f>"Movement Building Vol. 1"</f>
        <v>Movement Building Vol. 1</v>
      </c>
    </row>
    <row r="7930" spans="1:4" x14ac:dyDescent="0.2">
      <c r="A7930" t="str">
        <f>"7929"</f>
        <v>7929</v>
      </c>
      <c r="B7930" t="str">
        <f>"-0.77"</f>
        <v>-0.77</v>
      </c>
      <c r="C7930" t="str">
        <f>"46"</f>
        <v>46</v>
      </c>
      <c r="D7930" t="str">
        <f>"Shady XV"</f>
        <v>Shady XV</v>
      </c>
    </row>
    <row r="7931" spans="1:4" x14ac:dyDescent="0.2">
      <c r="A7931" t="str">
        <f>"7930"</f>
        <v>7930</v>
      </c>
      <c r="B7931" t="str">
        <f>"0.78"</f>
        <v>0.78</v>
      </c>
      <c r="C7931" t="str">
        <f>"31"</f>
        <v>31</v>
      </c>
      <c r="D7931" t="str">
        <f>"21 Again"</f>
        <v>21 Again</v>
      </c>
    </row>
    <row r="7932" spans="1:4" x14ac:dyDescent="0.2">
      <c r="A7932" t="str">
        <f>"7931"</f>
        <v>7931</v>
      </c>
      <c r="B7932" t="str">
        <f>"-0.45"</f>
        <v>-0.45</v>
      </c>
      <c r="C7932" t="str">
        <f>"29"</f>
        <v>29</v>
      </c>
      <c r="D7932" t="str">
        <f>"Out of Time"</f>
        <v>Out of Time</v>
      </c>
    </row>
    <row r="7933" spans="1:4" x14ac:dyDescent="0.2">
      <c r="A7933" t="str">
        <f>"7932"</f>
        <v>7932</v>
      </c>
      <c r="B7933" t="str">
        <f>"0.61"</f>
        <v>0.61</v>
      </c>
      <c r="C7933" t="str">
        <f>"17"</f>
        <v>17</v>
      </c>
      <c r="D7933" t="str">
        <f>"Film of Life"</f>
        <v>Film of Life</v>
      </c>
    </row>
    <row r="7934" spans="1:4" x14ac:dyDescent="0.2">
      <c r="A7934" t="str">
        <f>"7933"</f>
        <v>7933</v>
      </c>
      <c r="B7934" t="str">
        <f>"1.07"</f>
        <v>1.07</v>
      </c>
      <c r="C7934" t="str">
        <f>"27"</f>
        <v>27</v>
      </c>
      <c r="D7934" t="str">
        <f>"No Reason EP"</f>
        <v>No Reason EP</v>
      </c>
    </row>
    <row r="7935" spans="1:4" x14ac:dyDescent="0.2">
      <c r="A7935" t="str">
        <f>"7934"</f>
        <v>7934</v>
      </c>
      <c r="B7935" t="str">
        <f>"-0.73"</f>
        <v>-0.73</v>
      </c>
      <c r="C7935" t="str">
        <f>"110"</f>
        <v>110</v>
      </c>
      <c r="D7935" t="str">
        <f>"It Takes a Nation of Millions to Hold Us Back"</f>
        <v>It Takes a Nation of Millions to Hold Us Back</v>
      </c>
    </row>
    <row r="7936" spans="1:4" x14ac:dyDescent="0.2">
      <c r="A7936" t="str">
        <f>"7935"</f>
        <v>7935</v>
      </c>
      <c r="B7936" t="str">
        <f>"0.28"</f>
        <v>0.28</v>
      </c>
      <c r="C7936" t="str">
        <f>"51"</f>
        <v>51</v>
      </c>
      <c r="D7936" t="str">
        <f>"I'm Just Like You: Sly's Stone Flower 1969-70"</f>
        <v>I'm Just Like You: Sly's Stone Flower 1969-70</v>
      </c>
    </row>
    <row r="7937" spans="1:4" x14ac:dyDescent="0.2">
      <c r="A7937" t="str">
        <f>"7936"</f>
        <v>7936</v>
      </c>
      <c r="B7937" t="str">
        <f>"0.31"</f>
        <v>0.31</v>
      </c>
      <c r="C7937" t="str">
        <f>"47"</f>
        <v>47</v>
      </c>
      <c r="D7937" t="s">
        <v>277</v>
      </c>
    </row>
    <row r="7938" spans="1:4" x14ac:dyDescent="0.2">
      <c r="A7938" t="str">
        <f>"7937"</f>
        <v>7937</v>
      </c>
      <c r="B7938" t="str">
        <f>"1.4"</f>
        <v>1.4</v>
      </c>
      <c r="C7938" t="str">
        <f>"14"</f>
        <v>14</v>
      </c>
      <c r="D7938" t="str">
        <f>"Seeing Sound"</f>
        <v>Seeing Sound</v>
      </c>
    </row>
    <row r="7939" spans="1:4" x14ac:dyDescent="0.2">
      <c r="A7939" t="str">
        <f>"7938"</f>
        <v>7938</v>
      </c>
      <c r="B7939" t="str">
        <f>"1.36"</f>
        <v>1.36</v>
      </c>
      <c r="C7939" t="str">
        <f>"31"</f>
        <v>31</v>
      </c>
      <c r="D7939" t="str">
        <f>"An Evolutionary Music (Original Recordings: 1972 – 1979)"</f>
        <v>An Evolutionary Music (Original Recordings: 1972 – 1979)</v>
      </c>
    </row>
    <row r="7940" spans="1:4" x14ac:dyDescent="0.2">
      <c r="A7940" t="str">
        <f>"7939"</f>
        <v>7939</v>
      </c>
      <c r="B7940" t="str">
        <f>"0.22"</f>
        <v>0.22</v>
      </c>
      <c r="C7940" t="str">
        <f>"53"</f>
        <v>53</v>
      </c>
      <c r="D7940" t="str">
        <f>"The Velvet Underground – 45th Anniversary Super Deluxe Edition"</f>
        <v>The Velvet Underground – 45th Anniversary Super Deluxe Edition</v>
      </c>
    </row>
    <row r="7941" spans="1:4" x14ac:dyDescent="0.2">
      <c r="A7941" t="str">
        <f>"7940"</f>
        <v>7940</v>
      </c>
      <c r="B7941" t="str">
        <f>"-0.62"</f>
        <v>-0.62</v>
      </c>
      <c r="C7941" t="str">
        <f>"68"</f>
        <v>68</v>
      </c>
      <c r="D7941" t="str">
        <f>"Back From the Dead 2"</f>
        <v>Back From the Dead 2</v>
      </c>
    </row>
    <row r="7942" spans="1:4" x14ac:dyDescent="0.2">
      <c r="A7942" t="str">
        <f>"7941"</f>
        <v>7941</v>
      </c>
      <c r="B7942" t="str">
        <f>"0.58"</f>
        <v>0.58</v>
      </c>
      <c r="C7942" t="str">
        <f>"25"</f>
        <v>25</v>
      </c>
      <c r="D7942" t="str">
        <f>"Vapor City Archives"</f>
        <v>Vapor City Archives</v>
      </c>
    </row>
    <row r="7943" spans="1:4" x14ac:dyDescent="0.2">
      <c r="A7943" t="str">
        <f>"7942"</f>
        <v>7942</v>
      </c>
      <c r="B7943" t="str">
        <f>"-0.78"</f>
        <v>-0.78</v>
      </c>
      <c r="C7943" t="str">
        <f>"30"</f>
        <v>30</v>
      </c>
      <c r="D7943" t="str">
        <f>"j US t"</f>
        <v>j US t</v>
      </c>
    </row>
    <row r="7944" spans="1:4" x14ac:dyDescent="0.2">
      <c r="A7944" t="str">
        <f>"7943"</f>
        <v>7943</v>
      </c>
      <c r="B7944" t="str">
        <f>"0.24"</f>
        <v>0.24</v>
      </c>
      <c r="C7944" t="str">
        <f>"51"</f>
        <v>51</v>
      </c>
      <c r="D7944" t="str">
        <f>"Magazine 13."</f>
        <v>Magazine 13.</v>
      </c>
    </row>
    <row r="7945" spans="1:4" x14ac:dyDescent="0.2">
      <c r="A7945" t="str">
        <f>"7944"</f>
        <v>7944</v>
      </c>
      <c r="B7945" t="str">
        <f>"-0.93"</f>
        <v>-0.93</v>
      </c>
      <c r="C7945" t="str">
        <f>"44"</f>
        <v>44</v>
      </c>
      <c r="D7945" t="str">
        <f>"Faith in Strangers"</f>
        <v>Faith in Strangers</v>
      </c>
    </row>
    <row r="7946" spans="1:4" x14ac:dyDescent="0.2">
      <c r="A7946" t="str">
        <f>"7945"</f>
        <v>7945</v>
      </c>
      <c r="B7946" t="str">
        <f>"-0.02"</f>
        <v>-0.02</v>
      </c>
      <c r="C7946" t="str">
        <f>"28"</f>
        <v>28</v>
      </c>
      <c r="D7946" t="str">
        <f>"First Demo"</f>
        <v>First Demo</v>
      </c>
    </row>
    <row r="7947" spans="1:4" x14ac:dyDescent="0.2">
      <c r="A7947" t="str">
        <f>"7946"</f>
        <v>7946</v>
      </c>
      <c r="B7947" t="str">
        <f>"0.22"</f>
        <v>0.22</v>
      </c>
      <c r="C7947" t="str">
        <f>"37"</f>
        <v>37</v>
      </c>
      <c r="D7947" t="str">
        <f>"The Way"</f>
        <v>The Way</v>
      </c>
    </row>
    <row r="7948" spans="1:4" x14ac:dyDescent="0.2">
      <c r="A7948" t="str">
        <f>"7947"</f>
        <v>7947</v>
      </c>
      <c r="B7948" t="str">
        <f>"1.28"</f>
        <v>1.28</v>
      </c>
      <c r="C7948" t="str">
        <f>"26"</f>
        <v>26</v>
      </c>
      <c r="D7948" t="str">
        <f>"Different Every Time"</f>
        <v>Different Every Time</v>
      </c>
    </row>
    <row r="7949" spans="1:4" x14ac:dyDescent="0.2">
      <c r="A7949" t="str">
        <f>"7948"</f>
        <v>7948</v>
      </c>
      <c r="B7949" t="str">
        <f>"0.04"</f>
        <v>0.04</v>
      </c>
      <c r="C7949" t="str">
        <f>"25"</f>
        <v>25</v>
      </c>
      <c r="D7949" t="str">
        <f>"Kenny Dennis III"</f>
        <v>Kenny Dennis III</v>
      </c>
    </row>
    <row r="7950" spans="1:4" x14ac:dyDescent="0.2">
      <c r="A7950" t="str">
        <f>"7949"</f>
        <v>7949</v>
      </c>
      <c r="B7950" t="str">
        <f>"0.1"</f>
        <v>0.1</v>
      </c>
      <c r="C7950" t="str">
        <f>"33"</f>
        <v>33</v>
      </c>
      <c r="D7950" t="str">
        <f>"$INGLE$ 2"</f>
        <v>$INGLE$ 2</v>
      </c>
    </row>
    <row r="7951" spans="1:4" x14ac:dyDescent="0.2">
      <c r="A7951" t="str">
        <f>"7950"</f>
        <v>7950</v>
      </c>
      <c r="B7951" t="str">
        <f>"0.08"</f>
        <v>0.08</v>
      </c>
      <c r="C7951" t="str">
        <f>"60"</f>
        <v>60</v>
      </c>
      <c r="D7951" t="str">
        <f>"Nothing Has Changed (3-CD Deluxe Edition)"</f>
        <v>Nothing Has Changed (3-CD Deluxe Edition)</v>
      </c>
    </row>
    <row r="7952" spans="1:4" x14ac:dyDescent="0.2">
      <c r="A7952" t="str">
        <f>"7951"</f>
        <v>7951</v>
      </c>
      <c r="B7952" t="str">
        <f>"-0.89"</f>
        <v>-0.89</v>
      </c>
      <c r="C7952" t="str">
        <f>"20"</f>
        <v>20</v>
      </c>
      <c r="D7952" t="str">
        <f>"Words to the Blind"</f>
        <v>Words to the Blind</v>
      </c>
    </row>
    <row r="7953" spans="1:4" x14ac:dyDescent="0.2">
      <c r="A7953" t="str">
        <f>"7952"</f>
        <v>7952</v>
      </c>
      <c r="B7953" t="str">
        <f>"-0.51"</f>
        <v>-0.51</v>
      </c>
      <c r="C7953" t="str">
        <f>"41"</f>
        <v>41</v>
      </c>
      <c r="D7953" t="str">
        <f>"We Are Nots"</f>
        <v>We Are Nots</v>
      </c>
    </row>
    <row r="7954" spans="1:4" x14ac:dyDescent="0.2">
      <c r="A7954" t="str">
        <f>"7953"</f>
        <v>7953</v>
      </c>
      <c r="B7954" t="str">
        <f>"-0.57"</f>
        <v>-0.57</v>
      </c>
      <c r="C7954" t="str">
        <f>"34"</f>
        <v>34</v>
      </c>
      <c r="D7954" t="str">
        <f>"Aliens in the Outfield EP"</f>
        <v>Aliens in the Outfield EP</v>
      </c>
    </row>
    <row r="7955" spans="1:4" x14ac:dyDescent="0.2">
      <c r="A7955" t="str">
        <f>"7954"</f>
        <v>7954</v>
      </c>
      <c r="B7955" t="str">
        <f>"0.2"</f>
        <v>0.2</v>
      </c>
      <c r="C7955" t="str">
        <f>"50"</f>
        <v>50</v>
      </c>
      <c r="D7955" t="str">
        <f>"Alpha Mike Foxtrot: Rare Tracks 1994–2014"</f>
        <v>Alpha Mike Foxtrot: Rare Tracks 1994–2014</v>
      </c>
    </row>
    <row r="7956" spans="1:4" x14ac:dyDescent="0.2">
      <c r="A7956" t="str">
        <f>"7955"</f>
        <v>7955</v>
      </c>
      <c r="B7956" t="str">
        <f>"0.64"</f>
        <v>0.64</v>
      </c>
      <c r="C7956" t="str">
        <f>"27"</f>
        <v>27</v>
      </c>
      <c r="D7956" t="str">
        <f>"Avonmore"</f>
        <v>Avonmore</v>
      </c>
    </row>
    <row r="7957" spans="1:4" x14ac:dyDescent="0.2">
      <c r="A7957" t="str">
        <f>"7956"</f>
        <v>7956</v>
      </c>
      <c r="B7957" t="str">
        <f>"-0.52"</f>
        <v>-0.52</v>
      </c>
      <c r="C7957" t="str">
        <f>"35"</f>
        <v>35</v>
      </c>
      <c r="D7957" t="str">
        <f>"Heartless"</f>
        <v>Heartless</v>
      </c>
    </row>
    <row r="7958" spans="1:4" x14ac:dyDescent="0.2">
      <c r="A7958" t="str">
        <f>"7957"</f>
        <v>7957</v>
      </c>
      <c r="B7958" t="str">
        <f>"0.95"</f>
        <v>0.95</v>
      </c>
      <c r="C7958" t="str">
        <f>"30"</f>
        <v>30</v>
      </c>
      <c r="D7958" t="str">
        <f>"Nansemond"</f>
        <v>Nansemond</v>
      </c>
    </row>
    <row r="7959" spans="1:4" x14ac:dyDescent="0.2">
      <c r="A7959" t="str">
        <f>"7958"</f>
        <v>7958</v>
      </c>
      <c r="B7959" t="str">
        <f>"-0.58"</f>
        <v>-0.58</v>
      </c>
      <c r="C7959" t="str">
        <f>"31"</f>
        <v>31</v>
      </c>
      <c r="D7959" t="str">
        <f>"A Hound at the Hem"</f>
        <v>A Hound at the Hem</v>
      </c>
    </row>
    <row r="7960" spans="1:4" x14ac:dyDescent="0.2">
      <c r="A7960" t="str">
        <f>"7959"</f>
        <v>7959</v>
      </c>
      <c r="B7960" t="str">
        <f>"-0.11"</f>
        <v>-0.11</v>
      </c>
      <c r="C7960" t="str">
        <f>"88"</f>
        <v>88</v>
      </c>
      <c r="D7960" t="str">
        <f>"Pom Pom"</f>
        <v>Pom Pom</v>
      </c>
    </row>
    <row r="7961" spans="1:4" x14ac:dyDescent="0.2">
      <c r="A7961" t="str">
        <f>"7960"</f>
        <v>7960</v>
      </c>
      <c r="B7961" t="str">
        <f>"0.69"</f>
        <v>0.69</v>
      </c>
      <c r="C7961" t="str">
        <f>"27"</f>
        <v>27</v>
      </c>
      <c r="D7961" t="str">
        <f>"The Hunger Games: Mockingjay - Part 1 OST"</f>
        <v>The Hunger Games: Mockingjay - Part 1 OST</v>
      </c>
    </row>
    <row r="7962" spans="1:4" x14ac:dyDescent="0.2">
      <c r="A7962" t="str">
        <f>"7961"</f>
        <v>7961</v>
      </c>
      <c r="B7962" t="str">
        <f>"-0.19"</f>
        <v>-0.19</v>
      </c>
      <c r="C7962" t="str">
        <f>"29"</f>
        <v>29</v>
      </c>
      <c r="D7962" t="str">
        <f>"Flesh and Machine"</f>
        <v>Flesh and Machine</v>
      </c>
    </row>
    <row r="7963" spans="1:4" x14ac:dyDescent="0.2">
      <c r="A7963" t="str">
        <f>"7962"</f>
        <v>7962</v>
      </c>
      <c r="B7963" t="str">
        <f>"0.51"</f>
        <v>0.51</v>
      </c>
      <c r="C7963" t="str">
        <f>"30"</f>
        <v>30</v>
      </c>
      <c r="D7963" t="str">
        <f>"Ypres"</f>
        <v>Ypres</v>
      </c>
    </row>
    <row r="7964" spans="1:4" x14ac:dyDescent="0.2">
      <c r="A7964" t="str">
        <f>"7963"</f>
        <v>7963</v>
      </c>
      <c r="B7964" t="str">
        <f>"1.13"</f>
        <v>1.13</v>
      </c>
      <c r="C7964" t="str">
        <f>"28"</f>
        <v>28</v>
      </c>
      <c r="D7964" t="str">
        <f>"Soft"</f>
        <v>Soft</v>
      </c>
    </row>
    <row r="7965" spans="1:4" x14ac:dyDescent="0.2">
      <c r="A7965" t="str">
        <f>"7964"</f>
        <v>7964</v>
      </c>
      <c r="B7965" t="str">
        <f>"-0.01"</f>
        <v>-0.01</v>
      </c>
      <c r="C7965" t="str">
        <f>"27"</f>
        <v>27</v>
      </c>
      <c r="D7965" t="str">
        <f>"Seeds"</f>
        <v>Seeds</v>
      </c>
    </row>
    <row r="7966" spans="1:4" x14ac:dyDescent="0.2">
      <c r="A7966" t="str">
        <f>"7965"</f>
        <v>7965</v>
      </c>
      <c r="B7966" t="str">
        <f>"-0.75"</f>
        <v>-0.75</v>
      </c>
      <c r="C7966" t="str">
        <f>"23"</f>
        <v>23</v>
      </c>
      <c r="D7966" t="str">
        <f>"Black Metal"</f>
        <v>Black Metal</v>
      </c>
    </row>
    <row r="7967" spans="1:4" x14ac:dyDescent="0.2">
      <c r="A7967" t="str">
        <f>"7966"</f>
        <v>7966</v>
      </c>
      <c r="B7967" t="str">
        <f>"-0.44"</f>
        <v>-0.44</v>
      </c>
      <c r="C7967" t="str">
        <f>"26"</f>
        <v>26</v>
      </c>
      <c r="D7967" t="str">
        <f>"BLUE"</f>
        <v>BLUE</v>
      </c>
    </row>
    <row r="7968" spans="1:4" x14ac:dyDescent="0.2">
      <c r="A7968" t="str">
        <f>"7967"</f>
        <v>7967</v>
      </c>
      <c r="B7968" t="str">
        <f>"-0.09"</f>
        <v>-0.09</v>
      </c>
      <c r="C7968" t="str">
        <f>"27"</f>
        <v>27</v>
      </c>
      <c r="D7968" t="str">
        <f>"Cut Copy Presents: Oceans Apart"</f>
        <v>Cut Copy Presents: Oceans Apart</v>
      </c>
    </row>
    <row r="7969" spans="1:4" x14ac:dyDescent="0.2">
      <c r="A7969" t="str">
        <f>"7968"</f>
        <v>7968</v>
      </c>
      <c r="B7969" t="str">
        <f>"-1.11"</f>
        <v>-1.11</v>
      </c>
      <c r="C7969" t="str">
        <f>"47"</f>
        <v>47</v>
      </c>
      <c r="D7969" t="str">
        <f>"An Unending Pathway"</f>
        <v>An Unending Pathway</v>
      </c>
    </row>
    <row r="7970" spans="1:4" x14ac:dyDescent="0.2">
      <c r="A7970" t="str">
        <f>"7969"</f>
        <v>7969</v>
      </c>
      <c r="B7970" t="str">
        <f>"0.26"</f>
        <v>0.26</v>
      </c>
      <c r="C7970" t="str">
        <f>"37"</f>
        <v>37</v>
      </c>
      <c r="D7970" t="str">
        <f>"The Inevitable End"</f>
        <v>The Inevitable End</v>
      </c>
    </row>
    <row r="7971" spans="1:4" x14ac:dyDescent="0.2">
      <c r="A7971" t="str">
        <f>"7970"</f>
        <v>7970</v>
      </c>
      <c r="B7971" t="str">
        <f>"0.5"</f>
        <v>0.5</v>
      </c>
      <c r="C7971" t="str">
        <f>"88"</f>
        <v>88</v>
      </c>
      <c r="D7971" t="str">
        <f>"Bedhead: 1992-1998"</f>
        <v>Bedhead: 1992-1998</v>
      </c>
    </row>
    <row r="7972" spans="1:4" x14ac:dyDescent="0.2">
      <c r="A7972" t="str">
        <f>"7971"</f>
        <v>7971</v>
      </c>
      <c r="B7972" t="str">
        <f>"-0.82"</f>
        <v>-0.82</v>
      </c>
      <c r="C7972" t="str">
        <f>"26"</f>
        <v>26</v>
      </c>
      <c r="D7972" t="str">
        <f>"Gay Dog Food"</f>
        <v>Gay Dog Food</v>
      </c>
    </row>
    <row r="7973" spans="1:4" x14ac:dyDescent="0.2">
      <c r="A7973" t="str">
        <f>"7972"</f>
        <v>7972</v>
      </c>
      <c r="B7973" t="str">
        <f>"0.33"</f>
        <v>0.33</v>
      </c>
      <c r="C7973" t="str">
        <f>"26"</f>
        <v>26</v>
      </c>
      <c r="D7973" t="str">
        <f>"Hyperdub 10.4"</f>
        <v>Hyperdub 10.4</v>
      </c>
    </row>
    <row r="7974" spans="1:4" x14ac:dyDescent="0.2">
      <c r="A7974" t="str">
        <f>"7973"</f>
        <v>7973</v>
      </c>
      <c r="B7974" t="str">
        <f>"0.28"</f>
        <v>0.28</v>
      </c>
      <c r="C7974" t="str">
        <f>"29"</f>
        <v>29</v>
      </c>
      <c r="D7974" t="str">
        <f>"Bury Me at Makeout Creek"</f>
        <v>Bury Me at Makeout Creek</v>
      </c>
    </row>
    <row r="7975" spans="1:4" x14ac:dyDescent="0.2">
      <c r="A7975" t="str">
        <f>"7974"</f>
        <v>7974</v>
      </c>
      <c r="B7975" t="str">
        <f>"-0.05"</f>
        <v>-0.05</v>
      </c>
      <c r="C7975" t="str">
        <f>"49"</f>
        <v>49</v>
      </c>
      <c r="D7975" t="str">
        <f>"The Endless River"</f>
        <v>The Endless River</v>
      </c>
    </row>
    <row r="7976" spans="1:4" x14ac:dyDescent="0.2">
      <c r="A7976" t="str">
        <f>"7975"</f>
        <v>7975</v>
      </c>
      <c r="B7976" t="str">
        <f>"0.42"</f>
        <v>0.42</v>
      </c>
      <c r="C7976" t="str">
        <f>"47"</f>
        <v>47</v>
      </c>
      <c r="D7976" t="str">
        <f>"Next Life"</f>
        <v>Next Life</v>
      </c>
    </row>
    <row r="7977" spans="1:4" x14ac:dyDescent="0.2">
      <c r="A7977" t="str">
        <f>"7976"</f>
        <v>7976</v>
      </c>
      <c r="B7977" t="str">
        <f>"0.49"</f>
        <v>0.49</v>
      </c>
      <c r="C7977" t="str">
        <f>"25"</f>
        <v>25</v>
      </c>
      <c r="D7977" t="str">
        <f>"The Hum"</f>
        <v>The Hum</v>
      </c>
    </row>
    <row r="7978" spans="1:4" x14ac:dyDescent="0.2">
      <c r="A7978" t="str">
        <f>"7977"</f>
        <v>7977</v>
      </c>
      <c r="B7978" t="str">
        <f>"-0.76"</f>
        <v>-0.76</v>
      </c>
      <c r="C7978" t="str">
        <f>"39"</f>
        <v>39</v>
      </c>
      <c r="D7978" t="str">
        <f>"Daggers"</f>
        <v>Daggers</v>
      </c>
    </row>
    <row r="7979" spans="1:4" x14ac:dyDescent="0.2">
      <c r="A7979" t="str">
        <f>"7978"</f>
        <v>7978</v>
      </c>
      <c r="B7979" t="str">
        <f>"-0.19"</f>
        <v>-0.19</v>
      </c>
      <c r="C7979" t="str">
        <f>"20"</f>
        <v>20</v>
      </c>
      <c r="D7979" t="str">
        <f>"The New Today"</f>
        <v>The New Today</v>
      </c>
    </row>
    <row r="7980" spans="1:4" x14ac:dyDescent="0.2">
      <c r="A7980" t="str">
        <f>"7979"</f>
        <v>7979</v>
      </c>
      <c r="B7980" t="str">
        <f>"-0.08"</f>
        <v>-0.08</v>
      </c>
      <c r="C7980" t="str">
        <f>"37"</f>
        <v>37</v>
      </c>
      <c r="D7980" t="str">
        <f>"Content Nausea"</f>
        <v>Content Nausea</v>
      </c>
    </row>
    <row r="7981" spans="1:4" x14ac:dyDescent="0.2">
      <c r="A7981" t="str">
        <f>"7980"</f>
        <v>7980</v>
      </c>
      <c r="B7981" t="str">
        <f>"-0.16"</f>
        <v>-0.16</v>
      </c>
      <c r="C7981" t="str">
        <f>"41"</f>
        <v>41</v>
      </c>
      <c r="D7981" t="str">
        <f>"Sun Zoom Spark: 1970 to 1972"</f>
        <v>Sun Zoom Spark: 1970 to 1972</v>
      </c>
    </row>
    <row r="7982" spans="1:4" x14ac:dyDescent="0.2">
      <c r="A7982" t="str">
        <f>"7981"</f>
        <v>7981</v>
      </c>
      <c r="B7982" t="str">
        <f>"-0.81"</f>
        <v>-0.81</v>
      </c>
      <c r="C7982" t="str">
        <f>"25"</f>
        <v>25</v>
      </c>
      <c r="D7982" t="str">
        <f>"Final Days"</f>
        <v>Final Days</v>
      </c>
    </row>
    <row r="7983" spans="1:4" x14ac:dyDescent="0.2">
      <c r="A7983" t="str">
        <f>"7982"</f>
        <v>7982</v>
      </c>
      <c r="B7983" t="str">
        <f>"0.5"</f>
        <v>0.5</v>
      </c>
      <c r="C7983" t="str">
        <f>"18"</f>
        <v>18</v>
      </c>
      <c r="D7983" t="str">
        <f>"Michael"</f>
        <v>Michael</v>
      </c>
    </row>
    <row r="7984" spans="1:4" x14ac:dyDescent="0.2">
      <c r="A7984" t="str">
        <f>"7983"</f>
        <v>7983</v>
      </c>
      <c r="B7984" t="str">
        <f>"-0.93"</f>
        <v>-0.93</v>
      </c>
      <c r="C7984" t="str">
        <f>"29"</f>
        <v>29</v>
      </c>
      <c r="D7984" t="str">
        <f>"Let's Cry and Do Pushups at the Same Time"</f>
        <v>Let's Cry and Do Pushups at the Same Time</v>
      </c>
    </row>
    <row r="7985" spans="1:4" x14ac:dyDescent="0.2">
      <c r="A7985" t="str">
        <f>"7984"</f>
        <v>7984</v>
      </c>
      <c r="B7985" t="str">
        <f>"-0.49"</f>
        <v>-0.49</v>
      </c>
      <c r="C7985" t="str">
        <f>"38"</f>
        <v>38</v>
      </c>
      <c r="D7985" t="str">
        <f>"Broke With Expensive Taste"</f>
        <v>Broke With Expensive Taste</v>
      </c>
    </row>
    <row r="7986" spans="1:4" x14ac:dyDescent="0.2">
      <c r="A7986" t="str">
        <f>"7985"</f>
        <v>7985</v>
      </c>
      <c r="B7986" t="str">
        <f>"0.71"</f>
        <v>0.71</v>
      </c>
      <c r="C7986" t="str">
        <f>"58"</f>
        <v>58</v>
      </c>
      <c r="D7986" t="str">
        <f>"Turning"</f>
        <v>Turning</v>
      </c>
    </row>
    <row r="7987" spans="1:4" x14ac:dyDescent="0.2">
      <c r="A7987" t="str">
        <f>"7986"</f>
        <v>7986</v>
      </c>
      <c r="B7987" t="str">
        <f>"0.59"</f>
        <v>0.59</v>
      </c>
      <c r="C7987" t="str">
        <f>"17"</f>
        <v>17</v>
      </c>
      <c r="D7987" t="str">
        <f>"Enter Ghost"</f>
        <v>Enter Ghost</v>
      </c>
    </row>
    <row r="7988" spans="1:4" x14ac:dyDescent="0.2">
      <c r="A7988" t="str">
        <f>"7987"</f>
        <v>7987</v>
      </c>
      <c r="B7988" t="str">
        <f>"-0.48"</f>
        <v>-0.48</v>
      </c>
      <c r="C7988" t="str">
        <f>"27"</f>
        <v>27</v>
      </c>
      <c r="D7988" t="str">
        <f>"The Other I"</f>
        <v>The Other I</v>
      </c>
    </row>
    <row r="7989" spans="1:4" x14ac:dyDescent="0.2">
      <c r="A7989" t="str">
        <f>"7988"</f>
        <v>7988</v>
      </c>
      <c r="B7989" t="str">
        <f>"-0.63"</f>
        <v>-0.63</v>
      </c>
      <c r="C7989" t="str">
        <f>"32"</f>
        <v>32</v>
      </c>
      <c r="D7989" t="str">
        <f>"Lost on the River: The New Basement Tapes"</f>
        <v>Lost on the River: The New Basement Tapes</v>
      </c>
    </row>
    <row r="7990" spans="1:4" x14ac:dyDescent="0.2">
      <c r="A7990" t="str">
        <f>"7989"</f>
        <v>7989</v>
      </c>
      <c r="B7990" t="str">
        <f>"-0.17"</f>
        <v>-0.17</v>
      </c>
      <c r="C7990" t="str">
        <f>"34"</f>
        <v>34</v>
      </c>
      <c r="D7990" t="str">
        <f>"Sonic Highways"</f>
        <v>Sonic Highways</v>
      </c>
    </row>
    <row r="7991" spans="1:4" x14ac:dyDescent="0.2">
      <c r="A7991" t="str">
        <f>"7990"</f>
        <v>7990</v>
      </c>
      <c r="B7991" t="str">
        <f>"1.34"</f>
        <v>1.34</v>
      </c>
      <c r="C7991" t="str">
        <f>"17"</f>
        <v>17</v>
      </c>
      <c r="D7991" t="str">
        <f>"Asleep Versions EP"</f>
        <v>Asleep Versions EP</v>
      </c>
    </row>
    <row r="7992" spans="1:4" x14ac:dyDescent="0.2">
      <c r="A7992" t="str">
        <f>"7991"</f>
        <v>7991</v>
      </c>
      <c r="B7992" t="str">
        <f>"0.75"</f>
        <v>0.75</v>
      </c>
      <c r="C7992" t="str">
        <f>"21"</f>
        <v>21</v>
      </c>
      <c r="D7992" t="str">
        <f>"Museum of Love"</f>
        <v>Museum of Love</v>
      </c>
    </row>
    <row r="7993" spans="1:4" x14ac:dyDescent="0.2">
      <c r="A7993" t="str">
        <f>"7992"</f>
        <v>7992</v>
      </c>
      <c r="B7993" t="str">
        <f>"1.21"</f>
        <v>1.21</v>
      </c>
      <c r="C7993" t="str">
        <f>"18"</f>
        <v>18</v>
      </c>
      <c r="D7993" t="str">
        <f>"Hypnotized"</f>
        <v>Hypnotized</v>
      </c>
    </row>
    <row r="7994" spans="1:4" x14ac:dyDescent="0.2">
      <c r="A7994" t="str">
        <f>"7993"</f>
        <v>7993</v>
      </c>
      <c r="B7994" t="str">
        <f>"-0.47"</f>
        <v>-0.47</v>
      </c>
      <c r="C7994" t="str">
        <f>"40"</f>
        <v>40</v>
      </c>
      <c r="D7994" t="str">
        <f>"The Immoralist"</f>
        <v>The Immoralist</v>
      </c>
    </row>
    <row r="7995" spans="1:4" x14ac:dyDescent="0.2">
      <c r="A7995" t="str">
        <f>"7994"</f>
        <v>7994</v>
      </c>
      <c r="B7995" t="str">
        <f>"-0.23"</f>
        <v>-0.23</v>
      </c>
      <c r="C7995" t="str">
        <f>"40"</f>
        <v>40</v>
      </c>
      <c r="D7995" t="str">
        <f>"Clark"</f>
        <v>Clark</v>
      </c>
    </row>
    <row r="7996" spans="1:4" x14ac:dyDescent="0.2">
      <c r="A7996" t="str">
        <f>"7995"</f>
        <v>7995</v>
      </c>
      <c r="B7996" t="str">
        <f>"-0.25"</f>
        <v>-0.25</v>
      </c>
      <c r="C7996" t="str">
        <f>"31"</f>
        <v>31</v>
      </c>
      <c r="D7996" t="str">
        <f>"La Isla Bonita"</f>
        <v>La Isla Bonita</v>
      </c>
    </row>
    <row r="7997" spans="1:4" x14ac:dyDescent="0.2">
      <c r="A7997" t="str">
        <f>"7996"</f>
        <v>7996</v>
      </c>
      <c r="B7997" t="str">
        <f>"-1.34"</f>
        <v>-1.34</v>
      </c>
      <c r="C7997" t="str">
        <f>"22"</f>
        <v>22</v>
      </c>
      <c r="D7997" t="s">
        <v>278</v>
      </c>
    </row>
    <row r="7998" spans="1:4" x14ac:dyDescent="0.2">
      <c r="A7998" t="str">
        <f>"7997"</f>
        <v>7997</v>
      </c>
      <c r="B7998" t="str">
        <f>"0.58"</f>
        <v>0.58</v>
      </c>
      <c r="C7998" t="str">
        <f>"41"</f>
        <v>41</v>
      </c>
      <c r="D7998" t="str">
        <f>"Mind Fair"</f>
        <v>Mind Fair</v>
      </c>
    </row>
    <row r="7999" spans="1:4" x14ac:dyDescent="0.2">
      <c r="A7999" t="str">
        <f>"7998"</f>
        <v>7998</v>
      </c>
      <c r="B7999" t="str">
        <f>"-0.15"</f>
        <v>-0.15</v>
      </c>
      <c r="C7999" t="str">
        <f>"32"</f>
        <v>32</v>
      </c>
      <c r="D7999" t="str">
        <f>"A Song for Echo"</f>
        <v>A Song for Echo</v>
      </c>
    </row>
    <row r="8000" spans="1:4" x14ac:dyDescent="0.2">
      <c r="A8000" t="str">
        <f>"7999"</f>
        <v>7999</v>
      </c>
      <c r="B8000" t="str">
        <f>"-0.07"</f>
        <v>-0.07</v>
      </c>
      <c r="C8000" t="str">
        <f>"28"</f>
        <v>28</v>
      </c>
      <c r="D8000" t="str">
        <f>"Sings Christmas Carols"</f>
        <v>Sings Christmas Carols</v>
      </c>
    </row>
    <row r="8001" spans="1:4" x14ac:dyDescent="0.2">
      <c r="A8001" t="str">
        <f>"8000"</f>
        <v>8000</v>
      </c>
      <c r="B8001" t="str">
        <f>"-0.11"</f>
        <v>-0.11</v>
      </c>
      <c r="C8001" t="str">
        <f>"44"</f>
        <v>44</v>
      </c>
      <c r="D8001" t="str">
        <f>"Gentlemen at 21"</f>
        <v>Gentlemen at 21</v>
      </c>
    </row>
    <row r="8002" spans="1:4" x14ac:dyDescent="0.2">
      <c r="A8002" t="str">
        <f>"8001"</f>
        <v>8001</v>
      </c>
      <c r="B8002" t="str">
        <f>"0.22"</f>
        <v>0.22</v>
      </c>
      <c r="C8002" t="str">
        <f>"31"</f>
        <v>31</v>
      </c>
      <c r="D8002" t="str">
        <f>"HAERTS"</f>
        <v>HAERTS</v>
      </c>
    </row>
    <row r="8003" spans="1:4" x14ac:dyDescent="0.2">
      <c r="A8003" t="str">
        <f>"8002"</f>
        <v>8002</v>
      </c>
      <c r="B8003" t="str">
        <f>"0.23"</f>
        <v>0.23</v>
      </c>
      <c r="C8003" t="str">
        <f>"27"</f>
        <v>27</v>
      </c>
      <c r="D8003" t="str">
        <f>"Release"</f>
        <v>Release</v>
      </c>
    </row>
    <row r="8004" spans="1:4" x14ac:dyDescent="0.2">
      <c r="A8004" t="str">
        <f>"8003"</f>
        <v>8003</v>
      </c>
      <c r="B8004" t="str">
        <f>"0.95"</f>
        <v>0.95</v>
      </c>
      <c r="C8004" t="str">
        <f>"27"</f>
        <v>27</v>
      </c>
      <c r="D8004" t="str">
        <f>"Livity Sound Remixes"</f>
        <v>Livity Sound Remixes</v>
      </c>
    </row>
    <row r="8005" spans="1:4" x14ac:dyDescent="0.2">
      <c r="A8005" t="str">
        <f>"8004"</f>
        <v>8004</v>
      </c>
      <c r="B8005" t="str">
        <f>"-0.58"</f>
        <v>-0.58</v>
      </c>
      <c r="C8005" t="str">
        <f>"74"</f>
        <v>74</v>
      </c>
      <c r="D8005" t="str">
        <f>"This Is a Long Drive for Someone With Nothing to Think About"</f>
        <v>This Is a Long Drive for Someone With Nothing to Think About</v>
      </c>
    </row>
    <row r="8006" spans="1:4" x14ac:dyDescent="0.2">
      <c r="A8006" t="str">
        <f>"8005"</f>
        <v>8005</v>
      </c>
      <c r="B8006" t="str">
        <f>"0.41"</f>
        <v>0.41</v>
      </c>
      <c r="C8006" t="str">
        <f>"39"</f>
        <v>39</v>
      </c>
      <c r="D8006" t="str">
        <f>"Alone for the First Time"</f>
        <v>Alone for the First Time</v>
      </c>
    </row>
    <row r="8007" spans="1:4" x14ac:dyDescent="0.2">
      <c r="A8007" t="str">
        <f>"8006"</f>
        <v>8006</v>
      </c>
      <c r="B8007" t="str">
        <f>"0.31"</f>
        <v>0.31</v>
      </c>
      <c r="C8007" t="str">
        <f>"30"</f>
        <v>30</v>
      </c>
      <c r="D8007" t="str">
        <f>"Tecuciztecatl"</f>
        <v>Tecuciztecatl</v>
      </c>
    </row>
    <row r="8008" spans="1:4" x14ac:dyDescent="0.2">
      <c r="A8008" t="str">
        <f>"8007"</f>
        <v>8007</v>
      </c>
      <c r="B8008" t="str">
        <f>"-0.05"</f>
        <v>-0.05</v>
      </c>
      <c r="C8008" t="str">
        <f>"45"</f>
        <v>45</v>
      </c>
      <c r="D8008" t="str">
        <f>"The Last Dawn"</f>
        <v>The Last Dawn</v>
      </c>
    </row>
    <row r="8009" spans="1:4" x14ac:dyDescent="0.2">
      <c r="A8009" t="str">
        <f>"8008"</f>
        <v>8008</v>
      </c>
      <c r="B8009" t="str">
        <f>"-1.07"</f>
        <v>-1.07</v>
      </c>
      <c r="C8009" t="str">
        <f>"31"</f>
        <v>31</v>
      </c>
      <c r="D8009" t="str">
        <f>"Nothing Important"</f>
        <v>Nothing Important</v>
      </c>
    </row>
    <row r="8010" spans="1:4" x14ac:dyDescent="0.2">
      <c r="A8010" t="str">
        <f>"8009"</f>
        <v>8009</v>
      </c>
      <c r="B8010" t="str">
        <f>"-0.03"</f>
        <v>-0.03</v>
      </c>
      <c r="C8010" t="str">
        <f>"26"</f>
        <v>26</v>
      </c>
      <c r="D8010" t="str">
        <f>"Storytone"</f>
        <v>Storytone</v>
      </c>
    </row>
    <row r="8011" spans="1:4" x14ac:dyDescent="0.2">
      <c r="A8011" t="str">
        <f>"8010"</f>
        <v>8010</v>
      </c>
      <c r="B8011" t="str">
        <f>"0.69"</f>
        <v>0.69</v>
      </c>
      <c r="C8011" t="str">
        <f>"26"</f>
        <v>26</v>
      </c>
      <c r="D8011" t="str">
        <f>"Reincarnations Pt. 2"</f>
        <v>Reincarnations Pt. 2</v>
      </c>
    </row>
    <row r="8012" spans="1:4" x14ac:dyDescent="0.2">
      <c r="A8012" t="str">
        <f>"8011"</f>
        <v>8011</v>
      </c>
      <c r="B8012" t="str">
        <f>"-0.46"</f>
        <v>-0.46</v>
      </c>
      <c r="C8012" t="str">
        <f>"27"</f>
        <v>27</v>
      </c>
      <c r="D8012" t="s">
        <v>279</v>
      </c>
    </row>
    <row r="8013" spans="1:4" x14ac:dyDescent="0.2">
      <c r="A8013" t="str">
        <f>"8012"</f>
        <v>8012</v>
      </c>
      <c r="B8013" t="str">
        <f>"-0.13"</f>
        <v>-0.13</v>
      </c>
      <c r="C8013" t="str">
        <f>"47"</f>
        <v>47</v>
      </c>
      <c r="D8013" t="str">
        <f>"Believer"</f>
        <v>Believer</v>
      </c>
    </row>
    <row r="8014" spans="1:4" x14ac:dyDescent="0.2">
      <c r="A8014" t="str">
        <f>"8013"</f>
        <v>8013</v>
      </c>
      <c r="B8014" t="str">
        <f>"-1.82"</f>
        <v>-1.82</v>
      </c>
      <c r="C8014" t="str">
        <f>"22"</f>
        <v>22</v>
      </c>
      <c r="D8014" t="str">
        <f>"Poison Everything"</f>
        <v>Poison Everything</v>
      </c>
    </row>
    <row r="8015" spans="1:4" x14ac:dyDescent="0.2">
      <c r="A8015" t="str">
        <f>"8014"</f>
        <v>8014</v>
      </c>
      <c r="B8015" t="str">
        <f>"-0.39"</f>
        <v>-0.39</v>
      </c>
      <c r="C8015" t="str">
        <f>"45"</f>
        <v>45</v>
      </c>
      <c r="D8015" t="str">
        <f>"Xen"</f>
        <v>Xen</v>
      </c>
    </row>
    <row r="8016" spans="1:4" x14ac:dyDescent="0.2">
      <c r="A8016" t="str">
        <f>"8015"</f>
        <v>8015</v>
      </c>
      <c r="B8016" t="str">
        <f>"-0.14"</f>
        <v>-0.14</v>
      </c>
      <c r="C8016" t="str">
        <f>"35"</f>
        <v>35</v>
      </c>
      <c r="D8016" t="str">
        <f>"Stateless"</f>
        <v>Stateless</v>
      </c>
    </row>
    <row r="8017" spans="1:4" x14ac:dyDescent="0.2">
      <c r="A8017" t="str">
        <f>"8016"</f>
        <v>8016</v>
      </c>
      <c r="B8017" t="str">
        <f>"-0.56"</f>
        <v>-0.56</v>
      </c>
      <c r="C8017" t="str">
        <f>"52"</f>
        <v>52</v>
      </c>
      <c r="D8017" t="str">
        <f>"Keep You"</f>
        <v>Keep You</v>
      </c>
    </row>
    <row r="8018" spans="1:4" x14ac:dyDescent="0.2">
      <c r="A8018" t="str">
        <f>"8017"</f>
        <v>8017</v>
      </c>
      <c r="B8018" t="str">
        <f>"0.41"</f>
        <v>0.41</v>
      </c>
      <c r="C8018" t="str">
        <f>"46"</f>
        <v>46</v>
      </c>
      <c r="D8018" t="str">
        <f>"Songs"</f>
        <v>Songs</v>
      </c>
    </row>
    <row r="8019" spans="1:4" x14ac:dyDescent="0.2">
      <c r="A8019" t="str">
        <f>"8018"</f>
        <v>8018</v>
      </c>
      <c r="B8019" t="str">
        <f>"-1.05"</f>
        <v>-1.05</v>
      </c>
      <c r="C8019" t="str">
        <f>"29"</f>
        <v>29</v>
      </c>
      <c r="D8019" t="str">
        <f>"Sextet"</f>
        <v>Sextet</v>
      </c>
    </row>
    <row r="8020" spans="1:4" x14ac:dyDescent="0.2">
      <c r="A8020" t="str">
        <f>"8019"</f>
        <v>8019</v>
      </c>
      <c r="B8020" t="str">
        <f>"-0.85"</f>
        <v>-0.85</v>
      </c>
      <c r="C8020" t="str">
        <f>"76"</f>
        <v>76</v>
      </c>
      <c r="D8020" t="str">
        <f>"Run the Jewels 2"</f>
        <v>Run the Jewels 2</v>
      </c>
    </row>
    <row r="8021" spans="1:4" x14ac:dyDescent="0.2">
      <c r="A8021" t="str">
        <f>"8020"</f>
        <v>8020</v>
      </c>
      <c r="B8021" t="str">
        <f>"0.28"</f>
        <v>0.28</v>
      </c>
      <c r="C8021" t="str">
        <f>"55"</f>
        <v>55</v>
      </c>
      <c r="D8021" t="str">
        <f>"The Power of Failing"</f>
        <v>The Power of Failing</v>
      </c>
    </row>
    <row r="8022" spans="1:4" x14ac:dyDescent="0.2">
      <c r="A8022" t="str">
        <f>"8021"</f>
        <v>8021</v>
      </c>
      <c r="B8022" t="str">
        <f>"0.31"</f>
        <v>0.31</v>
      </c>
      <c r="C8022" t="str">
        <f>"35"</f>
        <v>35</v>
      </c>
      <c r="D8022" t="str">
        <f>"Sell Sole"</f>
        <v>Sell Sole</v>
      </c>
    </row>
    <row r="8023" spans="1:4" x14ac:dyDescent="0.2">
      <c r="A8023" t="str">
        <f>"8022"</f>
        <v>8022</v>
      </c>
      <c r="B8023" t="str">
        <f>"-0.66"</f>
        <v>-0.66</v>
      </c>
      <c r="C8023" t="str">
        <f>"33"</f>
        <v>33</v>
      </c>
      <c r="D8023" t="str">
        <f>"Lifer"</f>
        <v>Lifer</v>
      </c>
    </row>
    <row r="8024" spans="1:4" x14ac:dyDescent="0.2">
      <c r="A8024" t="str">
        <f>"8023"</f>
        <v>8023</v>
      </c>
      <c r="B8024" t="str">
        <f>"-0.43"</f>
        <v>-0.43</v>
      </c>
      <c r="C8024" t="str">
        <f>"45"</f>
        <v>45</v>
      </c>
      <c r="D8024" t="str">
        <f>"Then It All Came Down"</f>
        <v>Then It All Came Down</v>
      </c>
    </row>
    <row r="8025" spans="1:4" x14ac:dyDescent="0.2">
      <c r="A8025" t="str">
        <f>"8024"</f>
        <v>8024</v>
      </c>
      <c r="B8025" t="str">
        <f>"0.01"</f>
        <v>0.01</v>
      </c>
      <c r="C8025" t="str">
        <f>"45"</f>
        <v>45</v>
      </c>
      <c r="D8025" t="str">
        <f>"Ruins"</f>
        <v>Ruins</v>
      </c>
    </row>
    <row r="8026" spans="1:4" x14ac:dyDescent="0.2">
      <c r="A8026" t="str">
        <f>"8025"</f>
        <v>8025</v>
      </c>
      <c r="B8026" t="str">
        <f>"0.41"</f>
        <v>0.41</v>
      </c>
      <c r="C8026" t="str">
        <f>"63"</f>
        <v>63</v>
      </c>
      <c r="D8026" t="str">
        <f>"Offering: Live at Temple University"</f>
        <v>Offering: Live at Temple University</v>
      </c>
    </row>
    <row r="8027" spans="1:4" x14ac:dyDescent="0.2">
      <c r="A8027" t="str">
        <f>"8026"</f>
        <v>8026</v>
      </c>
      <c r="B8027" t="str">
        <f>"0.65"</f>
        <v>0.65</v>
      </c>
      <c r="C8027" t="str">
        <f>"38"</f>
        <v>38</v>
      </c>
      <c r="D8027" t="str">
        <f>"Home Everywhere"</f>
        <v>Home Everywhere</v>
      </c>
    </row>
    <row r="8028" spans="1:4" x14ac:dyDescent="0.2">
      <c r="A8028" t="str">
        <f>"8027"</f>
        <v>8027</v>
      </c>
      <c r="B8028" t="str">
        <f>"-0.19"</f>
        <v>-0.19</v>
      </c>
      <c r="C8028" t="str">
        <f>"33"</f>
        <v>33</v>
      </c>
      <c r="D8028" t="str">
        <f>"The Innocents"</f>
        <v>The Innocents</v>
      </c>
    </row>
    <row r="8029" spans="1:4" x14ac:dyDescent="0.2">
      <c r="A8029" t="str">
        <f>"8028"</f>
        <v>8028</v>
      </c>
      <c r="B8029" t="str">
        <f>"-0.65"</f>
        <v>-0.65</v>
      </c>
      <c r="C8029" t="str">
        <f>"29"</f>
        <v>29</v>
      </c>
      <c r="D8029" t="str">
        <f>"Earth Suck"</f>
        <v>Earth Suck</v>
      </c>
    </row>
    <row r="8030" spans="1:4" x14ac:dyDescent="0.2">
      <c r="A8030" t="str">
        <f>"8029"</f>
        <v>8029</v>
      </c>
      <c r="B8030" t="str">
        <f>"0.29"</f>
        <v>0.29</v>
      </c>
      <c r="C8030" t="str">
        <f>"43"</f>
        <v>43</v>
      </c>
      <c r="D8030" t="str">
        <f>"With a Little Help From My Fwends"</f>
        <v>With a Little Help From My Fwends</v>
      </c>
    </row>
    <row r="8031" spans="1:4" x14ac:dyDescent="0.2">
      <c r="A8031" t="str">
        <f>"8030"</f>
        <v>8030</v>
      </c>
      <c r="B8031" t="str">
        <f>"-0.28"</f>
        <v>-0.28</v>
      </c>
      <c r="C8031" t="str">
        <f>"32"</f>
        <v>32</v>
      </c>
      <c r="D8031" t="str">
        <f>"Memoria Vetusta III – Saturnian Poetry"</f>
        <v>Memoria Vetusta III – Saturnian Poetry</v>
      </c>
    </row>
    <row r="8032" spans="1:4" x14ac:dyDescent="0.2">
      <c r="A8032" t="str">
        <f>"8031"</f>
        <v>8031</v>
      </c>
      <c r="B8032" t="str">
        <f>"0.55"</f>
        <v>0.55</v>
      </c>
      <c r="C8032" t="str">
        <f>"44"</f>
        <v>44</v>
      </c>
      <c r="D8032" t="str">
        <f>"If There's a Hell Below"</f>
        <v>If There's a Hell Below</v>
      </c>
    </row>
    <row r="8033" spans="1:4" x14ac:dyDescent="0.2">
      <c r="A8033" t="str">
        <f>"8032"</f>
        <v>8032</v>
      </c>
      <c r="B8033" t="str">
        <f>"0.46"</f>
        <v>0.46</v>
      </c>
      <c r="C8033" t="str">
        <f>"19"</f>
        <v>19</v>
      </c>
      <c r="D8033" t="str">
        <f>"One More EP"</f>
        <v>One More EP</v>
      </c>
    </row>
    <row r="8034" spans="1:4" x14ac:dyDescent="0.2">
      <c r="A8034" t="str">
        <f>"8033"</f>
        <v>8033</v>
      </c>
      <c r="B8034" t="str">
        <f>"-0.73"</f>
        <v>-0.73</v>
      </c>
      <c r="C8034" t="str">
        <f>"33"</f>
        <v>33</v>
      </c>
      <c r="D8034" t="str">
        <f>"Slow Dawns for Lost Conclusions"</f>
        <v>Slow Dawns for Lost Conclusions</v>
      </c>
    </row>
    <row r="8035" spans="1:4" x14ac:dyDescent="0.2">
      <c r="A8035" t="str">
        <f>"8034"</f>
        <v>8034</v>
      </c>
      <c r="B8035" t="str">
        <f>"-0.24"</f>
        <v>-0.24</v>
      </c>
      <c r="C8035" t="str">
        <f>"152"</f>
        <v>152</v>
      </c>
      <c r="D8035" t="str">
        <f>"Start Together"</f>
        <v>Start Together</v>
      </c>
    </row>
    <row r="8036" spans="1:4" x14ac:dyDescent="0.2">
      <c r="A8036" t="str">
        <f>"8035"</f>
        <v>8035</v>
      </c>
      <c r="B8036" t="str">
        <f>"-0.02"</f>
        <v>-0.02</v>
      </c>
      <c r="C8036" t="str">
        <f>"35"</f>
        <v>35</v>
      </c>
      <c r="D8036" t="str">
        <f>"Paperwork"</f>
        <v>Paperwork</v>
      </c>
    </row>
    <row r="8037" spans="1:4" x14ac:dyDescent="0.2">
      <c r="A8037" t="str">
        <f>"8036"</f>
        <v>8036</v>
      </c>
      <c r="B8037" t="str">
        <f>"-1.04"</f>
        <v>-1.04</v>
      </c>
      <c r="C8037" t="str">
        <f>"26"</f>
        <v>26</v>
      </c>
      <c r="D8037" t="str">
        <f>"Nobody Wants to Be Here and Nobody Wants to Leave"</f>
        <v>Nobody Wants to Be Here and Nobody Wants to Leave</v>
      </c>
    </row>
    <row r="8038" spans="1:4" x14ac:dyDescent="0.2">
      <c r="A8038" t="str">
        <f>"8037"</f>
        <v>8037</v>
      </c>
      <c r="B8038" t="str">
        <f>"0.53"</f>
        <v>0.53</v>
      </c>
      <c r="C8038" t="str">
        <f>"40"</f>
        <v>40</v>
      </c>
      <c r="D8038" t="str">
        <f>"The Cavern EP"</f>
        <v>The Cavern EP</v>
      </c>
    </row>
    <row r="8039" spans="1:4" x14ac:dyDescent="0.2">
      <c r="A8039" t="str">
        <f>"8038"</f>
        <v>8038</v>
      </c>
      <c r="B8039" t="str">
        <f>"-0.59"</f>
        <v>-0.59</v>
      </c>
      <c r="C8039" t="str">
        <f>"34"</f>
        <v>34</v>
      </c>
      <c r="D8039" t="str">
        <f>"Mass &amp; Volume EP"</f>
        <v>Mass &amp; Volume EP</v>
      </c>
    </row>
    <row r="8040" spans="1:4" x14ac:dyDescent="0.2">
      <c r="A8040" t="str">
        <f>"8039"</f>
        <v>8039</v>
      </c>
      <c r="B8040" t="str">
        <f>"0.35"</f>
        <v>0.35</v>
      </c>
      <c r="C8040" t="str">
        <f>"35"</f>
        <v>35</v>
      </c>
      <c r="D8040" t="str">
        <f>"Expanded (Live at the Barbican)"</f>
        <v>Expanded (Live at the Barbican)</v>
      </c>
    </row>
    <row r="8041" spans="1:4" x14ac:dyDescent="0.2">
      <c r="A8041" t="str">
        <f>"8040"</f>
        <v>8040</v>
      </c>
      <c r="B8041" t="str">
        <f>"0.7"</f>
        <v>0.7</v>
      </c>
      <c r="C8041" t="str">
        <f>"33"</f>
        <v>33</v>
      </c>
      <c r="D8041" t="str">
        <f>"Flatland"</f>
        <v>Flatland</v>
      </c>
    </row>
    <row r="8042" spans="1:4" x14ac:dyDescent="0.2">
      <c r="A8042" t="str">
        <f>"8041"</f>
        <v>8041</v>
      </c>
      <c r="B8042" t="str">
        <f>"0.29"</f>
        <v>0.29</v>
      </c>
      <c r="C8042" t="str">
        <f>"25"</f>
        <v>25</v>
      </c>
      <c r="D8042" t="str">
        <f>"Tomorrow Was the Golden Age"</f>
        <v>Tomorrow Was the Golden Age</v>
      </c>
    </row>
    <row r="8043" spans="1:4" x14ac:dyDescent="0.2">
      <c r="A8043" t="str">
        <f>"8042"</f>
        <v>8042</v>
      </c>
      <c r="B8043" t="str">
        <f>"0.5"</f>
        <v>0.5</v>
      </c>
      <c r="C8043" t="str">
        <f>"25"</f>
        <v>25</v>
      </c>
      <c r="D8043" t="str">
        <f>"Burnt Offering"</f>
        <v>Burnt Offering</v>
      </c>
    </row>
    <row r="8044" spans="1:4" x14ac:dyDescent="0.2">
      <c r="A8044" t="str">
        <f>"8043"</f>
        <v>8043</v>
      </c>
      <c r="B8044" t="str">
        <f>"-0.02"</f>
        <v>-0.02</v>
      </c>
      <c r="C8044" t="str">
        <f>"34"</f>
        <v>34</v>
      </c>
      <c r="D8044" t="str">
        <f>"Marigolden"</f>
        <v>Marigolden</v>
      </c>
    </row>
    <row r="8045" spans="1:4" x14ac:dyDescent="0.2">
      <c r="A8045" t="str">
        <f>"8044"</f>
        <v>8044</v>
      </c>
      <c r="B8045" t="str">
        <f>"-0.53"</f>
        <v>-0.53</v>
      </c>
      <c r="C8045" t="str">
        <f>"63"</f>
        <v>63</v>
      </c>
      <c r="D8045" t="str">
        <f>"Soused"</f>
        <v>Soused</v>
      </c>
    </row>
    <row r="8046" spans="1:4" x14ac:dyDescent="0.2">
      <c r="A8046" t="str">
        <f>"8045"</f>
        <v>8045</v>
      </c>
      <c r="B8046" t="str">
        <f>"0.85"</f>
        <v>0.85</v>
      </c>
      <c r="C8046" t="str">
        <f>"31"</f>
        <v>31</v>
      </c>
      <c r="D8046" t="str">
        <f>"77"</f>
        <v>77</v>
      </c>
    </row>
    <row r="8047" spans="1:4" x14ac:dyDescent="0.2">
      <c r="A8047" t="str">
        <f>"8046"</f>
        <v>8046</v>
      </c>
      <c r="B8047" t="str">
        <f>"0.6"</f>
        <v>0.6</v>
      </c>
      <c r="C8047" t="str">
        <f>"23"</f>
        <v>23</v>
      </c>
      <c r="D8047" t="str">
        <f>"Sound of a Woman"</f>
        <v>Sound of a Woman</v>
      </c>
    </row>
    <row r="8048" spans="1:4" x14ac:dyDescent="0.2">
      <c r="A8048" t="str">
        <f>"8047"</f>
        <v>8047</v>
      </c>
      <c r="B8048" t="str">
        <f>"0.88"</f>
        <v>0.88</v>
      </c>
      <c r="C8048" t="str">
        <f>"29"</f>
        <v>29</v>
      </c>
      <c r="D8048" t="str">
        <f>"So It Is With Us"</f>
        <v>So It Is With Us</v>
      </c>
    </row>
    <row r="8049" spans="1:4" x14ac:dyDescent="0.2">
      <c r="A8049" t="str">
        <f>"8048"</f>
        <v>8048</v>
      </c>
      <c r="B8049" t="str">
        <f>"-0.23"</f>
        <v>-0.23</v>
      </c>
      <c r="C8049" t="str">
        <f>"36"</f>
        <v>36</v>
      </c>
      <c r="D8049" t="str">
        <f>"Venus Armata"</f>
        <v>Venus Armata</v>
      </c>
    </row>
    <row r="8050" spans="1:4" x14ac:dyDescent="0.2">
      <c r="A8050" t="str">
        <f>"8049"</f>
        <v>8049</v>
      </c>
      <c r="B8050" t="str">
        <f>"0.73"</f>
        <v>0.73</v>
      </c>
      <c r="C8050" t="str">
        <f>"25"</f>
        <v>25</v>
      </c>
      <c r="D8050" t="str">
        <f>"Master Mix: Red Hot + Arthur Russell"</f>
        <v>Master Mix: Red Hot + Arthur Russell</v>
      </c>
    </row>
    <row r="8051" spans="1:4" x14ac:dyDescent="0.2">
      <c r="A8051" t="str">
        <f>"8050"</f>
        <v>8050</v>
      </c>
      <c r="B8051" t="str">
        <f>"-0.8"</f>
        <v>-0.8</v>
      </c>
      <c r="C8051" t="str">
        <f>"22"</f>
        <v>22</v>
      </c>
      <c r="D8051" t="str">
        <f>"IX"</f>
        <v>IX</v>
      </c>
    </row>
    <row r="8052" spans="1:4" x14ac:dyDescent="0.2">
      <c r="A8052" t="str">
        <f>"8051"</f>
        <v>8051</v>
      </c>
      <c r="B8052" t="str">
        <f>"1.12"</f>
        <v>1.12</v>
      </c>
      <c r="C8052" t="str">
        <f>"38"</f>
        <v>38</v>
      </c>
      <c r="D8052" t="str">
        <f>"Love Ain't No Mystery"</f>
        <v>Love Ain't No Mystery</v>
      </c>
    </row>
    <row r="8053" spans="1:4" x14ac:dyDescent="0.2">
      <c r="A8053" t="str">
        <f>"8052"</f>
        <v>8052</v>
      </c>
      <c r="B8053" t="str">
        <f>"-0.54"</f>
        <v>-0.54</v>
      </c>
      <c r="C8053" t="str">
        <f>"51"</f>
        <v>51</v>
      </c>
      <c r="D8053" t="str">
        <f>"We Are Time"</f>
        <v>We Are Time</v>
      </c>
    </row>
    <row r="8054" spans="1:4" x14ac:dyDescent="0.2">
      <c r="A8054" t="str">
        <f>"8053"</f>
        <v>8053</v>
      </c>
      <c r="B8054" t="str">
        <f>"-0.85"</f>
        <v>-0.85</v>
      </c>
      <c r="C8054" t="str">
        <f>"33"</f>
        <v>33</v>
      </c>
      <c r="D8054" t="str">
        <f>"Frenemies EP"</f>
        <v>Frenemies EP</v>
      </c>
    </row>
    <row r="8055" spans="1:4" x14ac:dyDescent="0.2">
      <c r="A8055" t="str">
        <f>"8054"</f>
        <v>8054</v>
      </c>
      <c r="B8055" t="str">
        <f>"1.48"</f>
        <v>1.48</v>
      </c>
      <c r="C8055" t="str">
        <f>"22"</f>
        <v>22</v>
      </c>
      <c r="D8055" t="str">
        <f>"Tough Love"</f>
        <v>Tough Love</v>
      </c>
    </row>
    <row r="8056" spans="1:4" x14ac:dyDescent="0.2">
      <c r="A8056" t="str">
        <f>"8055"</f>
        <v>8055</v>
      </c>
      <c r="B8056" t="str">
        <f>"0.74"</f>
        <v>0.74</v>
      </c>
      <c r="C8056" t="str">
        <f>"22"</f>
        <v>22</v>
      </c>
      <c r="D8056" t="str">
        <f>"The Best Day"</f>
        <v>The Best Day</v>
      </c>
    </row>
    <row r="8057" spans="1:4" x14ac:dyDescent="0.2">
      <c r="A8057" t="str">
        <f>"8056"</f>
        <v>8056</v>
      </c>
      <c r="B8057" t="str">
        <f>"0.56"</f>
        <v>0.56</v>
      </c>
      <c r="C8057" t="str">
        <f>"23"</f>
        <v>23</v>
      </c>
      <c r="D8057" t="str">
        <f>"Picture You Staring"</f>
        <v>Picture You Staring</v>
      </c>
    </row>
    <row r="8058" spans="1:4" x14ac:dyDescent="0.2">
      <c r="A8058" t="str">
        <f>"8057"</f>
        <v>8057</v>
      </c>
      <c r="B8058" t="str">
        <f>"-0.1"</f>
        <v>-0.1</v>
      </c>
      <c r="C8058" t="str">
        <f>"30"</f>
        <v>30</v>
      </c>
      <c r="D8058" t="str">
        <f>"Phantom Radio"</f>
        <v>Phantom Radio</v>
      </c>
    </row>
    <row r="8059" spans="1:4" x14ac:dyDescent="0.2">
      <c r="A8059" t="str">
        <f>"8058"</f>
        <v>8058</v>
      </c>
      <c r="B8059" t="str">
        <f>"-0.62"</f>
        <v>-0.62</v>
      </c>
      <c r="C8059" t="str">
        <f>"66"</f>
        <v>66</v>
      </c>
      <c r="D8059" t="str">
        <f>"Pullin' Strings"</f>
        <v>Pullin' Strings</v>
      </c>
    </row>
    <row r="8060" spans="1:4" x14ac:dyDescent="0.2">
      <c r="A8060" t="str">
        <f>"8059"</f>
        <v>8059</v>
      </c>
      <c r="B8060" t="str">
        <f>"0.07"</f>
        <v>0.07</v>
      </c>
      <c r="C8060" t="str">
        <f>"48"</f>
        <v>48</v>
      </c>
      <c r="D8060" t="str">
        <f>"The Midnight Life"</f>
        <v>The Midnight Life</v>
      </c>
    </row>
    <row r="8061" spans="1:4" x14ac:dyDescent="0.2">
      <c r="A8061" t="str">
        <f>"8060"</f>
        <v>8060</v>
      </c>
      <c r="B8061" t="str">
        <f>"0.35"</f>
        <v>0.35</v>
      </c>
      <c r="C8061" t="str">
        <f>"39"</f>
        <v>39</v>
      </c>
      <c r="D8061" t="str">
        <f>"Still Life"</f>
        <v>Still Life</v>
      </c>
    </row>
    <row r="8062" spans="1:4" x14ac:dyDescent="0.2">
      <c r="A8062" t="str">
        <f>"8061"</f>
        <v>8061</v>
      </c>
      <c r="B8062" t="str">
        <f>"0.09"</f>
        <v>0.09</v>
      </c>
      <c r="C8062" t="str">
        <f>"19"</f>
        <v>19</v>
      </c>
      <c r="D8062" t="str">
        <f>"Human Voice"</f>
        <v>Human Voice</v>
      </c>
    </row>
    <row r="8063" spans="1:4" x14ac:dyDescent="0.2">
      <c r="A8063" t="str">
        <f>"8062"</f>
        <v>8062</v>
      </c>
      <c r="B8063" t="str">
        <f>"0.64"</f>
        <v>0.64</v>
      </c>
      <c r="C8063" t="str">
        <f>"41"</f>
        <v>41</v>
      </c>
      <c r="D8063" t="str">
        <f>"What Am I Going to Do With Everything I Know"</f>
        <v>What Am I Going to Do With Everything I Know</v>
      </c>
    </row>
    <row r="8064" spans="1:4" x14ac:dyDescent="0.2">
      <c r="A8064" t="str">
        <f>"8063"</f>
        <v>8063</v>
      </c>
      <c r="B8064" t="str">
        <f>"-0.33"</f>
        <v>-0.33</v>
      </c>
      <c r="C8064" t="str">
        <f>"27"</f>
        <v>27</v>
      </c>
      <c r="D8064" t="str">
        <f>"Hold It In"</f>
        <v>Hold It In</v>
      </c>
    </row>
    <row r="8065" spans="1:4" x14ac:dyDescent="0.2">
      <c r="A8065" t="str">
        <f>"8064"</f>
        <v>8064</v>
      </c>
      <c r="B8065" t="str">
        <f>"0.21"</f>
        <v>0.21</v>
      </c>
      <c r="C8065" t="str">
        <f>"64"</f>
        <v>64</v>
      </c>
      <c r="D8065" t="str">
        <f>"24 Hour Revenge Therapy"</f>
        <v>24 Hour Revenge Therapy</v>
      </c>
    </row>
    <row r="8066" spans="1:4" x14ac:dyDescent="0.2">
      <c r="A8066" t="str">
        <f>"8065"</f>
        <v>8065</v>
      </c>
      <c r="B8066" t="str">
        <f>"1.06"</f>
        <v>1.06</v>
      </c>
      <c r="C8066" t="str">
        <f>"42"</f>
        <v>42</v>
      </c>
      <c r="D8066" t="str">
        <f>"Otherness"</f>
        <v>Otherness</v>
      </c>
    </row>
    <row r="8067" spans="1:4" x14ac:dyDescent="0.2">
      <c r="A8067" t="str">
        <f>"8066"</f>
        <v>8066</v>
      </c>
      <c r="B8067" t="str">
        <f>"0.98"</f>
        <v>0.98</v>
      </c>
      <c r="C8067" t="str">
        <f>"25"</f>
        <v>25</v>
      </c>
      <c r="D8067" t="str">
        <f>"Trick"</f>
        <v>Trick</v>
      </c>
    </row>
    <row r="8068" spans="1:4" x14ac:dyDescent="0.2">
      <c r="A8068" t="str">
        <f>"8067"</f>
        <v>8067</v>
      </c>
      <c r="B8068" t="str">
        <f>"-0.06"</f>
        <v>-0.06</v>
      </c>
      <c r="C8068" t="str">
        <f>"32"</f>
        <v>32</v>
      </c>
      <c r="D8068" t="str">
        <f>"Neptune's Lair"</f>
        <v>Neptune's Lair</v>
      </c>
    </row>
    <row r="8069" spans="1:4" x14ac:dyDescent="0.2">
      <c r="A8069" t="str">
        <f>"8068"</f>
        <v>8068</v>
      </c>
      <c r="B8069" t="str">
        <f>"-0.01"</f>
        <v>-0.01</v>
      </c>
      <c r="C8069" t="str">
        <f>"35"</f>
        <v>35</v>
      </c>
      <c r="D8069" t="str">
        <f>"ATOMOS"</f>
        <v>ATOMOS</v>
      </c>
    </row>
    <row r="8070" spans="1:4" x14ac:dyDescent="0.2">
      <c r="A8070" t="str">
        <f>"8069"</f>
        <v>8069</v>
      </c>
      <c r="B8070" t="str">
        <f>"-1.16"</f>
        <v>-1.16</v>
      </c>
      <c r="C8070" t="str">
        <f>"30"</f>
        <v>30</v>
      </c>
      <c r="D8070" t="str">
        <f>"Bestial Burden"</f>
        <v>Bestial Burden</v>
      </c>
    </row>
    <row r="8071" spans="1:4" x14ac:dyDescent="0.2">
      <c r="A8071" t="str">
        <f>"8070"</f>
        <v>8070</v>
      </c>
      <c r="B8071" t="str">
        <f>"0.26"</f>
        <v>0.26</v>
      </c>
      <c r="C8071" t="str">
        <f>"46"</f>
        <v>46</v>
      </c>
      <c r="D8071" t="str">
        <f>"No Energy"</f>
        <v>No Energy</v>
      </c>
    </row>
    <row r="8072" spans="1:4" x14ac:dyDescent="0.2">
      <c r="A8072" t="str">
        <f>"8071"</f>
        <v>8071</v>
      </c>
      <c r="B8072" t="str">
        <f>"-0.93"</f>
        <v>-0.93</v>
      </c>
      <c r="C8072" t="str">
        <f>"29"</f>
        <v>29</v>
      </c>
      <c r="D8072" t="str">
        <f>"Trouble"</f>
        <v>Trouble</v>
      </c>
    </row>
    <row r="8073" spans="1:4" x14ac:dyDescent="0.2">
      <c r="A8073" t="str">
        <f>"8072"</f>
        <v>8072</v>
      </c>
      <c r="B8073" t="str">
        <f>"0.78"</f>
        <v>0.78</v>
      </c>
      <c r="C8073" t="str">
        <f>"21"</f>
        <v>21</v>
      </c>
      <c r="D8073" t="str">
        <f>"We Come From the Same Place"</f>
        <v>We Come From the Same Place</v>
      </c>
    </row>
    <row r="8074" spans="1:4" x14ac:dyDescent="0.2">
      <c r="A8074" t="str">
        <f>"8073"</f>
        <v>8073</v>
      </c>
      <c r="B8074" t="str">
        <f>"-0.15"</f>
        <v>-0.15</v>
      </c>
      <c r="C8074" t="str">
        <f>"43"</f>
        <v>43</v>
      </c>
      <c r="D8074" t="str">
        <f>"Salt EP"</f>
        <v>Salt EP</v>
      </c>
    </row>
    <row r="8075" spans="1:4" x14ac:dyDescent="0.2">
      <c r="A8075" t="str">
        <f>"8074"</f>
        <v>8074</v>
      </c>
      <c r="B8075" t="str">
        <f>"0.04"</f>
        <v>0.04</v>
      </c>
      <c r="C8075" t="str">
        <f>"36"</f>
        <v>36</v>
      </c>
      <c r="D8075" t="str">
        <f>"Hell Can Wait EP"</f>
        <v>Hell Can Wait EP</v>
      </c>
    </row>
    <row r="8076" spans="1:4" x14ac:dyDescent="0.2">
      <c r="A8076" t="str">
        <f>"8075"</f>
        <v>8075</v>
      </c>
      <c r="B8076" t="str">
        <f>"0.71"</f>
        <v>0.71</v>
      </c>
      <c r="C8076" t="str">
        <f>"43"</f>
        <v>43</v>
      </c>
      <c r="D8076" t="str">
        <f>"Hi Scores EP"</f>
        <v>Hi Scores EP</v>
      </c>
    </row>
    <row r="8077" spans="1:4" x14ac:dyDescent="0.2">
      <c r="A8077" t="str">
        <f>"8076"</f>
        <v>8076</v>
      </c>
      <c r="B8077" t="str">
        <f>"0"</f>
        <v>0</v>
      </c>
      <c r="C8077" t="str">
        <f>"24"</f>
        <v>24</v>
      </c>
      <c r="D8077" t="str">
        <f>"Festival of the Dead"</f>
        <v>Festival of the Dead</v>
      </c>
    </row>
    <row r="8078" spans="1:4" x14ac:dyDescent="0.2">
      <c r="A8078" t="str">
        <f>"8077"</f>
        <v>8077</v>
      </c>
      <c r="B8078" t="str">
        <f>"0.21"</f>
        <v>0.21</v>
      </c>
      <c r="C8078" t="str">
        <f>"31"</f>
        <v>31</v>
      </c>
      <c r="D8078" t="str">
        <f>"As If We Never Won"</f>
        <v>As If We Never Won</v>
      </c>
    </row>
    <row r="8079" spans="1:4" x14ac:dyDescent="0.2">
      <c r="A8079" t="str">
        <f>"8078"</f>
        <v>8078</v>
      </c>
      <c r="B8079" t="str">
        <f>"0.12"</f>
        <v>0.12</v>
      </c>
      <c r="C8079" t="str">
        <f>"43"</f>
        <v>43</v>
      </c>
      <c r="D8079" t="str">
        <f>"Meatbodies"</f>
        <v>Meatbodies</v>
      </c>
    </row>
    <row r="8080" spans="1:4" x14ac:dyDescent="0.2">
      <c r="A8080" t="str">
        <f>"8079"</f>
        <v>8079</v>
      </c>
      <c r="B8080" t="str">
        <f>"-0.27"</f>
        <v>-0.27</v>
      </c>
      <c r="C8080" t="str">
        <f>"42"</f>
        <v>42</v>
      </c>
      <c r="D8080" t="str">
        <f>"...And Star Power"</f>
        <v>...And Star Power</v>
      </c>
    </row>
    <row r="8081" spans="1:4" x14ac:dyDescent="0.2">
      <c r="A8081" t="str">
        <f>"8080"</f>
        <v>8080</v>
      </c>
      <c r="B8081" t="str">
        <f>"-0.58"</f>
        <v>-0.58</v>
      </c>
      <c r="C8081" t="str">
        <f>"31"</f>
        <v>31</v>
      </c>
      <c r="D8081" t="str">
        <f>"No One Is Lost"</f>
        <v>No One Is Lost</v>
      </c>
    </row>
    <row r="8082" spans="1:4" x14ac:dyDescent="0.2">
      <c r="A8082" t="str">
        <f>"8081"</f>
        <v>8081</v>
      </c>
      <c r="B8082" t="str">
        <f>"-0.34"</f>
        <v>-0.34</v>
      </c>
      <c r="C8082" t="str">
        <f>"46"</f>
        <v>46</v>
      </c>
      <c r="D8082" t="str">
        <f>"I'll Be the Tornado"</f>
        <v>I'll Be the Tornado</v>
      </c>
    </row>
    <row r="8083" spans="1:4" x14ac:dyDescent="0.2">
      <c r="A8083" t="str">
        <f>"8082"</f>
        <v>8082</v>
      </c>
      <c r="B8083" t="str">
        <f>"-0.13"</f>
        <v>-0.13</v>
      </c>
      <c r="C8083" t="str">
        <f>"24"</f>
        <v>24</v>
      </c>
      <c r="D8083" t="str">
        <f>"Absolutely Free"</f>
        <v>Absolutely Free</v>
      </c>
    </row>
    <row r="8084" spans="1:4" x14ac:dyDescent="0.2">
      <c r="A8084" t="str">
        <f>"8083"</f>
        <v>8083</v>
      </c>
      <c r="B8084" t="str">
        <f>"0.45"</f>
        <v>0.45</v>
      </c>
      <c r="C8084" t="str">
        <f>"30"</f>
        <v>30</v>
      </c>
      <c r="D8084" t="str">
        <f>"Goats"</f>
        <v>Goats</v>
      </c>
    </row>
    <row r="8085" spans="1:4" x14ac:dyDescent="0.2">
      <c r="A8085" t="str">
        <f>"8084"</f>
        <v>8084</v>
      </c>
      <c r="B8085" t="str">
        <f>"0.33"</f>
        <v>0.33</v>
      </c>
      <c r="C8085" t="str">
        <f>"33"</f>
        <v>33</v>
      </c>
      <c r="D8085" t="str">
        <f>"Rips"</f>
        <v>Rips</v>
      </c>
    </row>
    <row r="8086" spans="1:4" x14ac:dyDescent="0.2">
      <c r="A8086" t="str">
        <f>"8085"</f>
        <v>8085</v>
      </c>
      <c r="B8086" t="str">
        <f>"0.99"</f>
        <v>0.99</v>
      </c>
      <c r="C8086" t="str">
        <f>"34"</f>
        <v>34</v>
      </c>
      <c r="D8086" t="str">
        <f>"Heartleap"</f>
        <v>Heartleap</v>
      </c>
    </row>
    <row r="8087" spans="1:4" x14ac:dyDescent="0.2">
      <c r="A8087" t="str">
        <f>"8086"</f>
        <v>8086</v>
      </c>
      <c r="B8087" t="str">
        <f>"0.39"</f>
        <v>0.39</v>
      </c>
      <c r="C8087" t="str">
        <f>"39"</f>
        <v>39</v>
      </c>
      <c r="D8087" t="str">
        <f>"Give My Love to London"</f>
        <v>Give My Love to London</v>
      </c>
    </row>
    <row r="8088" spans="1:4" x14ac:dyDescent="0.2">
      <c r="A8088" t="str">
        <f>"8087"</f>
        <v>8087</v>
      </c>
      <c r="B8088" t="str">
        <f>"-1.45"</f>
        <v>-1.45</v>
      </c>
      <c r="C8088" t="str">
        <f>"19"</f>
        <v>19</v>
      </c>
      <c r="D8088" t="str">
        <f>"Killing Season EP"</f>
        <v>Killing Season EP</v>
      </c>
    </row>
    <row r="8089" spans="1:4" x14ac:dyDescent="0.2">
      <c r="A8089" t="str">
        <f>"8088"</f>
        <v>8088</v>
      </c>
      <c r="B8089" t="str">
        <f>"-1.29"</f>
        <v>-1.29</v>
      </c>
      <c r="C8089" t="str">
        <f>"45"</f>
        <v>45</v>
      </c>
      <c r="D8089" t="str">
        <f>"Negative Qualities"</f>
        <v>Negative Qualities</v>
      </c>
    </row>
    <row r="8090" spans="1:4" x14ac:dyDescent="0.2">
      <c r="A8090" t="str">
        <f>"8089"</f>
        <v>8089</v>
      </c>
      <c r="B8090" t="str">
        <f>"0.41"</f>
        <v>0.41</v>
      </c>
      <c r="C8090" t="str">
        <f>"30"</f>
        <v>30</v>
      </c>
      <c r="D8090" t="str">
        <f>"Plowing Into the Field of Love"</f>
        <v>Plowing Into the Field of Love</v>
      </c>
    </row>
    <row r="8091" spans="1:4" x14ac:dyDescent="0.2">
      <c r="A8091" t="str">
        <f>"8090"</f>
        <v>8090</v>
      </c>
      <c r="B8091" t="str">
        <f>"-0.23"</f>
        <v>-0.23</v>
      </c>
      <c r="C8091" t="str">
        <f>"30"</f>
        <v>30</v>
      </c>
      <c r="D8091" t="str">
        <f>"Wonder Where We Land"</f>
        <v>Wonder Where We Land</v>
      </c>
    </row>
    <row r="8092" spans="1:4" x14ac:dyDescent="0.2">
      <c r="A8092" t="str">
        <f>"8091"</f>
        <v>8091</v>
      </c>
      <c r="B8092" t="str">
        <f>"0.32"</f>
        <v>0.32</v>
      </c>
      <c r="C8092" t="str">
        <f>"27"</f>
        <v>27</v>
      </c>
      <c r="D8092" t="str">
        <f>"Aquarius"</f>
        <v>Aquarius</v>
      </c>
    </row>
    <row r="8093" spans="1:4" x14ac:dyDescent="0.2">
      <c r="A8093" t="str">
        <f>"8092"</f>
        <v>8092</v>
      </c>
      <c r="B8093" t="str">
        <f>"-0.45"</f>
        <v>-0.45</v>
      </c>
      <c r="C8093" t="str">
        <f>"34"</f>
        <v>34</v>
      </c>
      <c r="D8093" t="str">
        <f>"Lily-O"</f>
        <v>Lily-O</v>
      </c>
    </row>
    <row r="8094" spans="1:4" x14ac:dyDescent="0.2">
      <c r="A8094" t="str">
        <f>"8093"</f>
        <v>8093</v>
      </c>
      <c r="B8094" t="str">
        <f>"-0.2"</f>
        <v>-0.2</v>
      </c>
      <c r="C8094" t="str">
        <f>"37"</f>
        <v>37</v>
      </c>
      <c r="D8094" t="str">
        <f>"Dark Space III I"</f>
        <v>Dark Space III I</v>
      </c>
    </row>
    <row r="8095" spans="1:4" x14ac:dyDescent="0.2">
      <c r="A8095" t="str">
        <f>"8094"</f>
        <v>8094</v>
      </c>
      <c r="B8095" t="str">
        <f>"-0.23"</f>
        <v>-0.23</v>
      </c>
      <c r="C8095" t="str">
        <f>"26"</f>
        <v>26</v>
      </c>
      <c r="D8095" t="str">
        <f>"Taiga"</f>
        <v>Taiga</v>
      </c>
    </row>
    <row r="8096" spans="1:4" x14ac:dyDescent="0.2">
      <c r="A8096" t="str">
        <f>"8095"</f>
        <v>8095</v>
      </c>
      <c r="B8096" t="str">
        <f>"0.93"</f>
        <v>0.93</v>
      </c>
      <c r="C8096" t="str">
        <f>"42"</f>
        <v>42</v>
      </c>
      <c r="D8096" t="str">
        <f>"Dubnobasswithmyheadman (20th Anniversary Remaster)"</f>
        <v>Dubnobasswithmyheadman (20th Anniversary Remaster)</v>
      </c>
    </row>
    <row r="8097" spans="1:4" x14ac:dyDescent="0.2">
      <c r="A8097" t="str">
        <f>"8096"</f>
        <v>8096</v>
      </c>
      <c r="B8097" t="str">
        <f>"0.9"</f>
        <v>0.9</v>
      </c>
      <c r="C8097" t="str">
        <f>"17"</f>
        <v>17</v>
      </c>
      <c r="D8097" t="str">
        <f>"V for Vaselines"</f>
        <v>V for Vaselines</v>
      </c>
    </row>
    <row r="8098" spans="1:4" x14ac:dyDescent="0.2">
      <c r="A8098" t="str">
        <f>"8097"</f>
        <v>8097</v>
      </c>
      <c r="B8098" t="str">
        <f>"0.43"</f>
        <v>0.43</v>
      </c>
      <c r="C8098" t="str">
        <f>"28"</f>
        <v>28</v>
      </c>
      <c r="D8098" t="str">
        <f>"Familiar"</f>
        <v>Familiar</v>
      </c>
    </row>
    <row r="8099" spans="1:4" x14ac:dyDescent="0.2">
      <c r="A8099" t="str">
        <f>"8098"</f>
        <v>8098</v>
      </c>
      <c r="B8099" t="str">
        <f>"-0.72"</f>
        <v>-0.72</v>
      </c>
      <c r="C8099" t="str">
        <f>"46"</f>
        <v>46</v>
      </c>
      <c r="D8099" t="str">
        <f>"Doomgrass"</f>
        <v>Doomgrass</v>
      </c>
    </row>
    <row r="8100" spans="1:4" x14ac:dyDescent="0.2">
      <c r="A8100" t="str">
        <f>"8099"</f>
        <v>8099</v>
      </c>
      <c r="B8100" t="str">
        <f>"1.2"</f>
        <v>1.2</v>
      </c>
      <c r="C8100" t="str">
        <f>"50"</f>
        <v>50</v>
      </c>
      <c r="D8100" t="str">
        <f>"Our Love"</f>
        <v>Our Love</v>
      </c>
    </row>
    <row r="8101" spans="1:4" x14ac:dyDescent="0.2">
      <c r="A8101" t="str">
        <f>"8100"</f>
        <v>8100</v>
      </c>
      <c r="B8101" t="str">
        <f>"-1.09"</f>
        <v>-1.09</v>
      </c>
      <c r="C8101" t="str">
        <f>"27"</f>
        <v>27</v>
      </c>
      <c r="D8101" t="str">
        <f>"Playland"</f>
        <v>Playland</v>
      </c>
    </row>
    <row r="8102" spans="1:4" x14ac:dyDescent="0.2">
      <c r="A8102" t="str">
        <f>"8101"</f>
        <v>8101</v>
      </c>
      <c r="B8102" t="str">
        <f>"0.89"</f>
        <v>0.89</v>
      </c>
      <c r="C8102" t="str">
        <f>"31"</f>
        <v>31</v>
      </c>
      <c r="D8102" t="str">
        <f>"Way Out Weather"</f>
        <v>Way Out Weather</v>
      </c>
    </row>
    <row r="8103" spans="1:4" x14ac:dyDescent="0.2">
      <c r="A8103" t="str">
        <f>"8102"</f>
        <v>8102</v>
      </c>
      <c r="B8103" t="str">
        <f>"-0.35"</f>
        <v>-0.35</v>
      </c>
      <c r="C8103" t="str">
        <f>"28"</f>
        <v>28</v>
      </c>
      <c r="D8103" t="str">
        <f>"Mended With Gold"</f>
        <v>Mended With Gold</v>
      </c>
    </row>
    <row r="8104" spans="1:4" x14ac:dyDescent="0.2">
      <c r="A8104" t="str">
        <f>"8103"</f>
        <v>8103</v>
      </c>
      <c r="B8104" t="str">
        <f>"1.02"</f>
        <v>1.02</v>
      </c>
      <c r="C8104" t="str">
        <f>"30"</f>
        <v>30</v>
      </c>
      <c r="D8104" t="str">
        <f>"Inspiral Carpets"</f>
        <v>Inspiral Carpets</v>
      </c>
    </row>
    <row r="8105" spans="1:4" x14ac:dyDescent="0.2">
      <c r="A8105" t="str">
        <f>"8104"</f>
        <v>8104</v>
      </c>
      <c r="B8105" t="str">
        <f>"-1.11"</f>
        <v>-1.11</v>
      </c>
      <c r="C8105" t="str">
        <f>"29"</f>
        <v>29</v>
      </c>
      <c r="D8105" t="str">
        <f>"You're Dead!"</f>
        <v>You're Dead!</v>
      </c>
    </row>
    <row r="8106" spans="1:4" x14ac:dyDescent="0.2">
      <c r="A8106" t="str">
        <f>"8105"</f>
        <v>8105</v>
      </c>
      <c r="B8106" t="str">
        <f>"-0.55"</f>
        <v>-0.55</v>
      </c>
      <c r="C8106" t="str">
        <f>"35"</f>
        <v>35</v>
      </c>
      <c r="D8106" t="str">
        <f>"A World Lit Only By Fire"</f>
        <v>A World Lit Only By Fire</v>
      </c>
    </row>
    <row r="8107" spans="1:4" x14ac:dyDescent="0.2">
      <c r="A8107" t="str">
        <f>"8106"</f>
        <v>8106</v>
      </c>
      <c r="B8107" t="str">
        <f>"0.3"</f>
        <v>0.3</v>
      </c>
      <c r="C8107" t="str">
        <f>"28"</f>
        <v>28</v>
      </c>
      <c r="D8107" t="str">
        <f>"Cosmic Logic"</f>
        <v>Cosmic Logic</v>
      </c>
    </row>
    <row r="8108" spans="1:4" x14ac:dyDescent="0.2">
      <c r="A8108" t="str">
        <f>"8107"</f>
        <v>8107</v>
      </c>
      <c r="B8108" t="str">
        <f>"0.6"</f>
        <v>0.6</v>
      </c>
      <c r="C8108" t="str">
        <f>"33"</f>
        <v>33</v>
      </c>
      <c r="D8108" t="str">
        <f>"In the Orbit of Ra"</f>
        <v>In the Orbit of Ra</v>
      </c>
    </row>
    <row r="8109" spans="1:4" x14ac:dyDescent="0.2">
      <c r="A8109" t="str">
        <f>"8108"</f>
        <v>8108</v>
      </c>
      <c r="B8109" t="str">
        <f>"-1.85"</f>
        <v>-1.85</v>
      </c>
      <c r="C8109" t="str">
        <f>"34"</f>
        <v>34</v>
      </c>
      <c r="D8109" t="str">
        <f>"Shallow"</f>
        <v>Shallow</v>
      </c>
    </row>
    <row r="8110" spans="1:4" x14ac:dyDescent="0.2">
      <c r="A8110" t="str">
        <f>"8109"</f>
        <v>8109</v>
      </c>
      <c r="B8110" t="str">
        <f>"-0.24"</f>
        <v>-0.24</v>
      </c>
      <c r="C8110" t="str">
        <f>"44"</f>
        <v>44</v>
      </c>
      <c r="D8110" t="str">
        <f>"Art Official Age"</f>
        <v>Art Official Age</v>
      </c>
    </row>
    <row r="8111" spans="1:4" x14ac:dyDescent="0.2">
      <c r="A8111" t="str">
        <f>"8110"</f>
        <v>8110</v>
      </c>
      <c r="B8111" t="str">
        <f>"0.84"</f>
        <v>0.84</v>
      </c>
      <c r="C8111" t="str">
        <f>"24"</f>
        <v>24</v>
      </c>
      <c r="D8111" t="str">
        <f>"Tha Tour Part 1"</f>
        <v>Tha Tour Part 1</v>
      </c>
    </row>
    <row r="8112" spans="1:4" x14ac:dyDescent="0.2">
      <c r="A8112" t="str">
        <f>"8111"</f>
        <v>8111</v>
      </c>
      <c r="B8112" t="str">
        <f>"-0.78"</f>
        <v>-0.78</v>
      </c>
      <c r="C8112" t="str">
        <f>"53"</f>
        <v>53</v>
      </c>
      <c r="D8112" t="str">
        <f>"Social Rust"</f>
        <v>Social Rust</v>
      </c>
    </row>
    <row r="8113" spans="1:4" x14ac:dyDescent="0.2">
      <c r="A8113" t="str">
        <f>"8112"</f>
        <v>8112</v>
      </c>
      <c r="B8113" t="str">
        <f>"0.73"</f>
        <v>0.73</v>
      </c>
      <c r="C8113" t="str">
        <f>"30"</f>
        <v>30</v>
      </c>
      <c r="D8113" t="str">
        <f>"Luke James"</f>
        <v>Luke James</v>
      </c>
    </row>
    <row r="8114" spans="1:4" x14ac:dyDescent="0.2">
      <c r="A8114" t="str">
        <f>"8113"</f>
        <v>8113</v>
      </c>
      <c r="B8114" t="str">
        <f>"0.02"</f>
        <v>0.02</v>
      </c>
      <c r="C8114" t="str">
        <f>"35"</f>
        <v>35</v>
      </c>
      <c r="D8114" t="str">
        <f>"War God"</f>
        <v>War God</v>
      </c>
    </row>
    <row r="8115" spans="1:4" x14ac:dyDescent="0.2">
      <c r="A8115" t="str">
        <f>"8114"</f>
        <v>8114</v>
      </c>
      <c r="B8115" t="str">
        <f>"0.2"</f>
        <v>0.2</v>
      </c>
      <c r="C8115" t="str">
        <f>"41"</f>
        <v>41</v>
      </c>
      <c r="D8115" t="str">
        <f>"Everything Will Be Alright in the End"</f>
        <v>Everything Will Be Alright in the End</v>
      </c>
    </row>
    <row r="8116" spans="1:4" x14ac:dyDescent="0.2">
      <c r="A8116" t="str">
        <f>"8115"</f>
        <v>8115</v>
      </c>
      <c r="B8116" t="str">
        <f>"0.58"</f>
        <v>0.58</v>
      </c>
      <c r="C8116" t="str">
        <f>"53"</f>
        <v>53</v>
      </c>
      <c r="D8116" t="str">
        <f>"Vinyl Box Set 3"</f>
        <v>Vinyl Box Set 3</v>
      </c>
    </row>
    <row r="8117" spans="1:4" x14ac:dyDescent="0.2">
      <c r="A8117" t="str">
        <f>"8116"</f>
        <v>8116</v>
      </c>
      <c r="B8117" t="str">
        <f>"1.19"</f>
        <v>1.19</v>
      </c>
      <c r="C8117" t="str">
        <f>"32"</f>
        <v>32</v>
      </c>
      <c r="D8117" t="str">
        <f>"Work"</f>
        <v>Work</v>
      </c>
    </row>
    <row r="8118" spans="1:4" x14ac:dyDescent="0.2">
      <c r="A8118" t="str">
        <f>"8117"</f>
        <v>8117</v>
      </c>
      <c r="B8118" t="str">
        <f>"0.16"</f>
        <v>0.16</v>
      </c>
      <c r="C8118" t="str">
        <f>"33"</f>
        <v>33</v>
      </c>
      <c r="D8118" t="str">
        <f>"Radio Rewrite"</f>
        <v>Radio Rewrite</v>
      </c>
    </row>
    <row r="8119" spans="1:4" x14ac:dyDescent="0.2">
      <c r="A8119" t="str">
        <f>"8118"</f>
        <v>8118</v>
      </c>
      <c r="B8119" t="str">
        <f>"0.18"</f>
        <v>0.18</v>
      </c>
      <c r="C8119" t="str">
        <f>"23"</f>
        <v>23</v>
      </c>
      <c r="D8119" t="str">
        <f>"a toothpaste suburb"</f>
        <v>a toothpaste suburb</v>
      </c>
    </row>
    <row r="8120" spans="1:4" x14ac:dyDescent="0.2">
      <c r="A8120" t="str">
        <f>"8119"</f>
        <v>8119</v>
      </c>
      <c r="B8120" t="str">
        <f>"0.11"</f>
        <v>0.11</v>
      </c>
      <c r="C8120" t="str">
        <f>"36"</f>
        <v>36</v>
      </c>
      <c r="D8120" t="str">
        <f>"Tomorrow's Modern Boxes"</f>
        <v>Tomorrow's Modern Boxes</v>
      </c>
    </row>
    <row r="8121" spans="1:4" x14ac:dyDescent="0.2">
      <c r="A8121" t="str">
        <f>"8120"</f>
        <v>8120</v>
      </c>
      <c r="B8121" t="str">
        <f>"-0.73"</f>
        <v>-0.73</v>
      </c>
      <c r="C8121" t="str">
        <f>"25"</f>
        <v>25</v>
      </c>
      <c r="D8121" t="str">
        <f>"Shallow"</f>
        <v>Shallow</v>
      </c>
    </row>
    <row r="8122" spans="1:4" x14ac:dyDescent="0.2">
      <c r="A8122" t="str">
        <f>"8121"</f>
        <v>8121</v>
      </c>
      <c r="B8122" t="str">
        <f>"0.7"</f>
        <v>0.7</v>
      </c>
      <c r="C8122" t="str">
        <f>"39"</f>
        <v>39</v>
      </c>
      <c r="D8122" t="str">
        <f>"Balance Problems"</f>
        <v>Balance Problems</v>
      </c>
    </row>
    <row r="8123" spans="1:4" x14ac:dyDescent="0.2">
      <c r="A8123" t="str">
        <f>"8122"</f>
        <v>8122</v>
      </c>
      <c r="B8123" t="str">
        <f>"0.35"</f>
        <v>0.35</v>
      </c>
      <c r="C8123" t="str">
        <f>"26"</f>
        <v>26</v>
      </c>
      <c r="D8123" t="str">
        <f>"House Masters"</f>
        <v>House Masters</v>
      </c>
    </row>
    <row r="8124" spans="1:4" x14ac:dyDescent="0.2">
      <c r="A8124" t="str">
        <f>"8123"</f>
        <v>8123</v>
      </c>
      <c r="B8124" t="str">
        <f>"-0.7"</f>
        <v>-0.7</v>
      </c>
      <c r="C8124" t="str">
        <f>"25"</f>
        <v>25</v>
      </c>
      <c r="D8124" t="str">
        <f>"Time To Die"</f>
        <v>Time To Die</v>
      </c>
    </row>
    <row r="8125" spans="1:4" x14ac:dyDescent="0.2">
      <c r="A8125" t="str">
        <f>"8124"</f>
        <v>8124</v>
      </c>
      <c r="B8125" t="str">
        <f>"1.46"</f>
        <v>1.46</v>
      </c>
      <c r="C8125" t="str">
        <f>"19"</f>
        <v>19</v>
      </c>
      <c r="D8125" t="str">
        <f>"Chimes EP"</f>
        <v>Chimes EP</v>
      </c>
    </row>
    <row r="8126" spans="1:4" x14ac:dyDescent="0.2">
      <c r="A8126" t="str">
        <f>"8125"</f>
        <v>8125</v>
      </c>
      <c r="B8126" t="str">
        <f>"-0.2"</f>
        <v>-0.2</v>
      </c>
      <c r="C8126" t="str">
        <f>"28"</f>
        <v>28</v>
      </c>
      <c r="D8126" t="str">
        <f>"Encyclopedia"</f>
        <v>Encyclopedia</v>
      </c>
    </row>
    <row r="8127" spans="1:4" x14ac:dyDescent="0.2">
      <c r="A8127" t="str">
        <f>"8126"</f>
        <v>8126</v>
      </c>
      <c r="B8127" t="str">
        <f>"-0.3"</f>
        <v>-0.3</v>
      </c>
      <c r="C8127" t="str">
        <f>"44"</f>
        <v>44</v>
      </c>
      <c r="D8127" t="str">
        <f>"Terrible Things Happen"</f>
        <v>Terrible Things Happen</v>
      </c>
    </row>
    <row r="8128" spans="1:4" x14ac:dyDescent="0.2">
      <c r="A8128" t="str">
        <f>"8127"</f>
        <v>8127</v>
      </c>
      <c r="B8128" t="str">
        <f>"-0.26"</f>
        <v>-0.26</v>
      </c>
      <c r="C8128" t="str">
        <f>"26"</f>
        <v>26</v>
      </c>
      <c r="D8128" t="str">
        <f>"Savage Imagination"</f>
        <v>Savage Imagination</v>
      </c>
    </row>
    <row r="8129" spans="1:4" x14ac:dyDescent="0.2">
      <c r="A8129" t="str">
        <f>"8128"</f>
        <v>8128</v>
      </c>
      <c r="B8129" t="str">
        <f>"0.35"</f>
        <v>0.35</v>
      </c>
      <c r="C8129" t="str">
        <f>"31"</f>
        <v>31</v>
      </c>
      <c r="D8129" t="str">
        <f>"Queen of the Clouds"</f>
        <v>Queen of the Clouds</v>
      </c>
    </row>
    <row r="8130" spans="1:4" x14ac:dyDescent="0.2">
      <c r="A8130" t="str">
        <f>"8129"</f>
        <v>8129</v>
      </c>
      <c r="B8130" t="str">
        <f>"1.28"</f>
        <v>1.28</v>
      </c>
      <c r="C8130" t="str">
        <f>"32"</f>
        <v>32</v>
      </c>
      <c r="D8130" t="str">
        <f>"A New Testament"</f>
        <v>A New Testament</v>
      </c>
    </row>
    <row r="8131" spans="1:4" x14ac:dyDescent="0.2">
      <c r="A8131" t="str">
        <f>"8130"</f>
        <v>8130</v>
      </c>
      <c r="B8131" t="str">
        <f>"1.03"</f>
        <v>1.03</v>
      </c>
      <c r="C8131" t="str">
        <f>"47"</f>
        <v>47</v>
      </c>
      <c r="D8131" t="str">
        <f>"(What's the Story) Morning Glory?"</f>
        <v>(What's the Story) Morning Glory?</v>
      </c>
    </row>
    <row r="8132" spans="1:4" x14ac:dyDescent="0.2">
      <c r="A8132" t="str">
        <f>"8131"</f>
        <v>8131</v>
      </c>
      <c r="B8132" t="str">
        <f>"-0.68"</f>
        <v>-0.68</v>
      </c>
      <c r="C8132" t="str">
        <f>"22"</f>
        <v>22</v>
      </c>
      <c r="D8132" t="str">
        <f>"NehruvianDOOM"</f>
        <v>NehruvianDOOM</v>
      </c>
    </row>
    <row r="8133" spans="1:4" x14ac:dyDescent="0.2">
      <c r="A8133" t="str">
        <f>"8132"</f>
        <v>8132</v>
      </c>
      <c r="B8133" t="str">
        <f>"0.53"</f>
        <v>0.53</v>
      </c>
      <c r="C8133" t="str">
        <f>"18"</f>
        <v>18</v>
      </c>
      <c r="D8133" t="str">
        <f>"Feel Something"</f>
        <v>Feel Something</v>
      </c>
    </row>
    <row r="8134" spans="1:4" x14ac:dyDescent="0.2">
      <c r="A8134" t="str">
        <f>"8133"</f>
        <v>8133</v>
      </c>
      <c r="B8134" t="str">
        <f>"-0.04"</f>
        <v>-0.04</v>
      </c>
      <c r="C8134" t="str">
        <f>"28"</f>
        <v>28</v>
      </c>
      <c r="D8134" t="str">
        <f>"Follow the Music"</f>
        <v>Follow the Music</v>
      </c>
    </row>
    <row r="8135" spans="1:4" x14ac:dyDescent="0.2">
      <c r="A8135" t="str">
        <f>"8134"</f>
        <v>8134</v>
      </c>
      <c r="B8135" t="str">
        <f>"0.89"</f>
        <v>0.89</v>
      </c>
      <c r="C8135" t="str">
        <f>"64"</f>
        <v>64</v>
      </c>
      <c r="D8135" t="str">
        <f>"Adore"</f>
        <v>Adore</v>
      </c>
    </row>
    <row r="8136" spans="1:4" x14ac:dyDescent="0.2">
      <c r="A8136" t="str">
        <f>"8135"</f>
        <v>8135</v>
      </c>
      <c r="B8136" t="str">
        <f>"-0.84"</f>
        <v>-0.84</v>
      </c>
      <c r="C8136" t="str">
        <f>"24"</f>
        <v>24</v>
      </c>
      <c r="D8136" t="str">
        <f>"Cool Choices"</f>
        <v>Cool Choices</v>
      </c>
    </row>
    <row r="8137" spans="1:4" x14ac:dyDescent="0.2">
      <c r="A8137" t="str">
        <f>"8136"</f>
        <v>8136</v>
      </c>
      <c r="B8137" t="str">
        <f>"-0.56"</f>
        <v>-0.56</v>
      </c>
      <c r="C8137" t="str">
        <f>"31"</f>
        <v>31</v>
      </c>
      <c r="D8137" t="str">
        <f>"Visions of Dune"</f>
        <v>Visions of Dune</v>
      </c>
    </row>
    <row r="8138" spans="1:4" x14ac:dyDescent="0.2">
      <c r="A8138" t="str">
        <f>"8137"</f>
        <v>8137</v>
      </c>
      <c r="B8138" t="str">
        <f>"0.45"</f>
        <v>0.45</v>
      </c>
      <c r="C8138" t="str">
        <f>"36"</f>
        <v>36</v>
      </c>
      <c r="D8138" t="str">
        <f>"Electric Ursa"</f>
        <v>Electric Ursa</v>
      </c>
    </row>
    <row r="8139" spans="1:4" x14ac:dyDescent="0.2">
      <c r="A8139" t="str">
        <f>"8138"</f>
        <v>8138</v>
      </c>
      <c r="B8139" t="str">
        <f>"-1.23"</f>
        <v>-1.23</v>
      </c>
      <c r="C8139" t="str">
        <f>"36"</f>
        <v>36</v>
      </c>
      <c r="D8139" t="str">
        <f>"Mobile of Angels"</f>
        <v>Mobile of Angels</v>
      </c>
    </row>
    <row r="8140" spans="1:4" x14ac:dyDescent="0.2">
      <c r="A8140" t="str">
        <f>"8139"</f>
        <v>8139</v>
      </c>
      <c r="B8140" t="str">
        <f>"-0.39"</f>
        <v>-0.39</v>
      </c>
      <c r="C8140" t="str">
        <f>"43"</f>
        <v>43</v>
      </c>
      <c r="D8140" t="str">
        <f>"Tyranny"</f>
        <v>Tyranny</v>
      </c>
    </row>
    <row r="8141" spans="1:4" x14ac:dyDescent="0.2">
      <c r="A8141" t="str">
        <f>"8140"</f>
        <v>8140</v>
      </c>
      <c r="B8141" t="str">
        <f>"0.32"</f>
        <v>0.32</v>
      </c>
      <c r="C8141" t="str">
        <f>"29"</f>
        <v>29</v>
      </c>
      <c r="D8141" t="str">
        <f>"Hey Hey"</f>
        <v>Hey Hey</v>
      </c>
    </row>
    <row r="8142" spans="1:4" x14ac:dyDescent="0.2">
      <c r="A8142" t="str">
        <f>"8141"</f>
        <v>8141</v>
      </c>
      <c r="B8142" t="str">
        <f>"0.15"</f>
        <v>0.15</v>
      </c>
      <c r="C8142" t="str">
        <f>"30"</f>
        <v>30</v>
      </c>
      <c r="D8142" t="str">
        <f>"Highway Robbery"</f>
        <v>Highway Robbery</v>
      </c>
    </row>
    <row r="8143" spans="1:4" x14ac:dyDescent="0.2">
      <c r="A8143" t="str">
        <f>"8142"</f>
        <v>8142</v>
      </c>
      <c r="B8143" t="str">
        <f>"0.88"</f>
        <v>0.88</v>
      </c>
      <c r="C8143" t="str">
        <f>"18"</f>
        <v>18</v>
      </c>
      <c r="D8143" t="str">
        <f>"Desiderium"</f>
        <v>Desiderium</v>
      </c>
    </row>
    <row r="8144" spans="1:4" x14ac:dyDescent="0.2">
      <c r="A8144" t="str">
        <f>"8143"</f>
        <v>8143</v>
      </c>
      <c r="B8144" t="str">
        <f>"0.56"</f>
        <v>0.56</v>
      </c>
      <c r="C8144" t="str">
        <f>"31"</f>
        <v>31</v>
      </c>
      <c r="D8144" t="str">
        <f>"Right from Real"</f>
        <v>Right from Real</v>
      </c>
    </row>
    <row r="8145" spans="1:4" x14ac:dyDescent="0.2">
      <c r="A8145" t="str">
        <f>"8144"</f>
        <v>8144</v>
      </c>
      <c r="B8145" t="str">
        <f>"0.36"</f>
        <v>0.36</v>
      </c>
      <c r="C8145" t="str">
        <f>"51"</f>
        <v>51</v>
      </c>
      <c r="D8145" t="str">
        <f>"Popular Problems"</f>
        <v>Popular Problems</v>
      </c>
    </row>
    <row r="8146" spans="1:4" x14ac:dyDescent="0.2">
      <c r="A8146" t="str">
        <f>"8145"</f>
        <v>8145</v>
      </c>
      <c r="B8146" t="str">
        <f>"0.25"</f>
        <v>0.25</v>
      </c>
      <c r="C8146" t="str">
        <f>"39"</f>
        <v>39</v>
      </c>
      <c r="D8146" t="str">
        <f>"Singer's Grave a Sea of Tongues"</f>
        <v>Singer's Grave a Sea of Tongues</v>
      </c>
    </row>
    <row r="8147" spans="1:4" x14ac:dyDescent="0.2">
      <c r="A8147" t="str">
        <f>"8146"</f>
        <v>8146</v>
      </c>
      <c r="B8147" t="str">
        <f>"-1.16"</f>
        <v>-1.16</v>
      </c>
      <c r="C8147" t="str">
        <f>"33"</f>
        <v>33</v>
      </c>
      <c r="D8147" t="str">
        <f>"Unknown Memory"</f>
        <v>Unknown Memory</v>
      </c>
    </row>
    <row r="8148" spans="1:4" x14ac:dyDescent="0.2">
      <c r="A8148" t="str">
        <f>"8147"</f>
        <v>8147</v>
      </c>
      <c r="B8148" t="str">
        <f>"1"</f>
        <v>1</v>
      </c>
      <c r="C8148" t="str">
        <f>"40"</f>
        <v>40</v>
      </c>
      <c r="D8148" t="str">
        <f>"Something Shines"</f>
        <v>Something Shines</v>
      </c>
    </row>
    <row r="8149" spans="1:4" x14ac:dyDescent="0.2">
      <c r="A8149" t="str">
        <f>"8148"</f>
        <v>8148</v>
      </c>
      <c r="B8149" t="str">
        <f>"-0.14"</f>
        <v>-0.14</v>
      </c>
      <c r="C8149" t="str">
        <f>"24"</f>
        <v>24</v>
      </c>
      <c r="D8149" t="str">
        <f>"Pulsars e Quasars EP"</f>
        <v>Pulsars e Quasars EP</v>
      </c>
    </row>
    <row r="8150" spans="1:4" x14ac:dyDescent="0.2">
      <c r="A8150" t="str">
        <f>"8149"</f>
        <v>8149</v>
      </c>
      <c r="B8150" t="str">
        <f>"-0.52"</f>
        <v>-0.52</v>
      </c>
      <c r="C8150" t="str">
        <f>"62"</f>
        <v>62</v>
      </c>
      <c r="D8150" t="str">
        <f>"Too Bright"</f>
        <v>Too Bright</v>
      </c>
    </row>
    <row r="8151" spans="1:4" x14ac:dyDescent="0.2">
      <c r="A8151" t="str">
        <f>"8150"</f>
        <v>8150</v>
      </c>
      <c r="B8151" t="str">
        <f>"0.28"</f>
        <v>0.28</v>
      </c>
      <c r="C8151" t="str">
        <f>"30"</f>
        <v>30</v>
      </c>
      <c r="D8151" t="str">
        <f>"This Is All Yours"</f>
        <v>This Is All Yours</v>
      </c>
    </row>
    <row r="8152" spans="1:4" x14ac:dyDescent="0.2">
      <c r="A8152" t="str">
        <f>"8151"</f>
        <v>8151</v>
      </c>
      <c r="B8152" t="str">
        <f>"-0.33"</f>
        <v>-0.33</v>
      </c>
      <c r="C8152" t="str">
        <f>"28"</f>
        <v>28</v>
      </c>
      <c r="D8152" t="str">
        <f>"Remembrance EP"</f>
        <v>Remembrance EP</v>
      </c>
    </row>
    <row r="8153" spans="1:4" x14ac:dyDescent="0.2">
      <c r="A8153" t="str">
        <f>"8152"</f>
        <v>8152</v>
      </c>
      <c r="B8153" t="str">
        <f>"0.89"</f>
        <v>0.89</v>
      </c>
      <c r="C8153" t="str">
        <f>"19"</f>
        <v>19</v>
      </c>
      <c r="D8153" t="str">
        <f>"Commune"</f>
        <v>Commune</v>
      </c>
    </row>
    <row r="8154" spans="1:4" x14ac:dyDescent="0.2">
      <c r="A8154" t="str">
        <f>"8153"</f>
        <v>8153</v>
      </c>
      <c r="B8154" t="str">
        <f>"-0.2"</f>
        <v>-0.2</v>
      </c>
      <c r="C8154" t="str">
        <f>"32"</f>
        <v>32</v>
      </c>
      <c r="D8154" t="str">
        <f>"Slant of Light"</f>
        <v>Slant of Light</v>
      </c>
    </row>
    <row r="8155" spans="1:4" x14ac:dyDescent="0.2">
      <c r="A8155" t="str">
        <f>"8154"</f>
        <v>8154</v>
      </c>
      <c r="B8155" t="str">
        <f>"0.73"</f>
        <v>0.73</v>
      </c>
      <c r="C8155" t="str">
        <f>"50"</f>
        <v>50</v>
      </c>
      <c r="D8155" t="str">
        <f>"Syro"</f>
        <v>Syro</v>
      </c>
    </row>
    <row r="8156" spans="1:4" x14ac:dyDescent="0.2">
      <c r="A8156" t="str">
        <f>"8155"</f>
        <v>8155</v>
      </c>
      <c r="B8156" t="str">
        <f>"0.24"</f>
        <v>0.24</v>
      </c>
      <c r="C8156" t="str">
        <f>"27"</f>
        <v>27</v>
      </c>
      <c r="D8156" t="str">
        <f>"Hyperdub 10.3"</f>
        <v>Hyperdub 10.3</v>
      </c>
    </row>
    <row r="8157" spans="1:4" x14ac:dyDescent="0.2">
      <c r="A8157" t="str">
        <f>"8156"</f>
        <v>8156</v>
      </c>
      <c r="B8157" t="str">
        <f>"0.06"</f>
        <v>0.06</v>
      </c>
      <c r="C8157" t="str">
        <f>"29"</f>
        <v>29</v>
      </c>
      <c r="D8157" t="str">
        <f>"Black Moon Spell"</f>
        <v>Black Moon Spell</v>
      </c>
    </row>
    <row r="8158" spans="1:4" x14ac:dyDescent="0.2">
      <c r="A8158" t="str">
        <f>"8157"</f>
        <v>8157</v>
      </c>
      <c r="B8158" t="str">
        <f>"0.79"</f>
        <v>0.79</v>
      </c>
      <c r="C8158" t="str">
        <f>"32"</f>
        <v>32</v>
      </c>
      <c r="D8158" t="str">
        <f>"Sway"</f>
        <v>Sway</v>
      </c>
    </row>
    <row r="8159" spans="1:4" x14ac:dyDescent="0.2">
      <c r="A8159" t="str">
        <f>"8158"</f>
        <v>8158</v>
      </c>
      <c r="B8159" t="str">
        <f>"-0.3"</f>
        <v>-0.3</v>
      </c>
      <c r="C8159" t="str">
        <f>"25"</f>
        <v>25</v>
      </c>
      <c r="D8159" t="str">
        <f>"Oom Velt EP"</f>
        <v>Oom Velt EP</v>
      </c>
    </row>
    <row r="8160" spans="1:4" x14ac:dyDescent="0.2">
      <c r="A8160" t="str">
        <f>"8159"</f>
        <v>8159</v>
      </c>
      <c r="B8160" t="str">
        <f>"-0.28"</f>
        <v>-0.28</v>
      </c>
      <c r="C8160" t="str">
        <f>"33"</f>
        <v>33</v>
      </c>
      <c r="D8160" t="str">
        <f>"Dude Incredible"</f>
        <v>Dude Incredible</v>
      </c>
    </row>
    <row r="8161" spans="1:4" x14ac:dyDescent="0.2">
      <c r="A8161" t="str">
        <f>"8160"</f>
        <v>8160</v>
      </c>
      <c r="B8161" t="str">
        <f>"-0.84"</f>
        <v>-0.84</v>
      </c>
      <c r="C8161" t="str">
        <f>"31"</f>
        <v>31</v>
      </c>
      <c r="D8161" t="str">
        <f>"A Place to Stand EP"</f>
        <v>A Place to Stand EP</v>
      </c>
    </row>
    <row r="8162" spans="1:4" x14ac:dyDescent="0.2">
      <c r="A8162" t="str">
        <f>"8161"</f>
        <v>8161</v>
      </c>
      <c r="B8162" t="str">
        <f>"0.09"</f>
        <v>0.09</v>
      </c>
      <c r="C8162" t="str">
        <f>"45"</f>
        <v>45</v>
      </c>
      <c r="D8162" t="str">
        <f>"Myrkur"</f>
        <v>Myrkur</v>
      </c>
    </row>
    <row r="8163" spans="1:4" x14ac:dyDescent="0.2">
      <c r="A8163" t="str">
        <f>"8162"</f>
        <v>8162</v>
      </c>
      <c r="B8163" t="str">
        <f>"0.55"</f>
        <v>0.55</v>
      </c>
      <c r="C8163" t="str">
        <f>"39"</f>
        <v>39</v>
      </c>
      <c r="D8163" t="str">
        <f>"Ontario Gothic"</f>
        <v>Ontario Gothic</v>
      </c>
    </row>
    <row r="8164" spans="1:4" x14ac:dyDescent="0.2">
      <c r="A8164" t="str">
        <f>"8163"</f>
        <v>8163</v>
      </c>
      <c r="B8164" t="str">
        <f>"-0.54"</f>
        <v>-0.54</v>
      </c>
      <c r="C8164" t="str">
        <f>"32"</f>
        <v>32</v>
      </c>
      <c r="D8164" t="str">
        <f>"Dan'l Boone"</f>
        <v>Dan'l Boone</v>
      </c>
    </row>
    <row r="8165" spans="1:4" x14ac:dyDescent="0.2">
      <c r="A8165" t="str">
        <f>"8164"</f>
        <v>8164</v>
      </c>
      <c r="B8165" t="str">
        <f>"0.84"</f>
        <v>0.84</v>
      </c>
      <c r="C8165" t="str">
        <f>"34"</f>
        <v>34</v>
      </c>
      <c r="D8165" t="str">
        <f>"Weirdon"</f>
        <v>Weirdon</v>
      </c>
    </row>
    <row r="8166" spans="1:4" x14ac:dyDescent="0.2">
      <c r="A8166" t="str">
        <f>"8165"</f>
        <v>8165</v>
      </c>
      <c r="B8166" t="str">
        <f>"-0.24"</f>
        <v>-0.24</v>
      </c>
      <c r="C8166" t="str">
        <f>"39"</f>
        <v>39</v>
      </c>
      <c r="D8166" t="str">
        <f>"Another Language"</f>
        <v>Another Language</v>
      </c>
    </row>
    <row r="8167" spans="1:4" x14ac:dyDescent="0.2">
      <c r="A8167" t="str">
        <f>"8166"</f>
        <v>8166</v>
      </c>
      <c r="B8167" t="str">
        <f>"0.43"</f>
        <v>0.43</v>
      </c>
      <c r="C8167" t="str">
        <f>"35"</f>
        <v>35</v>
      </c>
      <c r="D8167" t="str">
        <f>"The Long Con"</f>
        <v>The Long Con</v>
      </c>
    </row>
    <row r="8168" spans="1:4" x14ac:dyDescent="0.2">
      <c r="A8168" t="str">
        <f>"8167"</f>
        <v>8167</v>
      </c>
      <c r="B8168" t="str">
        <f>"1.03"</f>
        <v>1.03</v>
      </c>
      <c r="C8168" t="str">
        <f>"21"</f>
        <v>21</v>
      </c>
      <c r="D8168" t="str">
        <f>"Los Angeles Police Department"</f>
        <v>Los Angeles Police Department</v>
      </c>
    </row>
    <row r="8169" spans="1:4" x14ac:dyDescent="0.2">
      <c r="A8169" t="str">
        <f>"8168"</f>
        <v>8168</v>
      </c>
      <c r="B8169" t="str">
        <f>"-0.43"</f>
        <v>-0.43</v>
      </c>
      <c r="C8169" t="str">
        <f>"20"</f>
        <v>20</v>
      </c>
      <c r="D8169" t="str">
        <f>"Empathy for the Evil"</f>
        <v>Empathy for the Evil</v>
      </c>
    </row>
    <row r="8170" spans="1:4" x14ac:dyDescent="0.2">
      <c r="A8170" t="str">
        <f>"8169"</f>
        <v>8169</v>
      </c>
      <c r="B8170" t="str">
        <f>"-0.59"</f>
        <v>-0.59</v>
      </c>
      <c r="C8170" t="str">
        <f>"42"</f>
        <v>42</v>
      </c>
      <c r="D8170" t="str">
        <f>"Sukierae"</f>
        <v>Sukierae</v>
      </c>
    </row>
    <row r="8171" spans="1:4" x14ac:dyDescent="0.2">
      <c r="A8171" t="str">
        <f>"8170"</f>
        <v>8170</v>
      </c>
      <c r="B8171" t="str">
        <f>"0.39"</f>
        <v>0.39</v>
      </c>
      <c r="C8171" t="str">
        <f>"35"</f>
        <v>35</v>
      </c>
      <c r="D8171" t="str">
        <f>"Suzi Ecto"</f>
        <v>Suzi Ecto</v>
      </c>
    </row>
    <row r="8172" spans="1:4" x14ac:dyDescent="0.2">
      <c r="A8172" t="str">
        <f>"8171"</f>
        <v>8171</v>
      </c>
      <c r="B8172" t="str">
        <f>"-0.08"</f>
        <v>-0.08</v>
      </c>
      <c r="C8172" t="str">
        <f>"21"</f>
        <v>21</v>
      </c>
      <c r="D8172" t="str">
        <f>"Anjou"</f>
        <v>Anjou</v>
      </c>
    </row>
    <row r="8173" spans="1:4" x14ac:dyDescent="0.2">
      <c r="A8173" t="str">
        <f>"8172"</f>
        <v>8172</v>
      </c>
      <c r="B8173" t="str">
        <f>"1.17"</f>
        <v>1.17</v>
      </c>
      <c r="C8173" t="str">
        <f>"30"</f>
        <v>30</v>
      </c>
      <c r="D8173" t="str">
        <f>"I've Been to Many Places"</f>
        <v>I've Been to Many Places</v>
      </c>
    </row>
    <row r="8174" spans="1:4" x14ac:dyDescent="0.2">
      <c r="A8174" t="str">
        <f>"8173"</f>
        <v>8173</v>
      </c>
      <c r="B8174" t="str">
        <f>"0.68"</f>
        <v>0.68</v>
      </c>
      <c r="C8174" t="str">
        <f>"28"</f>
        <v>28</v>
      </c>
      <c r="D8174" t="str">
        <f>"Old World New Wave"</f>
        <v>Old World New Wave</v>
      </c>
    </row>
    <row r="8175" spans="1:4" x14ac:dyDescent="0.2">
      <c r="A8175" t="str">
        <f>"8174"</f>
        <v>8174</v>
      </c>
      <c r="B8175" t="str">
        <f>"-0.42"</f>
        <v>-0.42</v>
      </c>
      <c r="C8175" t="str">
        <f>"44"</f>
        <v>44</v>
      </c>
      <c r="D8175" t="str">
        <f>"Mr Twin Sister"</f>
        <v>Mr Twin Sister</v>
      </c>
    </row>
    <row r="8176" spans="1:4" x14ac:dyDescent="0.2">
      <c r="A8176" t="str">
        <f>"8175"</f>
        <v>8175</v>
      </c>
      <c r="B8176" t="str">
        <f>"-0.73"</f>
        <v>-0.73</v>
      </c>
      <c r="C8176" t="str">
        <f>"35"</f>
        <v>35</v>
      </c>
      <c r="D8176" t="str">
        <f>"City Wrecker EP"</f>
        <v>City Wrecker EP</v>
      </c>
    </row>
    <row r="8177" spans="1:4" x14ac:dyDescent="0.2">
      <c r="A8177" t="str">
        <f>"8176"</f>
        <v>8176</v>
      </c>
      <c r="B8177" t="str">
        <f>"-0.09"</f>
        <v>-0.09</v>
      </c>
      <c r="C8177" t="str">
        <f>"29"</f>
        <v>29</v>
      </c>
      <c r="D8177" t="str">
        <f>"Royal Blood"</f>
        <v>Royal Blood</v>
      </c>
    </row>
    <row r="8178" spans="1:4" x14ac:dyDescent="0.2">
      <c r="A8178" t="str">
        <f>"8177"</f>
        <v>8177</v>
      </c>
      <c r="B8178" t="str">
        <f>"0.33"</f>
        <v>0.33</v>
      </c>
      <c r="C8178" t="str">
        <f>"23"</f>
        <v>23</v>
      </c>
      <c r="D8178" t="str">
        <f>"Vibe 2"</f>
        <v>Vibe 2</v>
      </c>
    </row>
    <row r="8179" spans="1:4" x14ac:dyDescent="0.2">
      <c r="A8179" t="str">
        <f>"8178"</f>
        <v>8178</v>
      </c>
      <c r="B8179" t="str">
        <f>"-0.26"</f>
        <v>-0.26</v>
      </c>
      <c r="C8179" t="str">
        <f>"31"</f>
        <v>31</v>
      </c>
      <c r="D8179" t="str">
        <f>"The Tyranny of Will"</f>
        <v>The Tyranny of Will</v>
      </c>
    </row>
    <row r="8180" spans="1:4" x14ac:dyDescent="0.2">
      <c r="A8180" t="str">
        <f>"8179"</f>
        <v>8179</v>
      </c>
      <c r="B8180" t="str">
        <f>"-0.15"</f>
        <v>-0.15</v>
      </c>
      <c r="C8180" t="str">
        <f>"59"</f>
        <v>59</v>
      </c>
      <c r="D8180" t="str">
        <f>"Ryan Adams"</f>
        <v>Ryan Adams</v>
      </c>
    </row>
    <row r="8181" spans="1:4" x14ac:dyDescent="0.2">
      <c r="A8181" t="str">
        <f>"8180"</f>
        <v>8180</v>
      </c>
      <c r="B8181" t="str">
        <f>"1.17"</f>
        <v>1.17</v>
      </c>
      <c r="C8181" t="str">
        <f>"15"</f>
        <v>15</v>
      </c>
      <c r="D8181" t="str">
        <f>"This Is My Hand"</f>
        <v>This Is My Hand</v>
      </c>
    </row>
    <row r="8182" spans="1:4" x14ac:dyDescent="0.2">
      <c r="A8182" t="str">
        <f>"8181"</f>
        <v>8181</v>
      </c>
      <c r="B8182" t="str">
        <f>"-0.49"</f>
        <v>-0.49</v>
      </c>
      <c r="C8182" t="str">
        <f>"35"</f>
        <v>35</v>
      </c>
      <c r="D8182" t="s">
        <v>280</v>
      </c>
    </row>
    <row r="8183" spans="1:4" x14ac:dyDescent="0.2">
      <c r="A8183" t="str">
        <f>"8182"</f>
        <v>8182</v>
      </c>
      <c r="B8183" t="str">
        <f>"0.31"</f>
        <v>0.31</v>
      </c>
      <c r="C8183" t="str">
        <f>"17"</f>
        <v>17</v>
      </c>
      <c r="D8183" t="str">
        <f>"Let's Dance Raw"</f>
        <v>Let's Dance Raw</v>
      </c>
    </row>
    <row r="8184" spans="1:4" x14ac:dyDescent="0.2">
      <c r="A8184" t="str">
        <f>"8183"</f>
        <v>8183</v>
      </c>
      <c r="B8184" t="str">
        <f>"-0.88"</f>
        <v>-0.88</v>
      </c>
      <c r="C8184" t="str">
        <f>"30"</f>
        <v>30</v>
      </c>
      <c r="D8184" t="str">
        <f>"All of It and Nothing"</f>
        <v>All of It and Nothing</v>
      </c>
    </row>
    <row r="8185" spans="1:4" x14ac:dyDescent="0.2">
      <c r="A8185" t="str">
        <f>"8184"</f>
        <v>8184</v>
      </c>
      <c r="B8185" t="str">
        <f>"-0.25"</f>
        <v>-0.25</v>
      </c>
      <c r="C8185" t="str">
        <f>"30"</f>
        <v>30</v>
      </c>
      <c r="D8185" t="str">
        <f>"Songs of Innocence"</f>
        <v>Songs of Innocence</v>
      </c>
    </row>
    <row r="8186" spans="1:4" x14ac:dyDescent="0.2">
      <c r="A8186" t="str">
        <f>"8185"</f>
        <v>8185</v>
      </c>
      <c r="B8186" t="str">
        <f>"1.35"</f>
        <v>1.35</v>
      </c>
      <c r="C8186" t="str">
        <f>"21"</f>
        <v>21</v>
      </c>
      <c r="D8186" t="str">
        <f>"Whorl"</f>
        <v>Whorl</v>
      </c>
    </row>
    <row r="8187" spans="1:4" x14ac:dyDescent="0.2">
      <c r="A8187" t="str">
        <f>"8186"</f>
        <v>8186</v>
      </c>
      <c r="B8187" t="str">
        <f>"0.17"</f>
        <v>0.17</v>
      </c>
      <c r="C8187" t="str">
        <f>"40"</f>
        <v>40</v>
      </c>
      <c r="D8187" t="str">
        <f>"Souled Out"</f>
        <v>Souled Out</v>
      </c>
    </row>
    <row r="8188" spans="1:4" x14ac:dyDescent="0.2">
      <c r="A8188" t="str">
        <f>"8187"</f>
        <v>8187</v>
      </c>
      <c r="B8188" t="str">
        <f>"-0.21"</f>
        <v>-0.21</v>
      </c>
      <c r="C8188" t="str">
        <f>"32"</f>
        <v>32</v>
      </c>
      <c r="D8188" t="str">
        <f>"In the Reaper's Quarters"</f>
        <v>In the Reaper's Quarters</v>
      </c>
    </row>
    <row r="8189" spans="1:4" x14ac:dyDescent="0.2">
      <c r="A8189" t="str">
        <f>"8188"</f>
        <v>8188</v>
      </c>
      <c r="B8189" t="str">
        <f>"-0.98"</f>
        <v>-0.98</v>
      </c>
      <c r="C8189" t="str">
        <f>"43"</f>
        <v>43</v>
      </c>
      <c r="D8189" t="str">
        <f>"Transient"</f>
        <v>Transient</v>
      </c>
    </row>
    <row r="8190" spans="1:4" x14ac:dyDescent="0.2">
      <c r="A8190" t="str">
        <f>"8189"</f>
        <v>8189</v>
      </c>
      <c r="B8190" t="str">
        <f>"-0.61"</f>
        <v>-0.61</v>
      </c>
      <c r="C8190" t="str">
        <f>"43"</f>
        <v>43</v>
      </c>
      <c r="D8190" t="str">
        <f>"The Physical World"</f>
        <v>The Physical World</v>
      </c>
    </row>
    <row r="8191" spans="1:4" x14ac:dyDescent="0.2">
      <c r="A8191" t="str">
        <f>"8190"</f>
        <v>8190</v>
      </c>
      <c r="B8191" t="str">
        <f>"-0.01"</f>
        <v>-0.01</v>
      </c>
      <c r="C8191" t="str">
        <f>"31"</f>
        <v>31</v>
      </c>
      <c r="D8191" t="str">
        <f>"Ritual in Repeat"</f>
        <v>Ritual in Repeat</v>
      </c>
    </row>
    <row r="8192" spans="1:4" x14ac:dyDescent="0.2">
      <c r="A8192" t="str">
        <f>"8191"</f>
        <v>8191</v>
      </c>
      <c r="B8192" t="str">
        <f>"0.78"</f>
        <v>0.78</v>
      </c>
      <c r="C8192" t="str">
        <f>"29"</f>
        <v>29</v>
      </c>
      <c r="D8192" t="str">
        <f>"The Dew Lasts an Hour"</f>
        <v>The Dew Lasts an Hour</v>
      </c>
    </row>
    <row r="8193" spans="1:4" x14ac:dyDescent="0.2">
      <c r="A8193" t="str">
        <f>"8192"</f>
        <v>8192</v>
      </c>
      <c r="B8193" t="str">
        <f>"-0.9"</f>
        <v>-0.9</v>
      </c>
      <c r="C8193" t="str">
        <f>"33"</f>
        <v>33</v>
      </c>
      <c r="D8193" t="str">
        <f>"KOCH"</f>
        <v>KOCH</v>
      </c>
    </row>
    <row r="8194" spans="1:4" x14ac:dyDescent="0.2">
      <c r="A8194" t="str">
        <f>"8193"</f>
        <v>8193</v>
      </c>
      <c r="B8194" t="str">
        <f>"0.01"</f>
        <v>0.01</v>
      </c>
      <c r="C8194" t="str">
        <f>"30"</f>
        <v>30</v>
      </c>
      <c r="D8194" t="str">
        <f>"Weaving"</f>
        <v>Weaving</v>
      </c>
    </row>
    <row r="8195" spans="1:4" x14ac:dyDescent="0.2">
      <c r="A8195" t="str">
        <f>"8194"</f>
        <v>8194</v>
      </c>
      <c r="B8195" t="str">
        <f>"-0.34"</f>
        <v>-0.34</v>
      </c>
      <c r="C8195" t="str">
        <f>"33"</f>
        <v>33</v>
      </c>
      <c r="D8195" t="str">
        <f>"Crush Songs"</f>
        <v>Crush Songs</v>
      </c>
    </row>
    <row r="8196" spans="1:4" x14ac:dyDescent="0.2">
      <c r="A8196" t="str">
        <f>"8195"</f>
        <v>8195</v>
      </c>
      <c r="B8196" t="str">
        <f>"-0.39"</f>
        <v>-0.39</v>
      </c>
      <c r="C8196" t="str">
        <f>"44"</f>
        <v>44</v>
      </c>
      <c r="D8196" t="str">
        <f>"At Best Cuckold"</f>
        <v>At Best Cuckold</v>
      </c>
    </row>
    <row r="8197" spans="1:4" x14ac:dyDescent="0.2">
      <c r="A8197" t="str">
        <f>"8196"</f>
        <v>8196</v>
      </c>
      <c r="B8197" t="str">
        <f>"1.2"</f>
        <v>1.2</v>
      </c>
      <c r="C8197" t="str">
        <f>"38"</f>
        <v>38</v>
      </c>
      <c r="D8197" t="str">
        <f>"Commonwealth"</f>
        <v>Commonwealth</v>
      </c>
    </row>
    <row r="8198" spans="1:4" x14ac:dyDescent="0.2">
      <c r="A8198" t="str">
        <f>"8197"</f>
        <v>8197</v>
      </c>
      <c r="B8198" t="str">
        <f>"-0.28"</f>
        <v>-0.28</v>
      </c>
      <c r="C8198" t="str">
        <f>"32"</f>
        <v>32</v>
      </c>
      <c r="D8198" t="str">
        <f>"Kidnapped"</f>
        <v>Kidnapped</v>
      </c>
    </row>
    <row r="8199" spans="1:4" x14ac:dyDescent="0.2">
      <c r="A8199" t="str">
        <f>"8198"</f>
        <v>8198</v>
      </c>
      <c r="B8199" t="str">
        <f>"0.2"</f>
        <v>0.2</v>
      </c>
      <c r="C8199" t="str">
        <f>"38"</f>
        <v>38</v>
      </c>
      <c r="D8199" t="str">
        <f>"Tliltic Tlapoyauak"</f>
        <v>Tliltic Tlapoyauak</v>
      </c>
    </row>
    <row r="8200" spans="1:4" x14ac:dyDescent="0.2">
      <c r="A8200" t="str">
        <f>"8199"</f>
        <v>8199</v>
      </c>
      <c r="B8200" t="str">
        <f>"-1.12"</f>
        <v>-1.12</v>
      </c>
      <c r="C8200" t="str">
        <f>"33"</f>
        <v>33</v>
      </c>
      <c r="D8200" t="str">
        <f>"Goddess"</f>
        <v>Goddess</v>
      </c>
    </row>
    <row r="8201" spans="1:4" x14ac:dyDescent="0.2">
      <c r="A8201" t="str">
        <f>"8200"</f>
        <v>8200</v>
      </c>
      <c r="B8201" t="str">
        <f>"0.46"</f>
        <v>0.46</v>
      </c>
      <c r="C8201" t="str">
        <f>"36"</f>
        <v>36</v>
      </c>
      <c r="D8201" t="str">
        <f>"Lateness of Dancers"</f>
        <v>Lateness of Dancers</v>
      </c>
    </row>
    <row r="8202" spans="1:4" x14ac:dyDescent="0.2">
      <c r="A8202" t="str">
        <f>"8201"</f>
        <v>8201</v>
      </c>
      <c r="B8202" t="str">
        <f>"0.21"</f>
        <v>0.21</v>
      </c>
      <c r="C8202" t="str">
        <f>"27"</f>
        <v>27</v>
      </c>
      <c r="D8202" t="str">
        <f>"lullaby and... The Ceaseless Roar"</f>
        <v>lullaby and... The Ceaseless Roar</v>
      </c>
    </row>
    <row r="8203" spans="1:4" x14ac:dyDescent="0.2">
      <c r="A8203" t="str">
        <f>"8202"</f>
        <v>8202</v>
      </c>
      <c r="B8203" t="str">
        <f>"-0.6"</f>
        <v>-0.6</v>
      </c>
      <c r="C8203" t="str">
        <f>"30"</f>
        <v>30</v>
      </c>
      <c r="D8203" t="str">
        <f>"Adrian Thaws"</f>
        <v>Adrian Thaws</v>
      </c>
    </row>
    <row r="8204" spans="1:4" x14ac:dyDescent="0.2">
      <c r="A8204" t="str">
        <f>"8203"</f>
        <v>8203</v>
      </c>
      <c r="B8204" t="str">
        <f>"0.58"</f>
        <v>0.58</v>
      </c>
      <c r="C8204" t="str">
        <f>"21"</f>
        <v>21</v>
      </c>
      <c r="D8204" t="str">
        <f>"Liital"</f>
        <v>Liital</v>
      </c>
    </row>
    <row r="8205" spans="1:4" x14ac:dyDescent="0.2">
      <c r="A8205" t="str">
        <f>"8204"</f>
        <v>8204</v>
      </c>
      <c r="B8205" t="str">
        <f>"0.51"</f>
        <v>0.51</v>
      </c>
      <c r="C8205" t="str">
        <f>"57"</f>
        <v>57</v>
      </c>
      <c r="D8205" t="str">
        <f>"El Pintor"</f>
        <v>El Pintor</v>
      </c>
    </row>
    <row r="8206" spans="1:4" x14ac:dyDescent="0.2">
      <c r="A8206" t="str">
        <f>"8205"</f>
        <v>8205</v>
      </c>
      <c r="B8206" t="str">
        <f>"0.19"</f>
        <v>0.19</v>
      </c>
      <c r="C8206" t="str">
        <f>"20"</f>
        <v>20</v>
      </c>
      <c r="D8206" t="str">
        <f>"Endgame"</f>
        <v>Endgame</v>
      </c>
    </row>
    <row r="8207" spans="1:4" x14ac:dyDescent="0.2">
      <c r="A8207" t="str">
        <f>"8206"</f>
        <v>8206</v>
      </c>
      <c r="B8207" t="str">
        <f>"0.08"</f>
        <v>0.08</v>
      </c>
      <c r="C8207" t="str">
        <f>"24"</f>
        <v>24</v>
      </c>
      <c r="D8207" t="str">
        <f>"Pink City"</f>
        <v>Pink City</v>
      </c>
    </row>
    <row r="8208" spans="1:4" x14ac:dyDescent="0.2">
      <c r="A8208" t="str">
        <f>"8207"</f>
        <v>8207</v>
      </c>
      <c r="B8208" t="str">
        <f>"0.42"</f>
        <v>0.42</v>
      </c>
      <c r="C8208" t="str">
        <f>"25"</f>
        <v>25</v>
      </c>
      <c r="D8208" t="str">
        <f>"Wooden Aquarium"</f>
        <v>Wooden Aquarium</v>
      </c>
    </row>
    <row r="8209" spans="1:4" x14ac:dyDescent="0.2">
      <c r="A8209" t="str">
        <f>"8208"</f>
        <v>8208</v>
      </c>
      <c r="B8209" t="str">
        <f>"-0.88"</f>
        <v>-0.88</v>
      </c>
      <c r="C8209" t="str">
        <f>"26"</f>
        <v>26</v>
      </c>
      <c r="D8209" t="str">
        <f>"Linear S Decoded"</f>
        <v>Linear S Decoded</v>
      </c>
    </row>
    <row r="8210" spans="1:4" x14ac:dyDescent="0.2">
      <c r="A8210" t="str">
        <f>"8209"</f>
        <v>8209</v>
      </c>
      <c r="B8210" t="str">
        <f>"-0.41"</f>
        <v>-0.41</v>
      </c>
      <c r="C8210" t="str">
        <f>"40"</f>
        <v>40</v>
      </c>
      <c r="D8210" t="str">
        <f>"Primitive and Deadly"</f>
        <v>Primitive and Deadly</v>
      </c>
    </row>
    <row r="8211" spans="1:4" x14ac:dyDescent="0.2">
      <c r="A8211" t="str">
        <f>"8210"</f>
        <v>8210</v>
      </c>
      <c r="B8211" t="str">
        <f>"-0.33"</f>
        <v>-0.33</v>
      </c>
      <c r="C8211" t="str">
        <f>"46"</f>
        <v>46</v>
      </c>
      <c r="D8211" t="str">
        <f>"Seen It All: The Autobiography"</f>
        <v>Seen It All: The Autobiography</v>
      </c>
    </row>
    <row r="8212" spans="1:4" x14ac:dyDescent="0.2">
      <c r="A8212" t="str">
        <f>"8211"</f>
        <v>8211</v>
      </c>
      <c r="B8212" t="str">
        <f>"0.15"</f>
        <v>0.15</v>
      </c>
      <c r="C8212" t="str">
        <f>"32"</f>
        <v>32</v>
      </c>
      <c r="D8212" t="str">
        <f>"Cowboy's Prayer EP"</f>
        <v>Cowboy's Prayer EP</v>
      </c>
    </row>
    <row r="8213" spans="1:4" x14ac:dyDescent="0.2">
      <c r="A8213" t="str">
        <f>"8212"</f>
        <v>8212</v>
      </c>
      <c r="B8213" t="str">
        <f>"-0.73"</f>
        <v>-0.73</v>
      </c>
      <c r="C8213" t="str">
        <f>"26"</f>
        <v>26</v>
      </c>
      <c r="D8213" t="str">
        <f>"Anchor"</f>
        <v>Anchor</v>
      </c>
    </row>
    <row r="8214" spans="1:4" x14ac:dyDescent="0.2">
      <c r="A8214" t="str">
        <f>"8213"</f>
        <v>8213</v>
      </c>
      <c r="B8214" t="str">
        <f>"0.97"</f>
        <v>0.97</v>
      </c>
      <c r="C8214" t="str">
        <f>"36"</f>
        <v>36</v>
      </c>
      <c r="D8214" t="str">
        <f>"Happiness Is Happening"</f>
        <v>Happiness Is Happening</v>
      </c>
    </row>
    <row r="8215" spans="1:4" x14ac:dyDescent="0.2">
      <c r="A8215" t="str">
        <f>"8214"</f>
        <v>8214</v>
      </c>
      <c r="B8215" t="str">
        <f>"0.21"</f>
        <v>0.21</v>
      </c>
      <c r="C8215" t="str">
        <f>"43"</f>
        <v>43</v>
      </c>
      <c r="D8215" t="str">
        <f>"M83"</f>
        <v>M83</v>
      </c>
    </row>
    <row r="8216" spans="1:4" x14ac:dyDescent="0.2">
      <c r="A8216" t="str">
        <f>"8215"</f>
        <v>8215</v>
      </c>
      <c r="B8216" t="str">
        <f>"0.38"</f>
        <v>0.38</v>
      </c>
      <c r="C8216" t="str">
        <f>"43"</f>
        <v>43</v>
      </c>
      <c r="D8216" t="str">
        <f>"iLoveMakonnen EP"</f>
        <v>iLoveMakonnen EP</v>
      </c>
    </row>
    <row r="8217" spans="1:4" x14ac:dyDescent="0.2">
      <c r="A8217" t="str">
        <f>"8216"</f>
        <v>8216</v>
      </c>
      <c r="B8217" t="str">
        <f>"-0.63"</f>
        <v>-0.63</v>
      </c>
      <c r="C8217" t="str">
        <f>"25"</f>
        <v>25</v>
      </c>
      <c r="D8217" t="str">
        <f>"Clearing the Path to Ascend"</f>
        <v>Clearing the Path to Ascend</v>
      </c>
    </row>
    <row r="8218" spans="1:4" x14ac:dyDescent="0.2">
      <c r="A8218" t="str">
        <f>"8217"</f>
        <v>8217</v>
      </c>
      <c r="B8218" t="str">
        <f>"0.59"</f>
        <v>0.59</v>
      </c>
      <c r="C8218" t="str">
        <f>"24"</f>
        <v>24</v>
      </c>
      <c r="D8218" t="str">
        <f>"Mean Love"</f>
        <v>Mean Love</v>
      </c>
    </row>
    <row r="8219" spans="1:4" x14ac:dyDescent="0.2">
      <c r="A8219" t="str">
        <f>"8218"</f>
        <v>8218</v>
      </c>
      <c r="B8219" t="str">
        <f>"0.12"</f>
        <v>0.12</v>
      </c>
      <c r="C8219" t="str">
        <f>"49"</f>
        <v>49</v>
      </c>
      <c r="D8219" t="str">
        <f>"Blaze of Glory"</f>
        <v>Blaze of Glory</v>
      </c>
    </row>
    <row r="8220" spans="1:4" x14ac:dyDescent="0.2">
      <c r="A8220" t="str">
        <f>"8219"</f>
        <v>8219</v>
      </c>
      <c r="B8220" t="str">
        <f>"-0.04"</f>
        <v>-0.04</v>
      </c>
      <c r="C8220" t="str">
        <f>"31"</f>
        <v>31</v>
      </c>
      <c r="D8220" t="str">
        <f>"Barragán"</f>
        <v>Barragán</v>
      </c>
    </row>
    <row r="8221" spans="1:4" x14ac:dyDescent="0.2">
      <c r="A8221" t="str">
        <f>"8220"</f>
        <v>8220</v>
      </c>
      <c r="B8221" t="str">
        <f>"0.16"</f>
        <v>0.16</v>
      </c>
      <c r="C8221" t="str">
        <f>"16"</f>
        <v>16</v>
      </c>
      <c r="D8221" t="str">
        <f>"Indigo Child"</f>
        <v>Indigo Child</v>
      </c>
    </row>
    <row r="8222" spans="1:4" x14ac:dyDescent="0.2">
      <c r="A8222" t="str">
        <f>"8221"</f>
        <v>8221</v>
      </c>
      <c r="B8222" t="str">
        <f>"-0.32"</f>
        <v>-0.32</v>
      </c>
      <c r="C8222" t="str">
        <f>"37"</f>
        <v>37</v>
      </c>
      <c r="D8222" t="str">
        <f>"Beyond the Black Rainbow OST"</f>
        <v>Beyond the Black Rainbow OST</v>
      </c>
    </row>
    <row r="8223" spans="1:4" x14ac:dyDescent="0.2">
      <c r="A8223" t="str">
        <f>"8222"</f>
        <v>8222</v>
      </c>
      <c r="B8223" t="str">
        <f>"0.14"</f>
        <v>0.14</v>
      </c>
      <c r="C8223" t="str">
        <f>"29"</f>
        <v>29</v>
      </c>
      <c r="D8223" t="str">
        <f>"Double Youth"</f>
        <v>Double Youth</v>
      </c>
    </row>
    <row r="8224" spans="1:4" x14ac:dyDescent="0.2">
      <c r="A8224" t="str">
        <f>"8223"</f>
        <v>8223</v>
      </c>
      <c r="B8224" t="str">
        <f>"-0.29"</f>
        <v>-0.29</v>
      </c>
      <c r="C8224" t="str">
        <f>"18"</f>
        <v>18</v>
      </c>
      <c r="D8224" t="str">
        <f>"Live in Ravenna"</f>
        <v>Live in Ravenna</v>
      </c>
    </row>
    <row r="8225" spans="1:4" x14ac:dyDescent="0.2">
      <c r="A8225" t="str">
        <f>"8224"</f>
        <v>8224</v>
      </c>
      <c r="B8225" t="str">
        <f>"1.1"</f>
        <v>1.1</v>
      </c>
      <c r="C8225" t="str">
        <f>"21"</f>
        <v>21</v>
      </c>
      <c r="D8225" t="str">
        <f>"In a Dream"</f>
        <v>In a Dream</v>
      </c>
    </row>
    <row r="8226" spans="1:4" x14ac:dyDescent="0.2">
      <c r="A8226" t="str">
        <f>"8225"</f>
        <v>8225</v>
      </c>
      <c r="B8226" t="str">
        <f>"0.32"</f>
        <v>0.32</v>
      </c>
      <c r="C8226" t="str">
        <f>"32"</f>
        <v>32</v>
      </c>
      <c r="D8226" t="str">
        <f>"The Time Has Come"</f>
        <v>The Time Has Come</v>
      </c>
    </row>
    <row r="8227" spans="1:4" x14ac:dyDescent="0.2">
      <c r="A8227" t="str">
        <f>"8226"</f>
        <v>8226</v>
      </c>
      <c r="B8227" t="str">
        <f>"0.85"</f>
        <v>0.85</v>
      </c>
      <c r="C8227" t="str">
        <f>"23"</f>
        <v>23</v>
      </c>
      <c r="D8227" t="str">
        <f>"Overjoyed"</f>
        <v>Overjoyed</v>
      </c>
    </row>
    <row r="8228" spans="1:4" x14ac:dyDescent="0.2">
      <c r="A8228" t="str">
        <f>"8227"</f>
        <v>8227</v>
      </c>
      <c r="B8228" t="str">
        <f>"0.11"</f>
        <v>0.11</v>
      </c>
      <c r="C8228" t="str">
        <f>"27"</f>
        <v>27</v>
      </c>
      <c r="D8228" t="str">
        <f>"Things Haven't Gone Well"</f>
        <v>Things Haven't Gone Well</v>
      </c>
    </row>
    <row r="8229" spans="1:4" x14ac:dyDescent="0.2">
      <c r="A8229" t="str">
        <f>"8228"</f>
        <v>8228</v>
      </c>
      <c r="B8229" t="str">
        <f>"1.37"</f>
        <v>1.37</v>
      </c>
      <c r="C8229" t="str">
        <f>"21"</f>
        <v>21</v>
      </c>
      <c r="D8229" t="str">
        <f>"Golden Skies"</f>
        <v>Golden Skies</v>
      </c>
    </row>
    <row r="8230" spans="1:4" x14ac:dyDescent="0.2">
      <c r="A8230" t="str">
        <f>"8229"</f>
        <v>8229</v>
      </c>
      <c r="B8230" t="str">
        <f>"0.16"</f>
        <v>0.16</v>
      </c>
      <c r="C8230" t="str">
        <f>"42"</f>
        <v>42</v>
      </c>
      <c r="D8230" t="str">
        <f>"My Everything"</f>
        <v>My Everything</v>
      </c>
    </row>
    <row r="8231" spans="1:4" x14ac:dyDescent="0.2">
      <c r="A8231" t="str">
        <f>"8230"</f>
        <v>8230</v>
      </c>
      <c r="B8231" t="str">
        <f>"-1.09"</f>
        <v>-1.09</v>
      </c>
      <c r="C8231" t="str">
        <f>"68"</f>
        <v>68</v>
      </c>
      <c r="D8231" t="str">
        <f>"LOSE"</f>
        <v>LOSE</v>
      </c>
    </row>
    <row r="8232" spans="1:4" x14ac:dyDescent="0.2">
      <c r="A8232" t="str">
        <f>"8231"</f>
        <v>8231</v>
      </c>
      <c r="B8232" t="str">
        <f>"-0.02"</f>
        <v>-0.02</v>
      </c>
      <c r="C8232" t="str">
        <f>"43"</f>
        <v>43</v>
      </c>
      <c r="D8232" t="str">
        <f>"The Water(s)"</f>
        <v>The Water(s)</v>
      </c>
    </row>
    <row r="8233" spans="1:4" x14ac:dyDescent="0.2">
      <c r="A8233" t="str">
        <f>"8232"</f>
        <v>8232</v>
      </c>
      <c r="B8233" t="str">
        <f>"-0.11"</f>
        <v>-0.11</v>
      </c>
      <c r="C8233" t="str">
        <f>"54"</f>
        <v>54</v>
      </c>
      <c r="D8233" t="str">
        <f>"10 Summers"</f>
        <v>10 Summers</v>
      </c>
    </row>
    <row r="8234" spans="1:4" x14ac:dyDescent="0.2">
      <c r="A8234" t="str">
        <f>"8233"</f>
        <v>8233</v>
      </c>
      <c r="B8234" t="str">
        <f>"-0.25"</f>
        <v>-0.25</v>
      </c>
      <c r="C8234" t="str">
        <f>"34"</f>
        <v>34</v>
      </c>
      <c r="D8234" t="str">
        <f>"Blacc Hollywood"</f>
        <v>Blacc Hollywood</v>
      </c>
    </row>
    <row r="8235" spans="1:4" x14ac:dyDescent="0.2">
      <c r="A8235" t="str">
        <f>"8234"</f>
        <v>8234</v>
      </c>
      <c r="B8235" t="str">
        <f>"0.04"</f>
        <v>0.04</v>
      </c>
      <c r="C8235" t="str">
        <f>"39"</f>
        <v>39</v>
      </c>
      <c r="D8235" t="str">
        <f>"After the End"</f>
        <v>After the End</v>
      </c>
    </row>
    <row r="8236" spans="1:4" x14ac:dyDescent="0.2">
      <c r="A8236" t="str">
        <f>"8235"</f>
        <v>8235</v>
      </c>
      <c r="B8236" t="str">
        <f>"0.72"</f>
        <v>0.72</v>
      </c>
      <c r="C8236" t="str">
        <f>"39"</f>
        <v>39</v>
      </c>
      <c r="D8236" t="str">
        <f>"Tied to a Star"</f>
        <v>Tied to a Star</v>
      </c>
    </row>
    <row r="8237" spans="1:4" x14ac:dyDescent="0.2">
      <c r="A8237" t="str">
        <f>"8236"</f>
        <v>8236</v>
      </c>
      <c r="B8237" t="str">
        <f>"-0.13"</f>
        <v>-0.13</v>
      </c>
      <c r="C8237" t="str">
        <f>"53"</f>
        <v>53</v>
      </c>
      <c r="D8237" t="str">
        <f>"Pale Communion"</f>
        <v>Pale Communion</v>
      </c>
    </row>
    <row r="8238" spans="1:4" x14ac:dyDescent="0.2">
      <c r="A8238" t="str">
        <f>"8237"</f>
        <v>8237</v>
      </c>
      <c r="B8238" t="str">
        <f>"0.66"</f>
        <v>0.66</v>
      </c>
      <c r="C8238" t="str">
        <f>"30"</f>
        <v>30</v>
      </c>
      <c r="D8238" t="str">
        <f>"Bitchin Bajas"</f>
        <v>Bitchin Bajas</v>
      </c>
    </row>
    <row r="8239" spans="1:4" x14ac:dyDescent="0.2">
      <c r="A8239" t="str">
        <f>"8238"</f>
        <v>8238</v>
      </c>
      <c r="B8239" t="str">
        <f>"0.36"</f>
        <v>0.36</v>
      </c>
      <c r="C8239" t="str">
        <f>"27"</f>
        <v>27</v>
      </c>
      <c r="D8239" t="str">
        <f>"Underlay EP"</f>
        <v>Underlay EP</v>
      </c>
    </row>
    <row r="8240" spans="1:4" x14ac:dyDescent="0.2">
      <c r="A8240" t="str">
        <f>"8239"</f>
        <v>8239</v>
      </c>
      <c r="B8240" t="str">
        <f>"-0.57"</f>
        <v>-0.57</v>
      </c>
      <c r="C8240" t="str">
        <f>"53"</f>
        <v>53</v>
      </c>
      <c r="D8240" t="str">
        <f>"Green Language"</f>
        <v>Green Language</v>
      </c>
    </row>
    <row r="8241" spans="1:4" x14ac:dyDescent="0.2">
      <c r="A8241" t="str">
        <f>"8240"</f>
        <v>8240</v>
      </c>
      <c r="B8241" t="str">
        <f>"-0.14"</f>
        <v>-0.14</v>
      </c>
      <c r="C8241" t="str">
        <f>"26"</f>
        <v>26</v>
      </c>
      <c r="D8241" t="str">
        <f>"Junto"</f>
        <v>Junto</v>
      </c>
    </row>
    <row r="8242" spans="1:4" x14ac:dyDescent="0.2">
      <c r="A8242" t="str">
        <f>"8241"</f>
        <v>8241</v>
      </c>
      <c r="B8242" t="str">
        <f>"-0.68"</f>
        <v>-0.68</v>
      </c>
      <c r="C8242" t="str">
        <f>"40"</f>
        <v>40</v>
      </c>
      <c r="D8242" t="str">
        <f>"Annabel Dream Reader"</f>
        <v>Annabel Dream Reader</v>
      </c>
    </row>
    <row r="8243" spans="1:4" x14ac:dyDescent="0.2">
      <c r="A8243" t="str">
        <f>"8242"</f>
        <v>8242</v>
      </c>
      <c r="B8243" t="str">
        <f>"0.45"</f>
        <v>0.45</v>
      </c>
      <c r="C8243" t="str">
        <f>"31"</f>
        <v>31</v>
      </c>
      <c r="D8243" t="str">
        <f>"Imagin"</f>
        <v>Imagin</v>
      </c>
    </row>
    <row r="8244" spans="1:4" x14ac:dyDescent="0.2">
      <c r="A8244" t="str">
        <f>"8243"</f>
        <v>8243</v>
      </c>
      <c r="B8244" t="str">
        <f>"0.5"</f>
        <v>0.5</v>
      </c>
      <c r="C8244" t="str">
        <f>"22"</f>
        <v>22</v>
      </c>
      <c r="D8244" t="str">
        <f>"Canto Secondo"</f>
        <v>Canto Secondo</v>
      </c>
    </row>
    <row r="8245" spans="1:4" x14ac:dyDescent="0.2">
      <c r="A8245" t="str">
        <f>"8244"</f>
        <v>8244</v>
      </c>
      <c r="B8245" t="str">
        <f>"-0.19"</f>
        <v>-0.19</v>
      </c>
      <c r="C8245" t="str">
        <f>"37"</f>
        <v>37</v>
      </c>
      <c r="D8245" t="str">
        <f>"Manipulator"</f>
        <v>Manipulator</v>
      </c>
    </row>
    <row r="8246" spans="1:4" x14ac:dyDescent="0.2">
      <c r="A8246" t="str">
        <f>"8245"</f>
        <v>8245</v>
      </c>
      <c r="B8246" t="str">
        <f>"-0.23"</f>
        <v>-0.23</v>
      </c>
      <c r="C8246" t="str">
        <f>"40"</f>
        <v>40</v>
      </c>
      <c r="D8246" t="str">
        <f>"Angels &amp; Devils"</f>
        <v>Angels &amp; Devils</v>
      </c>
    </row>
    <row r="8247" spans="1:4" x14ac:dyDescent="0.2">
      <c r="A8247" t="str">
        <f>"8246"</f>
        <v>8246</v>
      </c>
      <c r="B8247" t="str">
        <f>"0.13"</f>
        <v>0.13</v>
      </c>
      <c r="C8247" t="str">
        <f>"27"</f>
        <v>27</v>
      </c>
      <c r="D8247" t="str">
        <f>"Neuroplasticity"</f>
        <v>Neuroplasticity</v>
      </c>
    </row>
    <row r="8248" spans="1:4" x14ac:dyDescent="0.2">
      <c r="A8248" t="str">
        <f>"8247"</f>
        <v>8247</v>
      </c>
      <c r="B8248" t="str">
        <f>"1.23"</f>
        <v>1.23</v>
      </c>
      <c r="C8248" t="str">
        <f>"25"</f>
        <v>25</v>
      </c>
      <c r="D8248" t="str">
        <f>"The Man Upstairs"</f>
        <v>The Man Upstairs</v>
      </c>
    </row>
    <row r="8249" spans="1:4" x14ac:dyDescent="0.2">
      <c r="A8249" t="str">
        <f>"8248"</f>
        <v>8248</v>
      </c>
      <c r="B8249" t="str">
        <f>"0.03"</f>
        <v>0.03</v>
      </c>
      <c r="C8249" t="str">
        <f>"39"</f>
        <v>39</v>
      </c>
      <c r="D8249" t="str">
        <f>"Fabric 77"</f>
        <v>Fabric 77</v>
      </c>
    </row>
    <row r="8250" spans="1:4" x14ac:dyDescent="0.2">
      <c r="A8250" t="str">
        <f>"8249"</f>
        <v>8249</v>
      </c>
      <c r="B8250" t="str">
        <f>"0.47"</f>
        <v>0.47</v>
      </c>
      <c r="C8250" t="str">
        <f>"26"</f>
        <v>26</v>
      </c>
      <c r="D8250" t="str">
        <f>"Brill Bruisers"</f>
        <v>Brill Bruisers</v>
      </c>
    </row>
    <row r="8251" spans="1:4" x14ac:dyDescent="0.2">
      <c r="A8251" t="str">
        <f>"8250"</f>
        <v>8250</v>
      </c>
      <c r="B8251" t="str">
        <f>"0.19"</f>
        <v>0.19</v>
      </c>
      <c r="C8251" t="str">
        <f>"23"</f>
        <v>23</v>
      </c>
      <c r="D8251" t="str">
        <f>"De Oro"</f>
        <v>De Oro</v>
      </c>
    </row>
    <row r="8252" spans="1:4" x14ac:dyDescent="0.2">
      <c r="A8252" t="str">
        <f>"8251"</f>
        <v>8251</v>
      </c>
      <c r="B8252" t="str">
        <f>"1.07"</f>
        <v>1.07</v>
      </c>
      <c r="C8252" t="str">
        <f>"25"</f>
        <v>25</v>
      </c>
      <c r="D8252" t="str">
        <f>"Into Sixes"</f>
        <v>Into Sixes</v>
      </c>
    </row>
    <row r="8253" spans="1:4" x14ac:dyDescent="0.2">
      <c r="A8253" t="str">
        <f>"8252"</f>
        <v>8252</v>
      </c>
      <c r="B8253" t="str">
        <f>"-0.34"</f>
        <v>-0.34</v>
      </c>
      <c r="C8253" t="str">
        <f>"29"</f>
        <v>29</v>
      </c>
      <c r="D8253" t="str">
        <f>"Ganglion Reef"</f>
        <v>Ganglion Reef</v>
      </c>
    </row>
    <row r="8254" spans="1:4" x14ac:dyDescent="0.2">
      <c r="A8254" t="str">
        <f>"8253"</f>
        <v>8253</v>
      </c>
      <c r="B8254" t="str">
        <f>"0.57"</f>
        <v>0.57</v>
      </c>
      <c r="C8254" t="str">
        <f>"18"</f>
        <v>18</v>
      </c>
      <c r="D8254" t="str">
        <f>"The Process of Self-Immolation"</f>
        <v>The Process of Self-Immolation</v>
      </c>
    </row>
    <row r="8255" spans="1:4" x14ac:dyDescent="0.2">
      <c r="A8255" t="str">
        <f>"8254"</f>
        <v>8254</v>
      </c>
      <c r="B8255" t="str">
        <f>"0.68"</f>
        <v>0.68</v>
      </c>
      <c r="C8255" t="str">
        <f>"38"</f>
        <v>38</v>
      </c>
      <c r="D8255" t="str">
        <f>"V"</f>
        <v>V</v>
      </c>
    </row>
    <row r="8256" spans="1:4" x14ac:dyDescent="0.2">
      <c r="A8256" t="str">
        <f>"8255"</f>
        <v>8255</v>
      </c>
      <c r="B8256" t="str">
        <f>"0.33"</f>
        <v>0.33</v>
      </c>
      <c r="C8256" t="str">
        <f>"51"</f>
        <v>51</v>
      </c>
      <c r="D8256" t="str">
        <f>"Meshes of Voice"</f>
        <v>Meshes of Voice</v>
      </c>
    </row>
    <row r="8257" spans="1:4" x14ac:dyDescent="0.2">
      <c r="A8257" t="str">
        <f>"8256"</f>
        <v>8256</v>
      </c>
      <c r="B8257" t="str">
        <f>"0.06"</f>
        <v>0.06</v>
      </c>
      <c r="C8257" t="str">
        <f>"33"</f>
        <v>33</v>
      </c>
      <c r="D8257" t="str">
        <f>"Chrome Cactus"</f>
        <v>Chrome Cactus</v>
      </c>
    </row>
    <row r="8258" spans="1:4" x14ac:dyDescent="0.2">
      <c r="A8258" t="str">
        <f>"8257"</f>
        <v>8257</v>
      </c>
      <c r="B8258" t="str">
        <f>"0"</f>
        <v>0</v>
      </c>
      <c r="C8258" t="str">
        <f>"27"</f>
        <v>27</v>
      </c>
      <c r="D8258" t="str">
        <f>"Chorus"</f>
        <v>Chorus</v>
      </c>
    </row>
    <row r="8259" spans="1:4" x14ac:dyDescent="0.2">
      <c r="A8259" t="str">
        <f>"8258"</f>
        <v>8258</v>
      </c>
      <c r="B8259" t="str">
        <f>"-0.22"</f>
        <v>-0.22</v>
      </c>
      <c r="C8259" t="str">
        <f>"41"</f>
        <v>41</v>
      </c>
      <c r="D8259" t="str">
        <f>"Decimation Blues"</f>
        <v>Decimation Blues</v>
      </c>
    </row>
    <row r="8260" spans="1:4" x14ac:dyDescent="0.2">
      <c r="A8260" t="str">
        <f>"8259"</f>
        <v>8259</v>
      </c>
      <c r="B8260" t="str">
        <f>"0.01"</f>
        <v>0.01</v>
      </c>
      <c r="C8260" t="str">
        <f>"39"</f>
        <v>39</v>
      </c>
      <c r="D8260" t="s">
        <v>281</v>
      </c>
    </row>
    <row r="8261" spans="1:4" x14ac:dyDescent="0.2">
      <c r="A8261" t="str">
        <f>"8260"</f>
        <v>8260</v>
      </c>
      <c r="B8261" t="str">
        <f>"-0.03"</f>
        <v>-0.03</v>
      </c>
      <c r="C8261" t="str">
        <f>"25"</f>
        <v>25</v>
      </c>
      <c r="D8261" t="str">
        <f>"Experiments in Time"</f>
        <v>Experiments in Time</v>
      </c>
    </row>
    <row r="8262" spans="1:4" x14ac:dyDescent="0.2">
      <c r="A8262" t="str">
        <f>"8261"</f>
        <v>8261</v>
      </c>
      <c r="B8262" t="str">
        <f>"0.38"</f>
        <v>0.38</v>
      </c>
      <c r="C8262" t="str">
        <f>"30"</f>
        <v>30</v>
      </c>
      <c r="D8262" t="str">
        <f>"Document and Eyewitness"</f>
        <v>Document and Eyewitness</v>
      </c>
    </row>
    <row r="8263" spans="1:4" x14ac:dyDescent="0.2">
      <c r="A8263" t="str">
        <f>"8262"</f>
        <v>8262</v>
      </c>
      <c r="B8263" t="str">
        <f>"-0.65"</f>
        <v>-0.65</v>
      </c>
      <c r="C8263" t="str">
        <f>"18"</f>
        <v>18</v>
      </c>
      <c r="D8263" t="str">
        <f>"The Golden Echo"</f>
        <v>The Golden Echo</v>
      </c>
    </row>
    <row r="8264" spans="1:4" x14ac:dyDescent="0.2">
      <c r="A8264" t="str">
        <f>"8263"</f>
        <v>8263</v>
      </c>
      <c r="B8264" t="str">
        <f>"-0.94"</f>
        <v>-0.94</v>
      </c>
      <c r="C8264" t="str">
        <f>"27"</f>
        <v>27</v>
      </c>
      <c r="D8264" t="str">
        <f>"Dark Pool"</f>
        <v>Dark Pool</v>
      </c>
    </row>
    <row r="8265" spans="1:4" x14ac:dyDescent="0.2">
      <c r="A8265" t="str">
        <f>"8264"</f>
        <v>8264</v>
      </c>
      <c r="B8265" t="str">
        <f>"0.06"</f>
        <v>0.06</v>
      </c>
      <c r="C8265" t="str">
        <f>"22"</f>
        <v>22</v>
      </c>
      <c r="D8265" t="str">
        <f>"Lost in Alphaville"</f>
        <v>Lost in Alphaville</v>
      </c>
    </row>
    <row r="8266" spans="1:4" x14ac:dyDescent="0.2">
      <c r="A8266" t="str">
        <f>"8265"</f>
        <v>8265</v>
      </c>
      <c r="B8266" t="str">
        <f>"-0.39"</f>
        <v>-0.39</v>
      </c>
      <c r="C8266" t="str">
        <f>"40"</f>
        <v>40</v>
      </c>
      <c r="D8266" t="str">
        <f>"Get Hurt"</f>
        <v>Get Hurt</v>
      </c>
    </row>
    <row r="8267" spans="1:4" x14ac:dyDescent="0.2">
      <c r="A8267" t="str">
        <f>"8266"</f>
        <v>8266</v>
      </c>
      <c r="B8267" t="str">
        <f>"0.01"</f>
        <v>0.01</v>
      </c>
      <c r="C8267" t="str">
        <f>"28"</f>
        <v>28</v>
      </c>
      <c r="D8267" t="str">
        <f>"Get Yer Body Next Ta Mine"</f>
        <v>Get Yer Body Next Ta Mine</v>
      </c>
    </row>
    <row r="8268" spans="1:4" x14ac:dyDescent="0.2">
      <c r="A8268" t="str">
        <f>"8267"</f>
        <v>8267</v>
      </c>
      <c r="B8268" t="str">
        <f>"-0.54"</f>
        <v>-0.54</v>
      </c>
      <c r="C8268" t="str">
        <f>"32"</f>
        <v>32</v>
      </c>
      <c r="D8268" t="str">
        <f>"Champagne Holocaust"</f>
        <v>Champagne Holocaust</v>
      </c>
    </row>
    <row r="8269" spans="1:4" x14ac:dyDescent="0.2">
      <c r="A8269" t="str">
        <f>"8268"</f>
        <v>8268</v>
      </c>
      <c r="B8269" t="str">
        <f>"-0.71"</f>
        <v>-0.71</v>
      </c>
      <c r="C8269" t="str">
        <f>"26"</f>
        <v>26</v>
      </c>
      <c r="D8269" t="str">
        <f>"Tashi Dorji"</f>
        <v>Tashi Dorji</v>
      </c>
    </row>
    <row r="8270" spans="1:4" x14ac:dyDescent="0.2">
      <c r="A8270" t="str">
        <f>"8269"</f>
        <v>8269</v>
      </c>
      <c r="B8270" t="str">
        <f>"1.15"</f>
        <v>1.15</v>
      </c>
      <c r="C8270" t="str">
        <f>"45"</f>
        <v>45</v>
      </c>
      <c r="D8270" t="str">
        <f>"Foundations of Burden"</f>
        <v>Foundations of Burden</v>
      </c>
    </row>
    <row r="8271" spans="1:4" x14ac:dyDescent="0.2">
      <c r="A8271" t="str">
        <f>"8270"</f>
        <v>8270</v>
      </c>
      <c r="B8271" t="str">
        <f>"0.17"</f>
        <v>0.17</v>
      </c>
      <c r="C8271" t="str">
        <f>"38"</f>
        <v>38</v>
      </c>
      <c r="D8271" t="str">
        <f>"In The Wild"</f>
        <v>In The Wild</v>
      </c>
    </row>
    <row r="8272" spans="1:4" x14ac:dyDescent="0.2">
      <c r="A8272" t="str">
        <f>"8271"</f>
        <v>8271</v>
      </c>
      <c r="B8272" t="str">
        <f>"0.54"</f>
        <v>0.54</v>
      </c>
      <c r="C8272" t="str">
        <f>"31"</f>
        <v>31</v>
      </c>
      <c r="D8272" t="str">
        <f>"Lacuna"</f>
        <v>Lacuna</v>
      </c>
    </row>
    <row r="8273" spans="1:4" x14ac:dyDescent="0.2">
      <c r="A8273" t="str">
        <f>"8272"</f>
        <v>8272</v>
      </c>
      <c r="B8273" t="str">
        <f>"-1.64"</f>
        <v>-1.64</v>
      </c>
      <c r="C8273" t="str">
        <f>"21"</f>
        <v>21</v>
      </c>
      <c r="D8273" t="str">
        <f>"Imagine Yourself in a Free and Natural World"</f>
        <v>Imagine Yourself in a Free and Natural World</v>
      </c>
    </row>
    <row r="8274" spans="1:4" x14ac:dyDescent="0.2">
      <c r="A8274" t="str">
        <f>"8273"</f>
        <v>8273</v>
      </c>
      <c r="B8274" t="str">
        <f>"-0.32"</f>
        <v>-0.32</v>
      </c>
      <c r="C8274" t="str">
        <f>"28"</f>
        <v>28</v>
      </c>
      <c r="D8274" t="str">
        <f>"When the Cellar Children See the Light of Day"</f>
        <v>When the Cellar Children See the Light of Day</v>
      </c>
    </row>
    <row r="8275" spans="1:4" x14ac:dyDescent="0.2">
      <c r="A8275" t="str">
        <f>"8274"</f>
        <v>8274</v>
      </c>
      <c r="B8275" t="str">
        <f>"-0.55"</f>
        <v>-0.55</v>
      </c>
      <c r="C8275" t="str">
        <f>"68"</f>
        <v>68</v>
      </c>
      <c r="D8275" t="str">
        <f>"LP1"</f>
        <v>LP1</v>
      </c>
    </row>
    <row r="8276" spans="1:4" x14ac:dyDescent="0.2">
      <c r="A8276" t="str">
        <f>"8275"</f>
        <v>8275</v>
      </c>
      <c r="B8276" t="str">
        <f>"-0.16"</f>
        <v>-0.16</v>
      </c>
      <c r="C8276" t="str">
        <f>"21"</f>
        <v>21</v>
      </c>
      <c r="D8276" t="str">
        <f>"Worlds"</f>
        <v>Worlds</v>
      </c>
    </row>
    <row r="8277" spans="1:4" x14ac:dyDescent="0.2">
      <c r="A8277" t="str">
        <f>"8276"</f>
        <v>8276</v>
      </c>
      <c r="B8277" t="str">
        <f>"-0.9"</f>
        <v>-0.9</v>
      </c>
      <c r="C8277" t="str">
        <f>"27"</f>
        <v>27</v>
      </c>
      <c r="D8277" t="str">
        <f>"Shelter"</f>
        <v>Shelter</v>
      </c>
    </row>
    <row r="8278" spans="1:4" x14ac:dyDescent="0.2">
      <c r="A8278" t="str">
        <f>"8277"</f>
        <v>8277</v>
      </c>
      <c r="B8278" t="str">
        <f>"0.82"</f>
        <v>0.82</v>
      </c>
      <c r="C8278" t="str">
        <f>"26"</f>
        <v>26</v>
      </c>
      <c r="D8278" t="str">
        <f>"EP1"</f>
        <v>EP1</v>
      </c>
    </row>
    <row r="8279" spans="1:4" x14ac:dyDescent="0.2">
      <c r="A8279" t="str">
        <f>"8278"</f>
        <v>8278</v>
      </c>
      <c r="B8279" t="str">
        <f>"-0.32"</f>
        <v>-0.32</v>
      </c>
      <c r="C8279" t="str">
        <f>"40"</f>
        <v>40</v>
      </c>
      <c r="D8279" t="str">
        <f>"Metal Machine Music"</f>
        <v>Metal Machine Music</v>
      </c>
    </row>
    <row r="8280" spans="1:4" x14ac:dyDescent="0.2">
      <c r="A8280" t="str">
        <f>"8279"</f>
        <v>8279</v>
      </c>
      <c r="B8280" t="str">
        <f>"0.05"</f>
        <v>0.05</v>
      </c>
      <c r="C8280" t="str">
        <f>"40"</f>
        <v>40</v>
      </c>
      <c r="D8280" t="str">
        <f>"Wild Style Breakbeats"</f>
        <v>Wild Style Breakbeats</v>
      </c>
    </row>
    <row r="8281" spans="1:4" x14ac:dyDescent="0.2">
      <c r="A8281" t="str">
        <f>"8280"</f>
        <v>8280</v>
      </c>
      <c r="B8281" t="str">
        <f>"-0.7"</f>
        <v>-0.7</v>
      </c>
      <c r="C8281" t="str">
        <f>"22"</f>
        <v>22</v>
      </c>
      <c r="D8281" t="s">
        <v>282</v>
      </c>
    </row>
    <row r="8282" spans="1:4" x14ac:dyDescent="0.2">
      <c r="A8282" t="str">
        <f>"8281"</f>
        <v>8281</v>
      </c>
      <c r="B8282" t="str">
        <f>"-0.49"</f>
        <v>-0.49</v>
      </c>
      <c r="C8282" t="str">
        <f>"25"</f>
        <v>25</v>
      </c>
      <c r="D8282" t="str">
        <f>"PARTYNEXTDOOR TWO"</f>
        <v>PARTYNEXTDOOR TWO</v>
      </c>
    </row>
    <row r="8283" spans="1:4" x14ac:dyDescent="0.2">
      <c r="A8283" t="str">
        <f>"8282"</f>
        <v>8282</v>
      </c>
      <c r="B8283" t="str">
        <f>"0.34"</f>
        <v>0.34</v>
      </c>
      <c r="C8283" t="str">
        <f>"26"</f>
        <v>26</v>
      </c>
      <c r="D8283" t="str">
        <f>"Mabel EP"</f>
        <v>Mabel EP</v>
      </c>
    </row>
    <row r="8284" spans="1:4" x14ac:dyDescent="0.2">
      <c r="A8284" t="str">
        <f>"8283"</f>
        <v>8283</v>
      </c>
      <c r="B8284" t="str">
        <f>"-0.08"</f>
        <v>-0.08</v>
      </c>
      <c r="C8284" t="str">
        <f>"36"</f>
        <v>36</v>
      </c>
      <c r="D8284" t="str">
        <f>"Coliseum"</f>
        <v>Coliseum</v>
      </c>
    </row>
    <row r="8285" spans="1:4" x14ac:dyDescent="0.2">
      <c r="A8285" t="str">
        <f>"8284"</f>
        <v>8284</v>
      </c>
      <c r="B8285" t="str">
        <f>"-0.3"</f>
        <v>-0.3</v>
      </c>
      <c r="C8285" t="str">
        <f>"48"</f>
        <v>48</v>
      </c>
      <c r="D8285" t="str">
        <f>"The World We Left Behind"</f>
        <v>The World We Left Behind</v>
      </c>
    </row>
    <row r="8286" spans="1:4" x14ac:dyDescent="0.2">
      <c r="A8286" t="str">
        <f>"8285"</f>
        <v>8285</v>
      </c>
      <c r="B8286" t="str">
        <f>"-0.63"</f>
        <v>-0.63</v>
      </c>
      <c r="C8286" t="str">
        <f>"35"</f>
        <v>35</v>
      </c>
      <c r="D8286" t="str">
        <f>"Being"</f>
        <v>Being</v>
      </c>
    </row>
    <row r="8287" spans="1:4" x14ac:dyDescent="0.2">
      <c r="A8287" t="str">
        <f>"8286"</f>
        <v>8286</v>
      </c>
      <c r="B8287" t="str">
        <f>"-0.93"</f>
        <v>-0.93</v>
      </c>
      <c r="C8287" t="str">
        <f>"47"</f>
        <v>47</v>
      </c>
      <c r="D8287" t="str">
        <f>"Tony"</f>
        <v>Tony</v>
      </c>
    </row>
    <row r="8288" spans="1:4" x14ac:dyDescent="0.2">
      <c r="A8288" t="str">
        <f>"8287"</f>
        <v>8287</v>
      </c>
      <c r="B8288" t="str">
        <f>"0.91"</f>
        <v>0.91</v>
      </c>
      <c r="C8288" t="str">
        <f>"37"</f>
        <v>37</v>
      </c>
      <c r="D8288" t="str">
        <f>"Migrations of Glass"</f>
        <v>Migrations of Glass</v>
      </c>
    </row>
    <row r="8289" spans="1:4" x14ac:dyDescent="0.2">
      <c r="A8289" t="str">
        <f>"8288"</f>
        <v>8288</v>
      </c>
      <c r="B8289" t="str">
        <f>"-0.14"</f>
        <v>-0.14</v>
      </c>
      <c r="C8289" t="str">
        <f>"46"</f>
        <v>46</v>
      </c>
      <c r="D8289" t="str">
        <f>"Elddop"</f>
        <v>Elddop</v>
      </c>
    </row>
    <row r="8290" spans="1:4" x14ac:dyDescent="0.2">
      <c r="A8290" t="str">
        <f>"8289"</f>
        <v>8289</v>
      </c>
      <c r="B8290" t="str">
        <f>"0.39"</f>
        <v>0.39</v>
      </c>
      <c r="C8290" t="str">
        <f>"18"</f>
        <v>18</v>
      </c>
      <c r="D8290" t="str">
        <f>"Television Man"</f>
        <v>Television Man</v>
      </c>
    </row>
    <row r="8291" spans="1:4" x14ac:dyDescent="0.2">
      <c r="A8291" t="str">
        <f>"8290"</f>
        <v>8290</v>
      </c>
      <c r="B8291" t="str">
        <f>"0.3"</f>
        <v>0.3</v>
      </c>
      <c r="C8291" t="str">
        <f>"27"</f>
        <v>27</v>
      </c>
      <c r="D8291" t="str">
        <f>"Sand + Silence"</f>
        <v>Sand + Silence</v>
      </c>
    </row>
    <row r="8292" spans="1:4" x14ac:dyDescent="0.2">
      <c r="A8292" t="str">
        <f>"8291"</f>
        <v>8291</v>
      </c>
      <c r="B8292" t="str">
        <f>"1.36"</f>
        <v>1.36</v>
      </c>
      <c r="C8292" t="str">
        <f>"22"</f>
        <v>22</v>
      </c>
      <c r="D8292" t="str">
        <f>"Wild Onion"</f>
        <v>Wild Onion</v>
      </c>
    </row>
    <row r="8293" spans="1:4" x14ac:dyDescent="0.2">
      <c r="A8293" t="str">
        <f>"8292"</f>
        <v>8292</v>
      </c>
      <c r="B8293" t="str">
        <f>"0.41"</f>
        <v>0.41</v>
      </c>
      <c r="C8293" t="str">
        <f>"29"</f>
        <v>29</v>
      </c>
      <c r="D8293" t="str">
        <f>"Gist Is"</f>
        <v>Gist Is</v>
      </c>
    </row>
    <row r="8294" spans="1:4" x14ac:dyDescent="0.2">
      <c r="A8294" t="str">
        <f>"8293"</f>
        <v>8293</v>
      </c>
      <c r="B8294" t="str">
        <f>"-1.15"</f>
        <v>-1.15</v>
      </c>
      <c r="C8294" t="str">
        <f>"25"</f>
        <v>25</v>
      </c>
      <c r="D8294" t="str">
        <f>"Storms of Unholy Black Mass"</f>
        <v>Storms of Unholy Black Mass</v>
      </c>
    </row>
    <row r="8295" spans="1:4" x14ac:dyDescent="0.2">
      <c r="A8295" t="str">
        <f>"8294"</f>
        <v>8294</v>
      </c>
      <c r="B8295" t="str">
        <f>"0.86"</f>
        <v>0.86</v>
      </c>
      <c r="C8295" t="str">
        <f>"30"</f>
        <v>30</v>
      </c>
      <c r="D8295" t="str">
        <f>"Time Is Over One Day Old"</f>
        <v>Time Is Over One Day Old</v>
      </c>
    </row>
    <row r="8296" spans="1:4" x14ac:dyDescent="0.2">
      <c r="A8296" t="str">
        <f>"8295"</f>
        <v>8295</v>
      </c>
      <c r="B8296" t="str">
        <f>"0.14"</f>
        <v>0.14</v>
      </c>
      <c r="C8296" t="str">
        <f>"36"</f>
        <v>36</v>
      </c>
      <c r="D8296" t="str">
        <f>"Frozen Letter"</f>
        <v>Frozen Letter</v>
      </c>
    </row>
    <row r="8297" spans="1:4" x14ac:dyDescent="0.2">
      <c r="A8297" t="str">
        <f>"8296"</f>
        <v>8296</v>
      </c>
      <c r="B8297" t="str">
        <f>"0.58"</f>
        <v>0.58</v>
      </c>
      <c r="C8297" t="str">
        <f>"39"</f>
        <v>39</v>
      </c>
      <c r="D8297" t="str">
        <f>"The Number Ones"</f>
        <v>The Number Ones</v>
      </c>
    </row>
    <row r="8298" spans="1:4" x14ac:dyDescent="0.2">
      <c r="A8298" t="str">
        <f>"8297"</f>
        <v>8297</v>
      </c>
      <c r="B8298" t="str">
        <f>"1.97"</f>
        <v>1.97</v>
      </c>
      <c r="C8298" t="str">
        <f>"24"</f>
        <v>24</v>
      </c>
      <c r="D8298" t="str">
        <f>"Ice Cream Man"</f>
        <v>Ice Cream Man</v>
      </c>
    </row>
    <row r="8299" spans="1:4" x14ac:dyDescent="0.2">
      <c r="A8299" t="str">
        <f>"8298"</f>
        <v>8298</v>
      </c>
      <c r="B8299" t="str">
        <f>"-0.24"</f>
        <v>-0.24</v>
      </c>
      <c r="C8299" t="str">
        <f>"34"</f>
        <v>34</v>
      </c>
      <c r="D8299" t="str">
        <f>"Claw"</f>
        <v>Claw</v>
      </c>
    </row>
    <row r="8300" spans="1:4" x14ac:dyDescent="0.2">
      <c r="A8300" t="str">
        <f>"8299"</f>
        <v>8299</v>
      </c>
      <c r="B8300" t="str">
        <f>"0.04"</f>
        <v>0.04</v>
      </c>
      <c r="C8300" t="str">
        <f>"52"</f>
        <v>52</v>
      </c>
      <c r="D8300" t="str">
        <f>"They Want My Soul"</f>
        <v>They Want My Soul</v>
      </c>
    </row>
    <row r="8301" spans="1:4" x14ac:dyDescent="0.2">
      <c r="A8301" t="str">
        <f>"8300"</f>
        <v>8300</v>
      </c>
      <c r="B8301" t="str">
        <f>"0.98"</f>
        <v>0.98</v>
      </c>
      <c r="C8301" t="str">
        <f>"29"</f>
        <v>29</v>
      </c>
      <c r="D8301" t="str">
        <f>"End Times Undone"</f>
        <v>End Times Undone</v>
      </c>
    </row>
    <row r="8302" spans="1:4" x14ac:dyDescent="0.2">
      <c r="A8302" t="str">
        <f>"8301"</f>
        <v>8301</v>
      </c>
      <c r="B8302" t="str">
        <f>"-0.51"</f>
        <v>-0.51</v>
      </c>
      <c r="C8302" t="str">
        <f>"31"</f>
        <v>31</v>
      </c>
      <c r="D8302" t="str">
        <f>"Fan Fiction"</f>
        <v>Fan Fiction</v>
      </c>
    </row>
    <row r="8303" spans="1:4" x14ac:dyDescent="0.2">
      <c r="A8303" t="str">
        <f>"8302"</f>
        <v>8302</v>
      </c>
      <c r="B8303" t="str">
        <f>"-0.88"</f>
        <v>-0.88</v>
      </c>
      <c r="C8303" t="str">
        <f>"32"</f>
        <v>32</v>
      </c>
      <c r="D8303" t="str">
        <f>"Heavy Window"</f>
        <v>Heavy Window</v>
      </c>
    </row>
    <row r="8304" spans="1:4" x14ac:dyDescent="0.2">
      <c r="A8304" t="str">
        <f>"8303"</f>
        <v>8303</v>
      </c>
      <c r="B8304" t="str">
        <f>"0.55"</f>
        <v>0.55</v>
      </c>
      <c r="C8304" t="str">
        <f>"32"</f>
        <v>32</v>
      </c>
      <c r="D8304" t="str">
        <f>"Music From The Mountain Provinces"</f>
        <v>Music From The Mountain Provinces</v>
      </c>
    </row>
    <row r="8305" spans="1:4" x14ac:dyDescent="0.2">
      <c r="A8305" t="str">
        <f>"8304"</f>
        <v>8304</v>
      </c>
      <c r="B8305" t="str">
        <f>"0.01"</f>
        <v>0.01</v>
      </c>
      <c r="C8305" t="str">
        <f>"44"</f>
        <v>44</v>
      </c>
      <c r="D8305" t="str">
        <f>"Romantic Times"</f>
        <v>Romantic Times</v>
      </c>
    </row>
    <row r="8306" spans="1:4" x14ac:dyDescent="0.2">
      <c r="A8306" t="str">
        <f>"8305"</f>
        <v>8305</v>
      </c>
      <c r="B8306" t="str">
        <f>"0.11"</f>
        <v>0.11</v>
      </c>
      <c r="C8306" t="str">
        <f>"31"</f>
        <v>31</v>
      </c>
      <c r="D8306" t="str">
        <f>"Rückverzauberung 9 / Musik Für Kulturinstitutionen"</f>
        <v>Rückverzauberung 9 / Musik Für Kulturinstitutionen</v>
      </c>
    </row>
    <row r="8307" spans="1:4" x14ac:dyDescent="0.2">
      <c r="A8307" t="str">
        <f>"8306"</f>
        <v>8306</v>
      </c>
      <c r="B8307" t="str">
        <f>"-0.36"</f>
        <v>-0.36</v>
      </c>
      <c r="C8307" t="str">
        <f>"39"</f>
        <v>39</v>
      </c>
      <c r="D8307" t="str">
        <f>"Mediumship"</f>
        <v>Mediumship</v>
      </c>
    </row>
    <row r="8308" spans="1:4" x14ac:dyDescent="0.2">
      <c r="A8308" t="str">
        <f>"8307"</f>
        <v>8307</v>
      </c>
      <c r="B8308" t="str">
        <f>"-0.49"</f>
        <v>-0.49</v>
      </c>
      <c r="C8308" t="str">
        <f>"31"</f>
        <v>31</v>
      </c>
      <c r="D8308" t="str">
        <f>"Wastoid"</f>
        <v>Wastoid</v>
      </c>
    </row>
    <row r="8309" spans="1:4" x14ac:dyDescent="0.2">
      <c r="A8309" t="str">
        <f>"8308"</f>
        <v>8308</v>
      </c>
      <c r="B8309" t="str">
        <f>"0.98"</f>
        <v>0.98</v>
      </c>
      <c r="C8309" t="str">
        <f>"25"</f>
        <v>25</v>
      </c>
      <c r="D8309" t="str">
        <f>"Late Night Tales Presents After Dark: Nightshift"</f>
        <v>Late Night Tales Presents After Dark: Nightshift</v>
      </c>
    </row>
    <row r="8310" spans="1:4" x14ac:dyDescent="0.2">
      <c r="A8310" t="str">
        <f>"8309"</f>
        <v>8309</v>
      </c>
      <c r="B8310" t="str">
        <f>"-1.07"</f>
        <v>-1.07</v>
      </c>
      <c r="C8310" t="str">
        <f>"42"</f>
        <v>42</v>
      </c>
      <c r="D8310" t="str">
        <f>"The Voyager"</f>
        <v>The Voyager</v>
      </c>
    </row>
    <row r="8311" spans="1:4" x14ac:dyDescent="0.2">
      <c r="A8311" t="str">
        <f>"8310"</f>
        <v>8310</v>
      </c>
      <c r="B8311" t="str">
        <f>"-0.11"</f>
        <v>-0.11</v>
      </c>
      <c r="C8311" t="str">
        <f>"17"</f>
        <v>17</v>
      </c>
      <c r="D8311" t="str">
        <f>"Seven Years Week"</f>
        <v>Seven Years Week</v>
      </c>
    </row>
    <row r="8312" spans="1:4" x14ac:dyDescent="0.2">
      <c r="A8312" t="str">
        <f>"8311"</f>
        <v>8311</v>
      </c>
      <c r="B8312" t="str">
        <f>"-1.35"</f>
        <v>-1.35</v>
      </c>
      <c r="C8312" t="str">
        <f>"20"</f>
        <v>20</v>
      </c>
      <c r="D8312" t="str">
        <f>"Persona"</f>
        <v>Persona</v>
      </c>
    </row>
    <row r="8313" spans="1:4" x14ac:dyDescent="0.2">
      <c r="A8313" t="str">
        <f>"8312"</f>
        <v>8312</v>
      </c>
      <c r="B8313" t="str">
        <f>"-0.11"</f>
        <v>-0.11</v>
      </c>
      <c r="C8313" t="str">
        <f>"21"</f>
        <v>21</v>
      </c>
      <c r="D8313" t="str">
        <f>"Wilderness of Mirrors"</f>
        <v>Wilderness of Mirrors</v>
      </c>
    </row>
    <row r="8314" spans="1:4" x14ac:dyDescent="0.2">
      <c r="A8314" t="str">
        <f>"8313"</f>
        <v>8313</v>
      </c>
      <c r="B8314" t="str">
        <f>"0.41"</f>
        <v>0.41</v>
      </c>
      <c r="C8314" t="str">
        <f>"24"</f>
        <v>24</v>
      </c>
      <c r="D8314" t="str">
        <f>"Bled White"</f>
        <v>Bled White</v>
      </c>
    </row>
    <row r="8315" spans="1:4" x14ac:dyDescent="0.2">
      <c r="A8315" t="str">
        <f>"8314"</f>
        <v>8314</v>
      </c>
      <c r="B8315" t="str">
        <f>"0.88"</f>
        <v>0.88</v>
      </c>
      <c r="C8315" t="str">
        <f>"43"</f>
        <v>43</v>
      </c>
      <c r="D8315" t="str">
        <f>"Beck Song Reader"</f>
        <v>Beck Song Reader</v>
      </c>
    </row>
    <row r="8316" spans="1:4" x14ac:dyDescent="0.2">
      <c r="A8316" t="str">
        <f>"8315"</f>
        <v>8315</v>
      </c>
      <c r="B8316" t="str">
        <f>"0.04"</f>
        <v>0.04</v>
      </c>
      <c r="C8316" t="str">
        <f>"30"</f>
        <v>30</v>
      </c>
      <c r="D8316" t="str">
        <f>"Pe'ahi"</f>
        <v>Pe'ahi</v>
      </c>
    </row>
    <row r="8317" spans="1:4" x14ac:dyDescent="0.2">
      <c r="A8317" t="str">
        <f>"8316"</f>
        <v>8316</v>
      </c>
      <c r="B8317" t="str">
        <f>"-0.19"</f>
        <v>-0.19</v>
      </c>
      <c r="C8317" t="str">
        <f>"50"</f>
        <v>50</v>
      </c>
      <c r="D8317" t="str">
        <f>"Magical Pessimism 2014"</f>
        <v>Magical Pessimism 2014</v>
      </c>
    </row>
    <row r="8318" spans="1:4" x14ac:dyDescent="0.2">
      <c r="A8318" t="str">
        <f>"8317"</f>
        <v>8317</v>
      </c>
      <c r="B8318" t="str">
        <f>"0.3"</f>
        <v>0.3</v>
      </c>
      <c r="C8318" t="str">
        <f>"30"</f>
        <v>30</v>
      </c>
      <c r="D8318" t="str">
        <f>"Call 4 Fun"</f>
        <v>Call 4 Fun</v>
      </c>
    </row>
    <row r="8319" spans="1:4" x14ac:dyDescent="0.2">
      <c r="A8319" t="str">
        <f>"8318"</f>
        <v>8318</v>
      </c>
      <c r="B8319" t="str">
        <f>"-0.12"</f>
        <v>-0.12</v>
      </c>
      <c r="C8319" t="str">
        <f>"18"</f>
        <v>18</v>
      </c>
      <c r="D8319" t="str">
        <f>"Money Green Viper"</f>
        <v>Money Green Viper</v>
      </c>
    </row>
    <row r="8320" spans="1:4" x14ac:dyDescent="0.2">
      <c r="A8320" t="str">
        <f>"8319"</f>
        <v>8319</v>
      </c>
      <c r="B8320" t="str">
        <f>"-0.6"</f>
        <v>-0.6</v>
      </c>
      <c r="C8320" t="str">
        <f>"35"</f>
        <v>35</v>
      </c>
      <c r="D8320" t="str">
        <f>"Who Will Cut Our Hair When We're Gone?"</f>
        <v>Who Will Cut Our Hair When We're Gone?</v>
      </c>
    </row>
    <row r="8321" spans="1:4" x14ac:dyDescent="0.2">
      <c r="A8321" t="str">
        <f>"8320"</f>
        <v>8320</v>
      </c>
      <c r="B8321" t="str">
        <f>"-0.83"</f>
        <v>-0.83</v>
      </c>
      <c r="C8321" t="str">
        <f>"48"</f>
        <v>48</v>
      </c>
      <c r="D8321" t="str">
        <f>"11:11"</f>
        <v>11:11</v>
      </c>
    </row>
    <row r="8322" spans="1:4" x14ac:dyDescent="0.2">
      <c r="A8322" t="str">
        <f>"8321"</f>
        <v>8321</v>
      </c>
      <c r="B8322" t="str">
        <f>"-1.18"</f>
        <v>-1.18</v>
      </c>
      <c r="C8322" t="str">
        <f>"39"</f>
        <v>39</v>
      </c>
      <c r="D8322" t="str">
        <f>"Cold World"</f>
        <v>Cold World</v>
      </c>
    </row>
    <row r="8323" spans="1:4" x14ac:dyDescent="0.2">
      <c r="A8323" t="str">
        <f>"8322"</f>
        <v>8322</v>
      </c>
      <c r="B8323" t="str">
        <f>"0.6"</f>
        <v>0.6</v>
      </c>
      <c r="C8323" t="str">
        <f>"16"</f>
        <v>16</v>
      </c>
      <c r="D8323" t="str">
        <f>"Tell Me I Belong"</f>
        <v>Tell Me I Belong</v>
      </c>
    </row>
    <row r="8324" spans="1:4" x14ac:dyDescent="0.2">
      <c r="A8324" t="str">
        <f>"8323"</f>
        <v>8323</v>
      </c>
      <c r="B8324" t="str">
        <f>"-0.05"</f>
        <v>-0.05</v>
      </c>
      <c r="C8324" t="str">
        <f>"25"</f>
        <v>25</v>
      </c>
      <c r="D8324" t="str">
        <f>"Harbinger"</f>
        <v>Harbinger</v>
      </c>
    </row>
    <row r="8325" spans="1:4" x14ac:dyDescent="0.2">
      <c r="A8325" t="str">
        <f>"8324"</f>
        <v>8324</v>
      </c>
      <c r="B8325" t="str">
        <f>"0.01"</f>
        <v>0.01</v>
      </c>
      <c r="C8325" t="str">
        <f>"37"</f>
        <v>37</v>
      </c>
      <c r="D8325" t="str">
        <f>"Lese Majesty"</f>
        <v>Lese Majesty</v>
      </c>
    </row>
    <row r="8326" spans="1:4" x14ac:dyDescent="0.2">
      <c r="A8326" t="str">
        <f>"8325"</f>
        <v>8325</v>
      </c>
      <c r="B8326" t="str">
        <f>"0.06"</f>
        <v>0.06</v>
      </c>
      <c r="C8326" t="str">
        <f>"38"</f>
        <v>38</v>
      </c>
      <c r="D8326" t="str">
        <f>"Racy"</f>
        <v>Racy</v>
      </c>
    </row>
    <row r="8327" spans="1:4" x14ac:dyDescent="0.2">
      <c r="A8327" t="str">
        <f>"8326"</f>
        <v>8326</v>
      </c>
      <c r="B8327" t="str">
        <f>"0.79"</f>
        <v>0.79</v>
      </c>
      <c r="C8327" t="str">
        <f>"26"</f>
        <v>26</v>
      </c>
      <c r="D8327" t="str">
        <f>"Whoop Dee Doo"</f>
        <v>Whoop Dee Doo</v>
      </c>
    </row>
    <row r="8328" spans="1:4" x14ac:dyDescent="0.2">
      <c r="A8328" t="str">
        <f>"8327"</f>
        <v>8327</v>
      </c>
      <c r="B8328" t="str">
        <f>"-0.81"</f>
        <v>-0.81</v>
      </c>
      <c r="C8328" t="str">
        <f>"44"</f>
        <v>44</v>
      </c>
      <c r="D8328" t="str">
        <f>"UltraMantis Black"</f>
        <v>UltraMantis Black</v>
      </c>
    </row>
    <row r="8329" spans="1:4" x14ac:dyDescent="0.2">
      <c r="A8329" t="str">
        <f>"8328"</f>
        <v>8328</v>
      </c>
      <c r="B8329" t="str">
        <f>"0.13"</f>
        <v>0.13</v>
      </c>
      <c r="C8329" t="str">
        <f>"29"</f>
        <v>29</v>
      </c>
      <c r="D8329" t="str">
        <f>"Southern Meridian"</f>
        <v>Southern Meridian</v>
      </c>
    </row>
    <row r="8330" spans="1:4" x14ac:dyDescent="0.2">
      <c r="A8330" t="str">
        <f>"8329"</f>
        <v>8329</v>
      </c>
      <c r="B8330" t="str">
        <f>"0.35"</f>
        <v>0.35</v>
      </c>
      <c r="C8330" t="str">
        <f>"33"</f>
        <v>33</v>
      </c>
      <c r="D8330" t="str">
        <f>"No More EP"</f>
        <v>No More EP</v>
      </c>
    </row>
    <row r="8331" spans="1:4" x14ac:dyDescent="0.2">
      <c r="A8331" t="str">
        <f>"8330"</f>
        <v>8330</v>
      </c>
      <c r="B8331" t="str">
        <f>"0.16"</f>
        <v>0.16</v>
      </c>
      <c r="C8331" t="str">
        <f>"40"</f>
        <v>40</v>
      </c>
      <c r="D8331" t="str">
        <f>"Nobody's Smiling"</f>
        <v>Nobody's Smiling</v>
      </c>
    </row>
    <row r="8332" spans="1:4" x14ac:dyDescent="0.2">
      <c r="A8332" t="str">
        <f>"8331"</f>
        <v>8331</v>
      </c>
      <c r="B8332" t="str">
        <f>"-0.5"</f>
        <v>-0.5</v>
      </c>
      <c r="C8332" t="str">
        <f>"29"</f>
        <v>29</v>
      </c>
      <c r="D8332" t="str">
        <f>"Clear Lake Forest"</f>
        <v>Clear Lake Forest</v>
      </c>
    </row>
    <row r="8333" spans="1:4" x14ac:dyDescent="0.2">
      <c r="A8333" t="str">
        <f>"8332"</f>
        <v>8332</v>
      </c>
      <c r="B8333" t="str">
        <f>"0.19"</f>
        <v>0.19</v>
      </c>
      <c r="C8333" t="str">
        <f>"23"</f>
        <v>23</v>
      </c>
      <c r="D8333" t="str">
        <f>"Liminal"</f>
        <v>Liminal</v>
      </c>
    </row>
    <row r="8334" spans="1:4" x14ac:dyDescent="0.2">
      <c r="A8334" t="str">
        <f>"8333"</f>
        <v>8333</v>
      </c>
      <c r="B8334" t="str">
        <f>"-0.88"</f>
        <v>-0.88</v>
      </c>
      <c r="C8334" t="str">
        <f>"37"</f>
        <v>37</v>
      </c>
      <c r="D8334" t="str">
        <f>"Gold"</f>
        <v>Gold</v>
      </c>
    </row>
    <row r="8335" spans="1:4" x14ac:dyDescent="0.2">
      <c r="A8335" t="str">
        <f>"8334"</f>
        <v>8334</v>
      </c>
      <c r="B8335" t="str">
        <f>"-0.04"</f>
        <v>-0.04</v>
      </c>
      <c r="C8335" t="str">
        <f>"34"</f>
        <v>34</v>
      </c>
      <c r="D8335" t="str">
        <f>"Country Funk Volume II 1967-1974"</f>
        <v>Country Funk Volume II 1967-1974</v>
      </c>
    </row>
    <row r="8336" spans="1:4" x14ac:dyDescent="0.2">
      <c r="A8336" t="str">
        <f>"8335"</f>
        <v>8335</v>
      </c>
      <c r="B8336" t="str">
        <f>"0.34"</f>
        <v>0.34</v>
      </c>
      <c r="C8336" t="str">
        <f>"57"</f>
        <v>57</v>
      </c>
      <c r="D8336" t="str">
        <f>"Blue Bell Knoll"</f>
        <v>Blue Bell Knoll</v>
      </c>
    </row>
    <row r="8337" spans="1:4" x14ac:dyDescent="0.2">
      <c r="A8337" t="str">
        <f>"8336"</f>
        <v>8336</v>
      </c>
      <c r="B8337" t="str">
        <f>"1.81"</f>
        <v>1.81</v>
      </c>
      <c r="C8337" t="str">
        <f>"27"</f>
        <v>27</v>
      </c>
      <c r="D8337" t="str">
        <f>"Friends EP"</f>
        <v>Friends EP</v>
      </c>
    </row>
    <row r="8338" spans="1:4" x14ac:dyDescent="0.2">
      <c r="A8338" t="str">
        <f>"8337"</f>
        <v>8337</v>
      </c>
      <c r="B8338" t="str">
        <f>"-0.91"</f>
        <v>-0.91</v>
      </c>
      <c r="C8338" t="str">
        <f>"19"</f>
        <v>19</v>
      </c>
      <c r="D8338" t="str">
        <f>"Rough 2 EP"</f>
        <v>Rough 2 EP</v>
      </c>
    </row>
    <row r="8339" spans="1:4" x14ac:dyDescent="0.2">
      <c r="A8339" t="str">
        <f>"8338"</f>
        <v>8338</v>
      </c>
      <c r="B8339" t="str">
        <f>"0.25"</f>
        <v>0.25</v>
      </c>
      <c r="C8339" t="str">
        <f>"30"</f>
        <v>30</v>
      </c>
      <c r="D8339" t="str">
        <f>"For the Recently Found Innocent"</f>
        <v>For the Recently Found Innocent</v>
      </c>
    </row>
    <row r="8340" spans="1:4" x14ac:dyDescent="0.2">
      <c r="A8340" t="str">
        <f>"8339"</f>
        <v>8339</v>
      </c>
      <c r="B8340" t="str">
        <f>"0.79"</f>
        <v>0.79</v>
      </c>
      <c r="C8340" t="str">
        <f>"24"</f>
        <v>24</v>
      </c>
      <c r="D8340" t="str">
        <f>"Melted Toys"</f>
        <v>Melted Toys</v>
      </c>
    </row>
    <row r="8341" spans="1:4" x14ac:dyDescent="0.2">
      <c r="A8341" t="str">
        <f>"8340"</f>
        <v>8340</v>
      </c>
      <c r="B8341" t="str">
        <f>"0.08"</f>
        <v>0.08</v>
      </c>
      <c r="C8341" t="str">
        <f>"19"</f>
        <v>19</v>
      </c>
      <c r="D8341" t="str">
        <f>"Orange Co. Serenade"</f>
        <v>Orange Co. Serenade</v>
      </c>
    </row>
    <row r="8342" spans="1:4" x14ac:dyDescent="0.2">
      <c r="A8342" t="str">
        <f>"8341"</f>
        <v>8341</v>
      </c>
      <c r="B8342" t="str">
        <f>"0.12"</f>
        <v>0.12</v>
      </c>
      <c r="C8342" t="str">
        <f>"25"</f>
        <v>25</v>
      </c>
      <c r="D8342" t="str">
        <f>"Trouble in Paradise"</f>
        <v>Trouble in Paradise</v>
      </c>
    </row>
    <row r="8343" spans="1:4" x14ac:dyDescent="0.2">
      <c r="A8343" t="str">
        <f>"8342"</f>
        <v>8342</v>
      </c>
      <c r="B8343" t="str">
        <f>"-0.12"</f>
        <v>-0.12</v>
      </c>
      <c r="C8343" t="str">
        <f>"29"</f>
        <v>29</v>
      </c>
      <c r="D8343" t="str">
        <f>"Amphetamine Ballads"</f>
        <v>Amphetamine Ballads</v>
      </c>
    </row>
    <row r="8344" spans="1:4" x14ac:dyDescent="0.2">
      <c r="A8344" t="str">
        <f>"8343"</f>
        <v>8343</v>
      </c>
      <c r="B8344" t="str">
        <f>"-0.58"</f>
        <v>-0.58</v>
      </c>
      <c r="C8344" t="str">
        <f>"34"</f>
        <v>34</v>
      </c>
      <c r="D8344" t="str">
        <f>"FREEMAN"</f>
        <v>FREEMAN</v>
      </c>
    </row>
    <row r="8345" spans="1:4" x14ac:dyDescent="0.2">
      <c r="A8345" t="str">
        <f>"8344"</f>
        <v>8344</v>
      </c>
      <c r="B8345" t="str">
        <f>"-0.2"</f>
        <v>-0.2</v>
      </c>
      <c r="C8345" t="str">
        <f>"27"</f>
        <v>27</v>
      </c>
      <c r="D8345" t="str">
        <f>"Upright Behavior"</f>
        <v>Upright Behavior</v>
      </c>
    </row>
    <row r="8346" spans="1:4" x14ac:dyDescent="0.2">
      <c r="A8346" t="str">
        <f>"8345"</f>
        <v>8345</v>
      </c>
      <c r="B8346" t="str">
        <f>"0.21"</f>
        <v>0.21</v>
      </c>
      <c r="C8346" t="str">
        <f>"26"</f>
        <v>26</v>
      </c>
      <c r="D8346" t="str">
        <f>"Passerby"</f>
        <v>Passerby</v>
      </c>
    </row>
    <row r="8347" spans="1:4" x14ac:dyDescent="0.2">
      <c r="A8347" t="str">
        <f>"8346"</f>
        <v>8346</v>
      </c>
      <c r="B8347" t="str">
        <f>"-0.57"</f>
        <v>-0.57</v>
      </c>
      <c r="C8347" t="str">
        <f>"43"</f>
        <v>43</v>
      </c>
      <c r="D8347" t="str">
        <f>"Wish I Was Here OST"</f>
        <v>Wish I Was Here OST</v>
      </c>
    </row>
    <row r="8348" spans="1:4" x14ac:dyDescent="0.2">
      <c r="A8348" t="str">
        <f>"8347"</f>
        <v>8347</v>
      </c>
      <c r="B8348" t="str">
        <f>"0.2"</f>
        <v>0.2</v>
      </c>
      <c r="C8348" t="str">
        <f>"30"</f>
        <v>30</v>
      </c>
      <c r="D8348" t="str">
        <f>"For Those Who Stay"</f>
        <v>For Those Who Stay</v>
      </c>
    </row>
    <row r="8349" spans="1:4" x14ac:dyDescent="0.2">
      <c r="A8349" t="str">
        <f>"8348"</f>
        <v>8348</v>
      </c>
      <c r="B8349" t="str">
        <f>"0.34"</f>
        <v>0.34</v>
      </c>
      <c r="C8349" t="str">
        <f>"29"</f>
        <v>29</v>
      </c>
      <c r="D8349" t="str">
        <f>"Strange Weather EP"</f>
        <v>Strange Weather EP</v>
      </c>
    </row>
    <row r="8350" spans="1:4" x14ac:dyDescent="0.2">
      <c r="A8350" t="str">
        <f>"8349"</f>
        <v>8349</v>
      </c>
      <c r="B8350" t="str">
        <f>"0.37"</f>
        <v>0.37</v>
      </c>
      <c r="C8350" t="str">
        <f>"46"</f>
        <v>46</v>
      </c>
      <c r="D8350" t="str">
        <f>"Fantômas: Le Faux Magistrat"</f>
        <v>Fantômas: Le Faux Magistrat</v>
      </c>
    </row>
    <row r="8351" spans="1:4" x14ac:dyDescent="0.2">
      <c r="A8351" t="str">
        <f>"8350"</f>
        <v>8350</v>
      </c>
      <c r="B8351" t="str">
        <f>"-0.89"</f>
        <v>-0.89</v>
      </c>
      <c r="C8351" t="str">
        <f>"28"</f>
        <v>28</v>
      </c>
      <c r="D8351" t="str">
        <f>"Constricting Rage of the Merciless"</f>
        <v>Constricting Rage of the Merciless</v>
      </c>
    </row>
    <row r="8352" spans="1:4" x14ac:dyDescent="0.2">
      <c r="A8352" t="str">
        <f>"8351"</f>
        <v>8351</v>
      </c>
      <c r="B8352" t="str">
        <f>"-0.4"</f>
        <v>-0.4</v>
      </c>
      <c r="C8352" t="str">
        <f>"32"</f>
        <v>32</v>
      </c>
      <c r="D8352" t="str">
        <f>"Hyperdub 10.2"</f>
        <v>Hyperdub 10.2</v>
      </c>
    </row>
    <row r="8353" spans="1:4" x14ac:dyDescent="0.2">
      <c r="A8353" t="str">
        <f>"8352"</f>
        <v>8352</v>
      </c>
      <c r="B8353" t="str">
        <f>"0.2"</f>
        <v>0.2</v>
      </c>
      <c r="C8353" t="str">
        <f>"23"</f>
        <v>23</v>
      </c>
      <c r="D8353" t="str">
        <f>"Alvvays"</f>
        <v>Alvvays</v>
      </c>
    </row>
    <row r="8354" spans="1:4" x14ac:dyDescent="0.2">
      <c r="A8354" t="str">
        <f>"8353"</f>
        <v>8353</v>
      </c>
      <c r="B8354" t="str">
        <f>"0.16"</f>
        <v>0.16</v>
      </c>
      <c r="C8354" t="str">
        <f>"30"</f>
        <v>30</v>
      </c>
      <c r="D8354" t="str">
        <f>"Never Hungover Again"</f>
        <v>Never Hungover Again</v>
      </c>
    </row>
    <row r="8355" spans="1:4" x14ac:dyDescent="0.2">
      <c r="A8355" t="str">
        <f>"8354"</f>
        <v>8354</v>
      </c>
      <c r="B8355" t="str">
        <f>"-0.82"</f>
        <v>-0.82</v>
      </c>
      <c r="C8355" t="str">
        <f>"38"</f>
        <v>38</v>
      </c>
      <c r="D8355" t="str">
        <f>"The Cover of Hunter"</f>
        <v>The Cover of Hunter</v>
      </c>
    </row>
    <row r="8356" spans="1:4" x14ac:dyDescent="0.2">
      <c r="A8356" t="str">
        <f>"8355"</f>
        <v>8355</v>
      </c>
      <c r="B8356" t="str">
        <f>"-0.31"</f>
        <v>-0.31</v>
      </c>
      <c r="C8356" t="str">
        <f>"34"</f>
        <v>34</v>
      </c>
      <c r="D8356" t="str">
        <f>"Perfection &amp; Permanence"</f>
        <v>Perfection &amp; Permanence</v>
      </c>
    </row>
    <row r="8357" spans="1:4" x14ac:dyDescent="0.2">
      <c r="A8357" t="str">
        <f>"8356"</f>
        <v>8356</v>
      </c>
      <c r="B8357" t="str">
        <f>"0.4"</f>
        <v>0.4</v>
      </c>
      <c r="C8357" t="str">
        <f>"29"</f>
        <v>29</v>
      </c>
      <c r="D8357" t="str">
        <f>"For Professional Use Only Vol. 2"</f>
        <v>For Professional Use Only Vol. 2</v>
      </c>
    </row>
    <row r="8358" spans="1:4" x14ac:dyDescent="0.2">
      <c r="A8358" t="str">
        <f>"8357"</f>
        <v>8357</v>
      </c>
      <c r="B8358" t="str">
        <f>"-0.74"</f>
        <v>-0.74</v>
      </c>
      <c r="C8358" t="str">
        <f>"33"</f>
        <v>33</v>
      </c>
      <c r="D8358" t="str">
        <f>"Break Line the Musical"</f>
        <v>Break Line the Musical</v>
      </c>
    </row>
    <row r="8359" spans="1:4" x14ac:dyDescent="0.2">
      <c r="A8359" t="str">
        <f>"8358"</f>
        <v>8358</v>
      </c>
      <c r="B8359" t="str">
        <f>"0.19"</f>
        <v>0.19</v>
      </c>
      <c r="C8359" t="str">
        <f>"34"</f>
        <v>34</v>
      </c>
      <c r="D8359" t="str">
        <f>"Honeyblood"</f>
        <v>Honeyblood</v>
      </c>
    </row>
    <row r="8360" spans="1:4" x14ac:dyDescent="0.2">
      <c r="A8360" t="str">
        <f>"8359"</f>
        <v>8359</v>
      </c>
      <c r="B8360" t="str">
        <f>"0.44"</f>
        <v>0.44</v>
      </c>
      <c r="C8360" t="str">
        <f>"28"</f>
        <v>28</v>
      </c>
      <c r="D8360" t="str">
        <f>"Ultimate in Luxury"</f>
        <v>Ultimate in Luxury</v>
      </c>
    </row>
    <row r="8361" spans="1:4" x14ac:dyDescent="0.2">
      <c r="A8361" t="str">
        <f>"8360"</f>
        <v>8360</v>
      </c>
      <c r="B8361" t="str">
        <f>"-1.39"</f>
        <v>-1.39</v>
      </c>
      <c r="C8361" t="str">
        <f>"29"</f>
        <v>29</v>
      </c>
      <c r="D8361" t="str">
        <f>"Want"</f>
        <v>Want</v>
      </c>
    </row>
    <row r="8362" spans="1:4" x14ac:dyDescent="0.2">
      <c r="A8362" t="str">
        <f>"8361"</f>
        <v>8361</v>
      </c>
      <c r="B8362" t="str">
        <f>"0.54"</f>
        <v>0.54</v>
      </c>
      <c r="C8362" t="str">
        <f>"20"</f>
        <v>20</v>
      </c>
      <c r="D8362" t="str">
        <f>"Here Comes Now"</f>
        <v>Here Comes Now</v>
      </c>
    </row>
    <row r="8363" spans="1:4" x14ac:dyDescent="0.2">
      <c r="A8363" t="str">
        <f>"8362"</f>
        <v>8362</v>
      </c>
      <c r="B8363" t="str">
        <f>"0.68"</f>
        <v>0.68</v>
      </c>
      <c r="C8363" t="str">
        <f>"30"</f>
        <v>30</v>
      </c>
      <c r="D8363" t="str">
        <f>"Sunburner"</f>
        <v>Sunburner</v>
      </c>
    </row>
    <row r="8364" spans="1:4" x14ac:dyDescent="0.2">
      <c r="A8364" t="str">
        <f>"8363"</f>
        <v>8363</v>
      </c>
      <c r="B8364" t="str">
        <f>"-0.38"</f>
        <v>-0.38</v>
      </c>
      <c r="C8364" t="str">
        <f>"46"</f>
        <v>46</v>
      </c>
      <c r="D8364" t="str">
        <f>"Gangsta Stripper Music 2"</f>
        <v>Gangsta Stripper Music 2</v>
      </c>
    </row>
    <row r="8365" spans="1:4" x14ac:dyDescent="0.2">
      <c r="A8365" t="str">
        <f>"8364"</f>
        <v>8364</v>
      </c>
      <c r="B8365" t="str">
        <f>"-0.81"</f>
        <v>-0.81</v>
      </c>
      <c r="C8365" t="str">
        <f>"41"</f>
        <v>41</v>
      </c>
      <c r="D8365" t="str">
        <f>"The Next Four Years"</f>
        <v>The Next Four Years</v>
      </c>
    </row>
    <row r="8366" spans="1:4" x14ac:dyDescent="0.2">
      <c r="A8366" t="str">
        <f>"8365"</f>
        <v>8365</v>
      </c>
      <c r="B8366" t="str">
        <f>"1.63"</f>
        <v>1.63</v>
      </c>
      <c r="C8366" t="str">
        <f>"26"</f>
        <v>26</v>
      </c>
      <c r="D8366" t="str">
        <f>"Friend of Mine"</f>
        <v>Friend of Mine</v>
      </c>
    </row>
    <row r="8367" spans="1:4" x14ac:dyDescent="0.2">
      <c r="A8367" t="str">
        <f>"8366"</f>
        <v>8366</v>
      </c>
      <c r="B8367" t="str">
        <f>"0.84"</f>
        <v>0.84</v>
      </c>
      <c r="C8367" t="str">
        <f>"20"</f>
        <v>20</v>
      </c>
      <c r="D8367" t="str">
        <f>"Conversations"</f>
        <v>Conversations</v>
      </c>
    </row>
    <row r="8368" spans="1:4" x14ac:dyDescent="0.2">
      <c r="A8368" t="str">
        <f>"8367"</f>
        <v>8367</v>
      </c>
      <c r="B8368" t="str">
        <f>"-0.66"</f>
        <v>-0.66</v>
      </c>
      <c r="C8368" t="str">
        <f>"30"</f>
        <v>30</v>
      </c>
      <c r="D8368" t="str">
        <f>"Move to Pain"</f>
        <v>Move to Pain</v>
      </c>
    </row>
    <row r="8369" spans="1:4" x14ac:dyDescent="0.2">
      <c r="A8369" t="str">
        <f>"8368"</f>
        <v>8368</v>
      </c>
      <c r="B8369" t="str">
        <f>"0.04"</f>
        <v>0.04</v>
      </c>
      <c r="C8369" t="str">
        <f>"23"</f>
        <v>23</v>
      </c>
      <c r="D8369" t="str">
        <f>"Lion"</f>
        <v>Lion</v>
      </c>
    </row>
    <row r="8370" spans="1:4" x14ac:dyDescent="0.2">
      <c r="A8370" t="str">
        <f>"8369"</f>
        <v>8369</v>
      </c>
      <c r="B8370" t="str">
        <f>"-0.22"</f>
        <v>-0.22</v>
      </c>
      <c r="C8370" t="str">
        <f>"52"</f>
        <v>52</v>
      </c>
      <c r="D8370" t="str">
        <f>"World Peace Is None of Your Business"</f>
        <v>World Peace Is None of Your Business</v>
      </c>
    </row>
    <row r="8371" spans="1:4" x14ac:dyDescent="0.2">
      <c r="A8371" t="str">
        <f>"8370"</f>
        <v>8370</v>
      </c>
      <c r="B8371" t="str">
        <f>"-0.75"</f>
        <v>-0.75</v>
      </c>
      <c r="C8371" t="str">
        <f>"22"</f>
        <v>22</v>
      </c>
      <c r="D8371" t="str">
        <f>"Jungle"</f>
        <v>Jungle</v>
      </c>
    </row>
    <row r="8372" spans="1:4" x14ac:dyDescent="0.2">
      <c r="A8372" t="str">
        <f>"8371"</f>
        <v>8371</v>
      </c>
      <c r="B8372" t="str">
        <f>"0.93"</f>
        <v>0.93</v>
      </c>
      <c r="C8372" t="str">
        <f>"28"</f>
        <v>28</v>
      </c>
      <c r="D8372" t="str">
        <f>"Complete Surrender"</f>
        <v>Complete Surrender</v>
      </c>
    </row>
    <row r="8373" spans="1:4" x14ac:dyDescent="0.2">
      <c r="A8373" t="str">
        <f>"8372"</f>
        <v>8372</v>
      </c>
      <c r="B8373" t="str">
        <f>"0.32"</f>
        <v>0.32</v>
      </c>
      <c r="C8373" t="str">
        <f>"19"</f>
        <v>19</v>
      </c>
      <c r="D8373" t="str">
        <f>"In My World"</f>
        <v>In My World</v>
      </c>
    </row>
    <row r="8374" spans="1:4" x14ac:dyDescent="0.2">
      <c r="A8374" t="str">
        <f>"8373"</f>
        <v>8373</v>
      </c>
      <c r="B8374" t="str">
        <f>"0.19"</f>
        <v>0.19</v>
      </c>
      <c r="C8374" t="str">
        <f>"30"</f>
        <v>30</v>
      </c>
      <c r="D8374" t="str">
        <f>"Shattered"</f>
        <v>Shattered</v>
      </c>
    </row>
    <row r="8375" spans="1:4" x14ac:dyDescent="0.2">
      <c r="A8375" t="str">
        <f>"8374"</f>
        <v>8374</v>
      </c>
      <c r="B8375" t="str">
        <f>"0.35"</f>
        <v>0.35</v>
      </c>
      <c r="C8375" t="str">
        <f>"45"</f>
        <v>45</v>
      </c>
      <c r="D8375" t="str">
        <f>"Royalty: The Prequel EP"</f>
        <v>Royalty: The Prequel EP</v>
      </c>
    </row>
    <row r="8376" spans="1:4" x14ac:dyDescent="0.2">
      <c r="A8376" t="str">
        <f>"8375"</f>
        <v>8375</v>
      </c>
      <c r="B8376" t="str">
        <f>"0.51"</f>
        <v>0.51</v>
      </c>
      <c r="C8376" t="str">
        <f>"24"</f>
        <v>24</v>
      </c>
      <c r="D8376" t="str">
        <f>"INSA"</f>
        <v>INSA</v>
      </c>
    </row>
    <row r="8377" spans="1:4" x14ac:dyDescent="0.2">
      <c r="A8377" t="str">
        <f>"8376"</f>
        <v>8376</v>
      </c>
      <c r="B8377" t="str">
        <f>"-0.04"</f>
        <v>-0.04</v>
      </c>
      <c r="C8377" t="str">
        <f>"31"</f>
        <v>31</v>
      </c>
      <c r="D8377" t="str">
        <f>"Days of Being Wild"</f>
        <v>Days of Being Wild</v>
      </c>
    </row>
    <row r="8378" spans="1:4" x14ac:dyDescent="0.2">
      <c r="A8378" t="str">
        <f>"8377"</f>
        <v>8377</v>
      </c>
      <c r="B8378" t="str">
        <f>"1.01"</f>
        <v>1.01</v>
      </c>
      <c r="C8378" t="str">
        <f>"42"</f>
        <v>42</v>
      </c>
      <c r="D8378" t="str">
        <f>"Overseas"</f>
        <v>Overseas</v>
      </c>
    </row>
    <row r="8379" spans="1:4" x14ac:dyDescent="0.2">
      <c r="A8379" t="str">
        <f>"8378"</f>
        <v>8378</v>
      </c>
      <c r="B8379" t="str">
        <f>"-0.49"</f>
        <v>-0.49</v>
      </c>
      <c r="C8379" t="str">
        <f>"44"</f>
        <v>44</v>
      </c>
      <c r="D8379" t="str">
        <f>"Cantos de Lisboa"</f>
        <v>Cantos de Lisboa</v>
      </c>
    </row>
    <row r="8380" spans="1:4" x14ac:dyDescent="0.2">
      <c r="A8380" t="str">
        <f>"8379"</f>
        <v>8379</v>
      </c>
      <c r="B8380" t="str">
        <f>"-0.5"</f>
        <v>-0.5</v>
      </c>
      <c r="C8380" t="str">
        <f>"60"</f>
        <v>60</v>
      </c>
      <c r="D8380" t="str">
        <f>"Celestite"</f>
        <v>Celestite</v>
      </c>
    </row>
    <row r="8381" spans="1:4" x14ac:dyDescent="0.2">
      <c r="A8381" t="str">
        <f>"8380"</f>
        <v>8380</v>
      </c>
      <c r="B8381" t="str">
        <f>"0.74"</f>
        <v>0.74</v>
      </c>
      <c r="C8381" t="str">
        <f>"36"</f>
        <v>36</v>
      </c>
      <c r="D8381" t="str">
        <f>"These Things Happen"</f>
        <v>These Things Happen</v>
      </c>
    </row>
    <row r="8382" spans="1:4" x14ac:dyDescent="0.2">
      <c r="A8382" t="str">
        <f>"8381"</f>
        <v>8381</v>
      </c>
      <c r="B8382" t="str">
        <f>"-0.7"</f>
        <v>-0.7</v>
      </c>
      <c r="C8382" t="str">
        <f>"28"</f>
        <v>28</v>
      </c>
      <c r="D8382" t="str">
        <f>"Over Me"</f>
        <v>Over Me</v>
      </c>
    </row>
    <row r="8383" spans="1:4" x14ac:dyDescent="0.2">
      <c r="A8383" t="str">
        <f>"8382"</f>
        <v>8382</v>
      </c>
      <c r="B8383" t="str">
        <f>"0.84"</f>
        <v>0.84</v>
      </c>
      <c r="C8383" t="str">
        <f>"26"</f>
        <v>26</v>
      </c>
      <c r="D8383" t="str">
        <f>"Promise EP"</f>
        <v>Promise EP</v>
      </c>
    </row>
    <row r="8384" spans="1:4" x14ac:dyDescent="0.2">
      <c r="A8384" t="str">
        <f>"8383"</f>
        <v>8383</v>
      </c>
      <c r="B8384" t="str">
        <f>"0.54"</f>
        <v>0.54</v>
      </c>
      <c r="C8384" t="str">
        <f>"34"</f>
        <v>34</v>
      </c>
      <c r="D8384" t="str">
        <f>"Things Change"</f>
        <v>Things Change</v>
      </c>
    </row>
    <row r="8385" spans="1:4" x14ac:dyDescent="0.2">
      <c r="A8385" t="str">
        <f>"8384"</f>
        <v>8384</v>
      </c>
      <c r="B8385" t="str">
        <f>"-0.04"</f>
        <v>-0.04</v>
      </c>
      <c r="C8385" t="str">
        <f>"28"</f>
        <v>28</v>
      </c>
      <c r="D8385" t="str">
        <f>"Part 6 EP"</f>
        <v>Part 6 EP</v>
      </c>
    </row>
    <row r="8386" spans="1:4" x14ac:dyDescent="0.2">
      <c r="A8386" t="str">
        <f>"8385"</f>
        <v>8385</v>
      </c>
      <c r="B8386" t="str">
        <f>"0.06"</f>
        <v>0.06</v>
      </c>
      <c r="C8386" t="str">
        <f>"23"</f>
        <v>23</v>
      </c>
      <c r="D8386" t="str">
        <f>"Falling Apart"</f>
        <v>Falling Apart</v>
      </c>
    </row>
    <row r="8387" spans="1:4" x14ac:dyDescent="0.2">
      <c r="A8387" t="str">
        <f>"8386"</f>
        <v>8386</v>
      </c>
      <c r="B8387" t="str">
        <f>"-0.5"</f>
        <v>-0.5</v>
      </c>
      <c r="C8387" t="str">
        <f>"24"</f>
        <v>24</v>
      </c>
      <c r="D8387" t="str">
        <f>"Hail Death"</f>
        <v>Hail Death</v>
      </c>
    </row>
    <row r="8388" spans="1:4" x14ac:dyDescent="0.2">
      <c r="A8388" t="str">
        <f>"8387"</f>
        <v>8387</v>
      </c>
      <c r="B8388" t="str">
        <f>"0.91"</f>
        <v>0.91</v>
      </c>
      <c r="C8388" t="str">
        <f>"21"</f>
        <v>21</v>
      </c>
      <c r="D8388" t="str">
        <f>"Easy to Forget EP"</f>
        <v>Easy to Forget EP</v>
      </c>
    </row>
    <row r="8389" spans="1:4" x14ac:dyDescent="0.2">
      <c r="A8389" t="str">
        <f>"8388"</f>
        <v>8388</v>
      </c>
      <c r="B8389" t="str">
        <f>"1.67"</f>
        <v>1.67</v>
      </c>
      <c r="C8389" t="str">
        <f>"30"</f>
        <v>30</v>
      </c>
      <c r="D8389" t="str">
        <f>"DJ-Kicks"</f>
        <v>DJ-Kicks</v>
      </c>
    </row>
    <row r="8390" spans="1:4" x14ac:dyDescent="0.2">
      <c r="A8390" t="str">
        <f>"8389"</f>
        <v>8389</v>
      </c>
      <c r="B8390" t="str">
        <f>"0.46"</f>
        <v>0.46</v>
      </c>
      <c r="C8390" t="str">
        <f>"56"</f>
        <v>56</v>
      </c>
      <c r="D8390" t="str">
        <f>"No Coast"</f>
        <v>No Coast</v>
      </c>
    </row>
    <row r="8391" spans="1:4" x14ac:dyDescent="0.2">
      <c r="A8391" t="str">
        <f>"8390"</f>
        <v>8390</v>
      </c>
      <c r="B8391" t="str">
        <f>"-0.04"</f>
        <v>-0.04</v>
      </c>
      <c r="C8391" t="str">
        <f>"47"</f>
        <v>47</v>
      </c>
      <c r="D8391" t="str">
        <f>"Pika Pika Fantajin"</f>
        <v>Pika Pika Fantajin</v>
      </c>
    </row>
    <row r="8392" spans="1:4" x14ac:dyDescent="0.2">
      <c r="A8392" t="str">
        <f>"8391"</f>
        <v>8391</v>
      </c>
      <c r="B8392" t="str">
        <f>"1.15"</f>
        <v>1.15</v>
      </c>
      <c r="C8392" t="str">
        <f>"24"</f>
        <v>24</v>
      </c>
      <c r="D8392" t="str">
        <f>"Wooden Head"</f>
        <v>Wooden Head</v>
      </c>
    </row>
    <row r="8393" spans="1:4" x14ac:dyDescent="0.2">
      <c r="A8393" t="str">
        <f>"8392"</f>
        <v>8392</v>
      </c>
      <c r="B8393" t="str">
        <f>"-0.2"</f>
        <v>-0.2</v>
      </c>
      <c r="C8393" t="str">
        <f>"30"</f>
        <v>30</v>
      </c>
      <c r="D8393" t="str">
        <f>"Family Crimes"</f>
        <v>Family Crimes</v>
      </c>
    </row>
    <row r="8394" spans="1:4" x14ac:dyDescent="0.2">
      <c r="A8394" t="str">
        <f>"8393"</f>
        <v>8393</v>
      </c>
      <c r="B8394" t="str">
        <f>"0.35"</f>
        <v>0.35</v>
      </c>
      <c r="C8394" t="str">
        <f>"39"</f>
        <v>39</v>
      </c>
      <c r="D8394" t="str">
        <f>"Calypso: Musical Poetry in the Caribbean 1955-69"</f>
        <v>Calypso: Musical Poetry in the Caribbean 1955-69</v>
      </c>
    </row>
    <row r="8395" spans="1:4" x14ac:dyDescent="0.2">
      <c r="A8395" t="str">
        <f>"8394"</f>
        <v>8394</v>
      </c>
      <c r="B8395" t="str">
        <f>"-0.64"</f>
        <v>-0.64</v>
      </c>
      <c r="C8395" t="str">
        <f>"38"</f>
        <v>38</v>
      </c>
      <c r="D8395" t="str">
        <f>"""Cassette"" EP"</f>
        <v>"Cassette" EP</v>
      </c>
    </row>
    <row r="8396" spans="1:4" x14ac:dyDescent="0.2">
      <c r="A8396" t="str">
        <f>"8395"</f>
        <v>8395</v>
      </c>
      <c r="B8396" t="str">
        <f>"0.4"</f>
        <v>0.4</v>
      </c>
      <c r="C8396" t="str">
        <f>"21"</f>
        <v>21</v>
      </c>
      <c r="D8396" t="str">
        <f>"Beware the Fetish"</f>
        <v>Beware the Fetish</v>
      </c>
    </row>
    <row r="8397" spans="1:4" x14ac:dyDescent="0.2">
      <c r="A8397" t="str">
        <f>"8396"</f>
        <v>8396</v>
      </c>
      <c r="B8397" t="str">
        <f>"0.19"</f>
        <v>0.19</v>
      </c>
      <c r="C8397" t="str">
        <f>"25"</f>
        <v>25</v>
      </c>
      <c r="D8397" t="str">
        <f>"The Phoenix"</f>
        <v>The Phoenix</v>
      </c>
    </row>
    <row r="8398" spans="1:4" x14ac:dyDescent="0.2">
      <c r="A8398" t="str">
        <f>"8397"</f>
        <v>8397</v>
      </c>
      <c r="B8398" t="str">
        <f>"-0.82"</f>
        <v>-0.82</v>
      </c>
      <c r="C8398" t="str">
        <f>"44"</f>
        <v>44</v>
      </c>
      <c r="D8398" t="str">
        <f>"What Moon Things"</f>
        <v>What Moon Things</v>
      </c>
    </row>
    <row r="8399" spans="1:4" x14ac:dyDescent="0.2">
      <c r="A8399" t="str">
        <f>"8398"</f>
        <v>8398</v>
      </c>
      <c r="B8399" t="str">
        <f>"-0.64"</f>
        <v>-0.64</v>
      </c>
      <c r="C8399" t="str">
        <f>"24"</f>
        <v>24</v>
      </c>
      <c r="D8399" t="str">
        <f>"We Are Only What We Feel"</f>
        <v>We Are Only What We Feel</v>
      </c>
    </row>
    <row r="8400" spans="1:4" x14ac:dyDescent="0.2">
      <c r="A8400" t="str">
        <f>"8399"</f>
        <v>8399</v>
      </c>
      <c r="B8400" t="str">
        <f>"0.42"</f>
        <v>0.42</v>
      </c>
      <c r="C8400" t="str">
        <f>"40"</f>
        <v>40</v>
      </c>
      <c r="D8400" t="str">
        <f>"High Life"</f>
        <v>High Life</v>
      </c>
    </row>
    <row r="8401" spans="1:4" x14ac:dyDescent="0.2">
      <c r="A8401" t="str">
        <f>"8400"</f>
        <v>8400</v>
      </c>
      <c r="B8401" t="str">
        <f>"-0.67"</f>
        <v>-0.67</v>
      </c>
      <c r="C8401" t="str">
        <f>"22"</f>
        <v>22</v>
      </c>
      <c r="D8401" t="str">
        <f>"Decline and Fall EP"</f>
        <v>Decline and Fall EP</v>
      </c>
    </row>
    <row r="8402" spans="1:4" x14ac:dyDescent="0.2">
      <c r="A8402" t="str">
        <f>"8401"</f>
        <v>8401</v>
      </c>
      <c r="B8402" t="str">
        <f>"0.75"</f>
        <v>0.75</v>
      </c>
      <c r="C8402" t="str">
        <f>"18"</f>
        <v>18</v>
      </c>
      <c r="D8402" t="str">
        <f>"Brothers &amp; Sisters"</f>
        <v>Brothers &amp; Sisters</v>
      </c>
    </row>
    <row r="8403" spans="1:4" x14ac:dyDescent="0.2">
      <c r="A8403" t="str">
        <f>"8402"</f>
        <v>8402</v>
      </c>
      <c r="B8403" t="str">
        <f>"0.02"</f>
        <v>0.02</v>
      </c>
      <c r="C8403" t="str">
        <f>"29"</f>
        <v>29</v>
      </c>
      <c r="D8403" t="str">
        <f>"Departure"</f>
        <v>Departure</v>
      </c>
    </row>
    <row r="8404" spans="1:4" x14ac:dyDescent="0.2">
      <c r="A8404" t="str">
        <f>"8403"</f>
        <v>8403</v>
      </c>
      <c r="B8404" t="str">
        <f>"-0.93"</f>
        <v>-0.93</v>
      </c>
      <c r="C8404" t="str">
        <f>"40"</f>
        <v>40</v>
      </c>
      <c r="D8404" t="str">
        <f>"Emanations"</f>
        <v>Emanations</v>
      </c>
    </row>
    <row r="8405" spans="1:4" x14ac:dyDescent="0.2">
      <c r="A8405" t="str">
        <f>"8404"</f>
        <v>8404</v>
      </c>
      <c r="B8405" t="str">
        <f>"-0.51"</f>
        <v>-0.51</v>
      </c>
      <c r="C8405" t="str">
        <f>"40"</f>
        <v>40</v>
      </c>
      <c r="D8405" t="str">
        <f>"Live at Biko"</f>
        <v>Live at Biko</v>
      </c>
    </row>
    <row r="8406" spans="1:4" x14ac:dyDescent="0.2">
      <c r="A8406" t="str">
        <f>"8405"</f>
        <v>8405</v>
      </c>
      <c r="B8406" t="str">
        <f>"0.63"</f>
        <v>0.63</v>
      </c>
      <c r="C8406" t="str">
        <f>"17"</f>
        <v>17</v>
      </c>
      <c r="D8406" t="str">
        <f>"Careers"</f>
        <v>Careers</v>
      </c>
    </row>
    <row r="8407" spans="1:4" x14ac:dyDescent="0.2">
      <c r="A8407" t="str">
        <f>"8406"</f>
        <v>8406</v>
      </c>
      <c r="B8407" t="str">
        <f>"-0.11"</f>
        <v>-0.11</v>
      </c>
      <c r="C8407" t="str">
        <f>"29"</f>
        <v>29</v>
      </c>
      <c r="D8407" t="str">
        <f>"Wysing Forest"</f>
        <v>Wysing Forest</v>
      </c>
    </row>
    <row r="8408" spans="1:4" x14ac:dyDescent="0.2">
      <c r="A8408" t="str">
        <f>"8407"</f>
        <v>8407</v>
      </c>
      <c r="B8408" t="str">
        <f>"1.28"</f>
        <v>1.28</v>
      </c>
      <c r="C8408" t="str">
        <f>"25"</f>
        <v>25</v>
      </c>
      <c r="D8408" t="str">
        <f>"Gamel"</f>
        <v>Gamel</v>
      </c>
    </row>
    <row r="8409" spans="1:4" x14ac:dyDescent="0.2">
      <c r="A8409" t="str">
        <f>"8408"</f>
        <v>8408</v>
      </c>
      <c r="B8409" t="str">
        <f>"-0.04"</f>
        <v>-0.04</v>
      </c>
      <c r="C8409" t="str">
        <f>"22"</f>
        <v>22</v>
      </c>
      <c r="D8409" t="str">
        <f>"Alpha Piscium"</f>
        <v>Alpha Piscium</v>
      </c>
    </row>
    <row r="8410" spans="1:4" x14ac:dyDescent="0.2">
      <c r="A8410" t="str">
        <f>"8409"</f>
        <v>8409</v>
      </c>
      <c r="B8410" t="str">
        <f>"0.95"</f>
        <v>0.95</v>
      </c>
      <c r="C8410" t="str">
        <f>"51"</f>
        <v>51</v>
      </c>
      <c r="D8410" t="str">
        <f>"Caustic Window LP"</f>
        <v>Caustic Window LP</v>
      </c>
    </row>
    <row r="8411" spans="1:4" x14ac:dyDescent="0.2">
      <c r="A8411" t="str">
        <f>"8410"</f>
        <v>8410</v>
      </c>
      <c r="B8411" t="str">
        <f>"0.79"</f>
        <v>0.79</v>
      </c>
      <c r="C8411" t="str">
        <f>"22"</f>
        <v>22</v>
      </c>
      <c r="D8411" t="str">
        <f>"EX"</f>
        <v>EX</v>
      </c>
    </row>
    <row r="8412" spans="1:4" x14ac:dyDescent="0.2">
      <c r="A8412" t="str">
        <f>"8411"</f>
        <v>8411</v>
      </c>
      <c r="B8412" t="str">
        <f>"0.92"</f>
        <v>0.92</v>
      </c>
      <c r="C8412" t="str">
        <f>"38"</f>
        <v>38</v>
      </c>
      <c r="D8412" t="str">
        <f>"#7885 (Electropunk to Technopop 1978-1985)"</f>
        <v>#7885 (Electropunk to Technopop 1978-1985)</v>
      </c>
    </row>
    <row r="8413" spans="1:4" x14ac:dyDescent="0.2">
      <c r="A8413" t="str">
        <f>"8412"</f>
        <v>8412</v>
      </c>
      <c r="B8413" t="str">
        <f>"0.33"</f>
        <v>0.33</v>
      </c>
      <c r="C8413" t="str">
        <f>"18"</f>
        <v>18</v>
      </c>
      <c r="D8413" t="str">
        <f>"Eaters"</f>
        <v>Eaters</v>
      </c>
    </row>
    <row r="8414" spans="1:4" x14ac:dyDescent="0.2">
      <c r="A8414" t="str">
        <f>"8413"</f>
        <v>8413</v>
      </c>
      <c r="B8414" t="str">
        <f>"0.08"</f>
        <v>0.08</v>
      </c>
      <c r="C8414" t="str">
        <f>"18"</f>
        <v>18</v>
      </c>
      <c r="D8414" t="str">
        <f>"Will To Be Well?"</f>
        <v>Will To Be Well?</v>
      </c>
    </row>
    <row r="8415" spans="1:4" x14ac:dyDescent="0.2">
      <c r="A8415" t="str">
        <f>"8414"</f>
        <v>8414</v>
      </c>
      <c r="B8415" t="str">
        <f>"-0.65"</f>
        <v>-0.65</v>
      </c>
      <c r="C8415" t="str">
        <f>"64"</f>
        <v>64</v>
      </c>
      <c r="D8415" t="str">
        <f>"NEON iCON"</f>
        <v>NEON iCON</v>
      </c>
    </row>
    <row r="8416" spans="1:4" x14ac:dyDescent="0.2">
      <c r="A8416" t="str">
        <f>"8415"</f>
        <v>8415</v>
      </c>
      <c r="B8416" t="str">
        <f>"-0.54"</f>
        <v>-0.54</v>
      </c>
      <c r="C8416" t="str">
        <f>"57"</f>
        <v>57</v>
      </c>
      <c r="D8416" t="str">
        <f>"Mosaics Within Mosaics"</f>
        <v>Mosaics Within Mosaics</v>
      </c>
    </row>
    <row r="8417" spans="1:4" x14ac:dyDescent="0.2">
      <c r="A8417" t="str">
        <f>"8416"</f>
        <v>8416</v>
      </c>
      <c r="B8417" t="str">
        <f>"0.06"</f>
        <v>0.06</v>
      </c>
      <c r="C8417" t="str">
        <f>"44"</f>
        <v>44</v>
      </c>
      <c r="D8417" t="str">
        <f>"Trout Steel"</f>
        <v>Trout Steel</v>
      </c>
    </row>
    <row r="8418" spans="1:4" x14ac:dyDescent="0.2">
      <c r="A8418" t="str">
        <f>"8417"</f>
        <v>8417</v>
      </c>
      <c r="B8418" t="str">
        <f>"-0.84"</f>
        <v>-0.84</v>
      </c>
      <c r="C8418" t="str">
        <f>"38"</f>
        <v>38</v>
      </c>
      <c r="D8418" t="str">
        <f>"Blissfucker"</f>
        <v>Blissfucker</v>
      </c>
    </row>
    <row r="8419" spans="1:4" x14ac:dyDescent="0.2">
      <c r="A8419" t="str">
        <f>"8418"</f>
        <v>8418</v>
      </c>
      <c r="B8419" t="str">
        <f>"-1.86"</f>
        <v>-1.86</v>
      </c>
      <c r="C8419" t="str">
        <f>"27"</f>
        <v>27</v>
      </c>
      <c r="D8419" t="str">
        <f>"Most Messed Up"</f>
        <v>Most Messed Up</v>
      </c>
    </row>
    <row r="8420" spans="1:4" x14ac:dyDescent="0.2">
      <c r="A8420" t="str">
        <f>"8419"</f>
        <v>8419</v>
      </c>
      <c r="B8420" t="str">
        <f>"0.48"</f>
        <v>0.48</v>
      </c>
      <c r="C8420" t="str">
        <f>"39"</f>
        <v>39</v>
      </c>
      <c r="D8420" t="str">
        <f>"These Days..."</f>
        <v>These Days...</v>
      </c>
    </row>
    <row r="8421" spans="1:4" x14ac:dyDescent="0.2">
      <c r="A8421" t="str">
        <f>"8420"</f>
        <v>8420</v>
      </c>
      <c r="B8421" t="str">
        <f>"-0.49"</f>
        <v>-0.49</v>
      </c>
      <c r="C8421" t="str">
        <f>"38"</f>
        <v>38</v>
      </c>
      <c r="D8421" t="str">
        <f>"Typical System"</f>
        <v>Typical System</v>
      </c>
    </row>
    <row r="8422" spans="1:4" x14ac:dyDescent="0.2">
      <c r="A8422" t="str">
        <f>"8421"</f>
        <v>8421</v>
      </c>
      <c r="B8422" t="str">
        <f>"1.5"</f>
        <v>1.5</v>
      </c>
      <c r="C8422" t="str">
        <f>"39"</f>
        <v>39</v>
      </c>
      <c r="D8422" t="str">
        <f>"Anthology of Interplanetary Folk Music Vol. 1: Nommos/Visiting"</f>
        <v>Anthology of Interplanetary Folk Music Vol. 1: Nommos/Visiting</v>
      </c>
    </row>
    <row r="8423" spans="1:4" x14ac:dyDescent="0.2">
      <c r="A8423" t="str">
        <f>"8422"</f>
        <v>8422</v>
      </c>
      <c r="B8423" t="str">
        <f>"-0.07"</f>
        <v>-0.07</v>
      </c>
      <c r="C8423" t="str">
        <f>"31"</f>
        <v>31</v>
      </c>
      <c r="D8423" t="str">
        <f>"White Reaper EP"</f>
        <v>White Reaper EP</v>
      </c>
    </row>
    <row r="8424" spans="1:4" x14ac:dyDescent="0.2">
      <c r="A8424" t="str">
        <f>"8423"</f>
        <v>8423</v>
      </c>
      <c r="B8424" t="str">
        <f>"1.02"</f>
        <v>1.02</v>
      </c>
      <c r="C8424" t="str">
        <f>"33"</f>
        <v>33</v>
      </c>
      <c r="D8424" t="str">
        <f>"The Greeks Believed That the Stars Were Small Holes Where the Gods Listened to Men"</f>
        <v>The Greeks Believed That the Stars Were Small Holes Where the Gods Listened to Men</v>
      </c>
    </row>
    <row r="8425" spans="1:4" x14ac:dyDescent="0.2">
      <c r="A8425" t="str">
        <f>"8424"</f>
        <v>8424</v>
      </c>
      <c r="B8425" t="str">
        <f>"-0.54"</f>
        <v>-0.54</v>
      </c>
      <c r="C8425" t="str">
        <f>"41"</f>
        <v>41</v>
      </c>
      <c r="D8425" t="str">
        <f>"Once More 'Round the Sun"</f>
        <v>Once More 'Round the Sun</v>
      </c>
    </row>
    <row r="8426" spans="1:4" x14ac:dyDescent="0.2">
      <c r="A8426" t="str">
        <f>"8425"</f>
        <v>8425</v>
      </c>
      <c r="B8426" t="str">
        <f>"-0.23"</f>
        <v>-0.23</v>
      </c>
      <c r="C8426" t="str">
        <f>"21"</f>
        <v>21</v>
      </c>
      <c r="D8426" t="str">
        <f>"Electric Brick Wall"</f>
        <v>Electric Brick Wall</v>
      </c>
    </row>
    <row r="8427" spans="1:4" x14ac:dyDescent="0.2">
      <c r="A8427" t="str">
        <f>"8426"</f>
        <v>8426</v>
      </c>
      <c r="B8427" t="str">
        <f>"0.3"</f>
        <v>0.3</v>
      </c>
      <c r="C8427" t="str">
        <f>"30"</f>
        <v>30</v>
      </c>
      <c r="D8427" t="str">
        <f>"Await Barbarians"</f>
        <v>Await Barbarians</v>
      </c>
    </row>
    <row r="8428" spans="1:4" x14ac:dyDescent="0.2">
      <c r="A8428" t="str">
        <f>"8427"</f>
        <v>8427</v>
      </c>
      <c r="B8428" t="str">
        <f>"0.82"</f>
        <v>0.82</v>
      </c>
      <c r="C8428" t="str">
        <f>"30"</f>
        <v>30</v>
      </c>
      <c r="D8428" t="str">
        <f>"Liberation!"</f>
        <v>Liberation!</v>
      </c>
    </row>
    <row r="8429" spans="1:4" x14ac:dyDescent="0.2">
      <c r="A8429" t="str">
        <f>"8428"</f>
        <v>8428</v>
      </c>
      <c r="B8429" t="str">
        <f>"-0.24"</f>
        <v>-0.24</v>
      </c>
      <c r="C8429" t="str">
        <f>"35"</f>
        <v>35</v>
      </c>
      <c r="D8429" t="str">
        <f>"Eyehategod"</f>
        <v>Eyehategod</v>
      </c>
    </row>
    <row r="8430" spans="1:4" x14ac:dyDescent="0.2">
      <c r="A8430" t="str">
        <f>"8429"</f>
        <v>8429</v>
      </c>
      <c r="B8430" t="str">
        <f>"-0.16"</f>
        <v>-0.16</v>
      </c>
      <c r="C8430" t="str">
        <f>"38"</f>
        <v>38</v>
      </c>
      <c r="D8430" t="str">
        <f>"Sea When Absent"</f>
        <v>Sea When Absent</v>
      </c>
    </row>
    <row r="8431" spans="1:4" x14ac:dyDescent="0.2">
      <c r="A8431" t="str">
        <f>"8430"</f>
        <v>8430</v>
      </c>
      <c r="B8431" t="str">
        <f>"-0.7"</f>
        <v>-0.7</v>
      </c>
      <c r="C8431" t="str">
        <f>"46"</f>
        <v>46</v>
      </c>
      <c r="D8431" t="str">
        <f>"HEAL"</f>
        <v>HEAL</v>
      </c>
    </row>
    <row r="8432" spans="1:4" x14ac:dyDescent="0.2">
      <c r="A8432" t="str">
        <f>"8431"</f>
        <v>8431</v>
      </c>
      <c r="B8432" t="str">
        <f>"0.58"</f>
        <v>0.58</v>
      </c>
      <c r="C8432" t="str">
        <f>"16"</f>
        <v>16</v>
      </c>
      <c r="D8432" t="str">
        <f>"Ishi"</f>
        <v>Ishi</v>
      </c>
    </row>
    <row r="8433" spans="1:4" x14ac:dyDescent="0.2">
      <c r="A8433" t="str">
        <f>"8432"</f>
        <v>8432</v>
      </c>
      <c r="B8433" t="str">
        <f>"-0.41"</f>
        <v>-0.41</v>
      </c>
      <c r="C8433" t="str">
        <f>"22"</f>
        <v>22</v>
      </c>
      <c r="D8433" t="str">
        <f>"As the River Flows"</f>
        <v>As the River Flows</v>
      </c>
    </row>
    <row r="8434" spans="1:4" x14ac:dyDescent="0.2">
      <c r="A8434" t="str">
        <f>"8433"</f>
        <v>8433</v>
      </c>
      <c r="B8434" t="str">
        <f>"-0.27"</f>
        <v>-0.27</v>
      </c>
      <c r="C8434" t="str">
        <f>"30"</f>
        <v>30</v>
      </c>
      <c r="D8434" t="str">
        <f>"Into Unknown Depths"</f>
        <v>Into Unknown Depths</v>
      </c>
    </row>
    <row r="8435" spans="1:4" x14ac:dyDescent="0.2">
      <c r="A8435" t="str">
        <f>"8434"</f>
        <v>8434</v>
      </c>
      <c r="B8435" t="str">
        <f>"0.54"</f>
        <v>0.54</v>
      </c>
      <c r="C8435" t="str">
        <f>"76"</f>
        <v>76</v>
      </c>
      <c r="D8435" t="str">
        <f>"""What Is This Heart?"""</f>
        <v>"What Is This Heart?"</v>
      </c>
    </row>
    <row r="8436" spans="1:4" x14ac:dyDescent="0.2">
      <c r="A8436" t="str">
        <f>"8435"</f>
        <v>8435</v>
      </c>
      <c r="B8436" t="str">
        <f>"0.44"</f>
        <v>0.44</v>
      </c>
      <c r="C8436" t="str">
        <f>"35"</f>
        <v>35</v>
      </c>
      <c r="D8436" t="str">
        <f>"Seek Warmer Climes"</f>
        <v>Seek Warmer Climes</v>
      </c>
    </row>
    <row r="8437" spans="1:4" x14ac:dyDescent="0.2">
      <c r="A8437" t="str">
        <f>"8436"</f>
        <v>8436</v>
      </c>
      <c r="B8437" t="str">
        <f>"1.55"</f>
        <v>1.55</v>
      </c>
      <c r="C8437" t="str">
        <f>"29"</f>
        <v>29</v>
      </c>
      <c r="D8437" t="str">
        <f>"Horse Meat Disco Volume IV"</f>
        <v>Horse Meat Disco Volume IV</v>
      </c>
    </row>
    <row r="8438" spans="1:4" x14ac:dyDescent="0.2">
      <c r="A8438" t="str">
        <f>"8437"</f>
        <v>8437</v>
      </c>
      <c r="B8438" t="str">
        <f>"-0.48"</f>
        <v>-0.48</v>
      </c>
      <c r="C8438" t="str">
        <f>"33"</f>
        <v>33</v>
      </c>
      <c r="D8438" t="str">
        <f>"Hunger"</f>
        <v>Hunger</v>
      </c>
    </row>
    <row r="8439" spans="1:4" x14ac:dyDescent="0.2">
      <c r="A8439" t="str">
        <f>"8438"</f>
        <v>8438</v>
      </c>
      <c r="B8439" t="str">
        <f>"1.44"</f>
        <v>1.44</v>
      </c>
      <c r="C8439" t="str">
        <f>"23"</f>
        <v>23</v>
      </c>
      <c r="D8439" t="str">
        <f>"Falling Theater"</f>
        <v>Falling Theater</v>
      </c>
    </row>
    <row r="8440" spans="1:4" x14ac:dyDescent="0.2">
      <c r="A8440" t="str">
        <f>"8439"</f>
        <v>8439</v>
      </c>
      <c r="B8440" t="str">
        <f>"-0.71"</f>
        <v>-0.71</v>
      </c>
      <c r="C8440" t="str">
        <f>"24"</f>
        <v>24</v>
      </c>
      <c r="D8440" t="str">
        <f>"Shaken-Up Versions"</f>
        <v>Shaken-Up Versions</v>
      </c>
    </row>
    <row r="8441" spans="1:4" x14ac:dyDescent="0.2">
      <c r="A8441" t="str">
        <f>"8440"</f>
        <v>8440</v>
      </c>
      <c r="B8441" t="str">
        <f>"-0.82"</f>
        <v>-0.82</v>
      </c>
      <c r="C8441" t="str">
        <f>"58"</f>
        <v>58</v>
      </c>
      <c r="D8441" t="str">
        <f>"Why Do the Heathen Rage?"</f>
        <v>Why Do the Heathen Rage?</v>
      </c>
    </row>
    <row r="8442" spans="1:4" x14ac:dyDescent="0.2">
      <c r="A8442" t="str">
        <f>"8441"</f>
        <v>8441</v>
      </c>
      <c r="B8442" t="str">
        <f>"-0.85"</f>
        <v>-0.85</v>
      </c>
      <c r="C8442" t="str">
        <f>"28"</f>
        <v>28</v>
      </c>
      <c r="D8442" t="str">
        <f>"Dark Comedy"</f>
        <v>Dark Comedy</v>
      </c>
    </row>
    <row r="8443" spans="1:4" x14ac:dyDescent="0.2">
      <c r="A8443" t="str">
        <f>"8442"</f>
        <v>8442</v>
      </c>
      <c r="B8443" t="str">
        <f>"0.23"</f>
        <v>0.23</v>
      </c>
      <c r="C8443" t="str">
        <f>"34"</f>
        <v>34</v>
      </c>
      <c r="D8443" t="str">
        <f>"Band of Brothers"</f>
        <v>Band of Brothers</v>
      </c>
    </row>
    <row r="8444" spans="1:4" x14ac:dyDescent="0.2">
      <c r="A8444" t="str">
        <f>"8443"</f>
        <v>8443</v>
      </c>
      <c r="B8444" t="str">
        <f>"-0.33"</f>
        <v>-0.33</v>
      </c>
      <c r="C8444" t="str">
        <f>"23"</f>
        <v>23</v>
      </c>
      <c r="D8444" t="str">
        <f>"Promulgation of the Fall"</f>
        <v>Promulgation of the Fall</v>
      </c>
    </row>
    <row r="8445" spans="1:4" x14ac:dyDescent="0.2">
      <c r="A8445" t="str">
        <f>"8444"</f>
        <v>8444</v>
      </c>
      <c r="B8445" t="str">
        <f>"1.07"</f>
        <v>1.07</v>
      </c>
      <c r="C8445" t="str">
        <f>"42"</f>
        <v>42</v>
      </c>
      <c r="D8445" t="str">
        <f>"Reality Testing"</f>
        <v>Reality Testing</v>
      </c>
    </row>
    <row r="8446" spans="1:4" x14ac:dyDescent="0.2">
      <c r="A8446" t="str">
        <f>"8445"</f>
        <v>8445</v>
      </c>
      <c r="B8446" t="str">
        <f>"-0.3"</f>
        <v>-0.3</v>
      </c>
      <c r="C8446" t="str">
        <f>"30"</f>
        <v>30</v>
      </c>
      <c r="D8446" t="str">
        <f>"In the Lonely Hour"</f>
        <v>In the Lonely Hour</v>
      </c>
    </row>
    <row r="8447" spans="1:4" x14ac:dyDescent="0.2">
      <c r="A8447" t="str">
        <f>"8446"</f>
        <v>8446</v>
      </c>
      <c r="B8447" t="str">
        <f>"0.13"</f>
        <v>0.13</v>
      </c>
      <c r="C8447" t="str">
        <f>"37"</f>
        <v>37</v>
      </c>
      <c r="D8447" t="str">
        <f>"Music for Heart and Breath"</f>
        <v>Music for Heart and Breath</v>
      </c>
    </row>
    <row r="8448" spans="1:4" x14ac:dyDescent="0.2">
      <c r="A8448" t="str">
        <f>"8447"</f>
        <v>8447</v>
      </c>
      <c r="B8448" t="str">
        <f>"1.06"</f>
        <v>1.06</v>
      </c>
      <c r="C8448" t="str">
        <f>"25"</f>
        <v>25</v>
      </c>
      <c r="D8448" t="str">
        <f>"Auto Music"</f>
        <v>Auto Music</v>
      </c>
    </row>
    <row r="8449" spans="1:4" x14ac:dyDescent="0.2">
      <c r="A8449" t="str">
        <f>"8448"</f>
        <v>8448</v>
      </c>
      <c r="B8449" t="str">
        <f>"-0.9"</f>
        <v>-0.9</v>
      </c>
      <c r="C8449" t="str">
        <f>"27"</f>
        <v>27</v>
      </c>
      <c r="D8449" t="str">
        <f>"The Living Ever Mourn"</f>
        <v>The Living Ever Mourn</v>
      </c>
    </row>
    <row r="8450" spans="1:4" x14ac:dyDescent="0.2">
      <c r="A8450" t="str">
        <f>"8449"</f>
        <v>8449</v>
      </c>
      <c r="B8450" t="str">
        <f>"0.04"</f>
        <v>0.04</v>
      </c>
      <c r="C8450" t="str">
        <f>"42"</f>
        <v>42</v>
      </c>
      <c r="D8450" t="str">
        <f>"Familiars"</f>
        <v>Familiars</v>
      </c>
    </row>
    <row r="8451" spans="1:4" x14ac:dyDescent="0.2">
      <c r="A8451" t="str">
        <f>"8450"</f>
        <v>8450</v>
      </c>
      <c r="B8451" t="str">
        <f>"-0.56"</f>
        <v>-0.56</v>
      </c>
      <c r="C8451" t="str">
        <f>"32"</f>
        <v>32</v>
      </c>
      <c r="D8451" t="str">
        <f>"Come On Die Young"</f>
        <v>Come On Die Young</v>
      </c>
    </row>
    <row r="8452" spans="1:4" x14ac:dyDescent="0.2">
      <c r="A8452" t="str">
        <f>"8451"</f>
        <v>8451</v>
      </c>
      <c r="B8452" t="str">
        <f>"-0.83"</f>
        <v>-0.83</v>
      </c>
      <c r="C8452" t="str">
        <f>"39"</f>
        <v>39</v>
      </c>
      <c r="D8452" t="str">
        <f>"Palo Alto: Original Motion Picture Score"</f>
        <v>Palo Alto: Original Motion Picture Score</v>
      </c>
    </row>
    <row r="8453" spans="1:4" x14ac:dyDescent="0.2">
      <c r="A8453" t="str">
        <f>"8452"</f>
        <v>8452</v>
      </c>
      <c r="B8453" t="str">
        <f>"0.2"</f>
        <v>0.2</v>
      </c>
      <c r="C8453" t="str">
        <f>"18"</f>
        <v>18</v>
      </c>
      <c r="D8453" t="str">
        <f>"Just Be Free"</f>
        <v>Just Be Free</v>
      </c>
    </row>
    <row r="8454" spans="1:4" x14ac:dyDescent="0.2">
      <c r="A8454" t="str">
        <f>"8453"</f>
        <v>8453</v>
      </c>
      <c r="B8454" t="str">
        <f>"0.59"</f>
        <v>0.59</v>
      </c>
      <c r="C8454" t="str">
        <f>"24"</f>
        <v>24</v>
      </c>
      <c r="D8454" t="str">
        <f>"DSU"</f>
        <v>DSU</v>
      </c>
    </row>
    <row r="8455" spans="1:4" x14ac:dyDescent="0.2">
      <c r="A8455" t="str">
        <f>"8454"</f>
        <v>8454</v>
      </c>
      <c r="B8455" t="str">
        <f>"0.03"</f>
        <v>0.03</v>
      </c>
      <c r="C8455" t="str">
        <f>"45"</f>
        <v>45</v>
      </c>
      <c r="D8455" t="str">
        <f>"Deep Fantasy"</f>
        <v>Deep Fantasy</v>
      </c>
    </row>
    <row r="8456" spans="1:4" x14ac:dyDescent="0.2">
      <c r="A8456" t="str">
        <f>"8455"</f>
        <v>8455</v>
      </c>
      <c r="B8456" t="str">
        <f>"-0.56"</f>
        <v>-0.56</v>
      </c>
      <c r="C8456" t="str">
        <f>"23"</f>
        <v>23</v>
      </c>
      <c r="D8456" t="str">
        <f>"Noise"</f>
        <v>Noise</v>
      </c>
    </row>
    <row r="8457" spans="1:4" x14ac:dyDescent="0.2">
      <c r="A8457" t="str">
        <f>"8456"</f>
        <v>8456</v>
      </c>
      <c r="B8457" t="str">
        <f>"1.11"</f>
        <v>1.11</v>
      </c>
      <c r="C8457" t="str">
        <f>"38"</f>
        <v>38</v>
      </c>
      <c r="D8457" t="str">
        <f>"Eccentric Soul: Capitol City Soul"</f>
        <v>Eccentric Soul: Capitol City Soul</v>
      </c>
    </row>
    <row r="8458" spans="1:4" x14ac:dyDescent="0.2">
      <c r="A8458" t="str">
        <f>"8457"</f>
        <v>8457</v>
      </c>
      <c r="B8458" t="str">
        <f>"-0.21"</f>
        <v>-0.21</v>
      </c>
      <c r="C8458" t="str">
        <f>"30"</f>
        <v>30</v>
      </c>
      <c r="D8458" t="str">
        <f>"Favorite Waitress"</f>
        <v>Favorite Waitress</v>
      </c>
    </row>
    <row r="8459" spans="1:4" x14ac:dyDescent="0.2">
      <c r="A8459" t="str">
        <f>"8458"</f>
        <v>8458</v>
      </c>
      <c r="B8459" t="str">
        <f>"-0.18"</f>
        <v>-0.18</v>
      </c>
      <c r="C8459" t="str">
        <f>"24"</f>
        <v>24</v>
      </c>
      <c r="D8459" t="str">
        <f>"Still Dreamin' Wild: the Lost Recordings 1979-81"</f>
        <v>Still Dreamin' Wild: the Lost Recordings 1979-81</v>
      </c>
    </row>
    <row r="8460" spans="1:4" x14ac:dyDescent="0.2">
      <c r="A8460" t="str">
        <f>"8459"</f>
        <v>8459</v>
      </c>
      <c r="B8460" t="str">
        <f>"-0.1"</f>
        <v>-0.1</v>
      </c>
      <c r="C8460" t="str">
        <f>"55"</f>
        <v>55</v>
      </c>
      <c r="D8460" t="str">
        <f>"Ultraviolence"</f>
        <v>Ultraviolence</v>
      </c>
    </row>
    <row r="8461" spans="1:4" x14ac:dyDescent="0.2">
      <c r="A8461" t="str">
        <f>"8460"</f>
        <v>8460</v>
      </c>
      <c r="B8461" t="str">
        <f>"-0.04"</f>
        <v>-0.04</v>
      </c>
      <c r="C8461" t="str">
        <f>"51"</f>
        <v>51</v>
      </c>
      <c r="D8461" t="str">
        <f>"Me. I Am Mariah...the Elusive Chanteuse"</f>
        <v>Me. I Am Mariah...the Elusive Chanteuse</v>
      </c>
    </row>
    <row r="8462" spans="1:4" x14ac:dyDescent="0.2">
      <c r="A8462" t="str">
        <f>"8461"</f>
        <v>8461</v>
      </c>
      <c r="B8462" t="str">
        <f>"0.35"</f>
        <v>0.35</v>
      </c>
      <c r="C8462" t="str">
        <f>"33"</f>
        <v>33</v>
      </c>
      <c r="D8462" t="str">
        <f>"Love Frequency"</f>
        <v>Love Frequency</v>
      </c>
    </row>
    <row r="8463" spans="1:4" x14ac:dyDescent="0.2">
      <c r="A8463" t="str">
        <f>"8462"</f>
        <v>8462</v>
      </c>
      <c r="B8463" t="str">
        <f>"0.9"</f>
        <v>0.9</v>
      </c>
      <c r="C8463" t="str">
        <f>"26"</f>
        <v>26</v>
      </c>
      <c r="D8463" t="str">
        <f>"The Air Between Words"</f>
        <v>The Air Between Words</v>
      </c>
    </row>
    <row r="8464" spans="1:4" x14ac:dyDescent="0.2">
      <c r="A8464" t="str">
        <f>"8463"</f>
        <v>8463</v>
      </c>
      <c r="B8464" t="str">
        <f>"-0.3"</f>
        <v>-0.3</v>
      </c>
      <c r="C8464" t="str">
        <f>"25"</f>
        <v>25</v>
      </c>
      <c r="D8464" t="str">
        <f>"When Life Comes to Death"</f>
        <v>When Life Comes to Death</v>
      </c>
    </row>
    <row r="8465" spans="1:4" x14ac:dyDescent="0.2">
      <c r="A8465" t="str">
        <f>"8464"</f>
        <v>8464</v>
      </c>
      <c r="B8465" t="str">
        <f>"-0.57"</f>
        <v>-0.57</v>
      </c>
      <c r="C8465" t="str">
        <f>"51"</f>
        <v>51</v>
      </c>
      <c r="D8465" t="str">
        <f>"Niggas on the Moon"</f>
        <v>Niggas on the Moon</v>
      </c>
    </row>
    <row r="8466" spans="1:4" x14ac:dyDescent="0.2">
      <c r="A8466" t="str">
        <f>"8465"</f>
        <v>8465</v>
      </c>
      <c r="B8466" t="str">
        <f>"0.13"</f>
        <v>0.13</v>
      </c>
      <c r="C8466" t="str">
        <f>"27"</f>
        <v>27</v>
      </c>
      <c r="D8466" t="str">
        <f>"Rosabi EP"</f>
        <v>Rosabi EP</v>
      </c>
    </row>
    <row r="8467" spans="1:4" x14ac:dyDescent="0.2">
      <c r="A8467" t="str">
        <f>"8466"</f>
        <v>8466</v>
      </c>
      <c r="B8467" t="str">
        <f>"-0.92"</f>
        <v>-0.92</v>
      </c>
      <c r="C8467" t="str">
        <f>"30"</f>
        <v>30</v>
      </c>
      <c r="D8467" t="str">
        <f>"CLPPNG"</f>
        <v>CLPPNG</v>
      </c>
    </row>
    <row r="8468" spans="1:4" x14ac:dyDescent="0.2">
      <c r="A8468" t="str">
        <f>"8467"</f>
        <v>8467</v>
      </c>
      <c r="B8468" t="str">
        <f>"1.65"</f>
        <v>1.65</v>
      </c>
      <c r="C8468" t="str">
        <f>"34"</f>
        <v>34</v>
      </c>
      <c r="D8468" t="str">
        <f>"Kyle Bobby Dunn and the Infinite Sadness"</f>
        <v>Kyle Bobby Dunn and the Infinite Sadness</v>
      </c>
    </row>
    <row r="8469" spans="1:4" x14ac:dyDescent="0.2">
      <c r="A8469" t="str">
        <f>"8468"</f>
        <v>8468</v>
      </c>
      <c r="B8469" t="str">
        <f>"-0.28"</f>
        <v>-0.28</v>
      </c>
      <c r="C8469" t="str">
        <f>"17"</f>
        <v>17</v>
      </c>
      <c r="D8469" t="str">
        <f>"Symmetry in Black"</f>
        <v>Symmetry in Black</v>
      </c>
    </row>
    <row r="8470" spans="1:4" x14ac:dyDescent="0.2">
      <c r="A8470" t="str">
        <f>"8469"</f>
        <v>8469</v>
      </c>
      <c r="B8470" t="str">
        <f>"0.95"</f>
        <v>0.95</v>
      </c>
      <c r="C8470" t="str">
        <f>"81"</f>
        <v>81</v>
      </c>
      <c r="D8470" t="str">
        <f>"Led Zeppelin"</f>
        <v>Led Zeppelin</v>
      </c>
    </row>
    <row r="8471" spans="1:4" x14ac:dyDescent="0.2">
      <c r="A8471" t="str">
        <f>"8470"</f>
        <v>8470</v>
      </c>
      <c r="B8471" t="str">
        <f>"-0.53"</f>
        <v>-0.53</v>
      </c>
      <c r="C8471" t="str">
        <f>"41"</f>
        <v>41</v>
      </c>
      <c r="D8471" t="str">
        <f>"Stay Gold"</f>
        <v>Stay Gold</v>
      </c>
    </row>
    <row r="8472" spans="1:4" x14ac:dyDescent="0.2">
      <c r="A8472" t="str">
        <f>"8471"</f>
        <v>8471</v>
      </c>
      <c r="B8472" t="str">
        <f>"0.72"</f>
        <v>0.72</v>
      </c>
      <c r="C8472" t="str">
        <f>"27"</f>
        <v>27</v>
      </c>
      <c r="D8472" t="str">
        <f>"Making the Saint"</f>
        <v>Making the Saint</v>
      </c>
    </row>
    <row r="8473" spans="1:4" x14ac:dyDescent="0.2">
      <c r="A8473" t="str">
        <f>"8472"</f>
        <v>8472</v>
      </c>
      <c r="B8473" t="str">
        <f>"-0.73"</f>
        <v>-0.73</v>
      </c>
      <c r="C8473" t="str">
        <f>"25"</f>
        <v>25</v>
      </c>
      <c r="D8473" t="str">
        <f>"La Fin Absolue Du Monde"</f>
        <v>La Fin Absolue Du Monde</v>
      </c>
    </row>
    <row r="8474" spans="1:4" x14ac:dyDescent="0.2">
      <c r="A8474" t="str">
        <f>"8473"</f>
        <v>8473</v>
      </c>
      <c r="B8474" t="str">
        <f>"-1.36"</f>
        <v>-1.36</v>
      </c>
      <c r="C8474" t="str">
        <f>"20"</f>
        <v>20</v>
      </c>
      <c r="D8474" t="str">
        <f>"The Oregon Bootleg Tapes"</f>
        <v>The Oregon Bootleg Tapes</v>
      </c>
    </row>
    <row r="8475" spans="1:4" x14ac:dyDescent="0.2">
      <c r="A8475" t="str">
        <f>"8474"</f>
        <v>8474</v>
      </c>
      <c r="B8475" t="str">
        <f>"-0.48"</f>
        <v>-0.48</v>
      </c>
      <c r="C8475" t="str">
        <f>"31"</f>
        <v>31</v>
      </c>
      <c r="D8475" t="str">
        <f>"House of Spirits"</f>
        <v>House of Spirits</v>
      </c>
    </row>
    <row r="8476" spans="1:4" x14ac:dyDescent="0.2">
      <c r="A8476" t="str">
        <f>"8475"</f>
        <v>8475</v>
      </c>
      <c r="B8476" t="str">
        <f>"1.4"</f>
        <v>1.4</v>
      </c>
      <c r="C8476" t="str">
        <f>"21"</f>
        <v>21</v>
      </c>
      <c r="D8476" t="str">
        <f>"Love Me"</f>
        <v>Love Me</v>
      </c>
    </row>
    <row r="8477" spans="1:4" x14ac:dyDescent="0.2">
      <c r="A8477" t="str">
        <f>"8476"</f>
        <v>8476</v>
      </c>
      <c r="B8477" t="str">
        <f>"0.23"</f>
        <v>0.23</v>
      </c>
      <c r="C8477" t="str">
        <f>"39"</f>
        <v>39</v>
      </c>
      <c r="D8477" t="str">
        <f>"The Old Believer"</f>
        <v>The Old Believer</v>
      </c>
    </row>
    <row r="8478" spans="1:4" x14ac:dyDescent="0.2">
      <c r="A8478" t="str">
        <f>"8477"</f>
        <v>8477</v>
      </c>
      <c r="B8478" t="str">
        <f>"-0.85"</f>
        <v>-0.85</v>
      </c>
      <c r="C8478" t="str">
        <f>"13"</f>
        <v>13</v>
      </c>
      <c r="D8478" t="str">
        <f>"What's Between"</f>
        <v>What's Between</v>
      </c>
    </row>
    <row r="8479" spans="1:4" x14ac:dyDescent="0.2">
      <c r="A8479" t="str">
        <f>"8478"</f>
        <v>8478</v>
      </c>
      <c r="B8479" t="str">
        <f>"0.89"</f>
        <v>0.89</v>
      </c>
      <c r="C8479" t="str">
        <f>"27"</f>
        <v>27</v>
      </c>
      <c r="D8479" t="str">
        <f>"EP II (+ Skisser)"</f>
        <v>EP II (+ Skisser)</v>
      </c>
    </row>
    <row r="8480" spans="1:4" x14ac:dyDescent="0.2">
      <c r="A8480" t="str">
        <f>"8479"</f>
        <v>8479</v>
      </c>
      <c r="B8480" t="str">
        <f>"0.29"</f>
        <v>0.29</v>
      </c>
      <c r="C8480" t="str">
        <f>"62"</f>
        <v>62</v>
      </c>
      <c r="D8480" t="str">
        <f>"C86"</f>
        <v>C86</v>
      </c>
    </row>
    <row r="8481" spans="1:4" x14ac:dyDescent="0.2">
      <c r="A8481" t="str">
        <f>"8480"</f>
        <v>8480</v>
      </c>
      <c r="B8481" t="str">
        <f>"1.17"</f>
        <v>1.17</v>
      </c>
      <c r="C8481" t="str">
        <f>"22"</f>
        <v>22</v>
      </c>
      <c r="D8481" t="str">
        <f>"Where We Come From"</f>
        <v>Where We Come From</v>
      </c>
    </row>
    <row r="8482" spans="1:4" x14ac:dyDescent="0.2">
      <c r="A8482" t="str">
        <f>"8481"</f>
        <v>8481</v>
      </c>
      <c r="B8482" t="str">
        <f>"0.54"</f>
        <v>0.54</v>
      </c>
      <c r="C8482" t="str">
        <f>"27"</f>
        <v>27</v>
      </c>
      <c r="D8482" t="str">
        <f>"Stockholm"</f>
        <v>Stockholm</v>
      </c>
    </row>
    <row r="8483" spans="1:4" x14ac:dyDescent="0.2">
      <c r="A8483" t="str">
        <f>"8482"</f>
        <v>8482</v>
      </c>
      <c r="B8483" t="str">
        <f>"-0.97"</f>
        <v>-0.97</v>
      </c>
      <c r="C8483" t="str">
        <f>"16"</f>
        <v>16</v>
      </c>
      <c r="D8483" t="str">
        <f>"9 Songs"</f>
        <v>9 Songs</v>
      </c>
    </row>
    <row r="8484" spans="1:4" x14ac:dyDescent="0.2">
      <c r="A8484" t="str">
        <f>"8483"</f>
        <v>8483</v>
      </c>
      <c r="B8484" t="str">
        <f>"-0.52"</f>
        <v>-0.52</v>
      </c>
      <c r="C8484" t="str">
        <f>"27"</f>
        <v>27</v>
      </c>
      <c r="D8484" t="str">
        <f>"Nausea"</f>
        <v>Nausea</v>
      </c>
    </row>
    <row r="8485" spans="1:4" x14ac:dyDescent="0.2">
      <c r="A8485" t="str">
        <f>"8484"</f>
        <v>8484</v>
      </c>
      <c r="B8485" t="str">
        <f>"0.11"</f>
        <v>0.11</v>
      </c>
      <c r="C8485" t="str">
        <f>"56"</f>
        <v>56</v>
      </c>
      <c r="D8485" t="str">
        <f>"Lazaretto"</f>
        <v>Lazaretto</v>
      </c>
    </row>
    <row r="8486" spans="1:4" x14ac:dyDescent="0.2">
      <c r="A8486" t="str">
        <f>"8485"</f>
        <v>8485</v>
      </c>
      <c r="B8486" t="str">
        <f>"-0.19"</f>
        <v>-0.19</v>
      </c>
      <c r="C8486" t="str">
        <f>"22"</f>
        <v>22</v>
      </c>
      <c r="D8486" t="str">
        <f>"Northtown EP"</f>
        <v>Northtown EP</v>
      </c>
    </row>
    <row r="8487" spans="1:4" x14ac:dyDescent="0.2">
      <c r="A8487" t="str">
        <f>"8486"</f>
        <v>8486</v>
      </c>
      <c r="B8487" t="str">
        <f>"0.06"</f>
        <v>0.06</v>
      </c>
      <c r="C8487" t="str">
        <f>"33"</f>
        <v>33</v>
      </c>
      <c r="D8487" t="str">
        <f>"Savage Gold"</f>
        <v>Savage Gold</v>
      </c>
    </row>
    <row r="8488" spans="1:4" x14ac:dyDescent="0.2">
      <c r="A8488" t="str">
        <f>"8487"</f>
        <v>8487</v>
      </c>
      <c r="B8488" t="str">
        <f>"-0.61"</f>
        <v>-0.61</v>
      </c>
      <c r="C8488" t="str">
        <f>"23"</f>
        <v>23</v>
      </c>
      <c r="D8488" t="str">
        <f>"International"</f>
        <v>International</v>
      </c>
    </row>
    <row r="8489" spans="1:4" x14ac:dyDescent="0.2">
      <c r="A8489" t="str">
        <f>"8488"</f>
        <v>8488</v>
      </c>
      <c r="B8489" t="str">
        <f>"-0.25"</f>
        <v>-0.25</v>
      </c>
      <c r="C8489" t="str">
        <f>"28"</f>
        <v>28</v>
      </c>
      <c r="D8489" t="str">
        <f>"This World"</f>
        <v>This World</v>
      </c>
    </row>
    <row r="8490" spans="1:4" x14ac:dyDescent="0.2">
      <c r="A8490" t="str">
        <f>"8489"</f>
        <v>8489</v>
      </c>
      <c r="B8490" t="str">
        <f>"-0.01"</f>
        <v>-0.01</v>
      </c>
      <c r="C8490" t="str">
        <f>"39"</f>
        <v>39</v>
      </c>
      <c r="D8490" t="str">
        <f>"Animal Ambition"</f>
        <v>Animal Ambition</v>
      </c>
    </row>
    <row r="8491" spans="1:4" x14ac:dyDescent="0.2">
      <c r="A8491" t="str">
        <f>"8490"</f>
        <v>8490</v>
      </c>
      <c r="B8491" t="str">
        <f>"1.29"</f>
        <v>1.29</v>
      </c>
      <c r="C8491" t="str">
        <f>"25"</f>
        <v>25</v>
      </c>
      <c r="D8491" t="str">
        <f>"Black Hours"</f>
        <v>Black Hours</v>
      </c>
    </row>
    <row r="8492" spans="1:4" x14ac:dyDescent="0.2">
      <c r="A8492" t="str">
        <f>"8491"</f>
        <v>8491</v>
      </c>
      <c r="B8492" t="str">
        <f>"-0.65"</f>
        <v>-0.65</v>
      </c>
      <c r="C8492" t="str">
        <f>"54"</f>
        <v>54</v>
      </c>
      <c r="D8492" t="str">
        <f>"Bodies and Control and Money and Power"</f>
        <v>Bodies and Control and Money and Power</v>
      </c>
    </row>
    <row r="8493" spans="1:4" x14ac:dyDescent="0.2">
      <c r="A8493" t="str">
        <f>"8492"</f>
        <v>8492</v>
      </c>
      <c r="B8493" t="str">
        <f>"1.19"</f>
        <v>1.19</v>
      </c>
      <c r="C8493" t="str">
        <f>"31"</f>
        <v>31</v>
      </c>
      <c r="D8493" t="str">
        <f>"L'Aventura"</f>
        <v>L'Aventura</v>
      </c>
    </row>
    <row r="8494" spans="1:4" x14ac:dyDescent="0.2">
      <c r="A8494" t="str">
        <f>"8493"</f>
        <v>8493</v>
      </c>
      <c r="B8494" t="str">
        <f>"-0.28"</f>
        <v>-0.28</v>
      </c>
      <c r="C8494" t="str">
        <f>"50"</f>
        <v>50</v>
      </c>
      <c r="D8494" t="str">
        <f>"Esoteric Warfare"</f>
        <v>Esoteric Warfare</v>
      </c>
    </row>
    <row r="8495" spans="1:4" x14ac:dyDescent="0.2">
      <c r="A8495" t="str">
        <f>"8494"</f>
        <v>8494</v>
      </c>
      <c r="B8495" t="str">
        <f>"-0.11"</f>
        <v>-0.11</v>
      </c>
      <c r="C8495" t="str">
        <f>"61"</f>
        <v>61</v>
      </c>
      <c r="D8495" t="str">
        <f>"Vauxhall and I"</f>
        <v>Vauxhall and I</v>
      </c>
    </row>
    <row r="8496" spans="1:4" x14ac:dyDescent="0.2">
      <c r="A8496" t="str">
        <f>"8495"</f>
        <v>8495</v>
      </c>
      <c r="B8496" t="str">
        <f>"0.66"</f>
        <v>0.66</v>
      </c>
      <c r="C8496" t="str">
        <f>"21"</f>
        <v>21</v>
      </c>
      <c r="D8496" t="str">
        <f>"Early Riser"</f>
        <v>Early Riser</v>
      </c>
    </row>
    <row r="8497" spans="1:4" x14ac:dyDescent="0.2">
      <c r="A8497" t="str">
        <f>"8496"</f>
        <v>8496</v>
      </c>
      <c r="B8497" t="str">
        <f>"-0.73"</f>
        <v>-0.73</v>
      </c>
      <c r="C8497" t="str">
        <f>"22"</f>
        <v>22</v>
      </c>
      <c r="D8497" t="str">
        <f>"Third Time to Harm"</f>
        <v>Third Time to Harm</v>
      </c>
    </row>
    <row r="8498" spans="1:4" x14ac:dyDescent="0.2">
      <c r="A8498" t="str">
        <f>"8497"</f>
        <v>8497</v>
      </c>
      <c r="B8498" t="str">
        <f>"-1.47"</f>
        <v>-1.47</v>
      </c>
      <c r="C8498" t="str">
        <f>"25"</f>
        <v>25</v>
      </c>
      <c r="D8498" t="str">
        <f>"MTSYD: the Revenge of the African Booty Scratcher"</f>
        <v>MTSYD: the Revenge of the African Booty Scratcher</v>
      </c>
    </row>
    <row r="8499" spans="1:4" x14ac:dyDescent="0.2">
      <c r="A8499" t="str">
        <f>"8498"</f>
        <v>8498</v>
      </c>
      <c r="B8499" t="str">
        <f>"0"</f>
        <v>0</v>
      </c>
      <c r="C8499" t="str">
        <f>"27"</f>
        <v>27</v>
      </c>
      <c r="D8499" t="str">
        <f>"Dereconstructed"</f>
        <v>Dereconstructed</v>
      </c>
    </row>
    <row r="8500" spans="1:4" x14ac:dyDescent="0.2">
      <c r="A8500" t="str">
        <f>"8499"</f>
        <v>8499</v>
      </c>
      <c r="B8500" t="str">
        <f>"-0.09"</f>
        <v>-0.09</v>
      </c>
      <c r="C8500" t="str">
        <f>"41"</f>
        <v>41</v>
      </c>
      <c r="D8500" t="str">
        <f>"Sunbathing Animal"</f>
        <v>Sunbathing Animal</v>
      </c>
    </row>
    <row r="8501" spans="1:4" x14ac:dyDescent="0.2">
      <c r="A8501" t="str">
        <f>"8500"</f>
        <v>8500</v>
      </c>
      <c r="B8501" t="str">
        <f>"0.74"</f>
        <v>0.74</v>
      </c>
      <c r="C8501" t="str">
        <f>"23"</f>
        <v>23</v>
      </c>
      <c r="D8501" t="str">
        <f>"Dalliance"</f>
        <v>Dalliance</v>
      </c>
    </row>
    <row r="8502" spans="1:4" x14ac:dyDescent="0.2">
      <c r="A8502" t="str">
        <f>"8501"</f>
        <v>8501</v>
      </c>
      <c r="B8502" t="str">
        <f>"0.45"</f>
        <v>0.45</v>
      </c>
      <c r="C8502" t="str">
        <f>"23"</f>
        <v>23</v>
      </c>
      <c r="D8502" t="str">
        <f>"This Machine Kills Artists"</f>
        <v>This Machine Kills Artists</v>
      </c>
    </row>
    <row r="8503" spans="1:4" x14ac:dyDescent="0.2">
      <c r="A8503" t="str">
        <f>"8502"</f>
        <v>8502</v>
      </c>
      <c r="B8503" t="str">
        <f>"-0.27"</f>
        <v>-0.27</v>
      </c>
      <c r="C8503" t="str">
        <f>"29"</f>
        <v>29</v>
      </c>
      <c r="D8503" t="str">
        <f>"Four Infernal Rivers"</f>
        <v>Four Infernal Rivers</v>
      </c>
    </row>
    <row r="8504" spans="1:4" x14ac:dyDescent="0.2">
      <c r="A8504" t="str">
        <f>"8503"</f>
        <v>8503</v>
      </c>
      <c r="B8504" t="str">
        <f>"0.13"</f>
        <v>0.13</v>
      </c>
      <c r="C8504" t="str">
        <f>"32"</f>
        <v>32</v>
      </c>
      <c r="D8504" t="str">
        <f>"Love Fail"</f>
        <v>Love Fail</v>
      </c>
    </row>
    <row r="8505" spans="1:4" x14ac:dyDescent="0.2">
      <c r="A8505" t="str">
        <f>"8504"</f>
        <v>8504</v>
      </c>
      <c r="B8505" t="str">
        <f>"0.88"</f>
        <v>0.88</v>
      </c>
      <c r="C8505" t="str">
        <f>"33"</f>
        <v>33</v>
      </c>
      <c r="D8505" t="str">
        <f>"Superunknown"</f>
        <v>Superunknown</v>
      </c>
    </row>
    <row r="8506" spans="1:4" x14ac:dyDescent="0.2">
      <c r="A8506" t="str">
        <f>"8505"</f>
        <v>8505</v>
      </c>
      <c r="B8506" t="str">
        <f>"0.38"</f>
        <v>0.38</v>
      </c>
      <c r="C8506" t="str">
        <f>"24"</f>
        <v>24</v>
      </c>
      <c r="D8506" t="str">
        <f>"Only Run"</f>
        <v>Only Run</v>
      </c>
    </row>
    <row r="8507" spans="1:4" x14ac:dyDescent="0.2">
      <c r="A8507" t="str">
        <f>"8506"</f>
        <v>8506</v>
      </c>
      <c r="B8507" t="str">
        <f>"-0.1"</f>
        <v>-0.1</v>
      </c>
      <c r="C8507" t="str">
        <f>"36"</f>
        <v>36</v>
      </c>
      <c r="D8507" t="str">
        <f>"Charmer"</f>
        <v>Charmer</v>
      </c>
    </row>
    <row r="8508" spans="1:4" x14ac:dyDescent="0.2">
      <c r="A8508" t="str">
        <f>"8507"</f>
        <v>8507</v>
      </c>
      <c r="B8508" t="str">
        <f>"0.94"</f>
        <v>0.94</v>
      </c>
      <c r="C8508" t="str">
        <f>"49"</f>
        <v>49</v>
      </c>
      <c r="D8508" t="str">
        <f>"Separate Oceans"</f>
        <v>Separate Oceans</v>
      </c>
    </row>
    <row r="8509" spans="1:4" x14ac:dyDescent="0.2">
      <c r="A8509" t="str">
        <f>"8508"</f>
        <v>8508</v>
      </c>
      <c r="B8509" t="str">
        <f>"0.27"</f>
        <v>0.27</v>
      </c>
      <c r="C8509" t="str">
        <f>"22"</f>
        <v>22</v>
      </c>
      <c r="D8509" t="str">
        <f>"Emma Jean"</f>
        <v>Emma Jean</v>
      </c>
    </row>
    <row r="8510" spans="1:4" x14ac:dyDescent="0.2">
      <c r="A8510" t="str">
        <f>"8509"</f>
        <v>8509</v>
      </c>
      <c r="B8510" t="str">
        <f>"-1.16"</f>
        <v>-1.16</v>
      </c>
      <c r="C8510" t="str">
        <f>"46"</f>
        <v>46</v>
      </c>
      <c r="D8510" t="str">
        <f>"Glass Boys"</f>
        <v>Glass Boys</v>
      </c>
    </row>
    <row r="8511" spans="1:4" x14ac:dyDescent="0.2">
      <c r="A8511" t="str">
        <f>"8510"</f>
        <v>8510</v>
      </c>
      <c r="B8511" t="str">
        <f>"-0.38"</f>
        <v>-0.38</v>
      </c>
      <c r="C8511" t="str">
        <f>"23"</f>
        <v>23</v>
      </c>
      <c r="D8511" t="str">
        <f>"Disgraceland"</f>
        <v>Disgraceland</v>
      </c>
    </row>
    <row r="8512" spans="1:4" x14ac:dyDescent="0.2">
      <c r="A8512" t="str">
        <f>"8511"</f>
        <v>8511</v>
      </c>
      <c r="B8512" t="str">
        <f>"0.18"</f>
        <v>0.18</v>
      </c>
      <c r="C8512" t="str">
        <f>"25"</f>
        <v>25</v>
      </c>
      <c r="D8512" t="str">
        <f>"Beauty &amp; Ruin"</f>
        <v>Beauty &amp; Ruin</v>
      </c>
    </row>
    <row r="8513" spans="1:4" x14ac:dyDescent="0.2">
      <c r="A8513" t="str">
        <f>"8512"</f>
        <v>8512</v>
      </c>
      <c r="B8513" t="str">
        <f>"-0.07"</f>
        <v>-0.07</v>
      </c>
      <c r="C8513" t="str">
        <f>"39"</f>
        <v>39</v>
      </c>
      <c r="D8513" t="str">
        <f>"Midtown 120 Blues"</f>
        <v>Midtown 120 Blues</v>
      </c>
    </row>
    <row r="8514" spans="1:4" x14ac:dyDescent="0.2">
      <c r="A8514" t="str">
        <f>"8513"</f>
        <v>8513</v>
      </c>
      <c r="B8514" t="str">
        <f>"-0.54"</f>
        <v>-0.54</v>
      </c>
      <c r="C8514" t="str">
        <f>"36"</f>
        <v>36</v>
      </c>
      <c r="D8514" t="str">
        <f>"Because I'm Worth It"</f>
        <v>Because I'm Worth It</v>
      </c>
    </row>
    <row r="8515" spans="1:4" x14ac:dyDescent="0.2">
      <c r="A8515" t="str">
        <f>"8514"</f>
        <v>8514</v>
      </c>
      <c r="B8515" t="str">
        <f>"0.63"</f>
        <v>0.63</v>
      </c>
      <c r="C8515" t="str">
        <f>"43"</f>
        <v>43</v>
      </c>
      <c r="D8515" t="str">
        <f>"A U R O R A"</f>
        <v>A U R O R A</v>
      </c>
    </row>
    <row r="8516" spans="1:4" x14ac:dyDescent="0.2">
      <c r="A8516" t="str">
        <f>"8515"</f>
        <v>8515</v>
      </c>
      <c r="B8516" t="str">
        <f>"-0.6"</f>
        <v>-0.6</v>
      </c>
      <c r="C8516" t="str">
        <f>"27"</f>
        <v>27</v>
      </c>
      <c r="D8516" t="str">
        <f>"No Peace"</f>
        <v>No Peace</v>
      </c>
    </row>
    <row r="8517" spans="1:4" x14ac:dyDescent="0.2">
      <c r="A8517" t="str">
        <f>"8516"</f>
        <v>8516</v>
      </c>
      <c r="B8517" t="str">
        <f>"0.71"</f>
        <v>0.71</v>
      </c>
      <c r="C8517" t="str">
        <f>"25"</f>
        <v>25</v>
      </c>
      <c r="D8517" t="str">
        <f>"The Feast of the Broken Heart"</f>
        <v>The Feast of the Broken Heart</v>
      </c>
    </row>
    <row r="8518" spans="1:4" x14ac:dyDescent="0.2">
      <c r="A8518" t="str">
        <f>"8517"</f>
        <v>8517</v>
      </c>
      <c r="B8518" t="str">
        <f>"-0.89"</f>
        <v>-0.89</v>
      </c>
      <c r="C8518" t="str">
        <f>"19"</f>
        <v>19</v>
      </c>
      <c r="D8518" t="str">
        <f>"Strange Breaks &amp; Mr. Thing III"</f>
        <v>Strange Breaks &amp; Mr. Thing III</v>
      </c>
    </row>
    <row r="8519" spans="1:4" x14ac:dyDescent="0.2">
      <c r="A8519" t="str">
        <f>"8518"</f>
        <v>8518</v>
      </c>
      <c r="B8519" t="str">
        <f>"-0.92"</f>
        <v>-0.92</v>
      </c>
      <c r="C8519" t="str">
        <f>"36"</f>
        <v>36</v>
      </c>
      <c r="D8519" t="str">
        <f>"Dead Unique"</f>
        <v>Dead Unique</v>
      </c>
    </row>
    <row r="8520" spans="1:4" x14ac:dyDescent="0.2">
      <c r="A8520" t="str">
        <f>"8519"</f>
        <v>8519</v>
      </c>
      <c r="B8520" t="str">
        <f>"1.01"</f>
        <v>1.01</v>
      </c>
      <c r="C8520" t="str">
        <f>"37"</f>
        <v>37</v>
      </c>
      <c r="D8520" t="str">
        <f>"The Moon Rang Like A Bell"</f>
        <v>The Moon Rang Like A Bell</v>
      </c>
    </row>
    <row r="8521" spans="1:4" x14ac:dyDescent="0.2">
      <c r="A8521" t="str">
        <f>"8520"</f>
        <v>8520</v>
      </c>
      <c r="B8521" t="str">
        <f>"0.61"</f>
        <v>0.61</v>
      </c>
      <c r="C8521" t="str">
        <f>"19"</f>
        <v>19</v>
      </c>
      <c r="D8521" t="str">
        <f>"Alternate Worlds EP"</f>
        <v>Alternate Worlds EP</v>
      </c>
    </row>
    <row r="8522" spans="1:4" x14ac:dyDescent="0.2">
      <c r="A8522" t="str">
        <f>"8521"</f>
        <v>8521</v>
      </c>
      <c r="B8522" t="str">
        <f>"0.05"</f>
        <v>0.05</v>
      </c>
      <c r="C8522" t="str">
        <f>"29"</f>
        <v>29</v>
      </c>
      <c r="D8522" t="str">
        <f>"Incursio"</f>
        <v>Incursio</v>
      </c>
    </row>
    <row r="8523" spans="1:4" x14ac:dyDescent="0.2">
      <c r="A8523" t="str">
        <f>"8522"</f>
        <v>8522</v>
      </c>
      <c r="B8523" t="str">
        <f>"-0.22"</f>
        <v>-0.22</v>
      </c>
      <c r="C8523" t="str">
        <f>"17"</f>
        <v>17</v>
      </c>
      <c r="D8523" t="str">
        <f>"Gz II Godz"</f>
        <v>Gz II Godz</v>
      </c>
    </row>
    <row r="8524" spans="1:4" x14ac:dyDescent="0.2">
      <c r="A8524" t="str">
        <f>"8523"</f>
        <v>8523</v>
      </c>
      <c r="B8524" t="str">
        <f>"-0.54"</f>
        <v>-0.54</v>
      </c>
      <c r="C8524" t="str">
        <f>"35"</f>
        <v>35</v>
      </c>
      <c r="D8524" t="str">
        <f>"Witch"</f>
        <v>Witch</v>
      </c>
    </row>
    <row r="8525" spans="1:4" x14ac:dyDescent="0.2">
      <c r="A8525" t="str">
        <f>"8524"</f>
        <v>8524</v>
      </c>
      <c r="B8525" t="str">
        <f>"1.78"</f>
        <v>1.78</v>
      </c>
      <c r="C8525" t="str">
        <f>"32"</f>
        <v>32</v>
      </c>
      <c r="D8525" t="str">
        <f>"Do It Again"</f>
        <v>Do It Again</v>
      </c>
    </row>
    <row r="8526" spans="1:4" x14ac:dyDescent="0.2">
      <c r="A8526" t="str">
        <f>"8525"</f>
        <v>8525</v>
      </c>
      <c r="B8526" t="str">
        <f>"0.75"</f>
        <v>0.75</v>
      </c>
      <c r="C8526" t="str">
        <f>"28"</f>
        <v>28</v>
      </c>
      <c r="D8526" t="str">
        <f>"Sylvan Esso"</f>
        <v>Sylvan Esso</v>
      </c>
    </row>
    <row r="8527" spans="1:4" x14ac:dyDescent="0.2">
      <c r="A8527" t="str">
        <f>"8526"</f>
        <v>8526</v>
      </c>
      <c r="B8527" t="str">
        <f>"0.69"</f>
        <v>0.69</v>
      </c>
      <c r="C8527" t="str">
        <f>"37"</f>
        <v>37</v>
      </c>
      <c r="D8527" t="str">
        <f>"Initiation"</f>
        <v>Initiation</v>
      </c>
    </row>
    <row r="8528" spans="1:4" x14ac:dyDescent="0.2">
      <c r="A8528" t="str">
        <f>"8527"</f>
        <v>8527</v>
      </c>
      <c r="B8528" t="str">
        <f>"0.39"</f>
        <v>0.39</v>
      </c>
      <c r="C8528" t="str">
        <f>"16"</f>
        <v>16</v>
      </c>
      <c r="D8528" t="str">
        <f>"Fortuna"</f>
        <v>Fortuna</v>
      </c>
    </row>
    <row r="8529" spans="1:4" x14ac:dyDescent="0.2">
      <c r="A8529" t="str">
        <f>"8528"</f>
        <v>8528</v>
      </c>
      <c r="B8529" t="str">
        <f>"-0.1"</f>
        <v>-0.1</v>
      </c>
      <c r="C8529" t="str">
        <f>"27"</f>
        <v>27</v>
      </c>
      <c r="D8529" t="str">
        <f>"A Period of Review (Original Recordings: 1975-1983)"</f>
        <v>A Period of Review (Original Recordings: 1975-1983)</v>
      </c>
    </row>
    <row r="8530" spans="1:4" x14ac:dyDescent="0.2">
      <c r="A8530" t="str">
        <f>"8529"</f>
        <v>8529</v>
      </c>
      <c r="B8530" t="str">
        <f>"0.37"</f>
        <v>0.37</v>
      </c>
      <c r="C8530" t="str">
        <f>"42"</f>
        <v>42</v>
      </c>
      <c r="D8530" t="str">
        <f>"Are We There"</f>
        <v>Are We There</v>
      </c>
    </row>
    <row r="8531" spans="1:4" x14ac:dyDescent="0.2">
      <c r="A8531" t="str">
        <f>"8530"</f>
        <v>8530</v>
      </c>
      <c r="B8531" t="str">
        <f>"0.75"</f>
        <v>0.75</v>
      </c>
      <c r="C8531" t="str">
        <f>"54"</f>
        <v>54</v>
      </c>
      <c r="D8531" t="str">
        <f>"Suburban Light"</f>
        <v>Suburban Light</v>
      </c>
    </row>
    <row r="8532" spans="1:4" x14ac:dyDescent="0.2">
      <c r="A8532" t="str">
        <f>"8531"</f>
        <v>8531</v>
      </c>
      <c r="B8532" t="str">
        <f>"0.56"</f>
        <v>0.56</v>
      </c>
      <c r="C8532" t="str">
        <f>"23"</f>
        <v>23</v>
      </c>
      <c r="D8532" t="str">
        <f>"Meteorites"</f>
        <v>Meteorites</v>
      </c>
    </row>
    <row r="8533" spans="1:4" x14ac:dyDescent="0.2">
      <c r="A8533" t="str">
        <f>"8532"</f>
        <v>8532</v>
      </c>
      <c r="B8533" t="str">
        <f>"0.23"</f>
        <v>0.23</v>
      </c>
      <c r="C8533" t="str">
        <f>"43"</f>
        <v>43</v>
      </c>
      <c r="D8533" t="str">
        <f>"Shade Themes From Kairos"</f>
        <v>Shade Themes From Kairos</v>
      </c>
    </row>
    <row r="8534" spans="1:4" x14ac:dyDescent="0.2">
      <c r="A8534" t="str">
        <f>"8533"</f>
        <v>8533</v>
      </c>
      <c r="B8534" t="str">
        <f>"0.17"</f>
        <v>0.17</v>
      </c>
      <c r="C8534" t="str">
        <f>"26"</f>
        <v>26</v>
      </c>
      <c r="D8534" t="s">
        <v>283</v>
      </c>
    </row>
    <row r="8535" spans="1:4" x14ac:dyDescent="0.2">
      <c r="A8535" t="str">
        <f>"8534"</f>
        <v>8534</v>
      </c>
      <c r="B8535" t="str">
        <f>"-0.37"</f>
        <v>-0.37</v>
      </c>
      <c r="C8535" t="str">
        <f>"43"</f>
        <v>43</v>
      </c>
      <c r="D8535" t="str">
        <f>"In Conflict"</f>
        <v>In Conflict</v>
      </c>
    </row>
    <row r="8536" spans="1:4" x14ac:dyDescent="0.2">
      <c r="A8536" t="str">
        <f>"8535"</f>
        <v>8535</v>
      </c>
      <c r="B8536" t="str">
        <f>"-0.46"</f>
        <v>-0.46</v>
      </c>
      <c r="C8536" t="str">
        <f>"32"</f>
        <v>32</v>
      </c>
      <c r="D8536" t="str">
        <f>"Good to Be Home"</f>
        <v>Good to Be Home</v>
      </c>
    </row>
    <row r="8537" spans="1:4" x14ac:dyDescent="0.2">
      <c r="A8537" t="str">
        <f>"8536"</f>
        <v>8536</v>
      </c>
      <c r="B8537" t="str">
        <f>"-0.41"</f>
        <v>-0.41</v>
      </c>
      <c r="C8537" t="str">
        <f>"17"</f>
        <v>17</v>
      </c>
      <c r="D8537" t="str">
        <f>"Special Victim"</f>
        <v>Special Victim</v>
      </c>
    </row>
    <row r="8538" spans="1:4" x14ac:dyDescent="0.2">
      <c r="A8538" t="str">
        <f>"8537"</f>
        <v>8537</v>
      </c>
      <c r="B8538" t="str">
        <f>"0.16"</f>
        <v>0.16</v>
      </c>
      <c r="C8538" t="str">
        <f>"27"</f>
        <v>27</v>
      </c>
      <c r="D8538" t="str">
        <f>"10 Years Of Full Pupp"</f>
        <v>10 Years Of Full Pupp</v>
      </c>
    </row>
    <row r="8539" spans="1:4" x14ac:dyDescent="0.2">
      <c r="A8539" t="str">
        <f>"8538"</f>
        <v>8538</v>
      </c>
      <c r="B8539" t="str">
        <f>"0.36"</f>
        <v>0.36</v>
      </c>
      <c r="C8539" t="str">
        <f>"45"</f>
        <v>45</v>
      </c>
      <c r="D8539" t="str">
        <f>"Melting Sun"</f>
        <v>Melting Sun</v>
      </c>
    </row>
    <row r="8540" spans="1:4" x14ac:dyDescent="0.2">
      <c r="A8540" t="str">
        <f>"8539"</f>
        <v>8539</v>
      </c>
      <c r="B8540" t="str">
        <f>"-0.58"</f>
        <v>-0.58</v>
      </c>
      <c r="C8540" t="str">
        <f>"62"</f>
        <v>62</v>
      </c>
      <c r="D8540" t="str">
        <f>"...And Then You Shoot Your Cousin"</f>
        <v>...And Then You Shoot Your Cousin</v>
      </c>
    </row>
    <row r="8541" spans="1:4" x14ac:dyDescent="0.2">
      <c r="A8541" t="str">
        <f>"8540"</f>
        <v>8540</v>
      </c>
      <c r="B8541" t="str">
        <f>"-0.27"</f>
        <v>-0.27</v>
      </c>
      <c r="C8541" t="str">
        <f>"34"</f>
        <v>34</v>
      </c>
      <c r="D8541" t="str">
        <f>"The Death of Rave (A Partial Flashback)"</f>
        <v>The Death of Rave (A Partial Flashback)</v>
      </c>
    </row>
    <row r="8542" spans="1:4" x14ac:dyDescent="0.2">
      <c r="A8542" t="str">
        <f>"8541"</f>
        <v>8541</v>
      </c>
      <c r="B8542" t="str">
        <f>"0.25"</f>
        <v>0.25</v>
      </c>
      <c r="C8542" t="str">
        <f>"16"</f>
        <v>16</v>
      </c>
      <c r="D8542" t="str">
        <f>"In Cold Blood"</f>
        <v>In Cold Blood</v>
      </c>
    </row>
    <row r="8543" spans="1:4" x14ac:dyDescent="0.2">
      <c r="A8543" t="str">
        <f>"8542"</f>
        <v>8542</v>
      </c>
      <c r="B8543" t="str">
        <f>"0.91"</f>
        <v>0.91</v>
      </c>
      <c r="C8543" t="str">
        <f>"24"</f>
        <v>24</v>
      </c>
      <c r="D8543" t="str">
        <f>"Tomorrow"</f>
        <v>Tomorrow</v>
      </c>
    </row>
    <row r="8544" spans="1:4" x14ac:dyDescent="0.2">
      <c r="A8544" t="str">
        <f>"8543"</f>
        <v>8543</v>
      </c>
      <c r="B8544" t="str">
        <f>"0.5"</f>
        <v>0.5</v>
      </c>
      <c r="C8544" t="str">
        <f>"21"</f>
        <v>21</v>
      </c>
      <c r="D8544" t="str">
        <f>"Reachy Prints"</f>
        <v>Reachy Prints</v>
      </c>
    </row>
    <row r="8545" spans="1:4" x14ac:dyDescent="0.2">
      <c r="A8545" t="str">
        <f>"8544"</f>
        <v>8544</v>
      </c>
      <c r="B8545" t="str">
        <f>"-0.6"</f>
        <v>-0.6</v>
      </c>
      <c r="C8545" t="str">
        <f>"51"</f>
        <v>51</v>
      </c>
      <c r="D8545" t="str">
        <f>"Definitely Maybe: Chasing the Sun Edition"</f>
        <v>Definitely Maybe: Chasing the Sun Edition</v>
      </c>
    </row>
    <row r="8546" spans="1:4" x14ac:dyDescent="0.2">
      <c r="A8546" t="str">
        <f>"8545"</f>
        <v>8545</v>
      </c>
      <c r="B8546" t="str">
        <f>"-0.08"</f>
        <v>-0.08</v>
      </c>
      <c r="C8546" t="str">
        <f>"29"</f>
        <v>29</v>
      </c>
      <c r="D8546" t="str">
        <f>"Da Mind of Traxman Vol. 2"</f>
        <v>Da Mind of Traxman Vol. 2</v>
      </c>
    </row>
    <row r="8547" spans="1:4" x14ac:dyDescent="0.2">
      <c r="A8547" t="str">
        <f>"8546"</f>
        <v>8546</v>
      </c>
      <c r="B8547" t="str">
        <f>"-0.15"</f>
        <v>-0.15</v>
      </c>
      <c r="C8547" t="str">
        <f>"31"</f>
        <v>31</v>
      </c>
      <c r="D8547" t="str">
        <f>"Faces"</f>
        <v>Faces</v>
      </c>
    </row>
    <row r="8548" spans="1:4" x14ac:dyDescent="0.2">
      <c r="A8548" t="str">
        <f>"8547"</f>
        <v>8547</v>
      </c>
      <c r="B8548" t="str">
        <f>"0.63"</f>
        <v>0.63</v>
      </c>
      <c r="C8548" t="str">
        <f>"26"</f>
        <v>26</v>
      </c>
      <c r="D8548" t="str">
        <f>"The Sleeping Beauties: A Collection of Early and Unreleased Works"</f>
        <v>The Sleeping Beauties: A Collection of Early and Unreleased Works</v>
      </c>
    </row>
    <row r="8549" spans="1:4" x14ac:dyDescent="0.2">
      <c r="A8549" t="str">
        <f>"8548"</f>
        <v>8548</v>
      </c>
      <c r="B8549" t="str">
        <f>"0.83"</f>
        <v>0.83</v>
      </c>
      <c r="C8549" t="str">
        <f>"25"</f>
        <v>25</v>
      </c>
      <c r="D8549" t="str">
        <f>"Keine Oase in Sicht"</f>
        <v>Keine Oase in Sicht</v>
      </c>
    </row>
    <row r="8550" spans="1:4" x14ac:dyDescent="0.2">
      <c r="A8550" t="str">
        <f>"8549"</f>
        <v>8549</v>
      </c>
      <c r="B8550" t="str">
        <f>"0.17"</f>
        <v>0.17</v>
      </c>
      <c r="C8550" t="str">
        <f>"61"</f>
        <v>61</v>
      </c>
      <c r="D8550" t="str">
        <f>"Hyperdub 10.1"</f>
        <v>Hyperdub 10.1</v>
      </c>
    </row>
    <row r="8551" spans="1:4" x14ac:dyDescent="0.2">
      <c r="A8551" t="str">
        <f>"8550"</f>
        <v>8550</v>
      </c>
      <c r="B8551" t="str">
        <f>"0.34"</f>
        <v>0.34</v>
      </c>
      <c r="C8551" t="str">
        <f>"49"</f>
        <v>49</v>
      </c>
      <c r="D8551" t="str">
        <f>"American Football"</f>
        <v>American Football</v>
      </c>
    </row>
    <row r="8552" spans="1:4" x14ac:dyDescent="0.2">
      <c r="A8552" t="str">
        <f>"8551"</f>
        <v>8551</v>
      </c>
      <c r="B8552" t="str">
        <f>"-0.76"</f>
        <v>-0.76</v>
      </c>
      <c r="C8552" t="str">
        <f>"19"</f>
        <v>19</v>
      </c>
      <c r="D8552" t="str">
        <f>"Ultima II Massage"</f>
        <v>Ultima II Massage</v>
      </c>
    </row>
    <row r="8553" spans="1:4" x14ac:dyDescent="0.2">
      <c r="A8553" t="str">
        <f>"8552"</f>
        <v>8552</v>
      </c>
      <c r="B8553" t="str">
        <f>"0.17"</f>
        <v>0.17</v>
      </c>
      <c r="C8553" t="str">
        <f>"35"</f>
        <v>35</v>
      </c>
      <c r="D8553" t="str">
        <f>"Fabriclive 75"</f>
        <v>Fabriclive 75</v>
      </c>
    </row>
    <row r="8554" spans="1:4" x14ac:dyDescent="0.2">
      <c r="A8554" t="str">
        <f>"8553"</f>
        <v>8553</v>
      </c>
      <c r="B8554" t="str">
        <f>"0.13"</f>
        <v>0.13</v>
      </c>
      <c r="C8554" t="str">
        <f>"34"</f>
        <v>34</v>
      </c>
      <c r="D8554" t="str">
        <f>"Lullabies Help the Brain Grow"</f>
        <v>Lullabies Help the Brain Grow</v>
      </c>
    </row>
    <row r="8555" spans="1:4" x14ac:dyDescent="0.2">
      <c r="A8555" t="str">
        <f>"8554"</f>
        <v>8554</v>
      </c>
      <c r="B8555" t="str">
        <f>"-0.2"</f>
        <v>-0.2</v>
      </c>
      <c r="C8555" t="str">
        <f>"48"</f>
        <v>48</v>
      </c>
      <c r="D8555" t="str">
        <f>"Ghost Stories"</f>
        <v>Ghost Stories</v>
      </c>
    </row>
    <row r="8556" spans="1:4" x14ac:dyDescent="0.2">
      <c r="A8556" t="str">
        <f>"8555"</f>
        <v>8555</v>
      </c>
      <c r="B8556" t="str">
        <f>"-0.59"</f>
        <v>-0.59</v>
      </c>
      <c r="C8556" t="str">
        <f>"33"</f>
        <v>33</v>
      </c>
      <c r="D8556" t="str">
        <f>"Full Cold Moon"</f>
        <v>Full Cold Moon</v>
      </c>
    </row>
    <row r="8557" spans="1:4" x14ac:dyDescent="0.2">
      <c r="A8557" t="str">
        <f>"8556"</f>
        <v>8556</v>
      </c>
      <c r="B8557" t="str">
        <f>"0.51"</f>
        <v>0.51</v>
      </c>
      <c r="C8557" t="str">
        <f>"52"</f>
        <v>52</v>
      </c>
      <c r="D8557" t="str">
        <f>"L'amour"</f>
        <v>L'amour</v>
      </c>
    </row>
    <row r="8558" spans="1:4" x14ac:dyDescent="0.2">
      <c r="A8558" t="str">
        <f>"8557"</f>
        <v>8557</v>
      </c>
      <c r="B8558" t="str">
        <f>"-0.41"</f>
        <v>-0.41</v>
      </c>
      <c r="C8558" t="str">
        <f>"37"</f>
        <v>37</v>
      </c>
      <c r="D8558" t="str">
        <f>"Some Heavy Ocean"</f>
        <v>Some Heavy Ocean</v>
      </c>
    </row>
    <row r="8559" spans="1:4" x14ac:dyDescent="0.2">
      <c r="A8559" t="str">
        <f>"8558"</f>
        <v>8558</v>
      </c>
      <c r="B8559" t="str">
        <f>"-0.71"</f>
        <v>-0.71</v>
      </c>
      <c r="C8559" t="str">
        <f>"25"</f>
        <v>25</v>
      </c>
      <c r="D8559" t="str">
        <f>"Stereo Is King"</f>
        <v>Stereo Is King</v>
      </c>
    </row>
    <row r="8560" spans="1:4" x14ac:dyDescent="0.2">
      <c r="A8560" t="str">
        <f>"8559"</f>
        <v>8559</v>
      </c>
      <c r="B8560" t="str">
        <f>"0.53"</f>
        <v>0.53</v>
      </c>
      <c r="C8560" t="str">
        <f>"47"</f>
        <v>47</v>
      </c>
      <c r="D8560" t="str">
        <f>"Upside Down Mountain"</f>
        <v>Upside Down Mountain</v>
      </c>
    </row>
    <row r="8561" spans="1:4" x14ac:dyDescent="0.2">
      <c r="A8561" t="str">
        <f>"8560"</f>
        <v>8560</v>
      </c>
      <c r="B8561" t="str">
        <f>"0.61"</f>
        <v>0.61</v>
      </c>
      <c r="C8561" t="str">
        <f>"31"</f>
        <v>31</v>
      </c>
      <c r="D8561" t="str">
        <f>"WinterSpringSummerFall"</f>
        <v>WinterSpringSummerFall</v>
      </c>
    </row>
    <row r="8562" spans="1:4" x14ac:dyDescent="0.2">
      <c r="A8562" t="str">
        <f>"8561"</f>
        <v>8561</v>
      </c>
      <c r="B8562" t="str">
        <f>"0.35"</f>
        <v>0.35</v>
      </c>
      <c r="C8562" t="str">
        <f>"29"</f>
        <v>29</v>
      </c>
      <c r="D8562" t="str">
        <f>"The Encyclopedia of Arto Lindsay"</f>
        <v>The Encyclopedia of Arto Lindsay</v>
      </c>
    </row>
    <row r="8563" spans="1:4" x14ac:dyDescent="0.2">
      <c r="A8563" t="str">
        <f>"8562"</f>
        <v>8562</v>
      </c>
      <c r="B8563" t="str">
        <f>"-0.56"</f>
        <v>-0.56</v>
      </c>
      <c r="C8563" t="str">
        <f>"28"</f>
        <v>28</v>
      </c>
      <c r="D8563" t="str">
        <f>"Volume X"</f>
        <v>Volume X</v>
      </c>
    </row>
    <row r="8564" spans="1:4" x14ac:dyDescent="0.2">
      <c r="A8564" t="str">
        <f>"8563"</f>
        <v>8563</v>
      </c>
      <c r="B8564" t="str">
        <f>"-1.4"</f>
        <v>-1.4</v>
      </c>
      <c r="C8564" t="str">
        <f>"22"</f>
        <v>22</v>
      </c>
      <c r="D8564" t="str">
        <f>"Boys"</f>
        <v>Boys</v>
      </c>
    </row>
    <row r="8565" spans="1:4" x14ac:dyDescent="0.2">
      <c r="A8565" t="str">
        <f>"8564"</f>
        <v>8564</v>
      </c>
      <c r="B8565" t="str">
        <f>"-0.2"</f>
        <v>-0.2</v>
      </c>
      <c r="C8565" t="str">
        <f>"45"</f>
        <v>45</v>
      </c>
      <c r="D8565" t="str">
        <f>"Days of Abandon"</f>
        <v>Days of Abandon</v>
      </c>
    </row>
    <row r="8566" spans="1:4" x14ac:dyDescent="0.2">
      <c r="A8566" t="str">
        <f>"8565"</f>
        <v>8565</v>
      </c>
      <c r="B8566" t="str">
        <f>"0.63"</f>
        <v>0.63</v>
      </c>
      <c r="C8566" t="str">
        <f>"47"</f>
        <v>47</v>
      </c>
      <c r="D8566" t="str">
        <f>"The Serpent &amp; the Sphere"</f>
        <v>The Serpent &amp; the Sphere</v>
      </c>
    </row>
    <row r="8567" spans="1:4" x14ac:dyDescent="0.2">
      <c r="A8567" t="str">
        <f>"8566"</f>
        <v>8566</v>
      </c>
      <c r="B8567" t="str">
        <f>"0.73"</f>
        <v>0.73</v>
      </c>
      <c r="C8567" t="str">
        <f>"13"</f>
        <v>13</v>
      </c>
      <c r="D8567" t="str">
        <f>"FreeBase EP"</f>
        <v>FreeBase EP</v>
      </c>
    </row>
    <row r="8568" spans="1:4" x14ac:dyDescent="0.2">
      <c r="A8568" t="str">
        <f>"8567"</f>
        <v>8567</v>
      </c>
      <c r="B8568" t="str">
        <f>"0.69"</f>
        <v>0.69</v>
      </c>
      <c r="C8568" t="str">
        <f>"27"</f>
        <v>27</v>
      </c>
      <c r="D8568" t="str">
        <f>"Metamodern Sounds in Country Music"</f>
        <v>Metamodern Sounds in Country Music</v>
      </c>
    </row>
    <row r="8569" spans="1:4" x14ac:dyDescent="0.2">
      <c r="A8569" t="str">
        <f>"8568"</f>
        <v>8568</v>
      </c>
      <c r="B8569" t="str">
        <f>"-0.18"</f>
        <v>-0.18</v>
      </c>
      <c r="C8569" t="str">
        <f>"20"</f>
        <v>20</v>
      </c>
      <c r="D8569" t="str">
        <f>"II"</f>
        <v>II</v>
      </c>
    </row>
    <row r="8570" spans="1:4" x14ac:dyDescent="0.2">
      <c r="A8570" t="str">
        <f>"8569"</f>
        <v>8569</v>
      </c>
      <c r="B8570" t="str">
        <f>"-0.48"</f>
        <v>-0.48</v>
      </c>
      <c r="C8570" t="str">
        <f>"35"</f>
        <v>35</v>
      </c>
      <c r="D8570" t="str">
        <f>"Xscape"</f>
        <v>Xscape</v>
      </c>
    </row>
    <row r="8571" spans="1:4" x14ac:dyDescent="0.2">
      <c r="A8571" t="str">
        <f>"8570"</f>
        <v>8570</v>
      </c>
      <c r="B8571" t="str">
        <f>"-0.8"</f>
        <v>-0.8</v>
      </c>
      <c r="C8571" t="str">
        <f>"43"</f>
        <v>43</v>
      </c>
      <c r="D8571" t="str">
        <f>"Easy Pain"</f>
        <v>Easy Pain</v>
      </c>
    </row>
    <row r="8572" spans="1:4" x14ac:dyDescent="0.2">
      <c r="A8572" t="str">
        <f>"8571"</f>
        <v>8571</v>
      </c>
      <c r="B8572" t="str">
        <f>"0.38"</f>
        <v>0.38</v>
      </c>
      <c r="C8572" t="str">
        <f>"33"</f>
        <v>33</v>
      </c>
      <c r="D8572" t="str">
        <f>"Sincerely Yours"</f>
        <v>Sincerely Yours</v>
      </c>
    </row>
    <row r="8573" spans="1:4" x14ac:dyDescent="0.2">
      <c r="A8573" t="str">
        <f>"8572"</f>
        <v>8572</v>
      </c>
      <c r="B8573" t="str">
        <f>"0.81"</f>
        <v>0.81</v>
      </c>
      <c r="C8573" t="str">
        <f>"26"</f>
        <v>26</v>
      </c>
      <c r="D8573" t="str">
        <f>"Hour of the Dawn"</f>
        <v>Hour of the Dawn</v>
      </c>
    </row>
    <row r="8574" spans="1:4" x14ac:dyDescent="0.2">
      <c r="A8574" t="str">
        <f>"8573"</f>
        <v>8573</v>
      </c>
      <c r="B8574" t="str">
        <f>"-0.15"</f>
        <v>-0.15</v>
      </c>
      <c r="C8574" t="str">
        <f>"18"</f>
        <v>18</v>
      </c>
      <c r="D8574" t="str">
        <f>"Membrane Pop"</f>
        <v>Membrane Pop</v>
      </c>
    </row>
    <row r="8575" spans="1:4" x14ac:dyDescent="0.2">
      <c r="A8575" t="str">
        <f>"8574"</f>
        <v>8574</v>
      </c>
      <c r="B8575" t="str">
        <f>"0.74"</f>
        <v>0.74</v>
      </c>
      <c r="C8575" t="str">
        <f>"22"</f>
        <v>22</v>
      </c>
      <c r="D8575" t="str">
        <f>"White Women"</f>
        <v>White Women</v>
      </c>
    </row>
    <row r="8576" spans="1:4" x14ac:dyDescent="0.2">
      <c r="A8576" t="str">
        <f>"8575"</f>
        <v>8575</v>
      </c>
      <c r="B8576" t="str">
        <f>"0.49"</f>
        <v>0.49</v>
      </c>
      <c r="C8576" t="str">
        <f>"20"</f>
        <v>20</v>
      </c>
      <c r="D8576" t="str">
        <f>"EP 1"</f>
        <v>EP 1</v>
      </c>
    </row>
    <row r="8577" spans="1:4" x14ac:dyDescent="0.2">
      <c r="A8577" t="str">
        <f>"8576"</f>
        <v>8576</v>
      </c>
      <c r="B8577" t="str">
        <f>"-0.16"</f>
        <v>-0.16</v>
      </c>
      <c r="C8577" t="str">
        <f>"29"</f>
        <v>29</v>
      </c>
      <c r="D8577" t="str">
        <f>"Yellow Memories"</f>
        <v>Yellow Memories</v>
      </c>
    </row>
    <row r="8578" spans="1:4" x14ac:dyDescent="0.2">
      <c r="A8578" t="str">
        <f>"8577"</f>
        <v>8577</v>
      </c>
      <c r="B8578" t="str">
        <f>"0.46"</f>
        <v>0.46</v>
      </c>
      <c r="C8578" t="str">
        <f>"44"</f>
        <v>44</v>
      </c>
      <c r="D8578" t="str">
        <f>"Farmer's Corner"</f>
        <v>Farmer's Corner</v>
      </c>
    </row>
    <row r="8579" spans="1:4" x14ac:dyDescent="0.2">
      <c r="A8579" t="str">
        <f>"8578"</f>
        <v>8578</v>
      </c>
      <c r="B8579" t="str">
        <f>"-1.25"</f>
        <v>-1.25</v>
      </c>
      <c r="C8579" t="str">
        <f>"33"</f>
        <v>33</v>
      </c>
      <c r="D8579" t="str">
        <f>"Desideratum"</f>
        <v>Desideratum</v>
      </c>
    </row>
    <row r="8580" spans="1:4" x14ac:dyDescent="0.2">
      <c r="A8580" t="str">
        <f>"8579"</f>
        <v>8579</v>
      </c>
      <c r="B8580" t="str">
        <f>"-0.33"</f>
        <v>-0.33</v>
      </c>
      <c r="C8580" t="str">
        <f>"40"</f>
        <v>40</v>
      </c>
      <c r="D8580" t="str">
        <f>"Turn Blue"</f>
        <v>Turn Blue</v>
      </c>
    </row>
    <row r="8581" spans="1:4" x14ac:dyDescent="0.2">
      <c r="A8581" t="str">
        <f>"8580"</f>
        <v>8580</v>
      </c>
      <c r="B8581" t="str">
        <f>"-0.12"</f>
        <v>-0.12</v>
      </c>
      <c r="C8581" t="str">
        <f>"22"</f>
        <v>22</v>
      </c>
      <c r="D8581" t="str">
        <f>"Cool Planet"</f>
        <v>Cool Planet</v>
      </c>
    </row>
    <row r="8582" spans="1:4" x14ac:dyDescent="0.2">
      <c r="A8582" t="str">
        <f>"8581"</f>
        <v>8581</v>
      </c>
      <c r="B8582" t="str">
        <f>"0.86"</f>
        <v>0.86</v>
      </c>
      <c r="C8582" t="str">
        <f>"22"</f>
        <v>22</v>
      </c>
      <c r="D8582" t="str">
        <f>"American Interior"</f>
        <v>American Interior</v>
      </c>
    </row>
    <row r="8583" spans="1:4" x14ac:dyDescent="0.2">
      <c r="A8583" t="str">
        <f>"8582"</f>
        <v>8582</v>
      </c>
      <c r="B8583" t="str">
        <f>"1"</f>
        <v>1</v>
      </c>
      <c r="C8583" t="str">
        <f>"31"</f>
        <v>31</v>
      </c>
      <c r="D8583" t="str">
        <f>"Love"</f>
        <v>Love</v>
      </c>
    </row>
    <row r="8584" spans="1:4" x14ac:dyDescent="0.2">
      <c r="A8584" t="str">
        <f>"8583"</f>
        <v>8583</v>
      </c>
      <c r="B8584" t="str">
        <f>"-1.19"</f>
        <v>-1.19</v>
      </c>
      <c r="C8584" t="str">
        <f>"34"</f>
        <v>34</v>
      </c>
      <c r="D8584" t="str">
        <f>"Death"</f>
        <v>Death</v>
      </c>
    </row>
    <row r="8585" spans="1:4" x14ac:dyDescent="0.2">
      <c r="A8585" t="str">
        <f>"8584"</f>
        <v>8584</v>
      </c>
      <c r="B8585" t="str">
        <f>"0.43"</f>
        <v>0.43</v>
      </c>
      <c r="C8585" t="str">
        <f>"45"</f>
        <v>45</v>
      </c>
      <c r="D8585" t="str">
        <f>"To Be Kind"</f>
        <v>To Be Kind</v>
      </c>
    </row>
    <row r="8586" spans="1:4" x14ac:dyDescent="0.2">
      <c r="A8586" t="str">
        <f>"8585"</f>
        <v>8585</v>
      </c>
      <c r="B8586" t="str">
        <f>"-0.16"</f>
        <v>-0.16</v>
      </c>
      <c r="C8586" t="str">
        <f>"20"</f>
        <v>20</v>
      </c>
      <c r="D8586" t="str">
        <f>"Nabuma Rubberband"</f>
        <v>Nabuma Rubberband</v>
      </c>
    </row>
    <row r="8587" spans="1:4" x14ac:dyDescent="0.2">
      <c r="A8587" t="str">
        <f>"8586"</f>
        <v>8586</v>
      </c>
      <c r="B8587" t="str">
        <f>"-0.21"</f>
        <v>-0.21</v>
      </c>
      <c r="C8587" t="str">
        <f>"33"</f>
        <v>33</v>
      </c>
      <c r="D8587" t="str">
        <f>"Changing Light"</f>
        <v>Changing Light</v>
      </c>
    </row>
    <row r="8588" spans="1:4" x14ac:dyDescent="0.2">
      <c r="A8588" t="str">
        <f>"8587"</f>
        <v>8587</v>
      </c>
      <c r="B8588" t="str">
        <f>"-0.76"</f>
        <v>-0.76</v>
      </c>
      <c r="C8588" t="str">
        <f>"24"</f>
        <v>24</v>
      </c>
      <c r="D8588" t="str">
        <f>"Bermuda Waterfall"</f>
        <v>Bermuda Waterfall</v>
      </c>
    </row>
    <row r="8589" spans="1:4" x14ac:dyDescent="0.2">
      <c r="A8589" t="str">
        <f>"8588"</f>
        <v>8588</v>
      </c>
      <c r="B8589" t="str">
        <f>"-1.06"</f>
        <v>-1.06</v>
      </c>
      <c r="C8589" t="str">
        <f>"23"</f>
        <v>23</v>
      </c>
      <c r="D8589" t="str">
        <f>"Alas Rattoisaa Virtaa"</f>
        <v>Alas Rattoisaa Virtaa</v>
      </c>
    </row>
    <row r="8590" spans="1:4" x14ac:dyDescent="0.2">
      <c r="A8590" t="str">
        <f>"8589"</f>
        <v>8589</v>
      </c>
      <c r="B8590" t="str">
        <f>"-0.28"</f>
        <v>-0.28</v>
      </c>
      <c r="C8590" t="str">
        <f>"29"</f>
        <v>29</v>
      </c>
      <c r="D8590" t="str">
        <f>"Southsiders"</f>
        <v>Southsiders</v>
      </c>
    </row>
    <row r="8591" spans="1:4" x14ac:dyDescent="0.2">
      <c r="A8591" t="str">
        <f>"8590"</f>
        <v>8590</v>
      </c>
      <c r="B8591" t="str">
        <f>"-0.42"</f>
        <v>-0.42</v>
      </c>
      <c r="C8591" t="str">
        <f>"25"</f>
        <v>25</v>
      </c>
      <c r="D8591" t="str">
        <f>"We On 1 EP"</f>
        <v>We On 1 EP</v>
      </c>
    </row>
    <row r="8592" spans="1:4" x14ac:dyDescent="0.2">
      <c r="A8592" t="str">
        <f>"8591"</f>
        <v>8591</v>
      </c>
      <c r="B8592" t="str">
        <f>"-0.82"</f>
        <v>-0.82</v>
      </c>
      <c r="C8592" t="str">
        <f>"25"</f>
        <v>25</v>
      </c>
      <c r="D8592" t="str">
        <f>"Youth Culture Forever"</f>
        <v>Youth Culture Forever</v>
      </c>
    </row>
    <row r="8593" spans="1:4" x14ac:dyDescent="0.2">
      <c r="A8593" t="str">
        <f>"8592"</f>
        <v>8592</v>
      </c>
      <c r="B8593" t="str">
        <f>"0.44"</f>
        <v>0.44</v>
      </c>
      <c r="C8593" t="str">
        <f>"25"</f>
        <v>25</v>
      </c>
      <c r="D8593" t="str">
        <f>"Best of Boiler Room Classics"</f>
        <v>Best of Boiler Room Classics</v>
      </c>
    </row>
    <row r="8594" spans="1:4" x14ac:dyDescent="0.2">
      <c r="A8594" t="str">
        <f>"8593"</f>
        <v>8593</v>
      </c>
      <c r="B8594" t="str">
        <f>"-0.92"</f>
        <v>-0.92</v>
      </c>
      <c r="C8594" t="str">
        <f>"35"</f>
        <v>35</v>
      </c>
      <c r="D8594" t="str">
        <f>"The God Complex"</f>
        <v>The God Complex</v>
      </c>
    </row>
    <row r="8595" spans="1:4" x14ac:dyDescent="0.2">
      <c r="A8595" t="str">
        <f>"8594"</f>
        <v>8594</v>
      </c>
      <c r="B8595" t="str">
        <f>"-0.62"</f>
        <v>-0.62</v>
      </c>
      <c r="C8595" t="str">
        <f>"75"</f>
        <v>75</v>
      </c>
      <c r="D8595" t="str">
        <f>"Sheezus"</f>
        <v>Sheezus</v>
      </c>
    </row>
    <row r="8596" spans="1:4" x14ac:dyDescent="0.2">
      <c r="A8596" t="str">
        <f>"8595"</f>
        <v>8595</v>
      </c>
      <c r="B8596" t="str">
        <f>"0.35"</f>
        <v>0.35</v>
      </c>
      <c r="C8596" t="str">
        <f>"26"</f>
        <v>26</v>
      </c>
      <c r="D8596" t="str">
        <f>"TANHÂ"</f>
        <v>TANHÂ</v>
      </c>
    </row>
    <row r="8597" spans="1:4" x14ac:dyDescent="0.2">
      <c r="A8597" t="str">
        <f>"8596"</f>
        <v>8596</v>
      </c>
      <c r="B8597" t="str">
        <f>"0.06"</f>
        <v>0.06</v>
      </c>
      <c r="C8597" t="str">
        <f>"26"</f>
        <v>26</v>
      </c>
      <c r="D8597" t="str">
        <f>"Product of Industry"</f>
        <v>Product of Industry</v>
      </c>
    </row>
    <row r="8598" spans="1:4" x14ac:dyDescent="0.2">
      <c r="A8598" t="str">
        <f>"8597"</f>
        <v>8597</v>
      </c>
      <c r="B8598" t="str">
        <f>"0.58"</f>
        <v>0.58</v>
      </c>
      <c r="C8598" t="str">
        <f>"38"</f>
        <v>38</v>
      </c>
      <c r="D8598" t="str">
        <f>"In the Hollows"</f>
        <v>In the Hollows</v>
      </c>
    </row>
    <row r="8599" spans="1:4" x14ac:dyDescent="0.2">
      <c r="A8599" t="str">
        <f>"8598"</f>
        <v>8598</v>
      </c>
      <c r="B8599" t="str">
        <f>"-0.88"</f>
        <v>-0.88</v>
      </c>
      <c r="C8599" t="str">
        <f>"41"</f>
        <v>41</v>
      </c>
      <c r="D8599" t="str">
        <f>"Divide and Exit"</f>
        <v>Divide and Exit</v>
      </c>
    </row>
    <row r="8600" spans="1:4" x14ac:dyDescent="0.2">
      <c r="A8600" t="str">
        <f>"8599"</f>
        <v>8599</v>
      </c>
      <c r="B8600" t="str">
        <f>"-1.22"</f>
        <v>-1.22</v>
      </c>
      <c r="C8600" t="str">
        <f>"27"</f>
        <v>27</v>
      </c>
      <c r="D8600" t="str">
        <f>"Ocean Death EP"</f>
        <v>Ocean Death EP</v>
      </c>
    </row>
    <row r="8601" spans="1:4" x14ac:dyDescent="0.2">
      <c r="A8601" t="str">
        <f>"8600"</f>
        <v>8600</v>
      </c>
      <c r="B8601" t="str">
        <f>"-0.53"</f>
        <v>-0.53</v>
      </c>
      <c r="C8601" t="str">
        <f>"24"</f>
        <v>24</v>
      </c>
      <c r="D8601" t="str">
        <f>"Asiatisch"</f>
        <v>Asiatisch</v>
      </c>
    </row>
    <row r="8602" spans="1:4" x14ac:dyDescent="0.2">
      <c r="A8602" t="str">
        <f>"8601"</f>
        <v>8601</v>
      </c>
      <c r="B8602" t="str">
        <f>"-1.49"</f>
        <v>-1.49</v>
      </c>
      <c r="C8602" t="str">
        <f>"27"</f>
        <v>27</v>
      </c>
      <c r="D8602" t="str">
        <f>"II"</f>
        <v>II</v>
      </c>
    </row>
    <row r="8603" spans="1:4" x14ac:dyDescent="0.2">
      <c r="A8603" t="str">
        <f>"8602"</f>
        <v>8602</v>
      </c>
      <c r="B8603" t="str">
        <f>"1.2"</f>
        <v>1.2</v>
      </c>
      <c r="C8603" t="str">
        <f>"19"</f>
        <v>19</v>
      </c>
      <c r="D8603" t="str">
        <f>"Amber's Stuff"</f>
        <v>Amber's Stuff</v>
      </c>
    </row>
    <row r="8604" spans="1:4" x14ac:dyDescent="0.2">
      <c r="A8604" t="str">
        <f>"8603"</f>
        <v>8603</v>
      </c>
      <c r="B8604" t="str">
        <f>"-0.49"</f>
        <v>-0.49</v>
      </c>
      <c r="C8604" t="str">
        <f>"36"</f>
        <v>36</v>
      </c>
      <c r="D8604" t="str">
        <f>"Histrionic"</f>
        <v>Histrionic</v>
      </c>
    </row>
    <row r="8605" spans="1:4" x14ac:dyDescent="0.2">
      <c r="A8605" t="str">
        <f>"8604"</f>
        <v>8604</v>
      </c>
      <c r="B8605" t="str">
        <f>"-0.03"</f>
        <v>-0.03</v>
      </c>
      <c r="C8605" t="str">
        <f>"36"</f>
        <v>36</v>
      </c>
      <c r="D8605" t="str">
        <f>"Nikki Nack"</f>
        <v>Nikki Nack</v>
      </c>
    </row>
    <row r="8606" spans="1:4" x14ac:dyDescent="0.2">
      <c r="A8606" t="str">
        <f>"8605"</f>
        <v>8605</v>
      </c>
      <c r="B8606" t="str">
        <f>"-0.87"</f>
        <v>-0.87</v>
      </c>
      <c r="C8606" t="str">
        <f>"33"</f>
        <v>33</v>
      </c>
      <c r="D8606" t="str">
        <f>"Luminous"</f>
        <v>Luminous</v>
      </c>
    </row>
    <row r="8607" spans="1:4" x14ac:dyDescent="0.2">
      <c r="A8607" t="str">
        <f>"8606"</f>
        <v>8606</v>
      </c>
      <c r="B8607" t="str">
        <f>"0.23"</f>
        <v>0.23</v>
      </c>
      <c r="C8607" t="str">
        <f>"31"</f>
        <v>31</v>
      </c>
      <c r="D8607" t="str">
        <f>"Heavy Hearted in Doldrums"</f>
        <v>Heavy Hearted in Doldrums</v>
      </c>
    </row>
    <row r="8608" spans="1:4" x14ac:dyDescent="0.2">
      <c r="A8608" t="str">
        <f>"8607"</f>
        <v>8607</v>
      </c>
      <c r="B8608" t="str">
        <f>"1.37"</f>
        <v>1.37</v>
      </c>
      <c r="C8608" t="str">
        <f>"22"</f>
        <v>22</v>
      </c>
      <c r="D8608" t="str">
        <f>"Breathing Statues"</f>
        <v>Breathing Statues</v>
      </c>
    </row>
    <row r="8609" spans="1:4" x14ac:dyDescent="0.2">
      <c r="A8609" t="str">
        <f>"8608"</f>
        <v>8608</v>
      </c>
      <c r="B8609" t="str">
        <f>"-1.11"</f>
        <v>-1.11</v>
      </c>
      <c r="C8609" t="str">
        <f>"34"</f>
        <v>34</v>
      </c>
      <c r="D8609" t="str">
        <f>"Postsocial"</f>
        <v>Postsocial</v>
      </c>
    </row>
    <row r="8610" spans="1:4" x14ac:dyDescent="0.2">
      <c r="A8610" t="str">
        <f>"8609"</f>
        <v>8609</v>
      </c>
      <c r="B8610" t="str">
        <f>"-0.75"</f>
        <v>-0.75</v>
      </c>
      <c r="C8610" t="str">
        <f>"36"</f>
        <v>36</v>
      </c>
      <c r="D8610" t="str">
        <f>"I Never Learn"</f>
        <v>I Never Learn</v>
      </c>
    </row>
    <row r="8611" spans="1:4" x14ac:dyDescent="0.2">
      <c r="A8611" t="str">
        <f>"8610"</f>
        <v>8610</v>
      </c>
      <c r="B8611" t="str">
        <f>"-0.21"</f>
        <v>-0.21</v>
      </c>
      <c r="C8611" t="str">
        <f>"33"</f>
        <v>33</v>
      </c>
      <c r="D8611" t="str">
        <f>"Someday World"</f>
        <v>Someday World</v>
      </c>
    </row>
    <row r="8612" spans="1:4" x14ac:dyDescent="0.2">
      <c r="A8612" t="str">
        <f>"8611"</f>
        <v>8611</v>
      </c>
      <c r="B8612" t="str">
        <f>"0.45"</f>
        <v>0.45</v>
      </c>
      <c r="C8612" t="str">
        <f>"18"</f>
        <v>18</v>
      </c>
      <c r="D8612" t="str">
        <f>"Artificial Sweeteners"</f>
        <v>Artificial Sweeteners</v>
      </c>
    </row>
    <row r="8613" spans="1:4" x14ac:dyDescent="0.2">
      <c r="A8613" t="str">
        <f>"8612"</f>
        <v>8612</v>
      </c>
      <c r="B8613" t="str">
        <f>"0.6"</f>
        <v>0.6</v>
      </c>
      <c r="C8613" t="str">
        <f>"21"</f>
        <v>21</v>
      </c>
      <c r="D8613" t="str">
        <f>"Life Among the Savages"</f>
        <v>Life Among the Savages</v>
      </c>
    </row>
    <row r="8614" spans="1:4" x14ac:dyDescent="0.2">
      <c r="A8614" t="str">
        <f>"8613"</f>
        <v>8613</v>
      </c>
      <c r="B8614" t="str">
        <f>"0.37"</f>
        <v>0.37</v>
      </c>
      <c r="C8614" t="str">
        <f>"49"</f>
        <v>49</v>
      </c>
      <c r="D8614" t="str">
        <f>"Attica!"</f>
        <v>Attica!</v>
      </c>
    </row>
    <row r="8615" spans="1:4" x14ac:dyDescent="0.2">
      <c r="A8615" t="str">
        <f>"8614"</f>
        <v>8614</v>
      </c>
      <c r="B8615" t="str">
        <f>"0.21"</f>
        <v>0.21</v>
      </c>
      <c r="C8615" t="str">
        <f>"49"</f>
        <v>49</v>
      </c>
      <c r="D8615" t="str">
        <f>"A Letter Home"</f>
        <v>A Letter Home</v>
      </c>
    </row>
    <row r="8616" spans="1:4" x14ac:dyDescent="0.2">
      <c r="A8616" t="str">
        <f>"8615"</f>
        <v>8615</v>
      </c>
      <c r="B8616" t="str">
        <f>"0.56"</f>
        <v>0.56</v>
      </c>
      <c r="C8616" t="str">
        <f>"37"</f>
        <v>37</v>
      </c>
      <c r="D8616" t="str">
        <f>"Shrink Dust"</f>
        <v>Shrink Dust</v>
      </c>
    </row>
    <row r="8617" spans="1:4" x14ac:dyDescent="0.2">
      <c r="A8617" t="str">
        <f>"8616"</f>
        <v>8616</v>
      </c>
      <c r="B8617" t="str">
        <f>"0.32"</f>
        <v>0.32</v>
      </c>
      <c r="C8617" t="str">
        <f>"37"</f>
        <v>37</v>
      </c>
      <c r="D8617" t="str">
        <f>"Libertine"</f>
        <v>Libertine</v>
      </c>
    </row>
    <row r="8618" spans="1:4" x14ac:dyDescent="0.2">
      <c r="A8618" t="str">
        <f>"8617"</f>
        <v>8617</v>
      </c>
      <c r="B8618" t="str">
        <f>"-0.82"</f>
        <v>-0.82</v>
      </c>
      <c r="C8618" t="str">
        <f>"26"</f>
        <v>26</v>
      </c>
      <c r="D8618" t="str">
        <f>"Threat To Creation"</f>
        <v>Threat To Creation</v>
      </c>
    </row>
    <row r="8619" spans="1:4" x14ac:dyDescent="0.2">
      <c r="A8619" t="str">
        <f>"8618"</f>
        <v>8618</v>
      </c>
      <c r="B8619" t="str">
        <f>"-0.44"</f>
        <v>-0.44</v>
      </c>
      <c r="C8619" t="str">
        <f>"25"</f>
        <v>25</v>
      </c>
      <c r="D8619" t="str">
        <f>"Waiting for Surfin’ Bird"</f>
        <v>Waiting for Surfin’ Bird</v>
      </c>
    </row>
    <row r="8620" spans="1:4" x14ac:dyDescent="0.2">
      <c r="A8620" t="str">
        <f>"8619"</f>
        <v>8619</v>
      </c>
      <c r="B8620" t="str">
        <f>"0.83"</f>
        <v>0.83</v>
      </c>
      <c r="C8620" t="str">
        <f>"22"</f>
        <v>22</v>
      </c>
      <c r="D8620" t="str">
        <f>"Arcadia"</f>
        <v>Arcadia</v>
      </c>
    </row>
    <row r="8621" spans="1:4" x14ac:dyDescent="0.2">
      <c r="A8621" t="str">
        <f>"8620"</f>
        <v>8620</v>
      </c>
      <c r="B8621" t="str">
        <f>"-0.1"</f>
        <v>-0.1</v>
      </c>
      <c r="C8621" t="str">
        <f>"34"</f>
        <v>34</v>
      </c>
      <c r="D8621" t="str">
        <f>"Nightclubbing"</f>
        <v>Nightclubbing</v>
      </c>
    </row>
    <row r="8622" spans="1:4" x14ac:dyDescent="0.2">
      <c r="A8622" t="str">
        <f>"8621"</f>
        <v>8621</v>
      </c>
      <c r="B8622" t="str">
        <f>"-1.38"</f>
        <v>-1.38</v>
      </c>
      <c r="C8622" t="str">
        <f>"21"</f>
        <v>21</v>
      </c>
      <c r="D8622" t="str">
        <f>"That's Harakiri"</f>
        <v>That's Harakiri</v>
      </c>
    </row>
    <row r="8623" spans="1:4" x14ac:dyDescent="0.2">
      <c r="A8623" t="str">
        <f>"8622"</f>
        <v>8622</v>
      </c>
      <c r="B8623" t="str">
        <f>"0.55"</f>
        <v>0.55</v>
      </c>
      <c r="C8623" t="str">
        <f>"27"</f>
        <v>27</v>
      </c>
      <c r="D8623" t="str">
        <f>"Lost Colony"</f>
        <v>Lost Colony</v>
      </c>
    </row>
    <row r="8624" spans="1:4" x14ac:dyDescent="0.2">
      <c r="A8624" t="str">
        <f>"8623"</f>
        <v>8623</v>
      </c>
      <c r="B8624" t="str">
        <f>"-0.22"</f>
        <v>-0.22</v>
      </c>
      <c r="C8624" t="str">
        <f>"47"</f>
        <v>47</v>
      </c>
      <c r="D8624" t="str">
        <f>"Refractory Obdurate"</f>
        <v>Refractory Obdurate</v>
      </c>
    </row>
    <row r="8625" spans="1:4" x14ac:dyDescent="0.2">
      <c r="A8625" t="str">
        <f>"8624"</f>
        <v>8624</v>
      </c>
      <c r="B8625" t="str">
        <f>"0.44"</f>
        <v>0.44</v>
      </c>
      <c r="C8625" t="str">
        <f>"23"</f>
        <v>23</v>
      </c>
      <c r="D8625" t="str">
        <f>"Food"</f>
        <v>Food</v>
      </c>
    </row>
    <row r="8626" spans="1:4" x14ac:dyDescent="0.2">
      <c r="A8626" t="str">
        <f>"8625"</f>
        <v>8625</v>
      </c>
      <c r="B8626" t="str">
        <f>"0.61"</f>
        <v>0.61</v>
      </c>
      <c r="C8626" t="str">
        <f>"32"</f>
        <v>32</v>
      </c>
      <c r="D8626" t="str">
        <f>"Bécs"</f>
        <v>Bécs</v>
      </c>
    </row>
    <row r="8627" spans="1:4" x14ac:dyDescent="0.2">
      <c r="A8627" t="str">
        <f>"8626"</f>
        <v>8626</v>
      </c>
      <c r="B8627" t="str">
        <f>"0.01"</f>
        <v>0.01</v>
      </c>
      <c r="C8627" t="str">
        <f>"33"</f>
        <v>33</v>
      </c>
      <c r="D8627" t="str">
        <f>"Get Back"</f>
        <v>Get Back</v>
      </c>
    </row>
    <row r="8628" spans="1:4" x14ac:dyDescent="0.2">
      <c r="A8628" t="str">
        <f>"8627"</f>
        <v>8627</v>
      </c>
      <c r="B8628" t="str">
        <f>"1.14"</f>
        <v>1.14</v>
      </c>
      <c r="C8628" t="str">
        <f>"27"</f>
        <v>27</v>
      </c>
      <c r="D8628" t="str">
        <f>"Prins Thomas III"</f>
        <v>Prins Thomas III</v>
      </c>
    </row>
    <row r="8629" spans="1:4" x14ac:dyDescent="0.2">
      <c r="A8629" t="str">
        <f>"8628"</f>
        <v>8628</v>
      </c>
      <c r="B8629" t="str">
        <f>"-0.13"</f>
        <v>-0.13</v>
      </c>
      <c r="C8629" t="str">
        <f>"31"</f>
        <v>31</v>
      </c>
      <c r="D8629" t="str">
        <f>"Loose Power"</f>
        <v>Loose Power</v>
      </c>
    </row>
    <row r="8630" spans="1:4" x14ac:dyDescent="0.2">
      <c r="A8630" t="str">
        <f>"8629"</f>
        <v>8629</v>
      </c>
      <c r="B8630" t="str">
        <f>"-0.29"</f>
        <v>-0.29</v>
      </c>
      <c r="C8630" t="str">
        <f>"33"</f>
        <v>33</v>
      </c>
      <c r="D8630" t="str">
        <f>"More Than Any Other Day"</f>
        <v>More Than Any Other Day</v>
      </c>
    </row>
    <row r="8631" spans="1:4" x14ac:dyDescent="0.2">
      <c r="A8631" t="str">
        <f>"8630"</f>
        <v>8630</v>
      </c>
      <c r="B8631" t="str">
        <f>"0.03"</f>
        <v>0.03</v>
      </c>
      <c r="C8631" t="str">
        <f>"23"</f>
        <v>23</v>
      </c>
      <c r="D8631" t="str">
        <f>"Southern Skies EP"</f>
        <v>Southern Skies EP</v>
      </c>
    </row>
    <row r="8632" spans="1:4" x14ac:dyDescent="0.2">
      <c r="A8632" t="str">
        <f>"8631"</f>
        <v>8631</v>
      </c>
      <c r="B8632" t="str">
        <f>"1.18"</f>
        <v>1.18</v>
      </c>
      <c r="C8632" t="str">
        <f>"33"</f>
        <v>33</v>
      </c>
      <c r="D8632" t="str">
        <f>"Flashbacks and Dream Sequences: The Story of the Moles"</f>
        <v>Flashbacks and Dream Sequences: The Story of the Moles</v>
      </c>
    </row>
    <row r="8633" spans="1:4" x14ac:dyDescent="0.2">
      <c r="A8633" t="str">
        <f>"8632"</f>
        <v>8632</v>
      </c>
      <c r="B8633" t="str">
        <f>"-0.43"</f>
        <v>-0.43</v>
      </c>
      <c r="C8633" t="str">
        <f>"35"</f>
        <v>35</v>
      </c>
      <c r="D8633" t="str">
        <f>"Midnight Passenger"</f>
        <v>Midnight Passenger</v>
      </c>
    </row>
    <row r="8634" spans="1:4" x14ac:dyDescent="0.2">
      <c r="A8634" t="str">
        <f>"8633"</f>
        <v>8633</v>
      </c>
      <c r="B8634" t="str">
        <f>"0.43"</f>
        <v>0.43</v>
      </c>
      <c r="C8634" t="str">
        <f>"26"</f>
        <v>26</v>
      </c>
      <c r="D8634" t="str">
        <f>"The Honeymoon Workbook"</f>
        <v>The Honeymoon Workbook</v>
      </c>
    </row>
    <row r="8635" spans="1:4" x14ac:dyDescent="0.2">
      <c r="A8635" t="str">
        <f>"8634"</f>
        <v>8634</v>
      </c>
      <c r="B8635" t="str">
        <f>"-0.28"</f>
        <v>-0.28</v>
      </c>
      <c r="C8635" t="str">
        <f>"35"</f>
        <v>35</v>
      </c>
      <c r="D8635" t="str">
        <f>"Everyday Robots"</f>
        <v>Everyday Robots</v>
      </c>
    </row>
    <row r="8636" spans="1:4" x14ac:dyDescent="0.2">
      <c r="A8636" t="str">
        <f>"8635"</f>
        <v>8635</v>
      </c>
      <c r="B8636" t="str">
        <f>"0.71"</f>
        <v>0.71</v>
      </c>
      <c r="C8636" t="str">
        <f>"30"</f>
        <v>30</v>
      </c>
      <c r="D8636" t="str">
        <f>"Shriek"</f>
        <v>Shriek</v>
      </c>
    </row>
    <row r="8637" spans="1:4" x14ac:dyDescent="0.2">
      <c r="A8637" t="str">
        <f>"8636"</f>
        <v>8636</v>
      </c>
      <c r="B8637" t="str">
        <f>"-0.9"</f>
        <v>-0.9</v>
      </c>
      <c r="C8637" t="str">
        <f>"24"</f>
        <v>24</v>
      </c>
      <c r="D8637" t="str">
        <f>"Край (Krai)"</f>
        <v>Край (Krai)</v>
      </c>
    </row>
    <row r="8638" spans="1:4" x14ac:dyDescent="0.2">
      <c r="A8638" t="str">
        <f>"8637"</f>
        <v>8637</v>
      </c>
      <c r="B8638" t="str">
        <f>"0.25"</f>
        <v>0.25</v>
      </c>
      <c r="C8638" t="str">
        <f>"25"</f>
        <v>25</v>
      </c>
      <c r="D8638" t="str">
        <f>"Melancholia"</f>
        <v>Melancholia</v>
      </c>
    </row>
    <row r="8639" spans="1:4" x14ac:dyDescent="0.2">
      <c r="A8639" t="str">
        <f>"8638"</f>
        <v>8638</v>
      </c>
      <c r="B8639" t="str">
        <f>"0.45"</f>
        <v>0.45</v>
      </c>
      <c r="C8639" t="str">
        <f>"24"</f>
        <v>24</v>
      </c>
      <c r="D8639" t="str">
        <f>"Phantom Vibrate EP"</f>
        <v>Phantom Vibrate EP</v>
      </c>
    </row>
    <row r="8640" spans="1:4" x14ac:dyDescent="0.2">
      <c r="A8640" t="str">
        <f>"8639"</f>
        <v>8639</v>
      </c>
      <c r="B8640" t="str">
        <f>"-0.32"</f>
        <v>-0.32</v>
      </c>
      <c r="C8640" t="str">
        <f>"108"</f>
        <v>108</v>
      </c>
      <c r="D8640" t="str">
        <f>"Come on Pilgrim"</f>
        <v>Come on Pilgrim</v>
      </c>
    </row>
    <row r="8641" spans="1:4" x14ac:dyDescent="0.2">
      <c r="A8641" t="str">
        <f>"8640"</f>
        <v>8640</v>
      </c>
      <c r="B8641" t="str">
        <f>"0.53"</f>
        <v>0.53</v>
      </c>
      <c r="C8641" t="str">
        <f>"37"</f>
        <v>37</v>
      </c>
      <c r="D8641" t="str">
        <f>"Hang On to Each Other EP"</f>
        <v>Hang On to Each Other EP</v>
      </c>
    </row>
    <row r="8642" spans="1:4" x14ac:dyDescent="0.2">
      <c r="A8642" t="str">
        <f>"8641"</f>
        <v>8641</v>
      </c>
      <c r="B8642" t="str">
        <f>"-0.8"</f>
        <v>-0.8</v>
      </c>
      <c r="C8642" t="str">
        <f>"21"</f>
        <v>21</v>
      </c>
      <c r="D8642" t="str">
        <f>"Young Thugga Mane La Flare"</f>
        <v>Young Thugga Mane La Flare</v>
      </c>
    </row>
    <row r="8643" spans="1:4" x14ac:dyDescent="0.2">
      <c r="A8643" t="str">
        <f>"8642"</f>
        <v>8642</v>
      </c>
      <c r="B8643" t="str">
        <f>"0.23"</f>
        <v>0.23</v>
      </c>
      <c r="C8643" t="str">
        <f>"24"</f>
        <v>24</v>
      </c>
      <c r="D8643" t="str">
        <f>"Alien"</f>
        <v>Alien</v>
      </c>
    </row>
    <row r="8644" spans="1:4" x14ac:dyDescent="0.2">
      <c r="A8644" t="str">
        <f>"8643"</f>
        <v>8643</v>
      </c>
      <c r="B8644" t="str">
        <f>"-0.02"</f>
        <v>-0.02</v>
      </c>
      <c r="C8644" t="str">
        <f>"27"</f>
        <v>27</v>
      </c>
      <c r="D8644" t="str">
        <f>"Love Apparatus"</f>
        <v>Love Apparatus</v>
      </c>
    </row>
    <row r="8645" spans="1:4" x14ac:dyDescent="0.2">
      <c r="A8645" t="str">
        <f>"8644"</f>
        <v>8644</v>
      </c>
      <c r="B8645" t="str">
        <f>"0.1"</f>
        <v>0.1</v>
      </c>
      <c r="C8645" t="str">
        <f>"22"</f>
        <v>22</v>
      </c>
      <c r="D8645" t="str">
        <f>"Drop"</f>
        <v>Drop</v>
      </c>
    </row>
    <row r="8646" spans="1:4" x14ac:dyDescent="0.2">
      <c r="A8646" t="str">
        <f>"8645"</f>
        <v>8645</v>
      </c>
      <c r="B8646" t="str">
        <f>"-0.24"</f>
        <v>-0.24</v>
      </c>
      <c r="C8646" t="str">
        <f>"39"</f>
        <v>39</v>
      </c>
      <c r="D8646" t="str">
        <f>"Flemish Altruism"</f>
        <v>Flemish Altruism</v>
      </c>
    </row>
    <row r="8647" spans="1:4" x14ac:dyDescent="0.2">
      <c r="A8647" t="str">
        <f>"8646"</f>
        <v>8646</v>
      </c>
      <c r="B8647" t="str">
        <f>"-0.93"</f>
        <v>-0.93</v>
      </c>
      <c r="C8647" t="str">
        <f>"40"</f>
        <v>40</v>
      </c>
      <c r="D8647" t="str">
        <f>"Who Would Ever Want Anything So Broken? EP"</f>
        <v>Who Would Ever Want Anything So Broken? EP</v>
      </c>
    </row>
    <row r="8648" spans="1:4" x14ac:dyDescent="0.2">
      <c r="A8648" t="str">
        <f>"8647"</f>
        <v>8647</v>
      </c>
      <c r="B8648" t="str">
        <f>"-0.15"</f>
        <v>-0.15</v>
      </c>
      <c r="C8648" t="str">
        <f>"37"</f>
        <v>37</v>
      </c>
      <c r="D8648" t="str">
        <f>"Nordraum"</f>
        <v>Nordraum</v>
      </c>
    </row>
    <row r="8649" spans="1:4" x14ac:dyDescent="0.2">
      <c r="A8649" t="str">
        <f>"8648"</f>
        <v>8648</v>
      </c>
      <c r="B8649" t="str">
        <f>"-0.08"</f>
        <v>-0.08</v>
      </c>
      <c r="C8649" t="str">
        <f>"16"</f>
        <v>16</v>
      </c>
      <c r="D8649" t="str">
        <f>"Doss EP"</f>
        <v>Doss EP</v>
      </c>
    </row>
    <row r="8650" spans="1:4" x14ac:dyDescent="0.2">
      <c r="A8650" t="str">
        <f>"8649"</f>
        <v>8649</v>
      </c>
      <c r="B8650" t="str">
        <f>"0.14"</f>
        <v>0.14</v>
      </c>
      <c r="C8650" t="str">
        <f>"51"</f>
        <v>51</v>
      </c>
      <c r="D8650" t="str">
        <f>"Journey On: Collected Singles"</f>
        <v>Journey On: Collected Singles</v>
      </c>
    </row>
    <row r="8651" spans="1:4" x14ac:dyDescent="0.2">
      <c r="A8651" t="str">
        <f>"8650"</f>
        <v>8650</v>
      </c>
      <c r="B8651" t="str">
        <f>"-0.76"</f>
        <v>-0.76</v>
      </c>
      <c r="C8651" t="str">
        <f>"27"</f>
        <v>27</v>
      </c>
      <c r="D8651" t="str">
        <f>"P.T.S.D. (Post Traumatic Stress Disorder)"</f>
        <v>P.T.S.D. (Post Traumatic Stress Disorder)</v>
      </c>
    </row>
    <row r="8652" spans="1:4" x14ac:dyDescent="0.2">
      <c r="A8652" t="str">
        <f>"8651"</f>
        <v>8651</v>
      </c>
      <c r="B8652" t="str">
        <f>"-1.38"</f>
        <v>-1.38</v>
      </c>
      <c r="C8652" t="str">
        <f>"30"</f>
        <v>30</v>
      </c>
      <c r="D8652" t="str">
        <f>"Ashes to Ashes"</f>
        <v>Ashes to Ashes</v>
      </c>
    </row>
    <row r="8653" spans="1:4" x14ac:dyDescent="0.2">
      <c r="A8653" t="str">
        <f>"8652"</f>
        <v>8652</v>
      </c>
      <c r="B8653" t="str">
        <f>"0.2"</f>
        <v>0.2</v>
      </c>
      <c r="C8653" t="str">
        <f>"20"</f>
        <v>20</v>
      </c>
      <c r="D8653" t="str">
        <f>"Weird Drift"</f>
        <v>Weird Drift</v>
      </c>
    </row>
    <row r="8654" spans="1:4" x14ac:dyDescent="0.2">
      <c r="A8654" t="str">
        <f>"8653"</f>
        <v>8653</v>
      </c>
      <c r="B8654" t="str">
        <f>"0.58"</f>
        <v>0.58</v>
      </c>
      <c r="C8654" t="str">
        <f>"24"</f>
        <v>24</v>
      </c>
      <c r="D8654" t="str">
        <f>"Boring Ecstasy: The Bedroom Pop of Orchid Tapes"</f>
        <v>Boring Ecstasy: The Bedroom Pop of Orchid Tapes</v>
      </c>
    </row>
    <row r="8655" spans="1:4" x14ac:dyDescent="0.2">
      <c r="A8655" t="str">
        <f>"8654"</f>
        <v>8654</v>
      </c>
      <c r="B8655" t="str">
        <f>"-0.31"</f>
        <v>-0.31</v>
      </c>
      <c r="C8655" t="str">
        <f>"38"</f>
        <v>38</v>
      </c>
      <c r="D8655" t="str">
        <f>"Honest"</f>
        <v>Honest</v>
      </c>
    </row>
    <row r="8656" spans="1:4" x14ac:dyDescent="0.2">
      <c r="A8656" t="str">
        <f>"8655"</f>
        <v>8655</v>
      </c>
      <c r="B8656" t="str">
        <f>"1.44"</f>
        <v>1.44</v>
      </c>
      <c r="C8656" t="str">
        <f>"35"</f>
        <v>35</v>
      </c>
      <c r="D8656" t="str">
        <f>"The Air Is on Fire"</f>
        <v>The Air Is on Fire</v>
      </c>
    </row>
    <row r="8657" spans="1:4" x14ac:dyDescent="0.2">
      <c r="A8657" t="str">
        <f>"8656"</f>
        <v>8656</v>
      </c>
      <c r="B8657" t="str">
        <f>"-0.78"</f>
        <v>-0.78</v>
      </c>
      <c r="C8657" t="str">
        <f>"25"</f>
        <v>25</v>
      </c>
      <c r="D8657" t="str">
        <f>"Loom"</f>
        <v>Loom</v>
      </c>
    </row>
    <row r="8658" spans="1:4" x14ac:dyDescent="0.2">
      <c r="A8658" t="str">
        <f>"8657"</f>
        <v>8657</v>
      </c>
      <c r="B8658" t="str">
        <f>"0.43"</f>
        <v>0.43</v>
      </c>
      <c r="C8658" t="str">
        <f>"24"</f>
        <v>24</v>
      </c>
      <c r="D8658" t="str">
        <f>"Death III"</f>
        <v>Death III</v>
      </c>
    </row>
    <row r="8659" spans="1:4" x14ac:dyDescent="0.2">
      <c r="A8659" t="str">
        <f>"8658"</f>
        <v>8658</v>
      </c>
      <c r="B8659" t="str">
        <f>"-0.1"</f>
        <v>-0.1</v>
      </c>
      <c r="C8659" t="str">
        <f>"27"</f>
        <v>27</v>
      </c>
      <c r="D8659" t="str">
        <f>"Patterns EP"</f>
        <v>Patterns EP</v>
      </c>
    </row>
    <row r="8660" spans="1:4" x14ac:dyDescent="0.2">
      <c r="A8660" t="str">
        <f>"8659"</f>
        <v>8659</v>
      </c>
      <c r="B8660" t="str">
        <f>"-0.38"</f>
        <v>-0.38</v>
      </c>
      <c r="C8660" t="str">
        <f>"50"</f>
        <v>50</v>
      </c>
      <c r="D8660" t="str">
        <f>"The Long Goodbye: LCD Soundsystem Live at Madison Square Garden"</f>
        <v>The Long Goodbye: LCD Soundsystem Live at Madison Square Garden</v>
      </c>
    </row>
    <row r="8661" spans="1:4" x14ac:dyDescent="0.2">
      <c r="A8661" t="str">
        <f>"8660"</f>
        <v>8660</v>
      </c>
      <c r="B8661" t="str">
        <f>"0.06"</f>
        <v>0.06</v>
      </c>
      <c r="C8661" t="str">
        <f>"25"</f>
        <v>25</v>
      </c>
      <c r="D8661" t="str">
        <f>"Space Project"</f>
        <v>Space Project</v>
      </c>
    </row>
    <row r="8662" spans="1:4" x14ac:dyDescent="0.2">
      <c r="A8662" t="str">
        <f>"8661"</f>
        <v>8661</v>
      </c>
      <c r="B8662" t="str">
        <f>"0.22"</f>
        <v>0.22</v>
      </c>
      <c r="C8662" t="str">
        <f>"27"</f>
        <v>27</v>
      </c>
      <c r="D8662" t="str">
        <f>"Word O.K."</f>
        <v>Word O.K.</v>
      </c>
    </row>
    <row r="8663" spans="1:4" x14ac:dyDescent="0.2">
      <c r="A8663" t="str">
        <f>"8662"</f>
        <v>8662</v>
      </c>
      <c r="B8663" t="str">
        <f>"0.39"</f>
        <v>0.39</v>
      </c>
      <c r="C8663" t="str">
        <f>"51"</f>
        <v>51</v>
      </c>
      <c r="D8663" t="str">
        <f>"Oblation"</f>
        <v>Oblation</v>
      </c>
    </row>
    <row r="8664" spans="1:4" x14ac:dyDescent="0.2">
      <c r="A8664" t="str">
        <f>"8663"</f>
        <v>8663</v>
      </c>
      <c r="B8664" t="str">
        <f>"0.55"</f>
        <v>0.55</v>
      </c>
      <c r="C8664" t="str">
        <f>"22"</f>
        <v>22</v>
      </c>
      <c r="D8664" t="str">
        <f>"The Way &amp; The Color"</f>
        <v>The Way &amp; The Color</v>
      </c>
    </row>
    <row r="8665" spans="1:4" x14ac:dyDescent="0.2">
      <c r="A8665" t="str">
        <f>"8664"</f>
        <v>8664</v>
      </c>
      <c r="B8665" t="str">
        <f>"0.43"</f>
        <v>0.43</v>
      </c>
      <c r="C8665" t="str">
        <f>"66"</f>
        <v>66</v>
      </c>
      <c r="D8665" t="str">
        <f>"Any Other City"</f>
        <v>Any Other City</v>
      </c>
    </row>
    <row r="8666" spans="1:4" x14ac:dyDescent="0.2">
      <c r="A8666" t="str">
        <f>"8665"</f>
        <v>8665</v>
      </c>
      <c r="B8666" t="str">
        <f>"0.14"</f>
        <v>0.14</v>
      </c>
      <c r="C8666" t="str">
        <f>"26"</f>
        <v>26</v>
      </c>
      <c r="D8666" t="str">
        <f>"Live at Le Poisson Rouge"</f>
        <v>Live at Le Poisson Rouge</v>
      </c>
    </row>
    <row r="8667" spans="1:4" x14ac:dyDescent="0.2">
      <c r="A8667" t="str">
        <f>"8666"</f>
        <v>8666</v>
      </c>
      <c r="B8667" t="str">
        <f>"-0.42"</f>
        <v>-0.42</v>
      </c>
      <c r="C8667" t="str">
        <f>"25"</f>
        <v>25</v>
      </c>
      <c r="D8667" t="str">
        <f>"Z"</f>
        <v>Z</v>
      </c>
    </row>
    <row r="8668" spans="1:4" x14ac:dyDescent="0.2">
      <c r="A8668" t="str">
        <f>"8667"</f>
        <v>8667</v>
      </c>
      <c r="B8668" t="str">
        <f>"1.02"</f>
        <v>1.02</v>
      </c>
      <c r="C8668" t="str">
        <f>"28"</f>
        <v>28</v>
      </c>
      <c r="D8668" t="str">
        <f>"Yahoo or the Highway"</f>
        <v>Yahoo or the Highway</v>
      </c>
    </row>
    <row r="8669" spans="1:4" x14ac:dyDescent="0.2">
      <c r="A8669" t="str">
        <f>"8668"</f>
        <v>8668</v>
      </c>
      <c r="B8669" t="str">
        <f>"0.98"</f>
        <v>0.98</v>
      </c>
      <c r="C8669" t="str">
        <f>"27"</f>
        <v>27</v>
      </c>
      <c r="D8669" t="str">
        <f>"Free To Eat"</f>
        <v>Free To Eat</v>
      </c>
    </row>
    <row r="8670" spans="1:4" x14ac:dyDescent="0.2">
      <c r="A8670" t="str">
        <f>"8669"</f>
        <v>8669</v>
      </c>
      <c r="B8670" t="str">
        <f>"0.05"</f>
        <v>0.05</v>
      </c>
      <c r="C8670" t="str">
        <f>"37"</f>
        <v>37</v>
      </c>
      <c r="D8670" t="str">
        <f>"Quack"</f>
        <v>Quack</v>
      </c>
    </row>
    <row r="8671" spans="1:4" x14ac:dyDescent="0.2">
      <c r="A8671" t="str">
        <f>"8670"</f>
        <v>8670</v>
      </c>
      <c r="B8671" t="str">
        <f>"-0.18"</f>
        <v>-0.18</v>
      </c>
      <c r="C8671" t="str">
        <f>"26"</f>
        <v>26</v>
      </c>
      <c r="D8671" t="str">
        <f>"Under the Skin OST"</f>
        <v>Under the Skin OST</v>
      </c>
    </row>
    <row r="8672" spans="1:4" x14ac:dyDescent="0.2">
      <c r="A8672" t="str">
        <f>"8671"</f>
        <v>8671</v>
      </c>
      <c r="B8672" t="str">
        <f>"0.73"</f>
        <v>0.73</v>
      </c>
      <c r="C8672" t="str">
        <f>"17"</f>
        <v>17</v>
      </c>
      <c r="D8672" t="str">
        <f>"Ghetto Cuisine"</f>
        <v>Ghetto Cuisine</v>
      </c>
    </row>
    <row r="8673" spans="1:4" x14ac:dyDescent="0.2">
      <c r="A8673" t="str">
        <f>"8672"</f>
        <v>8672</v>
      </c>
      <c r="B8673" t="str">
        <f>"1.33"</f>
        <v>1.33</v>
      </c>
      <c r="C8673" t="str">
        <f>"26"</f>
        <v>26</v>
      </c>
      <c r="D8673" t="str">
        <f>"Dizzy Polizzy"</f>
        <v>Dizzy Polizzy</v>
      </c>
    </row>
    <row r="8674" spans="1:4" x14ac:dyDescent="0.2">
      <c r="A8674" t="str">
        <f>"8673"</f>
        <v>8673</v>
      </c>
      <c r="B8674" t="str">
        <f>"0.59"</f>
        <v>0.59</v>
      </c>
      <c r="C8674" t="str">
        <f>"28"</f>
        <v>28</v>
      </c>
      <c r="D8674" t="str">
        <f>"Box Set"</f>
        <v>Box Set</v>
      </c>
    </row>
    <row r="8675" spans="1:4" x14ac:dyDescent="0.2">
      <c r="A8675" t="str">
        <f>"8674"</f>
        <v>8674</v>
      </c>
      <c r="B8675" t="str">
        <f>"-0.12"</f>
        <v>-0.12</v>
      </c>
      <c r="C8675" t="str">
        <f>"75"</f>
        <v>75</v>
      </c>
      <c r="D8675" t="str">
        <f>"Spiderland"</f>
        <v>Spiderland</v>
      </c>
    </row>
    <row r="8676" spans="1:4" x14ac:dyDescent="0.2">
      <c r="A8676" t="str">
        <f>"8675"</f>
        <v>8675</v>
      </c>
      <c r="B8676" t="str">
        <f>"-0.01"</f>
        <v>-0.01</v>
      </c>
      <c r="C8676" t="str">
        <f>"22"</f>
        <v>22</v>
      </c>
      <c r="D8676" t="str">
        <f>"So It Goes"</f>
        <v>So It Goes</v>
      </c>
    </row>
    <row r="8677" spans="1:4" x14ac:dyDescent="0.2">
      <c r="A8677" t="str">
        <f>"8676"</f>
        <v>8676</v>
      </c>
      <c r="B8677" t="str">
        <f>"0.07"</f>
        <v>0.07</v>
      </c>
      <c r="C8677" t="str">
        <f>"29"</f>
        <v>29</v>
      </c>
      <c r="D8677" t="str">
        <f>"Make My Head Sing..."</f>
        <v>Make My Head Sing...</v>
      </c>
    </row>
    <row r="8678" spans="1:4" x14ac:dyDescent="0.2">
      <c r="A8678" t="str">
        <f>"8677"</f>
        <v>8677</v>
      </c>
      <c r="B8678" t="str">
        <f>"1.24"</f>
        <v>1.24</v>
      </c>
      <c r="C8678" t="str">
        <f>"14"</f>
        <v>14</v>
      </c>
      <c r="D8678" t="str">
        <f>"Ineffable"</f>
        <v>Ineffable</v>
      </c>
    </row>
    <row r="8679" spans="1:4" x14ac:dyDescent="0.2">
      <c r="A8679" t="str">
        <f>"8678"</f>
        <v>8678</v>
      </c>
      <c r="B8679" t="str">
        <f>"-0.58"</f>
        <v>-0.58</v>
      </c>
      <c r="C8679" t="str">
        <f>"39"</f>
        <v>39</v>
      </c>
      <c r="D8679" t="str">
        <f>"Half-Eaten Guitar"</f>
        <v>Half-Eaten Guitar</v>
      </c>
    </row>
    <row r="8680" spans="1:4" x14ac:dyDescent="0.2">
      <c r="A8680" t="str">
        <f>"8679"</f>
        <v>8679</v>
      </c>
      <c r="B8680" t="str">
        <f>"-1.01"</f>
        <v>-1.01</v>
      </c>
      <c r="C8680" t="str">
        <f>"33"</f>
        <v>33</v>
      </c>
      <c r="D8680" t="str">
        <f>"Do to the Beast"</f>
        <v>Do to the Beast</v>
      </c>
    </row>
    <row r="8681" spans="1:4" x14ac:dyDescent="0.2">
      <c r="A8681" t="str">
        <f>"8680"</f>
        <v>8680</v>
      </c>
      <c r="B8681" t="str">
        <f>"-0.73"</f>
        <v>-0.73</v>
      </c>
      <c r="C8681" t="str">
        <f>"91"</f>
        <v>91</v>
      </c>
      <c r="D8681" t="str">
        <f>"Yeah Yeah Yeah Yeah"</f>
        <v>Yeah Yeah Yeah Yeah</v>
      </c>
    </row>
    <row r="8682" spans="1:4" x14ac:dyDescent="0.2">
      <c r="A8682" t="str">
        <f>"8681"</f>
        <v>8681</v>
      </c>
      <c r="B8682" t="str">
        <f>"-1.58"</f>
        <v>-1.58</v>
      </c>
      <c r="C8682" t="str">
        <f>"33"</f>
        <v>33</v>
      </c>
      <c r="D8682" t="str">
        <f>"Built on Glass"</f>
        <v>Built on Glass</v>
      </c>
    </row>
    <row r="8683" spans="1:4" x14ac:dyDescent="0.2">
      <c r="A8683" t="str">
        <f>"8682"</f>
        <v>8682</v>
      </c>
      <c r="B8683" t="str">
        <f>"0.15"</f>
        <v>0.15</v>
      </c>
      <c r="C8683" t="str">
        <f>"21"</f>
        <v>21</v>
      </c>
      <c r="D8683" t="str">
        <f>"Sound Houses"</f>
        <v>Sound Houses</v>
      </c>
    </row>
    <row r="8684" spans="1:4" x14ac:dyDescent="0.2">
      <c r="A8684" t="str">
        <f>"8683"</f>
        <v>8683</v>
      </c>
      <c r="B8684" t="str">
        <f>"0.43"</f>
        <v>0.43</v>
      </c>
      <c r="C8684" t="str">
        <f>"34"</f>
        <v>34</v>
      </c>
      <c r="D8684" t="str">
        <f>"World of Joy"</f>
        <v>World of Joy</v>
      </c>
    </row>
    <row r="8685" spans="1:4" x14ac:dyDescent="0.2">
      <c r="A8685" t="str">
        <f>"8684"</f>
        <v>8684</v>
      </c>
      <c r="B8685" t="str">
        <f>"1.76"</f>
        <v>1.76</v>
      </c>
      <c r="C8685" t="str">
        <f>"23"</f>
        <v>23</v>
      </c>
      <c r="D8685" t="str">
        <f>"With Light and With Love"</f>
        <v>With Light and With Love</v>
      </c>
    </row>
    <row r="8686" spans="1:4" x14ac:dyDescent="0.2">
      <c r="A8686" t="str">
        <f>"8685"</f>
        <v>8685</v>
      </c>
      <c r="B8686" t="str">
        <f>"0.02"</f>
        <v>0.02</v>
      </c>
      <c r="C8686" t="str">
        <f>"24"</f>
        <v>24</v>
      </c>
      <c r="D8686" t="str">
        <f>"The Both"</f>
        <v>The Both</v>
      </c>
    </row>
    <row r="8687" spans="1:4" x14ac:dyDescent="0.2">
      <c r="A8687" t="str">
        <f>"8686"</f>
        <v>8686</v>
      </c>
      <c r="B8687" t="str">
        <f>"0.04"</f>
        <v>0.04</v>
      </c>
      <c r="C8687" t="str">
        <f>"28"</f>
        <v>28</v>
      </c>
      <c r="D8687" t="str">
        <f>"Canyons Cars and Crows"</f>
        <v>Canyons Cars and Crows</v>
      </c>
    </row>
    <row r="8688" spans="1:4" x14ac:dyDescent="0.2">
      <c r="A8688" t="str">
        <f>"8687"</f>
        <v>8687</v>
      </c>
      <c r="B8688" t="str">
        <f>"-0.69"</f>
        <v>-0.69</v>
      </c>
      <c r="C8688" t="str">
        <f>"25"</f>
        <v>25</v>
      </c>
      <c r="D8688" t="str">
        <f>"Ghetto Ghouls"</f>
        <v>Ghetto Ghouls</v>
      </c>
    </row>
    <row r="8689" spans="1:4" x14ac:dyDescent="0.2">
      <c r="A8689" t="str">
        <f>"8688"</f>
        <v>8688</v>
      </c>
      <c r="B8689" t="str">
        <f>"-1.32"</f>
        <v>-1.32</v>
      </c>
      <c r="C8689" t="str">
        <f>"25"</f>
        <v>25</v>
      </c>
      <c r="D8689" t="str">
        <f>"Unholy Congregation of Hypocritical Ambivalence"</f>
        <v>Unholy Congregation of Hypocritical Ambivalence</v>
      </c>
    </row>
    <row r="8690" spans="1:4" x14ac:dyDescent="0.2">
      <c r="A8690" t="str">
        <f>"8689"</f>
        <v>8689</v>
      </c>
      <c r="B8690" t="str">
        <f>"0.03"</f>
        <v>0.03</v>
      </c>
      <c r="C8690" t="str">
        <f>"33"</f>
        <v>33</v>
      </c>
      <c r="D8690" t="str">
        <f>"Broken Ankles EP"</f>
        <v>Broken Ankles EP</v>
      </c>
    </row>
    <row r="8691" spans="1:4" x14ac:dyDescent="0.2">
      <c r="A8691" t="str">
        <f>"8690"</f>
        <v>8690</v>
      </c>
      <c r="B8691" t="str">
        <f>"-0.05"</f>
        <v>-0.05</v>
      </c>
      <c r="C8691" t="str">
        <f>"29"</f>
        <v>29</v>
      </c>
      <c r="D8691" t="str">
        <f>"Old Fears"</f>
        <v>Old Fears</v>
      </c>
    </row>
    <row r="8692" spans="1:4" x14ac:dyDescent="0.2">
      <c r="A8692" t="str">
        <f>"8691"</f>
        <v>8691</v>
      </c>
      <c r="B8692" t="str">
        <f>"0.22"</f>
        <v>0.22</v>
      </c>
      <c r="C8692" t="str">
        <f>"26"</f>
        <v>26</v>
      </c>
      <c r="D8692" t="str">
        <f>"Silent Ascent"</f>
        <v>Silent Ascent</v>
      </c>
    </row>
    <row r="8693" spans="1:4" x14ac:dyDescent="0.2">
      <c r="A8693" t="str">
        <f>"8692"</f>
        <v>8692</v>
      </c>
      <c r="B8693" t="str">
        <f>"-0.62"</f>
        <v>-0.62</v>
      </c>
      <c r="C8693" t="str">
        <f>"28"</f>
        <v>28</v>
      </c>
      <c r="D8693" t="str">
        <f>"Lithium Burn"</f>
        <v>Lithium Burn</v>
      </c>
    </row>
    <row r="8694" spans="1:4" x14ac:dyDescent="0.2">
      <c r="A8694" t="str">
        <f>"8693"</f>
        <v>8693</v>
      </c>
      <c r="B8694" t="str">
        <f>"-0.73"</f>
        <v>-0.73</v>
      </c>
      <c r="C8694" t="str">
        <f>"35"</f>
        <v>35</v>
      </c>
      <c r="D8694" t="str">
        <f>"Melana Chasmata"</f>
        <v>Melana Chasmata</v>
      </c>
    </row>
    <row r="8695" spans="1:4" x14ac:dyDescent="0.2">
      <c r="A8695" t="str">
        <f>"8694"</f>
        <v>8694</v>
      </c>
      <c r="B8695" t="str">
        <f>"-0.53"</f>
        <v>-0.53</v>
      </c>
      <c r="C8695" t="str">
        <f>"44"</f>
        <v>44</v>
      </c>
      <c r="D8695" t="str">
        <f>"The Future's Void"</f>
        <v>The Future's Void</v>
      </c>
    </row>
    <row r="8696" spans="1:4" x14ac:dyDescent="0.2">
      <c r="A8696" t="str">
        <f>"8695"</f>
        <v>8695</v>
      </c>
      <c r="B8696" t="str">
        <f>"0.13"</f>
        <v>0.13</v>
      </c>
      <c r="C8696" t="str">
        <f>"24"</f>
        <v>24</v>
      </c>
      <c r="D8696" t="str">
        <f>"Convertibles"</f>
        <v>Convertibles</v>
      </c>
    </row>
    <row r="8697" spans="1:4" x14ac:dyDescent="0.2">
      <c r="A8697" t="str">
        <f>"8696"</f>
        <v>8696</v>
      </c>
      <c r="B8697" t="str">
        <f>"0.89"</f>
        <v>0.89</v>
      </c>
      <c r="C8697" t="str">
        <f>"22"</f>
        <v>22</v>
      </c>
      <c r="D8697" t="str">
        <f>"Spiritual"</f>
        <v>Spiritual</v>
      </c>
    </row>
    <row r="8698" spans="1:4" x14ac:dyDescent="0.2">
      <c r="A8698" t="str">
        <f>"8697"</f>
        <v>8697</v>
      </c>
      <c r="B8698" t="str">
        <f>"-0.36"</f>
        <v>-0.36</v>
      </c>
      <c r="C8698" t="str">
        <f>"16"</f>
        <v>16</v>
      </c>
      <c r="D8698" t="str">
        <f>"Seer"</f>
        <v>Seer</v>
      </c>
    </row>
    <row r="8699" spans="1:4" x14ac:dyDescent="0.2">
      <c r="A8699" t="str">
        <f>"8698"</f>
        <v>8698</v>
      </c>
      <c r="B8699" t="str">
        <f>"-1.55"</f>
        <v>-1.55</v>
      </c>
      <c r="C8699" t="str">
        <f>"14"</f>
        <v>14</v>
      </c>
      <c r="D8699" t="str">
        <f>"Tweens"</f>
        <v>Tweens</v>
      </c>
    </row>
    <row r="8700" spans="1:4" x14ac:dyDescent="0.2">
      <c r="A8700" t="str">
        <f>"8699"</f>
        <v>8699</v>
      </c>
      <c r="B8700" t="str">
        <f>"-0.6"</f>
        <v>-0.6</v>
      </c>
      <c r="C8700" t="str">
        <f>"92"</f>
        <v>92</v>
      </c>
      <c r="D8700" t="str">
        <f>"The Infamous"</f>
        <v>The Infamous</v>
      </c>
    </row>
    <row r="8701" spans="1:4" x14ac:dyDescent="0.2">
      <c r="A8701" t="str">
        <f>"8700"</f>
        <v>8700</v>
      </c>
      <c r="B8701" t="str">
        <f>"0.64"</f>
        <v>0.64</v>
      </c>
      <c r="C8701" t="str">
        <f>"28"</f>
        <v>28</v>
      </c>
      <c r="D8701" t="str">
        <f>"Music For Robots"</f>
        <v>Music For Robots</v>
      </c>
    </row>
    <row r="8702" spans="1:4" x14ac:dyDescent="0.2">
      <c r="A8702" t="str">
        <f>"8701"</f>
        <v>8701</v>
      </c>
      <c r="B8702" t="str">
        <f>"-0.47"</f>
        <v>-0.47</v>
      </c>
      <c r="C8702" t="str">
        <f>"17"</f>
        <v>17</v>
      </c>
      <c r="D8702" t="str">
        <f>"Dances in Dreams of the Known Unknown"</f>
        <v>Dances in Dreams of the Known Unknown</v>
      </c>
    </row>
    <row r="8703" spans="1:4" x14ac:dyDescent="0.2">
      <c r="A8703" t="str">
        <f>"8702"</f>
        <v>8702</v>
      </c>
      <c r="B8703" t="str">
        <f>"-0.34"</f>
        <v>-0.34</v>
      </c>
      <c r="C8703" t="str">
        <f>"26"</f>
        <v>26</v>
      </c>
      <c r="D8703" t="str">
        <f>"Tremors"</f>
        <v>Tremors</v>
      </c>
    </row>
    <row r="8704" spans="1:4" x14ac:dyDescent="0.2">
      <c r="A8704" t="str">
        <f>"8703"</f>
        <v>8703</v>
      </c>
      <c r="B8704" t="str">
        <f>"0.6"</f>
        <v>0.6</v>
      </c>
      <c r="C8704" t="str">
        <f>"30"</f>
        <v>30</v>
      </c>
      <c r="D8704" t="str">
        <f>"Ryonen"</f>
        <v>Ryonen</v>
      </c>
    </row>
    <row r="8705" spans="1:4" x14ac:dyDescent="0.2">
      <c r="A8705" t="str">
        <f>"8704"</f>
        <v>8704</v>
      </c>
      <c r="B8705" t="str">
        <f>"-0.15"</f>
        <v>-0.15</v>
      </c>
      <c r="C8705" t="str">
        <f>"23"</f>
        <v>23</v>
      </c>
      <c r="D8705" t="str">
        <f>"Enter the Slasher House"</f>
        <v>Enter the Slasher House</v>
      </c>
    </row>
    <row r="8706" spans="1:4" x14ac:dyDescent="0.2">
      <c r="A8706" t="str">
        <f>"8705"</f>
        <v>8705</v>
      </c>
      <c r="B8706" t="str">
        <f>"0.07"</f>
        <v>0.07</v>
      </c>
      <c r="C8706" t="str">
        <f>"32"</f>
        <v>32</v>
      </c>
      <c r="D8706" t="str">
        <f>"Wasted Years"</f>
        <v>Wasted Years</v>
      </c>
    </row>
    <row r="8707" spans="1:4" x14ac:dyDescent="0.2">
      <c r="A8707" t="str">
        <f>"8706"</f>
        <v>8706</v>
      </c>
      <c r="B8707" t="str">
        <f>"0.63"</f>
        <v>0.63</v>
      </c>
      <c r="C8707" t="str">
        <f>"25"</f>
        <v>25</v>
      </c>
      <c r="D8707" t="s">
        <v>284</v>
      </c>
    </row>
    <row r="8708" spans="1:4" x14ac:dyDescent="0.2">
      <c r="A8708" t="str">
        <f>"8707"</f>
        <v>8707</v>
      </c>
      <c r="B8708" t="str">
        <f>"-0.4"</f>
        <v>-0.4</v>
      </c>
      <c r="C8708" t="str">
        <f>"41"</f>
        <v>41</v>
      </c>
      <c r="D8708" t="str">
        <f>"The Mother of Virtues"</f>
        <v>The Mother of Virtues</v>
      </c>
    </row>
    <row r="8709" spans="1:4" x14ac:dyDescent="0.2">
      <c r="A8709" t="str">
        <f>"8708"</f>
        <v>8708</v>
      </c>
      <c r="B8709" t="str">
        <f>"-0.25"</f>
        <v>-0.25</v>
      </c>
      <c r="C8709" t="str">
        <f>"22"</f>
        <v>22</v>
      </c>
      <c r="D8709" t="str">
        <f>"Exits"</f>
        <v>Exits</v>
      </c>
    </row>
    <row r="8710" spans="1:4" x14ac:dyDescent="0.2">
      <c r="A8710" t="str">
        <f>"8709"</f>
        <v>8709</v>
      </c>
      <c r="B8710" t="str">
        <f>"0.21"</f>
        <v>0.21</v>
      </c>
      <c r="C8710" t="str">
        <f>"43"</f>
        <v>43</v>
      </c>
      <c r="D8710" t="str">
        <f>"It's Album Time"</f>
        <v>It's Album Time</v>
      </c>
    </row>
    <row r="8711" spans="1:4" x14ac:dyDescent="0.2">
      <c r="A8711" t="str">
        <f>"8710"</f>
        <v>8710</v>
      </c>
      <c r="B8711" t="str">
        <f>"-0.49"</f>
        <v>-0.49</v>
      </c>
      <c r="C8711" t="str">
        <f>"34"</f>
        <v>34</v>
      </c>
      <c r="D8711" t="str">
        <f>"Under Color of Official Right"</f>
        <v>Under Color of Official Right</v>
      </c>
    </row>
    <row r="8712" spans="1:4" x14ac:dyDescent="0.2">
      <c r="A8712" t="str">
        <f>"8711"</f>
        <v>8711</v>
      </c>
      <c r="B8712" t="str">
        <f>"1.33"</f>
        <v>1.33</v>
      </c>
      <c r="C8712" t="str">
        <f>"20"</f>
        <v>20</v>
      </c>
      <c r="D8712" t="str">
        <f>"Young &amp; Sick"</f>
        <v>Young &amp; Sick</v>
      </c>
    </row>
    <row r="8713" spans="1:4" x14ac:dyDescent="0.2">
      <c r="A8713" t="str">
        <f>"8712"</f>
        <v>8712</v>
      </c>
      <c r="B8713" t="str">
        <f>"0.27"</f>
        <v>0.27</v>
      </c>
      <c r="C8713" t="str">
        <f>"17"</f>
        <v>17</v>
      </c>
      <c r="D8713" t="str">
        <f>"Visibility Is a Trap"</f>
        <v>Visibility Is a Trap</v>
      </c>
    </row>
    <row r="8714" spans="1:4" x14ac:dyDescent="0.2">
      <c r="A8714" t="str">
        <f>"8713"</f>
        <v>8713</v>
      </c>
      <c r="B8714" t="str">
        <f>"0.08"</f>
        <v>0.08</v>
      </c>
      <c r="C8714" t="str">
        <f>"22"</f>
        <v>22</v>
      </c>
      <c r="D8714" t="str">
        <f>"Here Be Monsters"</f>
        <v>Here Be Monsters</v>
      </c>
    </row>
    <row r="8715" spans="1:4" x14ac:dyDescent="0.2">
      <c r="A8715" t="str">
        <f>"8714"</f>
        <v>8714</v>
      </c>
      <c r="B8715" t="str">
        <f>"0.4"</f>
        <v>0.4</v>
      </c>
      <c r="C8715" t="str">
        <f>"25"</f>
        <v>25</v>
      </c>
      <c r="D8715" t="str">
        <f>"Smell the D.A.I.S.Y."</f>
        <v>Smell the D.A.I.S.Y.</v>
      </c>
    </row>
    <row r="8716" spans="1:4" x14ac:dyDescent="0.2">
      <c r="A8716" t="str">
        <f>"8715"</f>
        <v>8715</v>
      </c>
      <c r="B8716" t="str">
        <f>"-0.45"</f>
        <v>-0.45</v>
      </c>
      <c r="C8716" t="str">
        <f>"21"</f>
        <v>21</v>
      </c>
      <c r="D8716" t="str">
        <f>"Doom Abuse"</f>
        <v>Doom Abuse</v>
      </c>
    </row>
    <row r="8717" spans="1:4" x14ac:dyDescent="0.2">
      <c r="A8717" t="str">
        <f>"8716"</f>
        <v>8716</v>
      </c>
      <c r="B8717" t="str">
        <f>"-0.11"</f>
        <v>-0.11</v>
      </c>
      <c r="C8717" t="str">
        <f>"25"</f>
        <v>25</v>
      </c>
      <c r="D8717" t="str">
        <f>"E S T A R A"</f>
        <v>E S T A R A</v>
      </c>
    </row>
    <row r="8718" spans="1:4" x14ac:dyDescent="0.2">
      <c r="A8718" t="str">
        <f>"8717"</f>
        <v>8717</v>
      </c>
      <c r="B8718" t="str">
        <f>"-0.15"</f>
        <v>-0.15</v>
      </c>
      <c r="C8718" t="str">
        <f>"24"</f>
        <v>24</v>
      </c>
      <c r="D8718" t="str">
        <f>"Baby"</f>
        <v>Baby</v>
      </c>
    </row>
    <row r="8719" spans="1:4" x14ac:dyDescent="0.2">
      <c r="A8719" t="str">
        <f>"8718"</f>
        <v>8718</v>
      </c>
      <c r="B8719" t="str">
        <f>"0.55"</f>
        <v>0.55</v>
      </c>
      <c r="C8719" t="str">
        <f>"36"</f>
        <v>36</v>
      </c>
      <c r="D8719" t="str">
        <f>"Remember Me"</f>
        <v>Remember Me</v>
      </c>
    </row>
    <row r="8720" spans="1:4" x14ac:dyDescent="0.2">
      <c r="A8720" t="str">
        <f>"8719"</f>
        <v>8719</v>
      </c>
      <c r="B8720" t="str">
        <f>"-0.56"</f>
        <v>-0.56</v>
      </c>
      <c r="C8720" t="str">
        <f>"25"</f>
        <v>25</v>
      </c>
      <c r="D8720" t="str">
        <f>"Sisyphus"</f>
        <v>Sisyphus</v>
      </c>
    </row>
    <row r="8721" spans="1:4" x14ac:dyDescent="0.2">
      <c r="A8721" t="str">
        <f>"8720"</f>
        <v>8720</v>
      </c>
      <c r="B8721" t="str">
        <f>"-0.98"</f>
        <v>-0.98</v>
      </c>
      <c r="C8721" t="str">
        <f>"33"</f>
        <v>33</v>
      </c>
      <c r="D8721" t="str">
        <f>"I Shall Die Here"</f>
        <v>I Shall Die Here</v>
      </c>
    </row>
    <row r="8722" spans="1:4" x14ac:dyDescent="0.2">
      <c r="A8722" t="str">
        <f>"8721"</f>
        <v>8721</v>
      </c>
      <c r="B8722" t="str">
        <f>"0.06"</f>
        <v>0.06</v>
      </c>
      <c r="C8722" t="str">
        <f>"24"</f>
        <v>24</v>
      </c>
      <c r="D8722" t="str">
        <f>"Drop the Vowels"</f>
        <v>Drop the Vowels</v>
      </c>
    </row>
    <row r="8723" spans="1:4" x14ac:dyDescent="0.2">
      <c r="A8723" t="str">
        <f>"8722"</f>
        <v>8722</v>
      </c>
      <c r="B8723" t="str">
        <f>"-0.02"</f>
        <v>-0.02</v>
      </c>
      <c r="C8723" t="str">
        <f>"20"</f>
        <v>20</v>
      </c>
      <c r="D8723" t="str">
        <f>"Range of Light"</f>
        <v>Range of Light</v>
      </c>
    </row>
    <row r="8724" spans="1:4" x14ac:dyDescent="0.2">
      <c r="A8724" t="str">
        <f>"8723"</f>
        <v>8723</v>
      </c>
      <c r="B8724" t="str">
        <f>"0.65"</f>
        <v>0.65</v>
      </c>
      <c r="C8724" t="str">
        <f>"36"</f>
        <v>36</v>
      </c>
      <c r="D8724" t="str">
        <f>"Nux Vomica"</f>
        <v>Nux Vomica</v>
      </c>
    </row>
    <row r="8725" spans="1:4" x14ac:dyDescent="0.2">
      <c r="A8725" t="str">
        <f>"8724"</f>
        <v>8724</v>
      </c>
      <c r="B8725" t="str">
        <f>"0.64"</f>
        <v>0.64</v>
      </c>
      <c r="C8725" t="str">
        <f>"56"</f>
        <v>56</v>
      </c>
      <c r="D8725" t="str">
        <f>"Memoryhouse"</f>
        <v>Memoryhouse</v>
      </c>
    </row>
    <row r="8726" spans="1:4" x14ac:dyDescent="0.2">
      <c r="A8726" t="str">
        <f>"8725"</f>
        <v>8725</v>
      </c>
      <c r="B8726" t="str">
        <f>"0.36"</f>
        <v>0.36</v>
      </c>
      <c r="C8726" t="str">
        <f>"34"</f>
        <v>34</v>
      </c>
      <c r="D8726" t="str">
        <f>"Inventions"</f>
        <v>Inventions</v>
      </c>
    </row>
    <row r="8727" spans="1:4" x14ac:dyDescent="0.2">
      <c r="A8727" t="str">
        <f>"8726"</f>
        <v>8726</v>
      </c>
      <c r="B8727" t="str">
        <f>"0.51"</f>
        <v>0.51</v>
      </c>
      <c r="C8727" t="str">
        <f>"24"</f>
        <v>24</v>
      </c>
      <c r="D8727" t="str">
        <f>"Crystal Cult 2080"</f>
        <v>Crystal Cult 2080</v>
      </c>
    </row>
    <row r="8728" spans="1:4" x14ac:dyDescent="0.2">
      <c r="A8728" t="str">
        <f>"8727"</f>
        <v>8727</v>
      </c>
      <c r="B8728" t="str">
        <f>"-0.52"</f>
        <v>-0.52</v>
      </c>
      <c r="C8728" t="str">
        <f>"24"</f>
        <v>24</v>
      </c>
      <c r="D8728" t="str">
        <f>"Yearling"</f>
        <v>Yearling</v>
      </c>
    </row>
    <row r="8729" spans="1:4" x14ac:dyDescent="0.2">
      <c r="A8729" t="str">
        <f>"8728"</f>
        <v>8728</v>
      </c>
      <c r="B8729" t="str">
        <f>"0.34"</f>
        <v>0.34</v>
      </c>
      <c r="C8729" t="str">
        <f>"21"</f>
        <v>21</v>
      </c>
      <c r="D8729" t="str">
        <f>"NOW + 4EVA"</f>
        <v>NOW + 4EVA</v>
      </c>
    </row>
    <row r="8730" spans="1:4" x14ac:dyDescent="0.2">
      <c r="A8730" t="str">
        <f>"8729"</f>
        <v>8729</v>
      </c>
      <c r="B8730" t="str">
        <f>"-0.13"</f>
        <v>-0.13</v>
      </c>
      <c r="C8730" t="str">
        <f>"39"</f>
        <v>39</v>
      </c>
      <c r="D8730" t="str">
        <f>"Salad Days"</f>
        <v>Salad Days</v>
      </c>
    </row>
    <row r="8731" spans="1:4" x14ac:dyDescent="0.2">
      <c r="A8731" t="str">
        <f>"8730"</f>
        <v>8730</v>
      </c>
      <c r="B8731" t="str">
        <f>"0.67"</f>
        <v>0.67</v>
      </c>
      <c r="C8731" t="str">
        <f>"20"</f>
        <v>20</v>
      </c>
      <c r="D8731" t="str">
        <f>"Angel"</f>
        <v>Angel</v>
      </c>
    </row>
    <row r="8732" spans="1:4" x14ac:dyDescent="0.2">
      <c r="A8732" t="str">
        <f>"8731"</f>
        <v>8731</v>
      </c>
      <c r="B8732" t="str">
        <f>"-0.46"</f>
        <v>-0.46</v>
      </c>
      <c r="C8732" t="str">
        <f>"24"</f>
        <v>24</v>
      </c>
      <c r="D8732" t="str">
        <f>"Through Force of Will"</f>
        <v>Through Force of Will</v>
      </c>
    </row>
    <row r="8733" spans="1:4" x14ac:dyDescent="0.2">
      <c r="A8733" t="str">
        <f>"8732"</f>
        <v>8732</v>
      </c>
      <c r="B8733" t="str">
        <f>"-0.03"</f>
        <v>-0.03</v>
      </c>
      <c r="C8733" t="str">
        <f>"22"</f>
        <v>22</v>
      </c>
      <c r="D8733" t="str">
        <f>"Cope"</f>
        <v>Cope</v>
      </c>
    </row>
    <row r="8734" spans="1:4" x14ac:dyDescent="0.2">
      <c r="A8734" t="str">
        <f>"8733"</f>
        <v>8733</v>
      </c>
      <c r="B8734" t="str">
        <f>"-0.78"</f>
        <v>-0.78</v>
      </c>
      <c r="C8734" t="str">
        <f>"41"</f>
        <v>41</v>
      </c>
      <c r="D8734" t="str">
        <f>"Amusements"</f>
        <v>Amusements</v>
      </c>
    </row>
    <row r="8735" spans="1:4" x14ac:dyDescent="0.2">
      <c r="A8735" t="str">
        <f>"8734"</f>
        <v>8734</v>
      </c>
      <c r="B8735" t="str">
        <f>"-0.01"</f>
        <v>-0.01</v>
      </c>
      <c r="C8735" t="str">
        <f>"33"</f>
        <v>33</v>
      </c>
      <c r="D8735" t="str">
        <f>"Here and Nowhere Else"</f>
        <v>Here and Nowhere Else</v>
      </c>
    </row>
    <row r="8736" spans="1:4" x14ac:dyDescent="0.2">
      <c r="A8736" t="str">
        <f>"8735"</f>
        <v>8735</v>
      </c>
      <c r="B8736" t="str">
        <f>"0.57"</f>
        <v>0.57</v>
      </c>
      <c r="C8736" t="str">
        <f>"56"</f>
        <v>56</v>
      </c>
      <c r="D8736" t="str">
        <f>"Miles at the Fillmore - Miles Davis 1970: The Bootleg Series Vol. 3"</f>
        <v>Miles at the Fillmore - Miles Davis 1970: The Bootleg Series Vol. 3</v>
      </c>
    </row>
    <row r="8737" spans="1:4" x14ac:dyDescent="0.2">
      <c r="A8737" t="str">
        <f>"8736"</f>
        <v>8736</v>
      </c>
      <c r="B8737" t="str">
        <f>"0.75"</f>
        <v>0.75</v>
      </c>
      <c r="C8737" t="str">
        <f>"26"</f>
        <v>26</v>
      </c>
      <c r="D8737" t="str">
        <f>"Real People EP"</f>
        <v>Real People EP</v>
      </c>
    </row>
    <row r="8738" spans="1:4" x14ac:dyDescent="0.2">
      <c r="A8738" t="str">
        <f>"8737"</f>
        <v>8737</v>
      </c>
      <c r="B8738" t="str">
        <f>"0.01"</f>
        <v>0.01</v>
      </c>
      <c r="C8738" t="str">
        <f>"26"</f>
        <v>26</v>
      </c>
      <c r="D8738" t="str">
        <f>"Physical World"</f>
        <v>Physical World</v>
      </c>
    </row>
    <row r="8739" spans="1:4" x14ac:dyDescent="0.2">
      <c r="A8739" t="str">
        <f>"8738"</f>
        <v>8738</v>
      </c>
      <c r="B8739" t="str">
        <f>"0.22"</f>
        <v>0.22</v>
      </c>
      <c r="C8739" t="str">
        <f>"30"</f>
        <v>30</v>
      </c>
      <c r="D8739" t="str">
        <f>"Important Picnic"</f>
        <v>Important Picnic</v>
      </c>
    </row>
    <row r="8740" spans="1:4" x14ac:dyDescent="0.2">
      <c r="A8740" t="str">
        <f>"8739"</f>
        <v>8739</v>
      </c>
      <c r="B8740" t="str">
        <f>"-0.04"</f>
        <v>-0.04</v>
      </c>
      <c r="C8740" t="str">
        <f>"78"</f>
        <v>78</v>
      </c>
      <c r="D8740" t="str">
        <f>"Teeth Dreams"</f>
        <v>Teeth Dreams</v>
      </c>
    </row>
    <row r="8741" spans="1:4" x14ac:dyDescent="0.2">
      <c r="A8741" t="str">
        <f>"8740"</f>
        <v>8740</v>
      </c>
      <c r="B8741" t="str">
        <f>"0.34"</f>
        <v>0.34</v>
      </c>
      <c r="C8741" t="str">
        <f>"26"</f>
        <v>26</v>
      </c>
      <c r="D8741" t="str">
        <f>"Fenris District EP"</f>
        <v>Fenris District EP</v>
      </c>
    </row>
    <row r="8742" spans="1:4" x14ac:dyDescent="0.2">
      <c r="A8742" t="str">
        <f>"8741"</f>
        <v>8741</v>
      </c>
      <c r="B8742" t="str">
        <f>"-0.58"</f>
        <v>-0.58</v>
      </c>
      <c r="C8742" t="str">
        <f>"20"</f>
        <v>20</v>
      </c>
      <c r="D8742" t="str">
        <f>"Crush"</f>
        <v>Crush</v>
      </c>
    </row>
    <row r="8743" spans="1:4" x14ac:dyDescent="0.2">
      <c r="A8743" t="str">
        <f>"8742"</f>
        <v>8742</v>
      </c>
      <c r="B8743" t="str">
        <f>"-0.46"</f>
        <v>-0.46</v>
      </c>
      <c r="C8743" t="str">
        <f>"22"</f>
        <v>22</v>
      </c>
      <c r="D8743" t="str">
        <f>"riZe vadZimu riZe"</f>
        <v>riZe vadZimu riZe</v>
      </c>
    </row>
    <row r="8744" spans="1:4" x14ac:dyDescent="0.2">
      <c r="A8744" t="str">
        <f>"8743"</f>
        <v>8743</v>
      </c>
      <c r="B8744" t="str">
        <f>"-0.31"</f>
        <v>-0.31</v>
      </c>
      <c r="C8744" t="str">
        <f>"40"</f>
        <v>40</v>
      </c>
      <c r="D8744" t="str">
        <f>"II: Void Worship"</f>
        <v>II: Void Worship</v>
      </c>
    </row>
    <row r="8745" spans="1:4" x14ac:dyDescent="0.2">
      <c r="A8745" t="str">
        <f>"8744"</f>
        <v>8744</v>
      </c>
      <c r="B8745" t="str">
        <f>"0.35"</f>
        <v>0.35</v>
      </c>
      <c r="C8745" t="str">
        <f>"54"</f>
        <v>54</v>
      </c>
      <c r="D8745" t="str">
        <f>"Out Among the Stars"</f>
        <v>Out Among the Stars</v>
      </c>
    </row>
    <row r="8746" spans="1:4" x14ac:dyDescent="0.2">
      <c r="A8746" t="str">
        <f>"8745"</f>
        <v>8745</v>
      </c>
      <c r="B8746" t="str">
        <f>"0.25"</f>
        <v>0.25</v>
      </c>
      <c r="C8746" t="str">
        <f>"28"</f>
        <v>28</v>
      </c>
      <c r="D8746" t="str">
        <f>"Adventureland"</f>
        <v>Adventureland</v>
      </c>
    </row>
    <row r="8747" spans="1:4" x14ac:dyDescent="0.2">
      <c r="A8747" t="str">
        <f>"8746"</f>
        <v>8746</v>
      </c>
      <c r="B8747" t="str">
        <f>"-0.62"</f>
        <v>-0.62</v>
      </c>
      <c r="C8747" t="str">
        <f>"36"</f>
        <v>36</v>
      </c>
      <c r="D8747" t="str">
        <f>"The Rite of Spring"</f>
        <v>The Rite of Spring</v>
      </c>
    </row>
    <row r="8748" spans="1:4" x14ac:dyDescent="0.2">
      <c r="A8748" t="str">
        <f>"8747"</f>
        <v>8747</v>
      </c>
      <c r="B8748" t="str">
        <f>"1.23"</f>
        <v>1.23</v>
      </c>
      <c r="C8748" t="str">
        <f>"24"</f>
        <v>24</v>
      </c>
      <c r="D8748" t="str">
        <f>"Dylan's Gospel"</f>
        <v>Dylan's Gospel</v>
      </c>
    </row>
    <row r="8749" spans="1:4" x14ac:dyDescent="0.2">
      <c r="A8749" t="str">
        <f>"8748"</f>
        <v>8748</v>
      </c>
      <c r="B8749" t="str">
        <f>"-0.48"</f>
        <v>-0.48</v>
      </c>
      <c r="C8749" t="str">
        <f>"17"</f>
        <v>17</v>
      </c>
      <c r="D8749" t="str">
        <f>"Piedmont Apocrypha"</f>
        <v>Piedmont Apocrypha</v>
      </c>
    </row>
    <row r="8750" spans="1:4" x14ac:dyDescent="0.2">
      <c r="A8750" t="str">
        <f>"8749"</f>
        <v>8749</v>
      </c>
      <c r="B8750" t="str">
        <f>"0.2"</f>
        <v>0.2</v>
      </c>
      <c r="C8750" t="str">
        <f>"35"</f>
        <v>35</v>
      </c>
      <c r="D8750" t="str">
        <f>"My Krazy Life"</f>
        <v>My Krazy Life</v>
      </c>
    </row>
    <row r="8751" spans="1:4" x14ac:dyDescent="0.2">
      <c r="A8751" t="str">
        <f>"8750"</f>
        <v>8750</v>
      </c>
      <c r="B8751" t="str">
        <f>"0.05"</f>
        <v>0.05</v>
      </c>
      <c r="C8751" t="str">
        <f>"18"</f>
        <v>18</v>
      </c>
      <c r="D8751" t="str">
        <f>"Panasonic EP"</f>
        <v>Panasonic EP</v>
      </c>
    </row>
    <row r="8752" spans="1:4" x14ac:dyDescent="0.2">
      <c r="A8752" t="str">
        <f>"8751"</f>
        <v>8751</v>
      </c>
      <c r="B8752" t="str">
        <f>"0.2"</f>
        <v>0.2</v>
      </c>
      <c r="C8752" t="str">
        <f>"37"</f>
        <v>37</v>
      </c>
      <c r="D8752" t="str">
        <f>"Dream.Zone.Achieve"</f>
        <v>Dream.Zone.Achieve</v>
      </c>
    </row>
    <row r="8753" spans="1:4" x14ac:dyDescent="0.2">
      <c r="A8753" t="str">
        <f>"8752"</f>
        <v>8752</v>
      </c>
      <c r="B8753" t="str">
        <f>"1.19"</f>
        <v>1.19</v>
      </c>
      <c r="C8753" t="str">
        <f>"20"</f>
        <v>20</v>
      </c>
      <c r="D8753" t="str">
        <f>"Boy"</f>
        <v>Boy</v>
      </c>
    </row>
    <row r="8754" spans="1:4" x14ac:dyDescent="0.2">
      <c r="A8754" t="str">
        <f>"8753"</f>
        <v>8753</v>
      </c>
      <c r="B8754" t="str">
        <f>"-0.8"</f>
        <v>-0.8</v>
      </c>
      <c r="C8754" t="str">
        <f>"53"</f>
        <v>53</v>
      </c>
      <c r="D8754" t="str">
        <f>"III: Beneath Trident's Tomb"</f>
        <v>III: Beneath Trident's Tomb</v>
      </c>
    </row>
    <row r="8755" spans="1:4" x14ac:dyDescent="0.2">
      <c r="A8755" t="str">
        <f>"8754"</f>
        <v>8754</v>
      </c>
      <c r="B8755" t="str">
        <f>"0.99"</f>
        <v>0.99</v>
      </c>
      <c r="C8755" t="str">
        <f>"44"</f>
        <v>44</v>
      </c>
      <c r="D8755" t="str">
        <f>"Singles"</f>
        <v>Singles</v>
      </c>
    </row>
    <row r="8756" spans="1:4" x14ac:dyDescent="0.2">
      <c r="A8756" t="str">
        <f>"8755"</f>
        <v>8755</v>
      </c>
      <c r="B8756" t="str">
        <f>"0.1"</f>
        <v>0.1</v>
      </c>
      <c r="C8756" t="str">
        <f>"42"</f>
        <v>42</v>
      </c>
      <c r="D8756" t="str">
        <f>"Lavender Country"</f>
        <v>Lavender Country</v>
      </c>
    </row>
    <row r="8757" spans="1:4" x14ac:dyDescent="0.2">
      <c r="A8757" t="str">
        <f>"8756"</f>
        <v>8756</v>
      </c>
      <c r="B8757" t="str">
        <f>"-0.11"</f>
        <v>-0.11</v>
      </c>
      <c r="C8757" t="str">
        <f>"27"</f>
        <v>27</v>
      </c>
      <c r="D8757" t="str">
        <f>"Two"</f>
        <v>Two</v>
      </c>
    </row>
    <row r="8758" spans="1:4" x14ac:dyDescent="0.2">
      <c r="A8758" t="str">
        <f>"8757"</f>
        <v>8757</v>
      </c>
      <c r="B8758" t="str">
        <f>"-0.08"</f>
        <v>-0.08</v>
      </c>
      <c r="C8758" t="str">
        <f>"30"</f>
        <v>30</v>
      </c>
      <c r="D8758" t="str">
        <f>"Dissed and Dismissed"</f>
        <v>Dissed and Dismissed</v>
      </c>
    </row>
    <row r="8759" spans="1:4" x14ac:dyDescent="0.2">
      <c r="A8759" t="str">
        <f>"8758"</f>
        <v>8758</v>
      </c>
      <c r="B8759" t="str">
        <f>"-0.9"</f>
        <v>-0.9</v>
      </c>
      <c r="C8759" t="str">
        <f>"33"</f>
        <v>33</v>
      </c>
      <c r="D8759" t="str">
        <f>"Winter &amp; the Wolves"</f>
        <v>Winter &amp; the Wolves</v>
      </c>
    </row>
    <row r="8760" spans="1:4" x14ac:dyDescent="0.2">
      <c r="A8760" t="str">
        <f>"8759"</f>
        <v>8759</v>
      </c>
      <c r="B8760" t="str">
        <f>"-0.98"</f>
        <v>-0.98</v>
      </c>
      <c r="C8760" t="str">
        <f>"37"</f>
        <v>37</v>
      </c>
      <c r="D8760" t="str">
        <f>"Mess"</f>
        <v>Mess</v>
      </c>
    </row>
    <row r="8761" spans="1:4" x14ac:dyDescent="0.2">
      <c r="A8761" t="str">
        <f>"8760"</f>
        <v>8760</v>
      </c>
      <c r="B8761" t="str">
        <f>"-0.99"</f>
        <v>-0.99</v>
      </c>
      <c r="C8761" t="str">
        <f>"32"</f>
        <v>32</v>
      </c>
      <c r="D8761" t="str">
        <f>"By Any Means"</f>
        <v>By Any Means</v>
      </c>
    </row>
    <row r="8762" spans="1:4" x14ac:dyDescent="0.2">
      <c r="A8762" t="str">
        <f>"8761"</f>
        <v>8761</v>
      </c>
      <c r="B8762" t="str">
        <f>"-0.86"</f>
        <v>-0.86</v>
      </c>
      <c r="C8762" t="str">
        <f>"31"</f>
        <v>31</v>
      </c>
      <c r="D8762" t="str">
        <f>"Oksastus"</f>
        <v>Oksastus</v>
      </c>
    </row>
    <row r="8763" spans="1:4" x14ac:dyDescent="0.2">
      <c r="A8763" t="str">
        <f>"8762"</f>
        <v>8762</v>
      </c>
      <c r="B8763" t="str">
        <f>"0.44"</f>
        <v>0.44</v>
      </c>
      <c r="C8763" t="str">
        <f>"26"</f>
        <v>26</v>
      </c>
      <c r="D8763" t="str">
        <f>"IN.RAK.DUST"</f>
        <v>IN.RAK.DUST</v>
      </c>
    </row>
    <row r="8764" spans="1:4" x14ac:dyDescent="0.2">
      <c r="A8764" t="str">
        <f>"8763"</f>
        <v>8763</v>
      </c>
      <c r="B8764" t="str">
        <f>"0.45"</f>
        <v>0.45</v>
      </c>
      <c r="C8764" t="str">
        <f>"39"</f>
        <v>39</v>
      </c>
      <c r="D8764" t="str">
        <f>"Louder Space"</f>
        <v>Louder Space</v>
      </c>
    </row>
    <row r="8765" spans="1:4" x14ac:dyDescent="0.2">
      <c r="A8765" t="str">
        <f>"8764"</f>
        <v>8764</v>
      </c>
      <c r="B8765" t="str">
        <f>"-0.17"</f>
        <v>-0.17</v>
      </c>
      <c r="C8765" t="str">
        <f>"36"</f>
        <v>36</v>
      </c>
      <c r="D8765" t="str">
        <f>"Recess"</f>
        <v>Recess</v>
      </c>
    </row>
    <row r="8766" spans="1:4" x14ac:dyDescent="0.2">
      <c r="A8766" t="str">
        <f>"8765"</f>
        <v>8765</v>
      </c>
      <c r="B8766" t="str">
        <f>"0.25"</f>
        <v>0.25</v>
      </c>
      <c r="C8766" t="str">
        <f>"26"</f>
        <v>26</v>
      </c>
      <c r="D8766" t="str">
        <f>"Waterfall EP"</f>
        <v>Waterfall EP</v>
      </c>
    </row>
    <row r="8767" spans="1:4" x14ac:dyDescent="0.2">
      <c r="A8767" t="str">
        <f>"8766"</f>
        <v>8766</v>
      </c>
      <c r="B8767" t="str">
        <f>"0.45"</f>
        <v>0.45</v>
      </c>
      <c r="C8767" t="str">
        <f>"30"</f>
        <v>30</v>
      </c>
      <c r="D8767" t="str">
        <f>"St. Carolyn by the Sea / Suite From There Will Be Blood"</f>
        <v>St. Carolyn by the Sea / Suite From There Will Be Blood</v>
      </c>
    </row>
    <row r="8768" spans="1:4" x14ac:dyDescent="0.2">
      <c r="A8768" t="str">
        <f>"8767"</f>
        <v>8767</v>
      </c>
      <c r="B8768" t="str">
        <f>"0.15"</f>
        <v>0.15</v>
      </c>
      <c r="C8768" t="str">
        <f>"42"</f>
        <v>42</v>
      </c>
      <c r="D8768" t="str">
        <f>"Forcefield"</f>
        <v>Forcefield</v>
      </c>
    </row>
    <row r="8769" spans="1:4" x14ac:dyDescent="0.2">
      <c r="A8769" t="str">
        <f>"8768"</f>
        <v>8768</v>
      </c>
      <c r="B8769" t="str">
        <f>"0.42"</f>
        <v>0.42</v>
      </c>
      <c r="C8769" t="str">
        <f>"31"</f>
        <v>31</v>
      </c>
      <c r="D8769" t="str">
        <f>"Light Divide"</f>
        <v>Light Divide</v>
      </c>
    </row>
    <row r="8770" spans="1:4" x14ac:dyDescent="0.2">
      <c r="A8770" t="str">
        <f>"8769"</f>
        <v>8769</v>
      </c>
      <c r="B8770" t="str">
        <f>"0.23"</f>
        <v>0.23</v>
      </c>
      <c r="C8770" t="str">
        <f>"32"</f>
        <v>32</v>
      </c>
      <c r="D8770" t="str">
        <f>"Underneath the Rainbow"</f>
        <v>Underneath the Rainbow</v>
      </c>
    </row>
    <row r="8771" spans="1:4" x14ac:dyDescent="0.2">
      <c r="A8771" t="str">
        <f>"8770"</f>
        <v>8770</v>
      </c>
      <c r="B8771" t="str">
        <f>"-0.49"</f>
        <v>-0.49</v>
      </c>
      <c r="C8771" t="str">
        <f>"26"</f>
        <v>26</v>
      </c>
      <c r="D8771" t="str">
        <f>"Catch the Throne: The Mixtape"</f>
        <v>Catch the Throne: The Mixtape</v>
      </c>
    </row>
    <row r="8772" spans="1:4" x14ac:dyDescent="0.2">
      <c r="A8772" t="str">
        <f>"8771"</f>
        <v>8771</v>
      </c>
      <c r="B8772" t="str">
        <f>"-0.15"</f>
        <v>-0.15</v>
      </c>
      <c r="C8772" t="str">
        <f>"50"</f>
        <v>50</v>
      </c>
      <c r="D8772" t="str">
        <f>"I Am the Last of All the Field That Fell: A Channel"</f>
        <v>I Am the Last of All the Field That Fell: A Channel</v>
      </c>
    </row>
    <row r="8773" spans="1:4" x14ac:dyDescent="0.2">
      <c r="A8773" t="str">
        <f>"8772"</f>
        <v>8772</v>
      </c>
      <c r="B8773" t="str">
        <f>"-0.91"</f>
        <v>-0.91</v>
      </c>
      <c r="C8773" t="str">
        <f>"38"</f>
        <v>38</v>
      </c>
      <c r="D8773" t="str">
        <f>"Endless Struggle"</f>
        <v>Endless Struggle</v>
      </c>
    </row>
    <row r="8774" spans="1:4" x14ac:dyDescent="0.2">
      <c r="A8774" t="str">
        <f>"8773"</f>
        <v>8773</v>
      </c>
      <c r="B8774" t="str">
        <f>"0.13"</f>
        <v>0.13</v>
      </c>
      <c r="C8774" t="str">
        <f>"22"</f>
        <v>22</v>
      </c>
      <c r="D8774" t="str">
        <f>"Daughter of Everything"</f>
        <v>Daughter of Everything</v>
      </c>
    </row>
    <row r="8775" spans="1:4" x14ac:dyDescent="0.2">
      <c r="A8775" t="str">
        <f>"8774"</f>
        <v>8774</v>
      </c>
      <c r="B8775" t="str">
        <f>"-0.13"</f>
        <v>-0.13</v>
      </c>
      <c r="C8775" t="str">
        <f>"34"</f>
        <v>34</v>
      </c>
      <c r="D8775" t="str">
        <f>"Darlings"</f>
        <v>Darlings</v>
      </c>
    </row>
    <row r="8776" spans="1:4" x14ac:dyDescent="0.2">
      <c r="A8776" t="str">
        <f>"8775"</f>
        <v>8775</v>
      </c>
      <c r="B8776" t="str">
        <f>"-0.48"</f>
        <v>-0.48</v>
      </c>
      <c r="C8776" t="str">
        <f>"44"</f>
        <v>44</v>
      </c>
      <c r="D8776" t="str">
        <f>"Suck My Shirt"</f>
        <v>Suck My Shirt</v>
      </c>
    </row>
    <row r="8777" spans="1:4" x14ac:dyDescent="0.2">
      <c r="A8777" t="str">
        <f>"8776"</f>
        <v>8776</v>
      </c>
      <c r="B8777" t="str">
        <f>"1.14"</f>
        <v>1.14</v>
      </c>
      <c r="C8777" t="str">
        <f>"20"</f>
        <v>20</v>
      </c>
      <c r="D8777" t="str">
        <f>"When the Past Arrives"</f>
        <v>When the Past Arrives</v>
      </c>
    </row>
    <row r="8778" spans="1:4" x14ac:dyDescent="0.2">
      <c r="A8778" t="str">
        <f>"8777"</f>
        <v>8777</v>
      </c>
      <c r="B8778" t="str">
        <f>"1.05"</f>
        <v>1.05</v>
      </c>
      <c r="C8778" t="str">
        <f>"31"</f>
        <v>31</v>
      </c>
      <c r="D8778" t="str">
        <f>"Vermont"</f>
        <v>Vermont</v>
      </c>
    </row>
    <row r="8779" spans="1:4" x14ac:dyDescent="0.2">
      <c r="A8779" t="str">
        <f>"8778"</f>
        <v>8778</v>
      </c>
      <c r="B8779" t="str">
        <f>"0.67"</f>
        <v>0.67</v>
      </c>
      <c r="C8779" t="str">
        <f>"35"</f>
        <v>35</v>
      </c>
      <c r="D8779" t="str">
        <f>"Mirrors the Sky"</f>
        <v>Mirrors the Sky</v>
      </c>
    </row>
    <row r="8780" spans="1:4" x14ac:dyDescent="0.2">
      <c r="A8780" t="str">
        <f>"8779"</f>
        <v>8779</v>
      </c>
      <c r="B8780" t="str">
        <f>"-0.75"</f>
        <v>-0.75</v>
      </c>
      <c r="C8780" t="str">
        <f>"33"</f>
        <v>33</v>
      </c>
      <c r="D8780" t="str">
        <f>"Lost in the Dream"</f>
        <v>Lost in the Dream</v>
      </c>
    </row>
    <row r="8781" spans="1:4" x14ac:dyDescent="0.2">
      <c r="A8781" t="str">
        <f>"8780"</f>
        <v>8780</v>
      </c>
      <c r="B8781" t="str">
        <f>"0.05"</f>
        <v>0.05</v>
      </c>
      <c r="C8781" t="str">
        <f>"44"</f>
        <v>44</v>
      </c>
      <c r="D8781" t="str">
        <f>"Satellite Flight: The Journey to Mother Moon"</f>
        <v>Satellite Flight: The Journey to Mother Moon</v>
      </c>
    </row>
    <row r="8782" spans="1:4" x14ac:dyDescent="0.2">
      <c r="A8782" t="str">
        <f>"8781"</f>
        <v>8781</v>
      </c>
      <c r="B8782" t="str">
        <f>"0.75"</f>
        <v>0.75</v>
      </c>
      <c r="C8782" t="str">
        <f>"25"</f>
        <v>25</v>
      </c>
      <c r="D8782" t="str">
        <f>"Awake"</f>
        <v>Awake</v>
      </c>
    </row>
    <row r="8783" spans="1:4" x14ac:dyDescent="0.2">
      <c r="A8783" t="str">
        <f>"8782"</f>
        <v>8782</v>
      </c>
      <c r="B8783" t="str">
        <f>"0.38"</f>
        <v>0.38</v>
      </c>
      <c r="C8783" t="str">
        <f>"46"</f>
        <v>46</v>
      </c>
      <c r="D8783" t="str">
        <f>"Dental Denial"</f>
        <v>Dental Denial</v>
      </c>
    </row>
    <row r="8784" spans="1:4" x14ac:dyDescent="0.2">
      <c r="A8784" t="str">
        <f>"8783"</f>
        <v>8783</v>
      </c>
      <c r="B8784" t="str">
        <f>"-0.05"</f>
        <v>-0.05</v>
      </c>
      <c r="C8784" t="str">
        <f>"43"</f>
        <v>43</v>
      </c>
      <c r="D8784" t="str">
        <f>"The Drain"</f>
        <v>The Drain</v>
      </c>
    </row>
    <row r="8785" spans="1:4" x14ac:dyDescent="0.2">
      <c r="A8785" t="str">
        <f>"8784"</f>
        <v>8784</v>
      </c>
      <c r="B8785" t="str">
        <f>"0.23"</f>
        <v>0.23</v>
      </c>
      <c r="C8785" t="str">
        <f>"37"</f>
        <v>37</v>
      </c>
      <c r="D8785" t="str">
        <f>"Say Yes to Love"</f>
        <v>Say Yes to Love</v>
      </c>
    </row>
    <row r="8786" spans="1:4" x14ac:dyDescent="0.2">
      <c r="A8786" t="str">
        <f>"8785"</f>
        <v>8785</v>
      </c>
      <c r="B8786" t="str">
        <f>"1.03"</f>
        <v>1.03</v>
      </c>
      <c r="C8786" t="str">
        <f>"31"</f>
        <v>31</v>
      </c>
      <c r="D8786" t="str">
        <f>"Hey EP"</f>
        <v>Hey EP</v>
      </c>
    </row>
    <row r="8787" spans="1:4" x14ac:dyDescent="0.2">
      <c r="A8787" t="str">
        <f>"8786"</f>
        <v>8786</v>
      </c>
      <c r="B8787" t="str">
        <f>"0.8"</f>
        <v>0.8</v>
      </c>
      <c r="C8787" t="str">
        <f>"23"</f>
        <v>23</v>
      </c>
      <c r="D8787" t="str">
        <f>"We Got a Love"</f>
        <v>We Got a Love</v>
      </c>
    </row>
    <row r="8788" spans="1:4" x14ac:dyDescent="0.2">
      <c r="A8788" t="str">
        <f>"8787"</f>
        <v>8787</v>
      </c>
      <c r="B8788" t="str">
        <f>"0.69"</f>
        <v>0.69</v>
      </c>
      <c r="C8788" t="str">
        <f>"21"</f>
        <v>21</v>
      </c>
      <c r="D8788" t="str">
        <f>"Jimmy the Burnout"</f>
        <v>Jimmy the Burnout</v>
      </c>
    </row>
    <row r="8789" spans="1:4" x14ac:dyDescent="0.2">
      <c r="A8789" t="str">
        <f>"8788"</f>
        <v>8788</v>
      </c>
      <c r="B8789" t="str">
        <f>"0.37"</f>
        <v>0.37</v>
      </c>
      <c r="C8789" t="str">
        <f>"38"</f>
        <v>38</v>
      </c>
      <c r="D8789" t="str">
        <f>"Love Is Here To Stay"</f>
        <v>Love Is Here To Stay</v>
      </c>
    </row>
    <row r="8790" spans="1:4" x14ac:dyDescent="0.2">
      <c r="A8790" t="str">
        <f>"8789"</f>
        <v>8789</v>
      </c>
      <c r="B8790" t="str">
        <f>"0.5"</f>
        <v>0.5</v>
      </c>
      <c r="C8790" t="str">
        <f>"39"</f>
        <v>39</v>
      </c>
      <c r="D8790" t="str">
        <f>"Joyland"</f>
        <v>Joyland</v>
      </c>
    </row>
    <row r="8791" spans="1:4" x14ac:dyDescent="0.2">
      <c r="A8791" t="str">
        <f>"8790"</f>
        <v>8790</v>
      </c>
      <c r="B8791" t="str">
        <f>"0.61"</f>
        <v>0.61</v>
      </c>
      <c r="C8791" t="str">
        <f>"33"</f>
        <v>33</v>
      </c>
      <c r="D8791" t="str">
        <f>"The Drive In Theatre"</f>
        <v>The Drive In Theatre</v>
      </c>
    </row>
    <row r="8792" spans="1:4" x14ac:dyDescent="0.2">
      <c r="A8792" t="str">
        <f>"8791"</f>
        <v>8791</v>
      </c>
      <c r="B8792" t="str">
        <f>"0.26"</f>
        <v>0.26</v>
      </c>
      <c r="C8792" t="str">
        <f>"26"</f>
        <v>26</v>
      </c>
      <c r="D8792" t="str">
        <f>"Fabric 74"</f>
        <v>Fabric 74</v>
      </c>
    </row>
    <row r="8793" spans="1:4" x14ac:dyDescent="0.2">
      <c r="A8793" t="str">
        <f>"8792"</f>
        <v>8792</v>
      </c>
      <c r="B8793" t="str">
        <f>"-1.02"</f>
        <v>-1.02</v>
      </c>
      <c r="C8793" t="str">
        <f>"25"</f>
        <v>25</v>
      </c>
      <c r="D8793" t="str">
        <f>"The Unsemble"</f>
        <v>The Unsemble</v>
      </c>
    </row>
    <row r="8794" spans="1:4" x14ac:dyDescent="0.2">
      <c r="A8794" t="str">
        <f>"8793"</f>
        <v>8793</v>
      </c>
      <c r="B8794" t="str">
        <f>"-0.67"</f>
        <v>-0.67</v>
      </c>
      <c r="C8794" t="str">
        <f>"32"</f>
        <v>32</v>
      </c>
      <c r="D8794" t="str">
        <f>"Hammer of the Witch"</f>
        <v>Hammer of the Witch</v>
      </c>
    </row>
    <row r="8795" spans="1:4" x14ac:dyDescent="0.2">
      <c r="A8795" t="str">
        <f>"8794"</f>
        <v>8794</v>
      </c>
      <c r="B8795" t="str">
        <f>"-0.25"</f>
        <v>-0.25</v>
      </c>
      <c r="C8795" t="str">
        <f>"37"</f>
        <v>37</v>
      </c>
      <c r="D8795" t="str">
        <f>"Piñata"</f>
        <v>Piñata</v>
      </c>
    </row>
    <row r="8796" spans="1:4" x14ac:dyDescent="0.2">
      <c r="A8796" t="str">
        <f>"8795"</f>
        <v>8795</v>
      </c>
      <c r="B8796" t="str">
        <f>"-1.26"</f>
        <v>-1.26</v>
      </c>
      <c r="C8796" t="str">
        <f>"54"</f>
        <v>54</v>
      </c>
      <c r="D8796" t="str">
        <f>"Rat Conspiracy"</f>
        <v>Rat Conspiracy</v>
      </c>
    </row>
    <row r="8797" spans="1:4" x14ac:dyDescent="0.2">
      <c r="A8797" t="str">
        <f>"8796"</f>
        <v>8796</v>
      </c>
      <c r="B8797" t="str">
        <f>"-0.14"</f>
        <v>-0.14</v>
      </c>
      <c r="C8797" t="str">
        <f>"26"</f>
        <v>26</v>
      </c>
      <c r="D8797" t="str">
        <f>"The Take Off and Landing of Everything"</f>
        <v>The Take Off and Landing of Everything</v>
      </c>
    </row>
    <row r="8798" spans="1:4" x14ac:dyDescent="0.2">
      <c r="A8798" t="str">
        <f>"8797"</f>
        <v>8797</v>
      </c>
      <c r="B8798" t="str">
        <f>"0.23"</f>
        <v>0.23</v>
      </c>
      <c r="C8798" t="str">
        <f>"29"</f>
        <v>29</v>
      </c>
      <c r="D8798" t="str">
        <f>"The Aquaplano Sessions"</f>
        <v>The Aquaplano Sessions</v>
      </c>
    </row>
    <row r="8799" spans="1:4" x14ac:dyDescent="0.2">
      <c r="A8799" t="str">
        <f>"8798"</f>
        <v>8798</v>
      </c>
      <c r="B8799" t="str">
        <f>"0.3"</f>
        <v>0.3</v>
      </c>
      <c r="C8799" t="str">
        <f>"40"</f>
        <v>40</v>
      </c>
      <c r="D8799" t="str">
        <f>"Soft Opening"</f>
        <v>Soft Opening</v>
      </c>
    </row>
    <row r="8800" spans="1:4" x14ac:dyDescent="0.2">
      <c r="A8800" t="str">
        <f>"8799"</f>
        <v>8799</v>
      </c>
      <c r="B8800" t="str">
        <f>"0.93"</f>
        <v>0.93</v>
      </c>
      <c r="C8800" t="str">
        <f>"25"</f>
        <v>25</v>
      </c>
      <c r="D8800" t="str">
        <f>"Dean Wareham"</f>
        <v>Dean Wareham</v>
      </c>
    </row>
    <row r="8801" spans="1:4" x14ac:dyDescent="0.2">
      <c r="A8801" t="str">
        <f>"8800"</f>
        <v>8800</v>
      </c>
      <c r="B8801" t="str">
        <f>"0.21"</f>
        <v>0.21</v>
      </c>
      <c r="C8801" t="str">
        <f>"30"</f>
        <v>30</v>
      </c>
      <c r="D8801" t="str">
        <f>"Young Money: Rise of an Empire"</f>
        <v>Young Money: Rise of an Empire</v>
      </c>
    </row>
    <row r="8802" spans="1:4" x14ac:dyDescent="0.2">
      <c r="A8802" t="str">
        <f>"8801"</f>
        <v>8801</v>
      </c>
      <c r="B8802" t="str">
        <f>"-0.25"</f>
        <v>-0.25</v>
      </c>
      <c r="C8802" t="str">
        <f>"74"</f>
        <v>74</v>
      </c>
      <c r="D8802" t="str">
        <f>"“Second Poem To Karmela"" Or Gypsies Are Important"</f>
        <v>“Second Poem To Karmela" Or Gypsies Are Important</v>
      </c>
    </row>
    <row r="8803" spans="1:4" x14ac:dyDescent="0.2">
      <c r="A8803" t="str">
        <f>"8802"</f>
        <v>8802</v>
      </c>
      <c r="B8803" t="str">
        <f>"0.53"</f>
        <v>0.53</v>
      </c>
      <c r="C8803" t="str">
        <f>"20"</f>
        <v>20</v>
      </c>
      <c r="D8803" t="str">
        <f>"Untitled EP"</f>
        <v>Untitled EP</v>
      </c>
    </row>
    <row r="8804" spans="1:4" x14ac:dyDescent="0.2">
      <c r="A8804" t="str">
        <f>"8803"</f>
        <v>8803</v>
      </c>
      <c r="B8804" t="str">
        <f>"-1.46"</f>
        <v>-1.46</v>
      </c>
      <c r="C8804" t="str">
        <f>"22"</f>
        <v>22</v>
      </c>
      <c r="D8804" t="str">
        <f>"The Parasitic Survival of the Human Race"</f>
        <v>The Parasitic Survival of the Human Race</v>
      </c>
    </row>
    <row r="8805" spans="1:4" x14ac:dyDescent="0.2">
      <c r="A8805" t="str">
        <f>"8804"</f>
        <v>8804</v>
      </c>
      <c r="B8805" t="str">
        <f>"0.36"</f>
        <v>0.36</v>
      </c>
      <c r="C8805" t="str">
        <f>"44"</f>
        <v>44</v>
      </c>
      <c r="D8805" t="str">
        <f>"Zentropy"</f>
        <v>Zentropy</v>
      </c>
    </row>
    <row r="8806" spans="1:4" x14ac:dyDescent="0.2">
      <c r="A8806" t="str">
        <f>"8805"</f>
        <v>8805</v>
      </c>
      <c r="B8806" t="str">
        <f>"0.85"</f>
        <v>0.85</v>
      </c>
      <c r="C8806" t="str">
        <f>"36"</f>
        <v>36</v>
      </c>
      <c r="D8806" t="str">
        <f>"Belomancie"</f>
        <v>Belomancie</v>
      </c>
    </row>
    <row r="8807" spans="1:4" x14ac:dyDescent="0.2">
      <c r="A8807" t="str">
        <f>"8806"</f>
        <v>8806</v>
      </c>
      <c r="B8807" t="str">
        <f>"0.02"</f>
        <v>0.02</v>
      </c>
      <c r="C8807" t="str">
        <f>"26"</f>
        <v>26</v>
      </c>
      <c r="D8807" t="str">
        <f>"Abandoned City"</f>
        <v>Abandoned City</v>
      </c>
    </row>
    <row r="8808" spans="1:4" x14ac:dyDescent="0.2">
      <c r="A8808" t="str">
        <f>"8807"</f>
        <v>8807</v>
      </c>
      <c r="B8808" t="str">
        <f>"-0.12"</f>
        <v>-0.12</v>
      </c>
      <c r="C8808" t="str">
        <f>"38"</f>
        <v>38</v>
      </c>
      <c r="D8808" t="str">
        <f>"Heathen"</f>
        <v>Heathen</v>
      </c>
    </row>
    <row r="8809" spans="1:4" x14ac:dyDescent="0.2">
      <c r="A8809" t="str">
        <f>"8808"</f>
        <v>8808</v>
      </c>
      <c r="B8809" t="str">
        <f>"0.61"</f>
        <v>0.61</v>
      </c>
      <c r="C8809" t="str">
        <f>"27"</f>
        <v>27</v>
      </c>
      <c r="D8809" t="str">
        <f>"Glow"</f>
        <v>Glow</v>
      </c>
    </row>
    <row r="8810" spans="1:4" x14ac:dyDescent="0.2">
      <c r="A8810" t="str">
        <f>"8809"</f>
        <v>8809</v>
      </c>
      <c r="B8810" t="str">
        <f>"-0.01"</f>
        <v>-0.01</v>
      </c>
      <c r="C8810" t="str">
        <f>"16"</f>
        <v>16</v>
      </c>
      <c r="D8810" t="str">
        <f>"Love Letters"</f>
        <v>Love Letters</v>
      </c>
    </row>
    <row r="8811" spans="1:4" x14ac:dyDescent="0.2">
      <c r="A8811" t="str">
        <f>"8810"</f>
        <v>8810</v>
      </c>
      <c r="B8811" t="str">
        <f>"0"</f>
        <v>0</v>
      </c>
      <c r="C8811" t="str">
        <f>"26"</f>
        <v>26</v>
      </c>
      <c r="D8811" t="str">
        <f>"Eagulls"</f>
        <v>Eagulls</v>
      </c>
    </row>
    <row r="8812" spans="1:4" x14ac:dyDescent="0.2">
      <c r="A8812" t="str">
        <f>"8811"</f>
        <v>8811</v>
      </c>
      <c r="B8812" t="str">
        <f>"0.64"</f>
        <v>0.64</v>
      </c>
      <c r="C8812" t="str">
        <f>"31"</f>
        <v>31</v>
      </c>
      <c r="D8812" t="str">
        <f>"Doubled Exposure"</f>
        <v>Doubled Exposure</v>
      </c>
    </row>
    <row r="8813" spans="1:4" x14ac:dyDescent="0.2">
      <c r="A8813" t="str">
        <f>"8812"</f>
        <v>8812</v>
      </c>
      <c r="B8813" t="str">
        <f>"0.61"</f>
        <v>0.61</v>
      </c>
      <c r="C8813" t="str">
        <f>"21"</f>
        <v>21</v>
      </c>
      <c r="D8813" t="str">
        <f>"Axxa/Abraxas"</f>
        <v>Axxa/Abraxas</v>
      </c>
    </row>
    <row r="8814" spans="1:4" x14ac:dyDescent="0.2">
      <c r="A8814" t="str">
        <f>"8813"</f>
        <v>8813</v>
      </c>
      <c r="B8814" t="str">
        <f>"-0.01"</f>
        <v>-0.01</v>
      </c>
      <c r="C8814" t="str">
        <f>"51"</f>
        <v>51</v>
      </c>
      <c r="D8814" t="str">
        <f>"Kindly Bent to Free Us"</f>
        <v>Kindly Bent to Free Us</v>
      </c>
    </row>
    <row r="8815" spans="1:4" x14ac:dyDescent="0.2">
      <c r="A8815" t="str">
        <f>"8814"</f>
        <v>8814</v>
      </c>
      <c r="B8815" t="str">
        <f>"-0.07"</f>
        <v>-0.07</v>
      </c>
      <c r="C8815" t="str">
        <f>"50"</f>
        <v>50</v>
      </c>
      <c r="D8815" t="str">
        <f>"G I R L"</f>
        <v>G I R L</v>
      </c>
    </row>
    <row r="8816" spans="1:4" x14ac:dyDescent="0.2">
      <c r="A8816" t="str">
        <f>"8815"</f>
        <v>8815</v>
      </c>
      <c r="B8816" t="str">
        <f>"0.66"</f>
        <v>0.66</v>
      </c>
      <c r="C8816" t="str">
        <f>"23"</f>
        <v>23</v>
      </c>
      <c r="D8816" t="str">
        <f>"No Mythologies to Follow"</f>
        <v>No Mythologies to Follow</v>
      </c>
    </row>
    <row r="8817" spans="1:4" x14ac:dyDescent="0.2">
      <c r="A8817" t="str">
        <f>"8816"</f>
        <v>8816</v>
      </c>
      <c r="B8817" t="str">
        <f>"1.38"</f>
        <v>1.38</v>
      </c>
      <c r="C8817" t="str">
        <f>"43"</f>
        <v>43</v>
      </c>
      <c r="D8817" t="str">
        <f>"The Soul of All Natural Things"</f>
        <v>The Soul of All Natural Things</v>
      </c>
    </row>
    <row r="8818" spans="1:4" x14ac:dyDescent="0.2">
      <c r="A8818" t="str">
        <f>"8817"</f>
        <v>8817</v>
      </c>
      <c r="B8818" t="str">
        <f>"1.38"</f>
        <v>1.38</v>
      </c>
      <c r="C8818" t="str">
        <f>"27"</f>
        <v>27</v>
      </c>
      <c r="D8818" t="str">
        <f>"The Drop Beneath"</f>
        <v>The Drop Beneath</v>
      </c>
    </row>
    <row r="8819" spans="1:4" x14ac:dyDescent="0.2">
      <c r="A8819" t="str">
        <f>"8818"</f>
        <v>8818</v>
      </c>
      <c r="B8819" t="str">
        <f>"0.15"</f>
        <v>0.15</v>
      </c>
      <c r="C8819" t="str">
        <f>"30"</f>
        <v>30</v>
      </c>
      <c r="D8819" t="str">
        <f>"Spectre"</f>
        <v>Spectre</v>
      </c>
    </row>
    <row r="8820" spans="1:4" x14ac:dyDescent="0.2">
      <c r="A8820" t="str">
        <f>"8819"</f>
        <v>8819</v>
      </c>
      <c r="B8820" t="str">
        <f>"-1.01"</f>
        <v>-1.01</v>
      </c>
      <c r="C8820" t="str">
        <f>"53"</f>
        <v>53</v>
      </c>
      <c r="D8820" t="str">
        <f>"Mastermind"</f>
        <v>Mastermind</v>
      </c>
    </row>
    <row r="8821" spans="1:4" x14ac:dyDescent="0.2">
      <c r="A8821" t="str">
        <f>"8820"</f>
        <v>8820</v>
      </c>
      <c r="B8821" t="str">
        <f>"-0.76"</f>
        <v>-0.76</v>
      </c>
      <c r="C8821" t="str">
        <f>"31"</f>
        <v>31</v>
      </c>
      <c r="D8821" t="str">
        <f>"Guilty of Everything"</f>
        <v>Guilty of Everything</v>
      </c>
    </row>
    <row r="8822" spans="1:4" x14ac:dyDescent="0.2">
      <c r="A8822" t="str">
        <f>"8821"</f>
        <v>8821</v>
      </c>
      <c r="B8822" t="str">
        <f>"-0.63"</f>
        <v>-0.63</v>
      </c>
      <c r="C8822" t="str">
        <f>"29"</f>
        <v>29</v>
      </c>
      <c r="D8822" t="str">
        <f>"Yung Archetype EP"</f>
        <v>Yung Archetype EP</v>
      </c>
    </row>
    <row r="8823" spans="1:4" x14ac:dyDescent="0.2">
      <c r="A8823" t="str">
        <f>"8822"</f>
        <v>8822</v>
      </c>
      <c r="B8823" t="str">
        <f>"0.31"</f>
        <v>0.31</v>
      </c>
      <c r="C8823" t="str">
        <f>"26"</f>
        <v>26</v>
      </c>
      <c r="D8823" t="str">
        <f>"Aqonis"</f>
        <v>Aqonis</v>
      </c>
    </row>
    <row r="8824" spans="1:4" x14ac:dyDescent="0.2">
      <c r="A8824" t="str">
        <f>"8823"</f>
        <v>8823</v>
      </c>
      <c r="B8824" t="str">
        <f>"-0.29"</f>
        <v>-0.29</v>
      </c>
      <c r="C8824" t="str">
        <f>"36"</f>
        <v>36</v>
      </c>
      <c r="D8824" t="str">
        <f>"Three Seashells"</f>
        <v>Three Seashells</v>
      </c>
    </row>
    <row r="8825" spans="1:4" x14ac:dyDescent="0.2">
      <c r="A8825" t="str">
        <f>"8824"</f>
        <v>8824</v>
      </c>
      <c r="B8825" t="str">
        <f>"0.01"</f>
        <v>0.01</v>
      </c>
      <c r="C8825" t="str">
        <f>"25"</f>
        <v>25</v>
      </c>
      <c r="D8825" t="str">
        <f>"Warfaring Strangers: Darkscorch Canticles"</f>
        <v>Warfaring Strangers: Darkscorch Canticles</v>
      </c>
    </row>
    <row r="8826" spans="1:4" x14ac:dyDescent="0.2">
      <c r="A8826" t="str">
        <f>"8825"</f>
        <v>8825</v>
      </c>
      <c r="B8826" t="str">
        <f>"0.53"</f>
        <v>0.53</v>
      </c>
      <c r="C8826" t="str">
        <f>"36"</f>
        <v>36</v>
      </c>
      <c r="D8826" t="str">
        <f>"English Oceans"</f>
        <v>English Oceans</v>
      </c>
    </row>
    <row r="8827" spans="1:4" x14ac:dyDescent="0.2">
      <c r="A8827" t="str">
        <f>"8826"</f>
        <v>8826</v>
      </c>
      <c r="B8827" t="str">
        <f>"0.23"</f>
        <v>0.23</v>
      </c>
      <c r="C8827" t="str">
        <f>"27"</f>
        <v>27</v>
      </c>
      <c r="D8827" t="str">
        <f>"The Power and the Glory"</f>
        <v>The Power and the Glory</v>
      </c>
    </row>
    <row r="8828" spans="1:4" x14ac:dyDescent="0.2">
      <c r="A8828" t="str">
        <f>"8827"</f>
        <v>8827</v>
      </c>
      <c r="B8828" t="str">
        <f>"-0.53"</f>
        <v>-0.53</v>
      </c>
      <c r="C8828" t="str">
        <f>"34"</f>
        <v>34</v>
      </c>
      <c r="D8828" t="str">
        <f>"The Air You Found"</f>
        <v>The Air You Found</v>
      </c>
    </row>
    <row r="8829" spans="1:4" x14ac:dyDescent="0.2">
      <c r="A8829" t="str">
        <f>"8828"</f>
        <v>8828</v>
      </c>
      <c r="B8829" t="str">
        <f>"0.39"</f>
        <v>0.39</v>
      </c>
      <c r="C8829" t="str">
        <f>"31"</f>
        <v>31</v>
      </c>
      <c r="D8829" t="str">
        <f>"Dreams"</f>
        <v>Dreams</v>
      </c>
    </row>
    <row r="8830" spans="1:4" x14ac:dyDescent="0.2">
      <c r="A8830" t="str">
        <f>"8829"</f>
        <v>8829</v>
      </c>
      <c r="B8830" t="str">
        <f>"0.35"</f>
        <v>0.35</v>
      </c>
      <c r="C8830" t="str">
        <f>"35"</f>
        <v>35</v>
      </c>
      <c r="D8830" t="str">
        <f>"Tomorrow's Hits"</f>
        <v>Tomorrow's Hits</v>
      </c>
    </row>
    <row r="8831" spans="1:4" x14ac:dyDescent="0.2">
      <c r="A8831" t="str">
        <f>"8830"</f>
        <v>8830</v>
      </c>
      <c r="B8831" t="str">
        <f>"-0.93"</f>
        <v>-0.93</v>
      </c>
      <c r="C8831" t="str">
        <f>"20"</f>
        <v>20</v>
      </c>
      <c r="D8831" t="str">
        <f>"Death After Life"</f>
        <v>Death After Life</v>
      </c>
    </row>
    <row r="8832" spans="1:4" x14ac:dyDescent="0.2">
      <c r="A8832" t="str">
        <f>"8831"</f>
        <v>8831</v>
      </c>
      <c r="B8832" t="str">
        <f>"-0.91"</f>
        <v>-0.91</v>
      </c>
      <c r="C8832" t="str">
        <f>"24"</f>
        <v>24</v>
      </c>
      <c r="D8832" t="str">
        <f>"ESTOILE NAIANT"</f>
        <v>ESTOILE NAIANT</v>
      </c>
    </row>
    <row r="8833" spans="1:4" x14ac:dyDescent="0.2">
      <c r="A8833" t="str">
        <f>"8832"</f>
        <v>8832</v>
      </c>
      <c r="B8833" t="str">
        <f>"0.47"</f>
        <v>0.47</v>
      </c>
      <c r="C8833" t="str">
        <f>"23"</f>
        <v>23</v>
      </c>
      <c r="D8833" t="str">
        <f>"Pulsing EP"</f>
        <v>Pulsing EP</v>
      </c>
    </row>
    <row r="8834" spans="1:4" x14ac:dyDescent="0.2">
      <c r="A8834" t="str">
        <f>"8833"</f>
        <v>8833</v>
      </c>
      <c r="B8834" t="str">
        <f>"0.94"</f>
        <v>0.94</v>
      </c>
      <c r="C8834" t="str">
        <f>"27"</f>
        <v>27</v>
      </c>
      <c r="D8834" t="str">
        <f>"Shochu Sounds"</f>
        <v>Shochu Sounds</v>
      </c>
    </row>
    <row r="8835" spans="1:4" x14ac:dyDescent="0.2">
      <c r="A8835" t="str">
        <f>"8834"</f>
        <v>8834</v>
      </c>
      <c r="B8835" t="str">
        <f>"-0.13"</f>
        <v>-0.13</v>
      </c>
      <c r="C8835" t="str">
        <f>"48"</f>
        <v>48</v>
      </c>
      <c r="D8835" t="str">
        <f>"Atlas"</f>
        <v>Atlas</v>
      </c>
    </row>
    <row r="8836" spans="1:4" x14ac:dyDescent="0.2">
      <c r="A8836" t="str">
        <f>"8835"</f>
        <v>8835</v>
      </c>
      <c r="B8836" t="str">
        <f>"0.34"</f>
        <v>0.34</v>
      </c>
      <c r="C8836" t="str">
        <f>"23"</f>
        <v>23</v>
      </c>
      <c r="D8836" t="str">
        <f>"Apocalypse Soon EP"</f>
        <v>Apocalypse Soon EP</v>
      </c>
    </row>
    <row r="8837" spans="1:4" x14ac:dyDescent="0.2">
      <c r="A8837" t="str">
        <f>"8836"</f>
        <v>8836</v>
      </c>
      <c r="B8837" t="str">
        <f>"1.88"</f>
        <v>1.88</v>
      </c>
      <c r="C8837" t="str">
        <f>"14"</f>
        <v>14</v>
      </c>
      <c r="D8837" t="str">
        <f>"The Perfect Lullaby Vol. 2"</f>
        <v>The Perfect Lullaby Vol. 2</v>
      </c>
    </row>
    <row r="8838" spans="1:4" x14ac:dyDescent="0.2">
      <c r="A8838" t="str">
        <f>"8837"</f>
        <v>8837</v>
      </c>
      <c r="B8838" t="str">
        <f>"1.35"</f>
        <v>1.35</v>
      </c>
      <c r="C8838" t="str">
        <f>"30"</f>
        <v>30</v>
      </c>
      <c r="D8838" t="str">
        <f>"Soul Jazz Presents: Studio One Rocksteady"</f>
        <v>Soul Jazz Presents: Studio One Rocksteady</v>
      </c>
    </row>
    <row r="8839" spans="1:4" x14ac:dyDescent="0.2">
      <c r="A8839" t="str">
        <f>"8838"</f>
        <v>8838</v>
      </c>
      <c r="B8839" t="str">
        <f>"0.44"</f>
        <v>0.44</v>
      </c>
      <c r="C8839" t="str">
        <f>"27"</f>
        <v>27</v>
      </c>
      <c r="D8839" t="str">
        <f>"Island Intervals"</f>
        <v>Island Intervals</v>
      </c>
    </row>
    <row r="8840" spans="1:4" x14ac:dyDescent="0.2">
      <c r="A8840" t="str">
        <f>"8839"</f>
        <v>8839</v>
      </c>
      <c r="B8840" t="str">
        <f>"-0.52"</f>
        <v>-0.52</v>
      </c>
      <c r="C8840" t="str">
        <f>"36"</f>
        <v>36</v>
      </c>
      <c r="D8840" t="str">
        <f>"Oxymoron"</f>
        <v>Oxymoron</v>
      </c>
    </row>
    <row r="8841" spans="1:4" x14ac:dyDescent="0.2">
      <c r="A8841" t="str">
        <f>"8840"</f>
        <v>8840</v>
      </c>
      <c r="B8841" t="str">
        <f>"-1.53"</f>
        <v>-1.53</v>
      </c>
      <c r="C8841" t="str">
        <f>"46"</f>
        <v>46</v>
      </c>
      <c r="D8841" t="s">
        <v>285</v>
      </c>
    </row>
    <row r="8842" spans="1:4" x14ac:dyDescent="0.2">
      <c r="A8842" t="str">
        <f>"8841"</f>
        <v>8841</v>
      </c>
      <c r="B8842" t="str">
        <f>"0.41"</f>
        <v>0.41</v>
      </c>
      <c r="C8842" t="str">
        <f>"32"</f>
        <v>32</v>
      </c>
      <c r="D8842" t="str">
        <f>"Three Love Songs"</f>
        <v>Three Love Songs</v>
      </c>
    </row>
    <row r="8843" spans="1:4" x14ac:dyDescent="0.2">
      <c r="A8843" t="str">
        <f>"8842"</f>
        <v>8842</v>
      </c>
      <c r="B8843" t="str">
        <f>"0.64"</f>
        <v>0.64</v>
      </c>
      <c r="C8843" t="str">
        <f>"41"</f>
        <v>41</v>
      </c>
      <c r="D8843" t="str">
        <f>"Electric Balloon"</f>
        <v>Electric Balloon</v>
      </c>
    </row>
    <row r="8844" spans="1:4" x14ac:dyDescent="0.2">
      <c r="A8844" t="str">
        <f>"8843"</f>
        <v>8843</v>
      </c>
      <c r="B8844" t="str">
        <f>"-0.01"</f>
        <v>-0.01</v>
      </c>
      <c r="C8844" t="str">
        <f>"31"</f>
        <v>31</v>
      </c>
      <c r="D8844" t="str">
        <f>"Wave 1"</f>
        <v>Wave 1</v>
      </c>
    </row>
    <row r="8845" spans="1:4" x14ac:dyDescent="0.2">
      <c r="A8845" t="str">
        <f>"8844"</f>
        <v>8844</v>
      </c>
      <c r="B8845" t="str">
        <f>"-0.05"</f>
        <v>-0.05</v>
      </c>
      <c r="C8845" t="str">
        <f>"24"</f>
        <v>24</v>
      </c>
      <c r="D8845" t="str">
        <f>"Close to the Glass"</f>
        <v>Close to the Glass</v>
      </c>
    </row>
    <row r="8846" spans="1:4" x14ac:dyDescent="0.2">
      <c r="A8846" t="str">
        <f>"8845"</f>
        <v>8845</v>
      </c>
      <c r="B8846" t="str">
        <f>"0.38"</f>
        <v>0.38</v>
      </c>
      <c r="C8846" t="str">
        <f>"27"</f>
        <v>27</v>
      </c>
      <c r="D8846" t="str">
        <f>"Moodymann"</f>
        <v>Moodymann</v>
      </c>
    </row>
    <row r="8847" spans="1:4" x14ac:dyDescent="0.2">
      <c r="A8847" t="str">
        <f>"8846"</f>
        <v>8846</v>
      </c>
      <c r="B8847" t="str">
        <f>"-0.45"</f>
        <v>-0.45</v>
      </c>
      <c r="C8847" t="str">
        <f>"50"</f>
        <v>50</v>
      </c>
      <c r="D8847" t="str">
        <f>"Workbook 25"</f>
        <v>Workbook 25</v>
      </c>
    </row>
    <row r="8848" spans="1:4" x14ac:dyDescent="0.2">
      <c r="A8848" t="str">
        <f>"8847"</f>
        <v>8847</v>
      </c>
      <c r="B8848" t="str">
        <f>"-0.44"</f>
        <v>-0.44</v>
      </c>
      <c r="C8848" t="str">
        <f>"21"</f>
        <v>21</v>
      </c>
      <c r="D8848" t="str">
        <f>"Manhattan"</f>
        <v>Manhattan</v>
      </c>
    </row>
    <row r="8849" spans="1:4" x14ac:dyDescent="0.2">
      <c r="A8849" t="str">
        <f>"8848"</f>
        <v>8848</v>
      </c>
      <c r="B8849" t="str">
        <f>"0.03"</f>
        <v>0.03</v>
      </c>
      <c r="C8849" t="str">
        <f>"37"</f>
        <v>37</v>
      </c>
      <c r="D8849" t="str">
        <f>"Konstellaatio"</f>
        <v>Konstellaatio</v>
      </c>
    </row>
    <row r="8850" spans="1:4" x14ac:dyDescent="0.2">
      <c r="A8850" t="str">
        <f>"8849"</f>
        <v>8849</v>
      </c>
      <c r="B8850" t="str">
        <f>"-0.71"</f>
        <v>-0.71</v>
      </c>
      <c r="C8850" t="str">
        <f>"38"</f>
        <v>38</v>
      </c>
      <c r="D8850" t="str">
        <f>"Present Tense"</f>
        <v>Present Tense</v>
      </c>
    </row>
    <row r="8851" spans="1:4" x14ac:dyDescent="0.2">
      <c r="A8851" t="str">
        <f>"8850"</f>
        <v>8850</v>
      </c>
      <c r="B8851" t="str">
        <f>"0.17"</f>
        <v>0.17</v>
      </c>
      <c r="C8851" t="str">
        <f>"53"</f>
        <v>53</v>
      </c>
      <c r="D8851" t="str">
        <f>"Indoor Living"</f>
        <v>Indoor Living</v>
      </c>
    </row>
    <row r="8852" spans="1:4" x14ac:dyDescent="0.2">
      <c r="A8852" t="str">
        <f>"8851"</f>
        <v>8851</v>
      </c>
      <c r="B8852" t="str">
        <f>"-0.56"</f>
        <v>-0.56</v>
      </c>
      <c r="C8852" t="str">
        <f>"44"</f>
        <v>44</v>
      </c>
      <c r="D8852" t="str">
        <f>"The Satanist"</f>
        <v>The Satanist</v>
      </c>
    </row>
    <row r="8853" spans="1:4" x14ac:dyDescent="0.2">
      <c r="A8853" t="str">
        <f>"8852"</f>
        <v>8852</v>
      </c>
      <c r="B8853" t="str">
        <f>"0.5"</f>
        <v>0.5</v>
      </c>
      <c r="C8853" t="str">
        <f>"17"</f>
        <v>17</v>
      </c>
      <c r="D8853" t="str">
        <f>"No. 2"</f>
        <v>No. 2</v>
      </c>
    </row>
    <row r="8854" spans="1:4" x14ac:dyDescent="0.2">
      <c r="A8854" t="str">
        <f>"8853"</f>
        <v>8853</v>
      </c>
      <c r="B8854" t="str">
        <f>"0.26"</f>
        <v>0.26</v>
      </c>
      <c r="C8854" t="str">
        <f>"20"</f>
        <v>20</v>
      </c>
      <c r="D8854" t="str">
        <f>"Inner Fire"</f>
        <v>Inner Fire</v>
      </c>
    </row>
    <row r="8855" spans="1:4" x14ac:dyDescent="0.2">
      <c r="A8855" t="str">
        <f>"8854"</f>
        <v>8854</v>
      </c>
      <c r="B8855" t="str">
        <f>"0.58"</f>
        <v>0.58</v>
      </c>
      <c r="C8855" t="str">
        <f>"42"</f>
        <v>42</v>
      </c>
      <c r="D8855" t="str">
        <f>"Morning Phase"</f>
        <v>Morning Phase</v>
      </c>
    </row>
    <row r="8856" spans="1:4" x14ac:dyDescent="0.2">
      <c r="A8856" t="str">
        <f>"8855"</f>
        <v>8855</v>
      </c>
      <c r="B8856" t="str">
        <f>"-0.44"</f>
        <v>-0.44</v>
      </c>
      <c r="C8856" t="str">
        <f>"36"</f>
        <v>36</v>
      </c>
      <c r="D8856" t="str">
        <f>"Hubba Bubba"</f>
        <v>Hubba Bubba</v>
      </c>
    </row>
    <row r="8857" spans="1:4" x14ac:dyDescent="0.2">
      <c r="A8857" t="str">
        <f>"8856"</f>
        <v>8856</v>
      </c>
      <c r="B8857" t="str">
        <f>"0.11"</f>
        <v>0.11</v>
      </c>
      <c r="C8857" t="str">
        <f>"33"</f>
        <v>33</v>
      </c>
      <c r="D8857" t="str">
        <f>"The King"</f>
        <v>The King</v>
      </c>
    </row>
    <row r="8858" spans="1:4" x14ac:dyDescent="0.2">
      <c r="A8858" t="str">
        <f>"8857"</f>
        <v>8857</v>
      </c>
      <c r="B8858" t="str">
        <f>"-0.17"</f>
        <v>-0.17</v>
      </c>
      <c r="C8858" t="str">
        <f>"22"</f>
        <v>22</v>
      </c>
      <c r="D8858" t="str">
        <f>"White Sands"</f>
        <v>White Sands</v>
      </c>
    </row>
    <row r="8859" spans="1:4" x14ac:dyDescent="0.2">
      <c r="A8859" t="str">
        <f>"8858"</f>
        <v>8858</v>
      </c>
      <c r="B8859" t="str">
        <f>"-0.59"</f>
        <v>-0.59</v>
      </c>
      <c r="C8859" t="str">
        <f>"20"</f>
        <v>20</v>
      </c>
      <c r="D8859" t="str">
        <f>"NVM"</f>
        <v>NVM</v>
      </c>
    </row>
    <row r="8860" spans="1:4" x14ac:dyDescent="0.2">
      <c r="A8860" t="str">
        <f>"8859"</f>
        <v>8859</v>
      </c>
      <c r="B8860" t="str">
        <f>"0.07"</f>
        <v>0.07</v>
      </c>
      <c r="C8860" t="str">
        <f>"51"</f>
        <v>51</v>
      </c>
      <c r="D8860" t="str">
        <f>"St. Vincent"</f>
        <v>St. Vincent</v>
      </c>
    </row>
    <row r="8861" spans="1:4" x14ac:dyDescent="0.2">
      <c r="A8861" t="str">
        <f>"8860"</f>
        <v>8860</v>
      </c>
      <c r="B8861" t="str">
        <f>"0.42"</f>
        <v>0.42</v>
      </c>
      <c r="C8861" t="str">
        <f>"30"</f>
        <v>30</v>
      </c>
      <c r="D8861" t="str">
        <f>"Blank Project"</f>
        <v>Blank Project</v>
      </c>
    </row>
    <row r="8862" spans="1:4" x14ac:dyDescent="0.2">
      <c r="A8862" t="str">
        <f>"8861"</f>
        <v>8861</v>
      </c>
      <c r="B8862" t="str">
        <f>"0.4"</f>
        <v>0.4</v>
      </c>
      <c r="C8862" t="str">
        <f>"23"</f>
        <v>23</v>
      </c>
      <c r="D8862" t="str">
        <f>"Palermo House Gang"</f>
        <v>Palermo House Gang</v>
      </c>
    </row>
    <row r="8863" spans="1:4" x14ac:dyDescent="0.2">
      <c r="A8863" t="str">
        <f>"8862"</f>
        <v>8862</v>
      </c>
      <c r="B8863" t="str">
        <f>"0.86"</f>
        <v>0.86</v>
      </c>
      <c r="C8863" t="str">
        <f>"29"</f>
        <v>29</v>
      </c>
      <c r="D8863" t="str">
        <f>"Flash"</f>
        <v>Flash</v>
      </c>
    </row>
    <row r="8864" spans="1:4" x14ac:dyDescent="0.2">
      <c r="A8864" t="str">
        <f>"8863"</f>
        <v>8863</v>
      </c>
      <c r="B8864" t="str">
        <f>"0.5"</f>
        <v>0.5</v>
      </c>
      <c r="C8864" t="str">
        <f>"21"</f>
        <v>21</v>
      </c>
      <c r="D8864" t="str">
        <f>"Interrupt"</f>
        <v>Interrupt</v>
      </c>
    </row>
    <row r="8865" spans="1:4" x14ac:dyDescent="0.2">
      <c r="A8865" t="str">
        <f>"8864"</f>
        <v>8864</v>
      </c>
      <c r="B8865" t="str">
        <f>"-0.01"</f>
        <v>-0.01</v>
      </c>
      <c r="C8865" t="str">
        <f>"41"</f>
        <v>41</v>
      </c>
      <c r="D8865" t="str">
        <f>"Your Arsenal"</f>
        <v>Your Arsenal</v>
      </c>
    </row>
    <row r="8866" spans="1:4" x14ac:dyDescent="0.2">
      <c r="A8866" t="str">
        <f>"8865"</f>
        <v>8865</v>
      </c>
      <c r="B8866" t="str">
        <f>"0.9"</f>
        <v>0.9</v>
      </c>
      <c r="C8866" t="str">
        <f>"18"</f>
        <v>18</v>
      </c>
      <c r="D8866" t="str">
        <f>"Voices in a Rented Room"</f>
        <v>Voices in a Rented Room</v>
      </c>
    </row>
    <row r="8867" spans="1:4" x14ac:dyDescent="0.2">
      <c r="A8867" t="str">
        <f>"8866"</f>
        <v>8866</v>
      </c>
      <c r="B8867" t="str">
        <f>"-0.19"</f>
        <v>-0.19</v>
      </c>
      <c r="C8867" t="str">
        <f>"33"</f>
        <v>33</v>
      </c>
      <c r="D8867" t="str">
        <f>"I Am Back To Blow Your Mind Once Again"</f>
        <v>I Am Back To Blow Your Mind Once Again</v>
      </c>
    </row>
    <row r="8868" spans="1:4" x14ac:dyDescent="0.2">
      <c r="A8868" t="str">
        <f>"8867"</f>
        <v>8867</v>
      </c>
      <c r="B8868" t="str">
        <f>"-0.56"</f>
        <v>-0.56</v>
      </c>
      <c r="C8868" t="str">
        <f>"41"</f>
        <v>41</v>
      </c>
      <c r="D8868" t="str">
        <f>"Digital Resistance"</f>
        <v>Digital Resistance</v>
      </c>
    </row>
    <row r="8869" spans="1:4" x14ac:dyDescent="0.2">
      <c r="A8869" t="str">
        <f>"8868"</f>
        <v>8868</v>
      </c>
      <c r="B8869" t="str">
        <f>"-0.52"</f>
        <v>-0.52</v>
      </c>
      <c r="C8869" t="str">
        <f>"24"</f>
        <v>24</v>
      </c>
      <c r="D8869" t="str">
        <f>"Songs of Descent"</f>
        <v>Songs of Descent</v>
      </c>
    </row>
    <row r="8870" spans="1:4" x14ac:dyDescent="0.2">
      <c r="A8870" t="str">
        <f>"8869"</f>
        <v>8869</v>
      </c>
      <c r="B8870" t="str">
        <f>"-0.33"</f>
        <v>-0.33</v>
      </c>
      <c r="C8870" t="str">
        <f>"31"</f>
        <v>31</v>
      </c>
      <c r="D8870" t="str">
        <f>"Black Light Spiral"</f>
        <v>Black Light Spiral</v>
      </c>
    </row>
    <row r="8871" spans="1:4" x14ac:dyDescent="0.2">
      <c r="A8871" t="str">
        <f>"8870"</f>
        <v>8870</v>
      </c>
      <c r="B8871" t="str">
        <f>"-0.18"</f>
        <v>-0.18</v>
      </c>
      <c r="C8871" t="str">
        <f>"19"</f>
        <v>19</v>
      </c>
      <c r="D8871" t="str">
        <f>"Dark Was the Night"</f>
        <v>Dark Was the Night</v>
      </c>
    </row>
    <row r="8872" spans="1:4" x14ac:dyDescent="0.2">
      <c r="A8872" t="str">
        <f>"8871"</f>
        <v>8871</v>
      </c>
      <c r="B8872" t="str">
        <f>"0.38"</f>
        <v>0.38</v>
      </c>
      <c r="C8872" t="str">
        <f>"24"</f>
        <v>24</v>
      </c>
      <c r="D8872" t="str">
        <f>"New Roof EP"</f>
        <v>New Roof EP</v>
      </c>
    </row>
    <row r="8873" spans="1:4" x14ac:dyDescent="0.2">
      <c r="A8873" t="str">
        <f>"8872"</f>
        <v>8872</v>
      </c>
      <c r="B8873" t="str">
        <f>"0.61"</f>
        <v>0.61</v>
      </c>
      <c r="C8873" t="str">
        <f>"27"</f>
        <v>27</v>
      </c>
      <c r="D8873" t="s">
        <v>286</v>
      </c>
    </row>
    <row r="8874" spans="1:4" x14ac:dyDescent="0.2">
      <c r="A8874" t="str">
        <f>"8873"</f>
        <v>8873</v>
      </c>
      <c r="B8874" t="str">
        <f>"1.1"</f>
        <v>1.1</v>
      </c>
      <c r="C8874" t="str">
        <f>"19"</f>
        <v>19</v>
      </c>
      <c r="D8874" t="str">
        <f>"Acid Arab Collections"</f>
        <v>Acid Arab Collections</v>
      </c>
    </row>
    <row r="8875" spans="1:4" x14ac:dyDescent="0.2">
      <c r="A8875" t="str">
        <f>"8874"</f>
        <v>8874</v>
      </c>
      <c r="B8875" t="str">
        <f>"-0.14"</f>
        <v>-0.14</v>
      </c>
      <c r="C8875" t="str">
        <f>"33"</f>
        <v>33</v>
      </c>
      <c r="D8875" t="str">
        <f>"Motivational Jumpsuit"</f>
        <v>Motivational Jumpsuit</v>
      </c>
    </row>
    <row r="8876" spans="1:4" x14ac:dyDescent="0.2">
      <c r="A8876" t="str">
        <f>"8875"</f>
        <v>8875</v>
      </c>
      <c r="B8876" t="str">
        <f>"-0.68"</f>
        <v>-0.68</v>
      </c>
      <c r="C8876" t="str">
        <f>"44"</f>
        <v>44</v>
      </c>
      <c r="D8876" t="str">
        <f>"Guilt Mirrors"</f>
        <v>Guilt Mirrors</v>
      </c>
    </row>
    <row r="8877" spans="1:4" x14ac:dyDescent="0.2">
      <c r="A8877" t="str">
        <f>"8876"</f>
        <v>8876</v>
      </c>
      <c r="B8877" t="str">
        <f>"0.31"</f>
        <v>0.31</v>
      </c>
      <c r="C8877" t="str">
        <f>"17"</f>
        <v>17</v>
      </c>
      <c r="D8877" t="str">
        <f>"Ghosts of Then and Now"</f>
        <v>Ghosts of Then and Now</v>
      </c>
    </row>
    <row r="8878" spans="1:4" x14ac:dyDescent="0.2">
      <c r="A8878" t="str">
        <f>"8877"</f>
        <v>8877</v>
      </c>
      <c r="B8878" t="str">
        <f>"-1.19"</f>
        <v>-1.19</v>
      </c>
      <c r="C8878" t="str">
        <f>"44"</f>
        <v>44</v>
      </c>
      <c r="D8878" t="str">
        <f>"Oblique To All Paths"</f>
        <v>Oblique To All Paths</v>
      </c>
    </row>
    <row r="8879" spans="1:4" x14ac:dyDescent="0.2">
      <c r="A8879" t="str">
        <f>"8878"</f>
        <v>8878</v>
      </c>
      <c r="B8879" t="str">
        <f>"0.43"</f>
        <v>0.43</v>
      </c>
      <c r="C8879" t="str">
        <f>"19"</f>
        <v>19</v>
      </c>
      <c r="D8879" t="str">
        <f>"Days of the Fallen Sun"</f>
        <v>Days of the Fallen Sun</v>
      </c>
    </row>
    <row r="8880" spans="1:4" x14ac:dyDescent="0.2">
      <c r="A8880" t="str">
        <f>"8879"</f>
        <v>8879</v>
      </c>
      <c r="B8880" t="str">
        <f>"0.24"</f>
        <v>0.24</v>
      </c>
      <c r="C8880" t="str">
        <f>"33"</f>
        <v>33</v>
      </c>
      <c r="D8880" t="str">
        <f>"Voices"</f>
        <v>Voices</v>
      </c>
    </row>
    <row r="8881" spans="1:4" x14ac:dyDescent="0.2">
      <c r="A8881" t="str">
        <f>"8880"</f>
        <v>8880</v>
      </c>
      <c r="B8881" t="str">
        <f>"-0.35"</f>
        <v>-0.35</v>
      </c>
      <c r="C8881" t="str">
        <f>"26"</f>
        <v>26</v>
      </c>
      <c r="D8881" t="str">
        <f>"Small Town Heroes"</f>
        <v>Small Town Heroes</v>
      </c>
    </row>
    <row r="8882" spans="1:4" x14ac:dyDescent="0.2">
      <c r="A8882" t="str">
        <f>"8881"</f>
        <v>8881</v>
      </c>
      <c r="B8882" t="str">
        <f>"0.88"</f>
        <v>0.88</v>
      </c>
      <c r="C8882" t="str">
        <f>"23"</f>
        <v>23</v>
      </c>
      <c r="D8882" t="str">
        <f>"Breaks My Heart Each Time"</f>
        <v>Breaks My Heart Each Time</v>
      </c>
    </row>
    <row r="8883" spans="1:4" x14ac:dyDescent="0.2">
      <c r="A8883" t="str">
        <f>"8882"</f>
        <v>8882</v>
      </c>
      <c r="B8883" t="str">
        <f>"-1.22"</f>
        <v>-1.22</v>
      </c>
      <c r="C8883" t="str">
        <f>"25"</f>
        <v>25</v>
      </c>
      <c r="D8883" t="str">
        <f>"Blame Confusion"</f>
        <v>Blame Confusion</v>
      </c>
    </row>
    <row r="8884" spans="1:4" x14ac:dyDescent="0.2">
      <c r="A8884" t="str">
        <f>"8883"</f>
        <v>8883</v>
      </c>
      <c r="B8884" t="str">
        <f>"0.17"</f>
        <v>0.17</v>
      </c>
      <c r="C8884" t="str">
        <f>"29"</f>
        <v>29</v>
      </c>
      <c r="D8884" t="str">
        <f>"As The Stars"</f>
        <v>As The Stars</v>
      </c>
    </row>
    <row r="8885" spans="1:4" x14ac:dyDescent="0.2">
      <c r="A8885" t="str">
        <f>"8884"</f>
        <v>8884</v>
      </c>
      <c r="B8885" t="str">
        <f>"0.28"</f>
        <v>0.28</v>
      </c>
      <c r="C8885" t="str">
        <f>"44"</f>
        <v>44</v>
      </c>
      <c r="D8885" t="str">
        <f>"Burn Your Fire for No Witness"</f>
        <v>Burn Your Fire for No Witness</v>
      </c>
    </row>
    <row r="8886" spans="1:4" x14ac:dyDescent="0.2">
      <c r="A8886" t="str">
        <f>"8885"</f>
        <v>8885</v>
      </c>
      <c r="B8886" t="str">
        <f>"-0.14"</f>
        <v>-0.14</v>
      </c>
      <c r="C8886" t="str">
        <f>"30"</f>
        <v>30</v>
      </c>
      <c r="D8886" t="str">
        <f>"The Soul Is Quick"</f>
        <v>The Soul Is Quick</v>
      </c>
    </row>
    <row r="8887" spans="1:4" x14ac:dyDescent="0.2">
      <c r="A8887" t="str">
        <f>"8886"</f>
        <v>8886</v>
      </c>
      <c r="B8887" t="str">
        <f>"-0.08"</f>
        <v>-0.08</v>
      </c>
      <c r="C8887" t="str">
        <f>"28"</f>
        <v>28</v>
      </c>
      <c r="D8887" t="str">
        <f>"Somewhere Else"</f>
        <v>Somewhere Else</v>
      </c>
    </row>
    <row r="8888" spans="1:4" x14ac:dyDescent="0.2">
      <c r="A8888" t="str">
        <f>"8887"</f>
        <v>8887</v>
      </c>
      <c r="B8888" t="str">
        <f>"1.35"</f>
        <v>1.35</v>
      </c>
      <c r="C8888" t="str">
        <f>"30"</f>
        <v>30</v>
      </c>
      <c r="D8888" t="str">
        <f>"Dizzy Heights"</f>
        <v>Dizzy Heights</v>
      </c>
    </row>
    <row r="8889" spans="1:4" x14ac:dyDescent="0.2">
      <c r="A8889" t="str">
        <f>"8888"</f>
        <v>8888</v>
      </c>
      <c r="B8889" t="str">
        <f>"0.81"</f>
        <v>0.81</v>
      </c>
      <c r="C8889" t="str">
        <f>"33"</f>
        <v>33</v>
      </c>
      <c r="D8889" t="str">
        <f>"Cheatahs"</f>
        <v>Cheatahs</v>
      </c>
    </row>
    <row r="8890" spans="1:4" x14ac:dyDescent="0.2">
      <c r="A8890" t="str">
        <f>"8889"</f>
        <v>8889</v>
      </c>
      <c r="B8890" t="str">
        <f>"-1.18"</f>
        <v>-1.18</v>
      </c>
      <c r="C8890" t="str">
        <f>"26"</f>
        <v>26</v>
      </c>
      <c r="D8890" t="str">
        <f>"Adhesive"</f>
        <v>Adhesive</v>
      </c>
    </row>
    <row r="8891" spans="1:4" x14ac:dyDescent="0.2">
      <c r="A8891" t="str">
        <f>"8890"</f>
        <v>8890</v>
      </c>
      <c r="B8891" t="str">
        <f>"-0.63"</f>
        <v>-0.63</v>
      </c>
      <c r="C8891" t="str">
        <f>"39"</f>
        <v>39</v>
      </c>
      <c r="D8891" t="str">
        <f>"A Place That Doesn't Exist"</f>
        <v>A Place That Doesn't Exist</v>
      </c>
    </row>
    <row r="8892" spans="1:4" x14ac:dyDescent="0.2">
      <c r="A8892" t="str">
        <f>"8891"</f>
        <v>8891</v>
      </c>
      <c r="B8892" t="str">
        <f>"-0.19"</f>
        <v>-0.19</v>
      </c>
      <c r="C8892" t="str">
        <f>"40"</f>
        <v>40</v>
      </c>
      <c r="D8892" t="str">
        <f>"Acoustic at the Ryman"</f>
        <v>Acoustic at the Ryman</v>
      </c>
    </row>
    <row r="8893" spans="1:4" x14ac:dyDescent="0.2">
      <c r="A8893" t="str">
        <f>"8892"</f>
        <v>8892</v>
      </c>
      <c r="B8893" t="str">
        <f>"0.09"</f>
        <v>0.09</v>
      </c>
      <c r="C8893" t="str">
        <f>"36"</f>
        <v>36</v>
      </c>
      <c r="D8893" t="str">
        <f>"All Love's Legal"</f>
        <v>All Love's Legal</v>
      </c>
    </row>
    <row r="8894" spans="1:4" x14ac:dyDescent="0.2">
      <c r="A8894" t="str">
        <f>"8893"</f>
        <v>8893</v>
      </c>
      <c r="B8894" t="str">
        <f>"-0.04"</f>
        <v>-0.04</v>
      </c>
      <c r="C8894" t="str">
        <f>"34"</f>
        <v>34</v>
      </c>
      <c r="D8894" t="str">
        <f>"Est...Folle"</f>
        <v>Est...Folle</v>
      </c>
    </row>
    <row r="8895" spans="1:4" x14ac:dyDescent="0.2">
      <c r="A8895" t="str">
        <f>"8894"</f>
        <v>8894</v>
      </c>
      <c r="B8895" t="str">
        <f>"0.33"</f>
        <v>0.33</v>
      </c>
      <c r="C8895" t="str">
        <f>"49"</f>
        <v>49</v>
      </c>
      <c r="D8895" t="str">
        <f>"Cilvia Demo"</f>
        <v>Cilvia Demo</v>
      </c>
    </row>
    <row r="8896" spans="1:4" x14ac:dyDescent="0.2">
      <c r="A8896" t="str">
        <f>"8895"</f>
        <v>8895</v>
      </c>
      <c r="B8896" t="str">
        <f>"0.18"</f>
        <v>0.18</v>
      </c>
      <c r="C8896" t="str">
        <f>"38"</f>
        <v>38</v>
      </c>
      <c r="D8896" t="str">
        <f>"Animal Heart"</f>
        <v>Animal Heart</v>
      </c>
    </row>
    <row r="8897" spans="1:4" x14ac:dyDescent="0.2">
      <c r="A8897" t="str">
        <f>"8896"</f>
        <v>8896</v>
      </c>
      <c r="B8897" t="str">
        <f>"0.22"</f>
        <v>0.22</v>
      </c>
      <c r="C8897" t="str">
        <f>"43"</f>
        <v>43</v>
      </c>
      <c r="D8897" t="str">
        <f>"Sleepwalking Sailors"</f>
        <v>Sleepwalking Sailors</v>
      </c>
    </row>
    <row r="8898" spans="1:4" x14ac:dyDescent="0.2">
      <c r="A8898" t="str">
        <f>"8897"</f>
        <v>8897</v>
      </c>
      <c r="B8898" t="str">
        <f>"-0.33"</f>
        <v>-0.33</v>
      </c>
      <c r="C8898" t="str">
        <f>"28"</f>
        <v>28</v>
      </c>
      <c r="D8898" t="str">
        <f>"Death By Burning"</f>
        <v>Death By Burning</v>
      </c>
    </row>
    <row r="8899" spans="1:4" x14ac:dyDescent="0.2">
      <c r="A8899" t="str">
        <f>"8898"</f>
        <v>8898</v>
      </c>
      <c r="B8899" t="str">
        <f>"0.2"</f>
        <v>0.2</v>
      </c>
      <c r="C8899" t="str">
        <f>"31"</f>
        <v>31</v>
      </c>
      <c r="D8899" t="str">
        <f>"Blue Film"</f>
        <v>Blue Film</v>
      </c>
    </row>
    <row r="8900" spans="1:4" x14ac:dyDescent="0.2">
      <c r="A8900" t="str">
        <f>"8899"</f>
        <v>8899</v>
      </c>
      <c r="B8900" t="str">
        <f>"-0.2"</f>
        <v>-0.2</v>
      </c>
      <c r="C8900" t="str">
        <f>"52"</f>
        <v>52</v>
      </c>
      <c r="D8900" t="str">
        <f>"Real Hair EP"</f>
        <v>Real Hair EP</v>
      </c>
    </row>
    <row r="8901" spans="1:4" x14ac:dyDescent="0.2">
      <c r="A8901" t="str">
        <f>"8900"</f>
        <v>8900</v>
      </c>
      <c r="B8901" t="str">
        <f>"-0.45"</f>
        <v>-0.45</v>
      </c>
      <c r="C8901" t="str">
        <f>"45"</f>
        <v>45</v>
      </c>
      <c r="D8901" t="str">
        <f>"†††"</f>
        <v>†††</v>
      </c>
    </row>
    <row r="8902" spans="1:4" x14ac:dyDescent="0.2">
      <c r="A8902" t="str">
        <f>"8901"</f>
        <v>8901</v>
      </c>
      <c r="B8902" t="str">
        <f>"0.11"</f>
        <v>0.11</v>
      </c>
      <c r="C8902" t="str">
        <f>"29"</f>
        <v>29</v>
      </c>
      <c r="D8902" t="str">
        <f>"Freezing Opening Thawing EP"</f>
        <v>Freezing Opening Thawing EP</v>
      </c>
    </row>
    <row r="8903" spans="1:4" x14ac:dyDescent="0.2">
      <c r="A8903" t="str">
        <f>"8902"</f>
        <v>8902</v>
      </c>
      <c r="B8903" t="str">
        <f>"0.18"</f>
        <v>0.18</v>
      </c>
      <c r="C8903" t="str">
        <f>"22"</f>
        <v>22</v>
      </c>
      <c r="D8903" t="str">
        <f>"Lowlife"</f>
        <v>Lowlife</v>
      </c>
    </row>
    <row r="8904" spans="1:4" x14ac:dyDescent="0.2">
      <c r="A8904" t="str">
        <f>"8903"</f>
        <v>8903</v>
      </c>
      <c r="B8904" t="str">
        <f>"1.1"</f>
        <v>1.1</v>
      </c>
      <c r="C8904" t="str">
        <f>"23"</f>
        <v>23</v>
      </c>
      <c r="D8904" t="str">
        <f>"Sun Structures"</f>
        <v>Sun Structures</v>
      </c>
    </row>
    <row r="8905" spans="1:4" x14ac:dyDescent="0.2">
      <c r="A8905" t="str">
        <f>"8904"</f>
        <v>8904</v>
      </c>
      <c r="B8905" t="str">
        <f>"-0.81"</f>
        <v>-0.81</v>
      </c>
      <c r="C8905" t="str">
        <f>"30"</f>
        <v>30</v>
      </c>
      <c r="D8905" t="str">
        <f>"Hotel Valentine"</f>
        <v>Hotel Valentine</v>
      </c>
    </row>
    <row r="8906" spans="1:4" x14ac:dyDescent="0.2">
      <c r="A8906" t="str">
        <f>"8905"</f>
        <v>8905</v>
      </c>
      <c r="B8906" t="str">
        <f>"0.79"</f>
        <v>0.79</v>
      </c>
      <c r="C8906" t="str">
        <f>"48"</f>
        <v>48</v>
      </c>
      <c r="D8906" t="str">
        <f>"Hardcore Traxx: Dance Mania Records 1986-1997"</f>
        <v>Hardcore Traxx: Dance Mania Records 1986-1997</v>
      </c>
    </row>
    <row r="8907" spans="1:4" x14ac:dyDescent="0.2">
      <c r="A8907" t="str">
        <f>"8906"</f>
        <v>8906</v>
      </c>
      <c r="B8907" t="str">
        <f>"-0.41"</f>
        <v>-0.41</v>
      </c>
      <c r="C8907" t="str">
        <f>"54"</f>
        <v>54</v>
      </c>
      <c r="D8907" t="str">
        <f>"You're Gonna Miss It All"</f>
        <v>You're Gonna Miss It All</v>
      </c>
    </row>
    <row r="8908" spans="1:4" x14ac:dyDescent="0.2">
      <c r="A8908" t="str">
        <f>"8907"</f>
        <v>8907</v>
      </c>
      <c r="B8908" t="str">
        <f>"-0.39"</f>
        <v>-0.39</v>
      </c>
      <c r="C8908" t="str">
        <f>"35"</f>
        <v>35</v>
      </c>
      <c r="D8908" t="str">
        <f>"Soak"</f>
        <v>Soak</v>
      </c>
    </row>
    <row r="8909" spans="1:4" x14ac:dyDescent="0.2">
      <c r="A8909" t="str">
        <f>"8908"</f>
        <v>8908</v>
      </c>
      <c r="B8909" t="str">
        <f>"-1.14"</f>
        <v>-1.14</v>
      </c>
      <c r="C8909" t="str">
        <f>"36"</f>
        <v>36</v>
      </c>
      <c r="D8909" t="str">
        <f>"Tranquilizers"</f>
        <v>Tranquilizers</v>
      </c>
    </row>
    <row r="8910" spans="1:4" x14ac:dyDescent="0.2">
      <c r="A8910" t="str">
        <f>"8909"</f>
        <v>8909</v>
      </c>
      <c r="B8910" t="str">
        <f>"-0.37"</f>
        <v>-0.37</v>
      </c>
      <c r="C8910" t="str">
        <f>"38"</f>
        <v>38</v>
      </c>
      <c r="D8910" t="str">
        <f>"Little Red"</f>
        <v>Little Red</v>
      </c>
    </row>
    <row r="8911" spans="1:4" x14ac:dyDescent="0.2">
      <c r="A8911" t="str">
        <f>"8910"</f>
        <v>8910</v>
      </c>
      <c r="B8911" t="str">
        <f>"0.25"</f>
        <v>0.25</v>
      </c>
      <c r="C8911" t="str">
        <f>"22"</f>
        <v>22</v>
      </c>
      <c r="D8911" t="str">
        <f>"Emmaar"</f>
        <v>Emmaar</v>
      </c>
    </row>
    <row r="8912" spans="1:4" x14ac:dyDescent="0.2">
      <c r="A8912" t="str">
        <f>"8911"</f>
        <v>8911</v>
      </c>
      <c r="B8912" t="str">
        <f>"-0.04"</f>
        <v>-0.04</v>
      </c>
      <c r="C8912" t="str">
        <f>"33"</f>
        <v>33</v>
      </c>
      <c r="D8912" t="str">
        <f>"Slip Away"</f>
        <v>Slip Away</v>
      </c>
    </row>
    <row r="8913" spans="1:4" x14ac:dyDescent="0.2">
      <c r="A8913" t="str">
        <f>"8912"</f>
        <v>8912</v>
      </c>
      <c r="B8913" t="str">
        <f>"0.3"</f>
        <v>0.3</v>
      </c>
      <c r="C8913" t="str">
        <f>"45"</f>
        <v>45</v>
      </c>
      <c r="D8913" t="str">
        <f>"Longhena"</f>
        <v>Longhena</v>
      </c>
    </row>
    <row r="8914" spans="1:4" x14ac:dyDescent="0.2">
      <c r="A8914" t="str">
        <f>"8913"</f>
        <v>8913</v>
      </c>
      <c r="B8914" t="str">
        <f>"-0.41"</f>
        <v>-0.41</v>
      </c>
      <c r="C8914" t="str">
        <f>"38"</f>
        <v>38</v>
      </c>
      <c r="D8914" t="str">
        <f>"Galore"</f>
        <v>Galore</v>
      </c>
    </row>
    <row r="8915" spans="1:4" x14ac:dyDescent="0.2">
      <c r="A8915" t="str">
        <f>"8914"</f>
        <v>8914</v>
      </c>
      <c r="B8915" t="str">
        <f>"-0.22"</f>
        <v>-0.22</v>
      </c>
      <c r="C8915" t="str">
        <f>"47"</f>
        <v>47</v>
      </c>
      <c r="D8915" t="str">
        <f>"July"</f>
        <v>July</v>
      </c>
    </row>
    <row r="8916" spans="1:4" x14ac:dyDescent="0.2">
      <c r="A8916" t="str">
        <f>"8915"</f>
        <v>8915</v>
      </c>
      <c r="B8916" t="str">
        <f>"0.2"</f>
        <v>0.2</v>
      </c>
      <c r="C8916" t="str">
        <f>"23"</f>
        <v>23</v>
      </c>
      <c r="D8916" t="str">
        <f>"Chorus EP"</f>
        <v>Chorus EP</v>
      </c>
    </row>
    <row r="8917" spans="1:4" x14ac:dyDescent="0.2">
      <c r="A8917" t="str">
        <f>"8916"</f>
        <v>8916</v>
      </c>
      <c r="B8917" t="str">
        <f>"-0.16"</f>
        <v>-0.16</v>
      </c>
      <c r="C8917" t="str">
        <f>"19"</f>
        <v>19</v>
      </c>
      <c r="D8917" t="str">
        <f>"Instant Alpha"</f>
        <v>Instant Alpha</v>
      </c>
    </row>
    <row r="8918" spans="1:4" x14ac:dyDescent="0.2">
      <c r="A8918" t="str">
        <f>"8917"</f>
        <v>8917</v>
      </c>
      <c r="B8918" t="str">
        <f>"-0.28"</f>
        <v>-0.28</v>
      </c>
      <c r="C8918" t="str">
        <f>"29"</f>
        <v>29</v>
      </c>
      <c r="D8918" t="str">
        <f>"THRU.U"</f>
        <v>THRU.U</v>
      </c>
    </row>
    <row r="8919" spans="1:4" x14ac:dyDescent="0.2">
      <c r="A8919" t="str">
        <f>"8918"</f>
        <v>8918</v>
      </c>
      <c r="B8919" t="str">
        <f>"-0.42"</f>
        <v>-0.42</v>
      </c>
      <c r="C8919" t="str">
        <f>"42"</f>
        <v>42</v>
      </c>
      <c r="D8919" t="str">
        <f>"We Invented the Bop"</f>
        <v>We Invented the Bop</v>
      </c>
    </row>
    <row r="8920" spans="1:4" x14ac:dyDescent="0.2">
      <c r="A8920" t="str">
        <f>"8919"</f>
        <v>8919</v>
      </c>
      <c r="B8920" t="str">
        <f>"0.23"</f>
        <v>0.23</v>
      </c>
      <c r="C8920" t="str">
        <f>"46"</f>
        <v>46</v>
      </c>
      <c r="D8920" t="str">
        <f>"Along the Way"</f>
        <v>Along the Way</v>
      </c>
    </row>
    <row r="8921" spans="1:4" x14ac:dyDescent="0.2">
      <c r="A8921" t="str">
        <f>"8920"</f>
        <v>8920</v>
      </c>
      <c r="B8921" t="str">
        <f>"-1.18"</f>
        <v>-1.18</v>
      </c>
      <c r="C8921" t="str">
        <f>"28"</f>
        <v>28</v>
      </c>
      <c r="D8921" t="str">
        <f>"The Unnatural World"</f>
        <v>The Unnatural World</v>
      </c>
    </row>
    <row r="8922" spans="1:4" x14ac:dyDescent="0.2">
      <c r="A8922" t="str">
        <f>"8921"</f>
        <v>8921</v>
      </c>
      <c r="B8922" t="str">
        <f>"0.01"</f>
        <v>0.01</v>
      </c>
      <c r="C8922" t="str">
        <f>"35"</f>
        <v>35</v>
      </c>
      <c r="D8922" t="str">
        <f>"Dunes"</f>
        <v>Dunes</v>
      </c>
    </row>
    <row r="8923" spans="1:4" x14ac:dyDescent="0.2">
      <c r="A8923" t="str">
        <f>"8922"</f>
        <v>8922</v>
      </c>
      <c r="B8923" t="str">
        <f>"-0.24"</f>
        <v>-0.24</v>
      </c>
      <c r="C8923" t="str">
        <f>"37"</f>
        <v>37</v>
      </c>
      <c r="D8923" t="str">
        <f>"BUM"</f>
        <v>BUM</v>
      </c>
    </row>
    <row r="8924" spans="1:4" x14ac:dyDescent="0.2">
      <c r="A8924" t="str">
        <f>"8923"</f>
        <v>8923</v>
      </c>
      <c r="B8924" t="str">
        <f>"-0.29"</f>
        <v>-0.29</v>
      </c>
      <c r="C8924" t="str">
        <f>"52"</f>
        <v>52</v>
      </c>
      <c r="D8924" t="str">
        <f>"Spiritual Emergency"</f>
        <v>Spiritual Emergency</v>
      </c>
    </row>
    <row r="8925" spans="1:4" x14ac:dyDescent="0.2">
      <c r="A8925" t="str">
        <f>"8924"</f>
        <v>8924</v>
      </c>
      <c r="B8925" t="str">
        <f>"-0.82"</f>
        <v>-0.82</v>
      </c>
      <c r="C8925" t="str">
        <f>"59"</f>
        <v>59</v>
      </c>
      <c r="D8925" t="str">
        <f>"Angel Guts: Red Classroom"</f>
        <v>Angel Guts: Red Classroom</v>
      </c>
    </row>
    <row r="8926" spans="1:4" x14ac:dyDescent="0.2">
      <c r="A8926" t="str">
        <f>"8925"</f>
        <v>8925</v>
      </c>
      <c r="B8926" t="str">
        <f>"0.39"</f>
        <v>0.39</v>
      </c>
      <c r="C8926" t="str">
        <f>"29"</f>
        <v>29</v>
      </c>
      <c r="D8926" t="str">
        <f>"Worth EP"</f>
        <v>Worth EP</v>
      </c>
    </row>
    <row r="8927" spans="1:4" x14ac:dyDescent="0.2">
      <c r="A8927" t="str">
        <f>"8926"</f>
        <v>8926</v>
      </c>
      <c r="B8927" t="str">
        <f>"-0.11"</f>
        <v>-0.11</v>
      </c>
      <c r="C8927" t="str">
        <f>"30"</f>
        <v>30</v>
      </c>
      <c r="D8927" t="str">
        <f>"Deleted/Fool EP"</f>
        <v>Deleted/Fool EP</v>
      </c>
    </row>
    <row r="8928" spans="1:4" x14ac:dyDescent="0.2">
      <c r="A8928" t="str">
        <f>"8927"</f>
        <v>8927</v>
      </c>
      <c r="B8928" t="str">
        <f>"-0.01"</f>
        <v>-0.01</v>
      </c>
      <c r="C8928" t="str">
        <f>"46"</f>
        <v>46</v>
      </c>
      <c r="D8928" t="str">
        <f>"Terrestrials"</f>
        <v>Terrestrials</v>
      </c>
    </row>
    <row r="8929" spans="1:4" x14ac:dyDescent="0.2">
      <c r="A8929" t="str">
        <f>"8928"</f>
        <v>8928</v>
      </c>
      <c r="B8929" t="str">
        <f>"-0.29"</f>
        <v>-0.29</v>
      </c>
      <c r="C8929" t="str">
        <f>"43"</f>
        <v>43</v>
      </c>
      <c r="D8929" t="str">
        <f>"Woodsman"</f>
        <v>Woodsman</v>
      </c>
    </row>
    <row r="8930" spans="1:4" x14ac:dyDescent="0.2">
      <c r="A8930" t="str">
        <f>"8929"</f>
        <v>8929</v>
      </c>
      <c r="B8930" t="str">
        <f>"-0.14"</f>
        <v>-0.14</v>
      </c>
      <c r="C8930" t="str">
        <f>"33"</f>
        <v>33</v>
      </c>
      <c r="D8930" t="str">
        <f>"After the Disco"</f>
        <v>After the Disco</v>
      </c>
    </row>
    <row r="8931" spans="1:4" x14ac:dyDescent="0.2">
      <c r="A8931" t="str">
        <f>"8930"</f>
        <v>8930</v>
      </c>
      <c r="B8931" t="str">
        <f>"0.66"</f>
        <v>0.66</v>
      </c>
      <c r="C8931" t="str">
        <f>"25"</f>
        <v>25</v>
      </c>
      <c r="D8931" t="s">
        <v>287</v>
      </c>
    </row>
    <row r="8932" spans="1:4" x14ac:dyDescent="0.2">
      <c r="A8932" t="str">
        <f>"8931"</f>
        <v>8931</v>
      </c>
      <c r="B8932" t="str">
        <f>"0.87"</f>
        <v>0.87</v>
      </c>
      <c r="C8932" t="str">
        <f>"45"</f>
        <v>45</v>
      </c>
      <c r="D8932" t="s">
        <v>288</v>
      </c>
    </row>
    <row r="8933" spans="1:4" x14ac:dyDescent="0.2">
      <c r="A8933" t="str">
        <f>"8932"</f>
        <v>8932</v>
      </c>
      <c r="B8933" t="str">
        <f>"-0.12"</f>
        <v>-0.12</v>
      </c>
      <c r="C8933" t="str">
        <f>"40"</f>
        <v>40</v>
      </c>
      <c r="D8933" t="str">
        <f>"The Life Stains"</f>
        <v>The Life Stains</v>
      </c>
    </row>
    <row r="8934" spans="1:4" x14ac:dyDescent="0.2">
      <c r="A8934" t="str">
        <f>"8933"</f>
        <v>8933</v>
      </c>
      <c r="B8934" t="str">
        <f>"0.76"</f>
        <v>0.76</v>
      </c>
      <c r="C8934" t="str">
        <f>"21"</f>
        <v>21</v>
      </c>
      <c r="D8934" t="str">
        <f>"VoyAager"</f>
        <v>VoyAager</v>
      </c>
    </row>
    <row r="8935" spans="1:4" x14ac:dyDescent="0.2">
      <c r="A8935" t="str">
        <f>"8934"</f>
        <v>8934</v>
      </c>
      <c r="B8935" t="str">
        <f>"-0.57"</f>
        <v>-0.57</v>
      </c>
      <c r="C8935" t="str">
        <f>"84"</f>
        <v>84</v>
      </c>
      <c r="D8935" t="str">
        <f>"Benji"</f>
        <v>Benji</v>
      </c>
    </row>
    <row r="8936" spans="1:4" x14ac:dyDescent="0.2">
      <c r="A8936" t="str">
        <f>"8935"</f>
        <v>8935</v>
      </c>
      <c r="B8936" t="str">
        <f>"1.36"</f>
        <v>1.36</v>
      </c>
      <c r="C8936" t="str">
        <f>"30"</f>
        <v>30</v>
      </c>
      <c r="D8936" t="str">
        <f>"moon"</f>
        <v>moon</v>
      </c>
    </row>
    <row r="8937" spans="1:4" x14ac:dyDescent="0.2">
      <c r="A8937" t="str">
        <f>"8936"</f>
        <v>8936</v>
      </c>
      <c r="B8937" t="str">
        <f>"0.29"</f>
        <v>0.29</v>
      </c>
      <c r="C8937" t="str">
        <f>"23"</f>
        <v>23</v>
      </c>
      <c r="D8937" t="str">
        <f>"Past Life"</f>
        <v>Past Life</v>
      </c>
    </row>
    <row r="8938" spans="1:4" x14ac:dyDescent="0.2">
      <c r="A8938" t="str">
        <f>"8937"</f>
        <v>8937</v>
      </c>
      <c r="B8938" t="str">
        <f>"-0.73"</f>
        <v>-0.73</v>
      </c>
      <c r="C8938" t="str">
        <f>"33"</f>
        <v>33</v>
      </c>
      <c r="D8938" t="str">
        <f>"Piano Nights"</f>
        <v>Piano Nights</v>
      </c>
    </row>
    <row r="8939" spans="1:4" x14ac:dyDescent="0.2">
      <c r="A8939" t="str">
        <f>"8938"</f>
        <v>8938</v>
      </c>
      <c r="B8939" t="str">
        <f>"-0.21"</f>
        <v>-0.21</v>
      </c>
      <c r="C8939" t="str">
        <f>"29"</f>
        <v>29</v>
      </c>
      <c r="D8939" t="str">
        <f>"The Age of Fracture"</f>
        <v>The Age of Fracture</v>
      </c>
    </row>
    <row r="8940" spans="1:4" x14ac:dyDescent="0.2">
      <c r="A8940" t="str">
        <f>"8939"</f>
        <v>8939</v>
      </c>
      <c r="B8940" t="str">
        <f>"0.41"</f>
        <v>0.41</v>
      </c>
      <c r="C8940" t="str">
        <f>"37"</f>
        <v>37</v>
      </c>
      <c r="D8940" t="str">
        <f>"wonderland"</f>
        <v>wonderland</v>
      </c>
    </row>
    <row r="8941" spans="1:4" x14ac:dyDescent="0.2">
      <c r="A8941" t="str">
        <f>"8940"</f>
        <v>8940</v>
      </c>
      <c r="B8941" t="str">
        <f>"0.56"</f>
        <v>0.56</v>
      </c>
      <c r="C8941" t="str">
        <f>"21"</f>
        <v>21</v>
      </c>
      <c r="D8941" t="str">
        <f>"Too Much Information"</f>
        <v>Too Much Information</v>
      </c>
    </row>
    <row r="8942" spans="1:4" x14ac:dyDescent="0.2">
      <c r="A8942" t="str">
        <f>"8941"</f>
        <v>8941</v>
      </c>
      <c r="B8942" t="str">
        <f>"0.84"</f>
        <v>0.84</v>
      </c>
      <c r="C8942" t="str">
        <f>"34"</f>
        <v>34</v>
      </c>
      <c r="D8942" t="str">
        <f>"Beach House EP"</f>
        <v>Beach House EP</v>
      </c>
    </row>
    <row r="8943" spans="1:4" x14ac:dyDescent="0.2">
      <c r="A8943" t="str">
        <f>"8942"</f>
        <v>8942</v>
      </c>
      <c r="B8943" t="str">
        <f>"-0.03"</f>
        <v>-0.03</v>
      </c>
      <c r="C8943" t="str">
        <f>"31"</f>
        <v>31</v>
      </c>
      <c r="D8943" t="str">
        <f>"Electronic Works 1976-1977"</f>
        <v>Electronic Works 1976-1977</v>
      </c>
    </row>
    <row r="8944" spans="1:4" x14ac:dyDescent="0.2">
      <c r="A8944" t="str">
        <f>"8943"</f>
        <v>8943</v>
      </c>
      <c r="B8944" t="str">
        <f>"0.39"</f>
        <v>0.39</v>
      </c>
      <c r="C8944" t="str">
        <f>"26"</f>
        <v>26</v>
      </c>
      <c r="D8944" t="str">
        <f>"Rooms With Walls and Windows"</f>
        <v>Rooms With Walls and Windows</v>
      </c>
    </row>
    <row r="8945" spans="1:4" x14ac:dyDescent="0.2">
      <c r="A8945" t="str">
        <f>"8944"</f>
        <v>8944</v>
      </c>
      <c r="B8945" t="str">
        <f>"0.06"</f>
        <v>0.06</v>
      </c>
      <c r="C8945" t="str">
        <f>"37"</f>
        <v>37</v>
      </c>
      <c r="D8945" t="str">
        <f>"No Depression: Legacy Edition"</f>
        <v>No Depression: Legacy Edition</v>
      </c>
    </row>
    <row r="8946" spans="1:4" x14ac:dyDescent="0.2">
      <c r="A8946" t="str">
        <f>"8945"</f>
        <v>8945</v>
      </c>
      <c r="B8946" t="str">
        <f>"1.35"</f>
        <v>1.35</v>
      </c>
      <c r="C8946" t="str">
        <f>"23"</f>
        <v>23</v>
      </c>
      <c r="D8946" t="str">
        <f>"Held In Splendor"</f>
        <v>Held In Splendor</v>
      </c>
    </row>
    <row r="8947" spans="1:4" x14ac:dyDescent="0.2">
      <c r="A8947" t="str">
        <f>"8946"</f>
        <v>8946</v>
      </c>
      <c r="B8947" t="str">
        <f>"0.8"</f>
        <v>0.8</v>
      </c>
      <c r="C8947" t="str">
        <f>"32"</f>
        <v>32</v>
      </c>
      <c r="D8947" t="str">
        <f>"Winter's Diary 2"</f>
        <v>Winter's Diary 2</v>
      </c>
    </row>
    <row r="8948" spans="1:4" x14ac:dyDescent="0.2">
      <c r="A8948" t="str">
        <f>"8947"</f>
        <v>8947</v>
      </c>
      <c r="B8948" t="str">
        <f>"0.08"</f>
        <v>0.08</v>
      </c>
      <c r="C8948" t="str">
        <f>"29"</f>
        <v>29</v>
      </c>
      <c r="D8948" t="str">
        <f>"Native State"</f>
        <v>Native State</v>
      </c>
    </row>
    <row r="8949" spans="1:4" x14ac:dyDescent="0.2">
      <c r="A8949" t="str">
        <f>"8948"</f>
        <v>8948</v>
      </c>
      <c r="B8949" t="str">
        <f>"-1.04"</f>
        <v>-1.04</v>
      </c>
      <c r="C8949" t="str">
        <f>"26"</f>
        <v>26</v>
      </c>
      <c r="D8949" t="str">
        <f>"Radio Niger"</f>
        <v>Radio Niger</v>
      </c>
    </row>
    <row r="8950" spans="1:4" x14ac:dyDescent="0.2">
      <c r="A8950" t="str">
        <f>"8949"</f>
        <v>8949</v>
      </c>
      <c r="B8950" t="str">
        <f>"-0.41"</f>
        <v>-0.41</v>
      </c>
      <c r="C8950" t="str">
        <f>"43"</f>
        <v>43</v>
      </c>
      <c r="D8950" t="str">
        <f>"Nixon"</f>
        <v>Nixon</v>
      </c>
    </row>
    <row r="8951" spans="1:4" x14ac:dyDescent="0.2">
      <c r="A8951" t="str">
        <f>"8950"</f>
        <v>8950</v>
      </c>
      <c r="B8951" t="str">
        <f>"0.21"</f>
        <v>0.21</v>
      </c>
      <c r="C8951" t="str">
        <f>"19"</f>
        <v>19</v>
      </c>
      <c r="D8951" t="str">
        <f>"The Green EP"</f>
        <v>The Green EP</v>
      </c>
    </row>
    <row r="8952" spans="1:4" x14ac:dyDescent="0.2">
      <c r="A8952" t="str">
        <f>"8951"</f>
        <v>8951</v>
      </c>
      <c r="B8952" t="str">
        <f>"0.87"</f>
        <v>0.87</v>
      </c>
      <c r="C8952" t="str">
        <f>"30"</f>
        <v>30</v>
      </c>
      <c r="D8952" t="str">
        <f>"Divine Ecstasy"</f>
        <v>Divine Ecstasy</v>
      </c>
    </row>
    <row r="8953" spans="1:4" x14ac:dyDescent="0.2">
      <c r="A8953" t="str">
        <f>"8952"</f>
        <v>8952</v>
      </c>
      <c r="B8953" t="str">
        <f>"-0.76"</f>
        <v>-0.76</v>
      </c>
      <c r="C8953" t="str">
        <f>"28"</f>
        <v>28</v>
      </c>
      <c r="D8953" t="str">
        <f>"Drained of Connotation"</f>
        <v>Drained of Connotation</v>
      </c>
    </row>
    <row r="8954" spans="1:4" x14ac:dyDescent="0.2">
      <c r="A8954" t="str">
        <f>"8953"</f>
        <v>8953</v>
      </c>
      <c r="B8954" t="str">
        <f>"1.09"</f>
        <v>1.09</v>
      </c>
      <c r="C8954" t="str">
        <f>"17"</f>
        <v>17</v>
      </c>
      <c r="D8954" t="str">
        <f>"In Roses"</f>
        <v>In Roses</v>
      </c>
    </row>
    <row r="8955" spans="1:4" x14ac:dyDescent="0.2">
      <c r="A8955" t="str">
        <f>"8954"</f>
        <v>8954</v>
      </c>
      <c r="B8955" t="str">
        <f>"0.1"</f>
        <v>0.1</v>
      </c>
      <c r="C8955" t="str">
        <f>"40"</f>
        <v>40</v>
      </c>
      <c r="D8955" t="str">
        <f>"Thirtysixtwentyfive"</f>
        <v>Thirtysixtwentyfive</v>
      </c>
    </row>
    <row r="8956" spans="1:4" x14ac:dyDescent="0.2">
      <c r="A8956" t="str">
        <f>"8955"</f>
        <v>8955</v>
      </c>
      <c r="B8956" t="str">
        <f>"-1.18"</f>
        <v>-1.18</v>
      </c>
      <c r="C8956" t="str">
        <f>"38"</f>
        <v>38</v>
      </c>
      <c r="D8956" t="str">
        <f>"Ghettoville"</f>
        <v>Ghettoville</v>
      </c>
    </row>
    <row r="8957" spans="1:4" x14ac:dyDescent="0.2">
      <c r="A8957" t="str">
        <f>"8956"</f>
        <v>8956</v>
      </c>
      <c r="B8957" t="str">
        <f>"0.34"</f>
        <v>0.34</v>
      </c>
      <c r="C8957" t="str">
        <f>"26"</f>
        <v>26</v>
      </c>
      <c r="D8957" t="str">
        <f>"Innocence"</f>
        <v>Innocence</v>
      </c>
    </row>
    <row r="8958" spans="1:4" x14ac:dyDescent="0.2">
      <c r="A8958" t="str">
        <f>"8957"</f>
        <v>8957</v>
      </c>
      <c r="B8958" t="str">
        <f>"0.01"</f>
        <v>0.01</v>
      </c>
      <c r="C8958" t="str">
        <f>"26"</f>
        <v>26</v>
      </c>
      <c r="D8958" t="str">
        <f>"Wedding Bells EP"</f>
        <v>Wedding Bells EP</v>
      </c>
    </row>
    <row r="8959" spans="1:4" x14ac:dyDescent="0.2">
      <c r="A8959" t="str">
        <f>"8958"</f>
        <v>8958</v>
      </c>
      <c r="B8959" t="str">
        <f>"0.68"</f>
        <v>0.68</v>
      </c>
      <c r="C8959" t="str">
        <f>"63"</f>
        <v>63</v>
      </c>
      <c r="D8959" t="str">
        <f>"20th Adversary of Emptiness"</f>
        <v>20th Adversary of Emptiness</v>
      </c>
    </row>
    <row r="8960" spans="1:4" x14ac:dyDescent="0.2">
      <c r="A8960" t="str">
        <f>"8959"</f>
        <v>8959</v>
      </c>
      <c r="B8960" t="str">
        <f>"0.9"</f>
        <v>0.9</v>
      </c>
      <c r="C8960" t="str">
        <f>"32"</f>
        <v>32</v>
      </c>
      <c r="D8960" t="str">
        <f>"Too True"</f>
        <v>Too True</v>
      </c>
    </row>
    <row r="8961" spans="1:4" x14ac:dyDescent="0.2">
      <c r="A8961" t="str">
        <f>"8960"</f>
        <v>8960</v>
      </c>
      <c r="B8961" t="str">
        <f>"-0.22"</f>
        <v>-0.22</v>
      </c>
      <c r="C8961" t="str">
        <f>"22"</f>
        <v>22</v>
      </c>
      <c r="D8961" t="str">
        <f>"Come to Life"</f>
        <v>Come to Life</v>
      </c>
    </row>
    <row r="8962" spans="1:4" x14ac:dyDescent="0.2">
      <c r="A8962" t="str">
        <f>"8961"</f>
        <v>8961</v>
      </c>
      <c r="B8962" t="str">
        <f>"0.15"</f>
        <v>0.15</v>
      </c>
      <c r="C8962" t="str">
        <f>"25"</f>
        <v>25</v>
      </c>
      <c r="D8962" t="str">
        <f>"Trouble"</f>
        <v>Trouble</v>
      </c>
    </row>
    <row r="8963" spans="1:4" x14ac:dyDescent="0.2">
      <c r="A8963" t="str">
        <f>"8962"</f>
        <v>8962</v>
      </c>
      <c r="B8963" t="str">
        <f>"-0.14"</f>
        <v>-0.14</v>
      </c>
      <c r="C8963" t="str">
        <f>"31"</f>
        <v>31</v>
      </c>
      <c r="D8963" t="str">
        <f>"Morgan Delt"</f>
        <v>Morgan Delt</v>
      </c>
    </row>
    <row r="8964" spans="1:4" x14ac:dyDescent="0.2">
      <c r="A8964" t="str">
        <f>"8963"</f>
        <v>8963</v>
      </c>
      <c r="B8964" t="str">
        <f>"-1.26"</f>
        <v>-1.26</v>
      </c>
      <c r="C8964" t="str">
        <f>"24"</f>
        <v>24</v>
      </c>
      <c r="D8964" t="str">
        <f>"Malleus Maleficarum"</f>
        <v>Malleus Maleficarum</v>
      </c>
    </row>
    <row r="8965" spans="1:4" x14ac:dyDescent="0.2">
      <c r="A8965" t="str">
        <f>"8964"</f>
        <v>8964</v>
      </c>
      <c r="B8965" t="str">
        <f>"-0.71"</f>
        <v>-0.71</v>
      </c>
      <c r="C8965" t="str">
        <f>"51"</f>
        <v>51</v>
      </c>
      <c r="D8965" t="str">
        <f>"Transgender Dysphoria Blues"</f>
        <v>Transgender Dysphoria Blues</v>
      </c>
    </row>
    <row r="8966" spans="1:4" x14ac:dyDescent="0.2">
      <c r="A8966" t="str">
        <f>"8965"</f>
        <v>8965</v>
      </c>
      <c r="B8966" t="str">
        <f>"-0.35"</f>
        <v>-0.35</v>
      </c>
      <c r="C8966" t="str">
        <f>"30"</f>
        <v>30</v>
      </c>
      <c r="D8966" t="str">
        <f>"Abandoned Apartments"</f>
        <v>Abandoned Apartments</v>
      </c>
    </row>
    <row r="8967" spans="1:4" x14ac:dyDescent="0.2">
      <c r="A8967" t="str">
        <f>"8966"</f>
        <v>8966</v>
      </c>
      <c r="B8967" t="str">
        <f>"1.07"</f>
        <v>1.07</v>
      </c>
      <c r="C8967" t="str">
        <f>"30"</f>
        <v>30</v>
      </c>
      <c r="D8967" t="str">
        <f>"Where Shine New Lights"</f>
        <v>Where Shine New Lights</v>
      </c>
    </row>
    <row r="8968" spans="1:4" x14ac:dyDescent="0.2">
      <c r="A8968" t="str">
        <f>"8967"</f>
        <v>8967</v>
      </c>
      <c r="B8968" t="str">
        <f>"-0.31"</f>
        <v>-0.31</v>
      </c>
      <c r="C8968" t="str">
        <f>"35"</f>
        <v>35</v>
      </c>
      <c r="D8968" t="str">
        <f>"Drowners"</f>
        <v>Drowners</v>
      </c>
    </row>
    <row r="8969" spans="1:4" x14ac:dyDescent="0.2">
      <c r="A8969" t="str">
        <f>"8968"</f>
        <v>8968</v>
      </c>
      <c r="B8969" t="str">
        <f>"1.19"</f>
        <v>1.19</v>
      </c>
      <c r="C8969" t="str">
        <f>"42"</f>
        <v>42</v>
      </c>
      <c r="D8969" t="str">
        <f>"Lord Steppington"</f>
        <v>Lord Steppington</v>
      </c>
    </row>
    <row r="8970" spans="1:4" x14ac:dyDescent="0.2">
      <c r="A8970" t="str">
        <f>"8969"</f>
        <v>8969</v>
      </c>
      <c r="B8970" t="str">
        <f>"0.62"</f>
        <v>0.62</v>
      </c>
      <c r="C8970" t="str">
        <f>"34"</f>
        <v>34</v>
      </c>
      <c r="D8970" t="str">
        <f>"Have Fun With God"</f>
        <v>Have Fun With God</v>
      </c>
    </row>
    <row r="8971" spans="1:4" x14ac:dyDescent="0.2">
      <c r="A8971" t="str">
        <f>"8970"</f>
        <v>8970</v>
      </c>
      <c r="B8971" t="str">
        <f>"0.53"</f>
        <v>0.53</v>
      </c>
      <c r="C8971" t="str">
        <f>"34"</f>
        <v>34</v>
      </c>
      <c r="D8971" t="str">
        <f>"Spaces"</f>
        <v>Spaces</v>
      </c>
    </row>
    <row r="8972" spans="1:4" x14ac:dyDescent="0.2">
      <c r="A8972" t="str">
        <f>"8971"</f>
        <v>8971</v>
      </c>
      <c r="B8972" t="str">
        <f>"0.13"</f>
        <v>0.13</v>
      </c>
      <c r="C8972" t="str">
        <f>"53"</f>
        <v>53</v>
      </c>
      <c r="D8972" t="str">
        <f>"Brothers and Sisters of the Eternal Son"</f>
        <v>Brothers and Sisters of the Eternal Son</v>
      </c>
    </row>
    <row r="8973" spans="1:4" x14ac:dyDescent="0.2">
      <c r="A8973" t="str">
        <f>"8972"</f>
        <v>8972</v>
      </c>
      <c r="B8973" t="str">
        <f>"-0.45"</f>
        <v>-0.45</v>
      </c>
      <c r="C8973" t="str">
        <f>"40"</f>
        <v>40</v>
      </c>
      <c r="D8973" t="str">
        <f>"From All Purity"</f>
        <v>From All Purity</v>
      </c>
    </row>
    <row r="8974" spans="1:4" x14ac:dyDescent="0.2">
      <c r="A8974" t="str">
        <f>"8973"</f>
        <v>8973</v>
      </c>
      <c r="B8974" t="str">
        <f>"-0.73"</f>
        <v>-0.73</v>
      </c>
      <c r="C8974" t="str">
        <f>"34"</f>
        <v>34</v>
      </c>
      <c r="D8974" t="str">
        <f>"Michael Lee Yonkers"</f>
        <v>Michael Lee Yonkers</v>
      </c>
    </row>
    <row r="8975" spans="1:4" x14ac:dyDescent="0.2">
      <c r="A8975" t="str">
        <f>"8974"</f>
        <v>8974</v>
      </c>
      <c r="B8975" t="str">
        <f>"-0.72"</f>
        <v>-0.72</v>
      </c>
      <c r="C8975" t="str">
        <f>"48"</f>
        <v>48</v>
      </c>
      <c r="D8975" t="str">
        <f>"Warpaint"</f>
        <v>Warpaint</v>
      </c>
    </row>
    <row r="8976" spans="1:4" x14ac:dyDescent="0.2">
      <c r="A8976" t="str">
        <f>"8975"</f>
        <v>8975</v>
      </c>
      <c r="B8976" t="str">
        <f>"-0.48"</f>
        <v>-0.48</v>
      </c>
      <c r="C8976" t="str">
        <f>"150"</f>
        <v>150</v>
      </c>
      <c r="D8976" t="str">
        <f>"Tuck Box"</f>
        <v>Tuck Box</v>
      </c>
    </row>
    <row r="8977" spans="1:4" x14ac:dyDescent="0.2">
      <c r="A8977" t="str">
        <f>"8976"</f>
        <v>8976</v>
      </c>
      <c r="B8977" t="str">
        <f>"-0.3"</f>
        <v>-0.3</v>
      </c>
      <c r="C8977" t="str">
        <f>"43"</f>
        <v>43</v>
      </c>
      <c r="D8977" t="str">
        <f>"Light Show"</f>
        <v>Light Show</v>
      </c>
    </row>
    <row r="8978" spans="1:4" x14ac:dyDescent="0.2">
      <c r="A8978" t="str">
        <f>"8977"</f>
        <v>8977</v>
      </c>
      <c r="B8978" t="str">
        <f>"-1.04"</f>
        <v>-1.04</v>
      </c>
      <c r="C8978" t="str">
        <f>"49"</f>
        <v>49</v>
      </c>
      <c r="D8978" t="str">
        <f>"Sanctuary: The Complete Discography"</f>
        <v>Sanctuary: The Complete Discography</v>
      </c>
    </row>
    <row r="8979" spans="1:4" x14ac:dyDescent="0.2">
      <c r="A8979" t="str">
        <f>"8978"</f>
        <v>8978</v>
      </c>
      <c r="B8979" t="str">
        <f>"-0.28"</f>
        <v>-0.28</v>
      </c>
      <c r="C8979" t="str">
        <f>"32"</f>
        <v>32</v>
      </c>
      <c r="D8979" t="str">
        <f>"Shy Boys"</f>
        <v>Shy Boys</v>
      </c>
    </row>
    <row r="8980" spans="1:4" x14ac:dyDescent="0.2">
      <c r="A8980" t="str">
        <f>"8979"</f>
        <v>8979</v>
      </c>
      <c r="B8980" t="str">
        <f>"-0.2"</f>
        <v>-0.2</v>
      </c>
      <c r="C8980" t="str">
        <f>"42"</f>
        <v>42</v>
      </c>
      <c r="D8980" t="str">
        <f>"Fuck Off Get Free We Pour Light on Everything"</f>
        <v>Fuck Off Get Free We Pour Light on Everything</v>
      </c>
    </row>
    <row r="8981" spans="1:4" x14ac:dyDescent="0.2">
      <c r="A8981" t="str">
        <f>"8980"</f>
        <v>8980</v>
      </c>
      <c r="B8981" t="str">
        <f>"0.8"</f>
        <v>0.8</v>
      </c>
      <c r="C8981" t="str">
        <f>"30"</f>
        <v>30</v>
      </c>
      <c r="D8981" t="str">
        <f>"Post Tropical"</f>
        <v>Post Tropical</v>
      </c>
    </row>
    <row r="8982" spans="1:4" x14ac:dyDescent="0.2">
      <c r="A8982" t="str">
        <f>"8981"</f>
        <v>8981</v>
      </c>
      <c r="B8982" t="str">
        <f>"1.09"</f>
        <v>1.09</v>
      </c>
      <c r="C8982" t="str">
        <f>"25"</f>
        <v>25</v>
      </c>
      <c r="D8982" t="str">
        <f>"Strong Feelings"</f>
        <v>Strong Feelings</v>
      </c>
    </row>
    <row r="8983" spans="1:4" x14ac:dyDescent="0.2">
      <c r="A8983" t="str">
        <f>"8982"</f>
        <v>8982</v>
      </c>
      <c r="B8983" t="str">
        <f>"0.85"</f>
        <v>0.85</v>
      </c>
      <c r="C8983" t="str">
        <f>"37"</f>
        <v>37</v>
      </c>
      <c r="D8983" t="str">
        <f>"Shelter"</f>
        <v>Shelter</v>
      </c>
    </row>
    <row r="8984" spans="1:4" x14ac:dyDescent="0.2">
      <c r="A8984" t="str">
        <f>"8983"</f>
        <v>8983</v>
      </c>
      <c r="B8984" t="str">
        <f>"-0.38"</f>
        <v>-0.38</v>
      </c>
      <c r="C8984" t="str">
        <f>"24"</f>
        <v>24</v>
      </c>
      <c r="D8984" t="str">
        <f>"Edges"</f>
        <v>Edges</v>
      </c>
    </row>
    <row r="8985" spans="1:4" x14ac:dyDescent="0.2">
      <c r="A8985" t="str">
        <f>"8984"</f>
        <v>8984</v>
      </c>
      <c r="B8985" t="str">
        <f>"-0.36"</f>
        <v>-0.36</v>
      </c>
      <c r="C8985" t="str">
        <f>"31"</f>
        <v>31</v>
      </c>
      <c r="D8985" t="str">
        <f>"Rave Tapes"</f>
        <v>Rave Tapes</v>
      </c>
    </row>
    <row r="8986" spans="1:4" x14ac:dyDescent="0.2">
      <c r="A8986" t="str">
        <f>"8985"</f>
        <v>8985</v>
      </c>
      <c r="B8986" t="str">
        <f>"0.74"</f>
        <v>0.74</v>
      </c>
      <c r="C8986" t="str">
        <f>"24"</f>
        <v>24</v>
      </c>
      <c r="D8986" t="str">
        <f>"Killed by Deathrock: Vol. 1"</f>
        <v>Killed by Deathrock: Vol. 1</v>
      </c>
    </row>
    <row r="8987" spans="1:4" x14ac:dyDescent="0.2">
      <c r="A8987" t="str">
        <f>"8986"</f>
        <v>8986</v>
      </c>
      <c r="B8987" t="str">
        <f>"-0.19"</f>
        <v>-0.19</v>
      </c>
      <c r="C8987" t="str">
        <f>"33"</f>
        <v>33</v>
      </c>
      <c r="D8987" t="str">
        <f>"The Invention of Animals"</f>
        <v>The Invention of Animals</v>
      </c>
    </row>
    <row r="8988" spans="1:4" x14ac:dyDescent="0.2">
      <c r="A8988" t="str">
        <f>"8987"</f>
        <v>8987</v>
      </c>
      <c r="B8988" t="str">
        <f>"0.36"</f>
        <v>0.36</v>
      </c>
      <c r="C8988" t="str">
        <f>"46"</f>
        <v>46</v>
      </c>
      <c r="D8988" t="str">
        <f>"Fabriclive 73"</f>
        <v>Fabriclive 73</v>
      </c>
    </row>
    <row r="8989" spans="1:4" x14ac:dyDescent="0.2">
      <c r="A8989" t="str">
        <f>"8988"</f>
        <v>8988</v>
      </c>
      <c r="B8989" t="str">
        <f>"-0.35"</f>
        <v>-0.35</v>
      </c>
      <c r="C8989" t="str">
        <f>"21"</f>
        <v>21</v>
      </c>
      <c r="D8989" t="str">
        <f>"Gay Disco"</f>
        <v>Gay Disco</v>
      </c>
    </row>
    <row r="8990" spans="1:4" x14ac:dyDescent="0.2">
      <c r="A8990" t="str">
        <f>"8989"</f>
        <v>8989</v>
      </c>
      <c r="B8990" t="str">
        <f>"-0.55"</f>
        <v>-0.55</v>
      </c>
      <c r="C8990" t="str">
        <f>"36"</f>
        <v>36</v>
      </c>
      <c r="D8990" t="str">
        <f>"Bad Debt"</f>
        <v>Bad Debt</v>
      </c>
    </row>
    <row r="8991" spans="1:4" x14ac:dyDescent="0.2">
      <c r="A8991" t="str">
        <f>"8990"</f>
        <v>8990</v>
      </c>
      <c r="B8991" t="str">
        <f>"0.39"</f>
        <v>0.39</v>
      </c>
      <c r="C8991" t="str">
        <f>"30"</f>
        <v>30</v>
      </c>
      <c r="D8991" t="str">
        <f>"Has God Seen My Shadow?: An Anthology 1989-2011"</f>
        <v>Has God Seen My Shadow?: An Anthology 1989-2011</v>
      </c>
    </row>
    <row r="8992" spans="1:4" x14ac:dyDescent="0.2">
      <c r="A8992" t="str">
        <f>"8991"</f>
        <v>8991</v>
      </c>
      <c r="B8992" t="str">
        <f>"0.06"</f>
        <v>0.06</v>
      </c>
      <c r="C8992" t="str">
        <f>"26"</f>
        <v>26</v>
      </c>
      <c r="D8992" t="str">
        <f>"Chiaroscuro"</f>
        <v>Chiaroscuro</v>
      </c>
    </row>
    <row r="8993" spans="1:4" x14ac:dyDescent="0.2">
      <c r="A8993" t="str">
        <f>"8992"</f>
        <v>8992</v>
      </c>
      <c r="B8993" t="str">
        <f>"-0.3"</f>
        <v>-0.3</v>
      </c>
      <c r="C8993" t="str">
        <f>"37"</f>
        <v>37</v>
      </c>
      <c r="D8993" t="str">
        <f>"Eighteen Hours of Static"</f>
        <v>Eighteen Hours of Static</v>
      </c>
    </row>
    <row r="8994" spans="1:4" x14ac:dyDescent="0.2">
      <c r="A8994" t="str">
        <f>"8993"</f>
        <v>8993</v>
      </c>
      <c r="B8994" t="str">
        <f>"1.05"</f>
        <v>1.05</v>
      </c>
      <c r="C8994" t="str">
        <f>"32"</f>
        <v>32</v>
      </c>
      <c r="D8994" t="str">
        <f>"Alternate / Endings"</f>
        <v>Alternate / Endings</v>
      </c>
    </row>
    <row r="8995" spans="1:4" x14ac:dyDescent="0.2">
      <c r="A8995" t="str">
        <f>"8994"</f>
        <v>8994</v>
      </c>
      <c r="B8995" t="str">
        <f>"0.09"</f>
        <v>0.09</v>
      </c>
      <c r="C8995" t="str">
        <f>"33"</f>
        <v>33</v>
      </c>
      <c r="D8995" t="str">
        <f>"White Light/White Heat"</f>
        <v>White Light/White Heat</v>
      </c>
    </row>
    <row r="8996" spans="1:4" x14ac:dyDescent="0.2">
      <c r="A8996" t="str">
        <f>"8995"</f>
        <v>8995</v>
      </c>
      <c r="B8996" t="str">
        <f>"0.11"</f>
        <v>0.11</v>
      </c>
      <c r="C8996" t="str">
        <f>"49"</f>
        <v>49</v>
      </c>
      <c r="D8996" t="str">
        <f>"Keep Doing What You're Doing"</f>
        <v>Keep Doing What You're Doing</v>
      </c>
    </row>
    <row r="8997" spans="1:4" x14ac:dyDescent="0.2">
      <c r="A8997" t="str">
        <f>"8996"</f>
        <v>8996</v>
      </c>
      <c r="B8997" t="str">
        <f>"-0.48"</f>
        <v>-0.48</v>
      </c>
      <c r="C8997" t="str">
        <f>"28"</f>
        <v>28</v>
      </c>
      <c r="D8997" t="str">
        <f>"The State vs. Radric Davis II: The Caged Bird Sings"</f>
        <v>The State vs. Radric Davis II: The Caged Bird Sings</v>
      </c>
    </row>
    <row r="8998" spans="1:4" x14ac:dyDescent="0.2">
      <c r="A8998" t="str">
        <f>"8997"</f>
        <v>8997</v>
      </c>
      <c r="B8998" t="str">
        <f>"-0.05"</f>
        <v>-0.05</v>
      </c>
      <c r="C8998" t="str">
        <f>"37"</f>
        <v>37</v>
      </c>
      <c r="D8998" t="str">
        <f>"Audion X"</f>
        <v>Audion X</v>
      </c>
    </row>
    <row r="8999" spans="1:4" x14ac:dyDescent="0.2">
      <c r="A8999" t="str">
        <f>"8998"</f>
        <v>8998</v>
      </c>
      <c r="B8999" t="str">
        <f>"-0.85"</f>
        <v>-0.85</v>
      </c>
      <c r="C8999" t="str">
        <f>"33"</f>
        <v>33</v>
      </c>
      <c r="D8999" t="str">
        <f>"Mr. Jones"</f>
        <v>Mr. Jones</v>
      </c>
    </row>
    <row r="9000" spans="1:4" x14ac:dyDescent="0.2">
      <c r="A9000" t="str">
        <f>"8999"</f>
        <v>8999</v>
      </c>
      <c r="B9000" t="str">
        <f>"0.83"</f>
        <v>0.83</v>
      </c>
      <c r="C9000" t="str">
        <f>"32"</f>
        <v>32</v>
      </c>
      <c r="D9000" t="str">
        <f>"Give the People What They Want"</f>
        <v>Give the People What They Want</v>
      </c>
    </row>
    <row r="9001" spans="1:4" x14ac:dyDescent="0.2">
      <c r="A9001" t="str">
        <f>"9000"</f>
        <v>9000</v>
      </c>
      <c r="B9001" t="str">
        <f>"-0.14"</f>
        <v>-0.14</v>
      </c>
      <c r="C9001" t="str">
        <f>"34"</f>
        <v>34</v>
      </c>
      <c r="D9001" t="str">
        <f>"NOT O.K."</f>
        <v>NOT O.K.</v>
      </c>
    </row>
    <row r="9002" spans="1:4" x14ac:dyDescent="0.2">
      <c r="A9002" t="str">
        <f>"9001"</f>
        <v>9001</v>
      </c>
      <c r="B9002" t="str">
        <f>"-0.38"</f>
        <v>-0.38</v>
      </c>
      <c r="C9002" t="str">
        <f>"29"</f>
        <v>29</v>
      </c>
      <c r="D9002" t="str">
        <f>"Broken Swenglish Vol. 1 EP"</f>
        <v>Broken Swenglish Vol. 1 EP</v>
      </c>
    </row>
    <row r="9003" spans="1:4" x14ac:dyDescent="0.2">
      <c r="A9003" t="str">
        <f>"9002"</f>
        <v>9002</v>
      </c>
      <c r="B9003" t="str">
        <f>"0.49"</f>
        <v>0.49</v>
      </c>
      <c r="C9003" t="str">
        <f>"26"</f>
        <v>26</v>
      </c>
      <c r="D9003" t="str">
        <f>"Cartography for Beginners: A Best of the Lucksmiths"</f>
        <v>Cartography for Beginners: A Best of the Lucksmiths</v>
      </c>
    </row>
    <row r="9004" spans="1:4" x14ac:dyDescent="0.2">
      <c r="A9004" t="str">
        <f>"9003"</f>
        <v>9003</v>
      </c>
      <c r="B9004" t="str">
        <f>"1.19"</f>
        <v>1.19</v>
      </c>
      <c r="C9004" t="str">
        <f>"23"</f>
        <v>23</v>
      </c>
      <c r="D9004" t="str">
        <f>"The Soul Tape 3"</f>
        <v>The Soul Tape 3</v>
      </c>
    </row>
    <row r="9005" spans="1:4" x14ac:dyDescent="0.2">
      <c r="A9005" t="str">
        <f>"9004"</f>
        <v>9004</v>
      </c>
      <c r="B9005" t="str">
        <f>"0.16"</f>
        <v>0.16</v>
      </c>
      <c r="C9005" t="str">
        <f>"42"</f>
        <v>42</v>
      </c>
      <c r="D9005" t="str">
        <f>"Settle: The Remixes"</f>
        <v>Settle: The Remixes</v>
      </c>
    </row>
    <row r="9006" spans="1:4" x14ac:dyDescent="0.2">
      <c r="A9006" t="str">
        <f>"9005"</f>
        <v>9005</v>
      </c>
      <c r="B9006" t="str">
        <f>"-0.29"</f>
        <v>-0.29</v>
      </c>
      <c r="C9006" t="str">
        <f>"22"</f>
        <v>22</v>
      </c>
      <c r="D9006" t="str">
        <f>"Enter"</f>
        <v>Enter</v>
      </c>
    </row>
    <row r="9007" spans="1:4" x14ac:dyDescent="0.2">
      <c r="A9007" t="str">
        <f>"9006"</f>
        <v>9006</v>
      </c>
      <c r="B9007" t="str">
        <f>"0.16"</f>
        <v>0.16</v>
      </c>
      <c r="C9007" t="str">
        <f>"20"</f>
        <v>20</v>
      </c>
      <c r="D9007" t="str">
        <f>"Iller Than Most"</f>
        <v>Iller Than Most</v>
      </c>
    </row>
    <row r="9008" spans="1:4" x14ac:dyDescent="0.2">
      <c r="A9008" t="str">
        <f>"9007"</f>
        <v>9007</v>
      </c>
      <c r="B9008" t="str">
        <f>"0.25"</f>
        <v>0.25</v>
      </c>
      <c r="C9008" t="str">
        <f>"27"</f>
        <v>27</v>
      </c>
      <c r="D9008" t="str">
        <f>"Forever"</f>
        <v>Forever</v>
      </c>
    </row>
    <row r="9009" spans="1:4" x14ac:dyDescent="0.2">
      <c r="A9009" t="str">
        <f>"9008"</f>
        <v>9008</v>
      </c>
      <c r="B9009" t="str">
        <f>"-0.77"</f>
        <v>-0.77</v>
      </c>
      <c r="C9009" t="str">
        <f>"26"</f>
        <v>26</v>
      </c>
      <c r="D9009" t="str">
        <f>"The Shaw Tapes: Live in Detroit 5/27/88"</f>
        <v>The Shaw Tapes: Live in Detroit 5/27/88</v>
      </c>
    </row>
    <row r="9010" spans="1:4" x14ac:dyDescent="0.2">
      <c r="A9010" t="str">
        <f>"9009"</f>
        <v>9009</v>
      </c>
      <c r="B9010" t="str">
        <f>"-1.01"</f>
        <v>-1.01</v>
      </c>
      <c r="C9010" t="str">
        <f>"58"</f>
        <v>58</v>
      </c>
      <c r="D9010" t="str">
        <f>"High Hopes"</f>
        <v>High Hopes</v>
      </c>
    </row>
    <row r="9011" spans="1:4" x14ac:dyDescent="0.2">
      <c r="A9011" t="str">
        <f>"9010"</f>
        <v>9010</v>
      </c>
      <c r="B9011" t="str">
        <f>"-1.37"</f>
        <v>-1.37</v>
      </c>
      <c r="C9011" t="str">
        <f>"28"</f>
        <v>28</v>
      </c>
      <c r="D9011" t="str">
        <f>"Early Live Recordings"</f>
        <v>Early Live Recordings</v>
      </c>
    </row>
    <row r="9012" spans="1:4" x14ac:dyDescent="0.2">
      <c r="A9012" t="str">
        <f>"9011"</f>
        <v>9011</v>
      </c>
      <c r="B9012" t="str">
        <f>"-0.16"</f>
        <v>-0.16</v>
      </c>
      <c r="C9012" t="str">
        <f>"25"</f>
        <v>25</v>
      </c>
      <c r="D9012" t="str">
        <f>"Marci Beaucoup"</f>
        <v>Marci Beaucoup</v>
      </c>
    </row>
    <row r="9013" spans="1:4" x14ac:dyDescent="0.2">
      <c r="A9013" t="str">
        <f>"9012"</f>
        <v>9012</v>
      </c>
      <c r="B9013" t="str">
        <f>"-0.41"</f>
        <v>-0.41</v>
      </c>
      <c r="C9013" t="str">
        <f>"28"</f>
        <v>28</v>
      </c>
      <c r="D9013" t="str">
        <f>"Grassed Inn"</f>
        <v>Grassed Inn</v>
      </c>
    </row>
    <row r="9014" spans="1:4" x14ac:dyDescent="0.2">
      <c r="A9014" t="str">
        <f>"9013"</f>
        <v>9013</v>
      </c>
      <c r="B9014" t="str">
        <f>"-1.12"</f>
        <v>-1.12</v>
      </c>
      <c r="C9014" t="str">
        <f>"22"</f>
        <v>22</v>
      </c>
      <c r="D9014" t="str">
        <f>"Until the Colours Run"</f>
        <v>Until the Colours Run</v>
      </c>
    </row>
    <row r="9015" spans="1:4" x14ac:dyDescent="0.2">
      <c r="A9015" t="str">
        <f>"9014"</f>
        <v>9014</v>
      </c>
      <c r="B9015" t="str">
        <f>"0.16"</f>
        <v>0.16</v>
      </c>
      <c r="C9015" t="str">
        <f>"36"</f>
        <v>36</v>
      </c>
      <c r="D9015" t="str">
        <f>"EP-2"</f>
        <v>EP-2</v>
      </c>
    </row>
    <row r="9016" spans="1:4" x14ac:dyDescent="0.2">
      <c r="A9016" t="str">
        <f>"9015"</f>
        <v>9015</v>
      </c>
      <c r="B9016" t="str">
        <f>"-0.47"</f>
        <v>-0.47</v>
      </c>
      <c r="C9016" t="str">
        <f>"43"</f>
        <v>43</v>
      </c>
      <c r="D9016" t="str">
        <f>"Dirty Gold"</f>
        <v>Dirty Gold</v>
      </c>
    </row>
    <row r="9017" spans="1:4" x14ac:dyDescent="0.2">
      <c r="A9017" t="str">
        <f>"9016"</f>
        <v>9016</v>
      </c>
      <c r="B9017" t="str">
        <f>"-1.18"</f>
        <v>-1.18</v>
      </c>
      <c r="C9017" t="str">
        <f>"39"</f>
        <v>39</v>
      </c>
      <c r="D9017" t="str">
        <f>"Try Me"</f>
        <v>Try Me</v>
      </c>
    </row>
    <row r="9018" spans="1:4" x14ac:dyDescent="0.2">
      <c r="A9018" t="str">
        <f>"9017"</f>
        <v>9017</v>
      </c>
      <c r="B9018" t="str">
        <f>"0.3"</f>
        <v>0.3</v>
      </c>
      <c r="C9018" t="str">
        <f>"48"</f>
        <v>48</v>
      </c>
      <c r="D9018" t="str">
        <f>"Battlefields Forever"</f>
        <v>Battlefields Forever</v>
      </c>
    </row>
    <row r="9019" spans="1:4" x14ac:dyDescent="0.2">
      <c r="A9019" t="str">
        <f>"9018"</f>
        <v>9018</v>
      </c>
      <c r="B9019" t="str">
        <f>"-0.17"</f>
        <v>-0.17</v>
      </c>
      <c r="C9019" t="str">
        <f>"36"</f>
        <v>36</v>
      </c>
      <c r="D9019" t="str">
        <f>"Terminal Teen Age"</f>
        <v>Terminal Teen Age</v>
      </c>
    </row>
    <row r="9020" spans="1:4" x14ac:dyDescent="0.2">
      <c r="A9020" t="str">
        <f>"9019"</f>
        <v>9019</v>
      </c>
      <c r="B9020" t="str">
        <f>"0.38"</f>
        <v>0.38</v>
      </c>
      <c r="C9020" t="str">
        <f>"25"</f>
        <v>25</v>
      </c>
      <c r="D9020" t="str">
        <f>"The Abstract And The Dragon"</f>
        <v>The Abstract And The Dragon</v>
      </c>
    </row>
    <row r="9021" spans="1:4" x14ac:dyDescent="0.2">
      <c r="A9021" t="str">
        <f>"9020"</f>
        <v>9020</v>
      </c>
      <c r="B9021" t="str">
        <f>"0.32"</f>
        <v>0.32</v>
      </c>
      <c r="C9021" t="str">
        <f>"21"</f>
        <v>21</v>
      </c>
      <c r="D9021" t="str">
        <f>"Spezmodia EP"</f>
        <v>Spezmodia EP</v>
      </c>
    </row>
    <row r="9022" spans="1:4" x14ac:dyDescent="0.2">
      <c r="A9022" t="str">
        <f>"9021"</f>
        <v>9021</v>
      </c>
      <c r="B9022" t="str">
        <f>"0.27"</f>
        <v>0.27</v>
      </c>
      <c r="C9022" t="str">
        <f>"35"</f>
        <v>35</v>
      </c>
      <c r="D9022" t="str">
        <f>"Dell'Universo Assente"</f>
        <v>Dell'Universo Assente</v>
      </c>
    </row>
    <row r="9023" spans="1:4" x14ac:dyDescent="0.2">
      <c r="A9023" t="str">
        <f>"9022"</f>
        <v>9022</v>
      </c>
      <c r="B9023" t="str">
        <f>"1.65"</f>
        <v>1.65</v>
      </c>
      <c r="C9023" t="str">
        <f>"35"</f>
        <v>35</v>
      </c>
      <c r="D9023" t="str">
        <f>"River of Souls"</f>
        <v>River of Souls</v>
      </c>
    </row>
    <row r="9024" spans="1:4" x14ac:dyDescent="0.2">
      <c r="A9024" t="str">
        <f>"9023"</f>
        <v>9023</v>
      </c>
      <c r="B9024" t="str">
        <f>"0.26"</f>
        <v>0.26</v>
      </c>
      <c r="C9024" t="str">
        <f>"33"</f>
        <v>33</v>
      </c>
      <c r="D9024" t="str">
        <f>"Dr. Stokley"</f>
        <v>Dr. Stokley</v>
      </c>
    </row>
    <row r="9025" spans="1:4" x14ac:dyDescent="0.2">
      <c r="A9025" t="str">
        <f>"9024"</f>
        <v>9024</v>
      </c>
      <c r="B9025" t="str">
        <f>"-0.48"</f>
        <v>-0.48</v>
      </c>
      <c r="C9025" t="str">
        <f>"37"</f>
        <v>37</v>
      </c>
      <c r="D9025" t="str">
        <f>"Instrumental Tape 3"</f>
        <v>Instrumental Tape 3</v>
      </c>
    </row>
    <row r="9026" spans="1:4" x14ac:dyDescent="0.2">
      <c r="A9026" t="str">
        <f>"9025"</f>
        <v>9025</v>
      </c>
      <c r="B9026" t="str">
        <f>"-0.72"</f>
        <v>-0.72</v>
      </c>
      <c r="C9026" t="str">
        <f>"23"</f>
        <v>23</v>
      </c>
      <c r="D9026" t="str">
        <f>"Drilluminati 2"</f>
        <v>Drilluminati 2</v>
      </c>
    </row>
    <row r="9027" spans="1:4" x14ac:dyDescent="0.2">
      <c r="A9027" t="str">
        <f>"9026"</f>
        <v>9026</v>
      </c>
      <c r="B9027" t="str">
        <f>"0.72"</f>
        <v>0.72</v>
      </c>
      <c r="C9027" t="str">
        <f>"38"</f>
        <v>38</v>
      </c>
      <c r="D9027" t="str">
        <f>"Wind In Lonely Fences 1970 - 2011"</f>
        <v>Wind In Lonely Fences 1970 - 2011</v>
      </c>
    </row>
    <row r="9028" spans="1:4" x14ac:dyDescent="0.2">
      <c r="A9028" t="str">
        <f>"9027"</f>
        <v>9027</v>
      </c>
      <c r="B9028" t="str">
        <f>"0.25"</f>
        <v>0.25</v>
      </c>
      <c r="C9028" t="str">
        <f>"23"</f>
        <v>23</v>
      </c>
      <c r="D9028" t="str">
        <f>"The Ancient Tonalities Of…"</f>
        <v>The Ancient Tonalities Of…</v>
      </c>
    </row>
    <row r="9029" spans="1:4" x14ac:dyDescent="0.2">
      <c r="A9029" t="str">
        <f>"9028"</f>
        <v>9028</v>
      </c>
      <c r="B9029" t="str">
        <f>"-0.16"</f>
        <v>-0.16</v>
      </c>
      <c r="C9029" t="str">
        <f>"32"</f>
        <v>32</v>
      </c>
      <c r="D9029" t="str">
        <f>"Clapper Is Still"</f>
        <v>Clapper Is Still</v>
      </c>
    </row>
    <row r="9030" spans="1:4" x14ac:dyDescent="0.2">
      <c r="A9030" t="str">
        <f>"9029"</f>
        <v>9029</v>
      </c>
      <c r="B9030" t="str">
        <f>"0.3"</f>
        <v>0.3</v>
      </c>
      <c r="C9030" t="str">
        <f>"38"</f>
        <v>38</v>
      </c>
      <c r="D9030" t="str">
        <f>"Wig Out at Jagbags"</f>
        <v>Wig Out at Jagbags</v>
      </c>
    </row>
    <row r="9031" spans="1:4" x14ac:dyDescent="0.2">
      <c r="A9031" t="str">
        <f>"9030"</f>
        <v>9030</v>
      </c>
      <c r="B9031" t="str">
        <f>"-0.4"</f>
        <v>-0.4</v>
      </c>
      <c r="C9031" t="str">
        <f>"28"</f>
        <v>28</v>
      </c>
      <c r="D9031" t="str">
        <f>"L.I.E.S. Presents: Music for Shut-Ins"</f>
        <v>L.I.E.S. Presents: Music for Shut-Ins</v>
      </c>
    </row>
    <row r="9032" spans="1:4" x14ac:dyDescent="0.2">
      <c r="A9032" t="str">
        <f>"9031"</f>
        <v>9031</v>
      </c>
      <c r="B9032" t="str">
        <f>"0.66"</f>
        <v>0.66</v>
      </c>
      <c r="C9032" t="str">
        <f>"53"</f>
        <v>53</v>
      </c>
      <c r="D9032" t="str">
        <f>"There’s A Dream I’ve Been Saving: Lee Hazlewood Industries 1966–1971"</f>
        <v>There’s A Dream I’ve Been Saving: Lee Hazlewood Industries 1966–1971</v>
      </c>
    </row>
    <row r="9033" spans="1:4" x14ac:dyDescent="0.2">
      <c r="A9033" t="str">
        <f>"9032"</f>
        <v>9032</v>
      </c>
      <c r="B9033" t="str">
        <f>"0.18"</f>
        <v>0.18</v>
      </c>
      <c r="C9033" t="str">
        <f>"24"</f>
        <v>24</v>
      </c>
      <c r="D9033" t="str">
        <f>"Justus Köhncke &amp; the Wonderful Frequency Band"</f>
        <v>Justus Köhncke &amp; the Wonderful Frequency Band</v>
      </c>
    </row>
    <row r="9034" spans="1:4" x14ac:dyDescent="0.2">
      <c r="A9034" t="str">
        <f>"9033"</f>
        <v>9033</v>
      </c>
      <c r="B9034" t="str">
        <f>"0.03"</f>
        <v>0.03</v>
      </c>
      <c r="C9034" t="str">
        <f>"33"</f>
        <v>33</v>
      </c>
      <c r="D9034" t="str">
        <f>"Retrieval"</f>
        <v>Retrieval</v>
      </c>
    </row>
    <row r="9035" spans="1:4" x14ac:dyDescent="0.2">
      <c r="A9035" t="str">
        <f>"9034"</f>
        <v>9034</v>
      </c>
      <c r="B9035" t="str">
        <f>"0.99"</f>
        <v>0.99</v>
      </c>
      <c r="C9035" t="str">
        <f>"42"</f>
        <v>42</v>
      </c>
      <c r="D9035" t="str">
        <f>"Beyoncé"</f>
        <v>Beyoncé</v>
      </c>
    </row>
    <row r="9036" spans="1:4" x14ac:dyDescent="0.2">
      <c r="A9036" t="str">
        <f>"9035"</f>
        <v>9035</v>
      </c>
      <c r="B9036" t="str">
        <f>"0.44"</f>
        <v>0.44</v>
      </c>
      <c r="C9036" t="str">
        <f>"47"</f>
        <v>47</v>
      </c>
      <c r="D9036" t="s">
        <v>289</v>
      </c>
    </row>
    <row r="9037" spans="1:4" x14ac:dyDescent="0.2">
      <c r="A9037" t="str">
        <f>"9036"</f>
        <v>9036</v>
      </c>
      <c r="B9037" t="str">
        <f>"-1.5"</f>
        <v>-1.5</v>
      </c>
      <c r="C9037" t="str">
        <f>"17"</f>
        <v>17</v>
      </c>
      <c r="D9037" t="str">
        <f>"Journey of the Deep Sea Dweller IV"</f>
        <v>Journey of the Deep Sea Dweller IV</v>
      </c>
    </row>
    <row r="9038" spans="1:4" x14ac:dyDescent="0.2">
      <c r="A9038" t="str">
        <f>"9037"</f>
        <v>9037</v>
      </c>
      <c r="B9038" t="str">
        <f>"-1.32"</f>
        <v>-1.32</v>
      </c>
      <c r="C9038" t="str">
        <f>"32"</f>
        <v>32</v>
      </c>
      <c r="D9038" t="str">
        <f>"A Fallen Empire"</f>
        <v>A Fallen Empire</v>
      </c>
    </row>
    <row r="9039" spans="1:4" x14ac:dyDescent="0.2">
      <c r="A9039" t="str">
        <f>"9038"</f>
        <v>9038</v>
      </c>
      <c r="B9039" t="str">
        <f>"0.36"</f>
        <v>0.36</v>
      </c>
      <c r="C9039" t="str">
        <f>"33"</f>
        <v>33</v>
      </c>
      <c r="D9039" t="str">
        <f>"Hallelujah All the Way Home"</f>
        <v>Hallelujah All the Way Home</v>
      </c>
    </row>
    <row r="9040" spans="1:4" x14ac:dyDescent="0.2">
      <c r="A9040" t="str">
        <f>"9039"</f>
        <v>9039</v>
      </c>
      <c r="B9040" t="str">
        <f>"-0.1"</f>
        <v>-0.1</v>
      </c>
      <c r="C9040" t="str">
        <f>"41"</f>
        <v>41</v>
      </c>
      <c r="D9040" t="str">
        <f>"Rival Dealer EP"</f>
        <v>Rival Dealer EP</v>
      </c>
    </row>
    <row r="9041" spans="1:4" x14ac:dyDescent="0.2">
      <c r="A9041" t="str">
        <f>"9040"</f>
        <v>9040</v>
      </c>
      <c r="B9041" t="str">
        <f>"1.14"</f>
        <v>1.14</v>
      </c>
      <c r="C9041" t="str">
        <f>"21"</f>
        <v>21</v>
      </c>
      <c r="D9041" t="str">
        <f>"BOOT!"</f>
        <v>BOOT!</v>
      </c>
    </row>
    <row r="9042" spans="1:4" x14ac:dyDescent="0.2">
      <c r="A9042" t="str">
        <f>"9041"</f>
        <v>9041</v>
      </c>
      <c r="B9042" t="str">
        <f>"-0.38"</f>
        <v>-0.38</v>
      </c>
      <c r="C9042" t="str">
        <f>"52"</f>
        <v>52</v>
      </c>
      <c r="D9042" t="str">
        <f>"The First And Last Days Of Unwelcome"</f>
        <v>The First And Last Days Of Unwelcome</v>
      </c>
    </row>
    <row r="9043" spans="1:4" x14ac:dyDescent="0.2">
      <c r="A9043" t="str">
        <f>"9042"</f>
        <v>9042</v>
      </c>
      <c r="B9043" t="str">
        <f>"1.19"</f>
        <v>1.19</v>
      </c>
      <c r="C9043" t="str">
        <f>"24"</f>
        <v>24</v>
      </c>
      <c r="D9043" t="str">
        <f>"Fair"</f>
        <v>Fair</v>
      </c>
    </row>
    <row r="9044" spans="1:4" x14ac:dyDescent="0.2">
      <c r="A9044" t="str">
        <f>"9043"</f>
        <v>9043</v>
      </c>
      <c r="B9044" t="str">
        <f>"-0.63"</f>
        <v>-0.63</v>
      </c>
      <c r="C9044" t="str">
        <f>"23"</f>
        <v>23</v>
      </c>
      <c r="D9044" t="str">
        <f>"Saâda Bonaire"</f>
        <v>Saâda Bonaire</v>
      </c>
    </row>
    <row r="9045" spans="1:4" x14ac:dyDescent="0.2">
      <c r="A9045" t="str">
        <f>"9044"</f>
        <v>9044</v>
      </c>
      <c r="B9045" t="str">
        <f>"-0.06"</f>
        <v>-0.06</v>
      </c>
      <c r="C9045" t="str">
        <f>"57"</f>
        <v>57</v>
      </c>
      <c r="D9045" t="str">
        <f>"Because the Internet"</f>
        <v>Because the Internet</v>
      </c>
    </row>
    <row r="9046" spans="1:4" x14ac:dyDescent="0.2">
      <c r="A9046" t="str">
        <f>"9045"</f>
        <v>9045</v>
      </c>
      <c r="B9046" t="str">
        <f>"-0.2"</f>
        <v>-0.2</v>
      </c>
      <c r="C9046" t="str">
        <f>"23"</f>
        <v>23</v>
      </c>
      <c r="D9046" t="str">
        <f>"Remainderer EP"</f>
        <v>Remainderer EP</v>
      </c>
    </row>
    <row r="9047" spans="1:4" x14ac:dyDescent="0.2">
      <c r="A9047" t="str">
        <f>"9046"</f>
        <v>9046</v>
      </c>
      <c r="B9047" t="str">
        <f>"0.57"</f>
        <v>0.57</v>
      </c>
      <c r="C9047" t="str">
        <f>"29"</f>
        <v>29</v>
      </c>
      <c r="D9047" t="str">
        <f>"The Love Champion"</f>
        <v>The Love Champion</v>
      </c>
    </row>
    <row r="9048" spans="1:4" x14ac:dyDescent="0.2">
      <c r="A9048" t="str">
        <f>"9047"</f>
        <v>9047</v>
      </c>
      <c r="B9048" t="str">
        <f>"-0.9"</f>
        <v>-0.9</v>
      </c>
      <c r="C9048" t="str">
        <f>"31"</f>
        <v>31</v>
      </c>
      <c r="D9048" t="str">
        <f>"Patricidal Lust"</f>
        <v>Patricidal Lust</v>
      </c>
    </row>
    <row r="9049" spans="1:4" x14ac:dyDescent="0.2">
      <c r="A9049" t="str">
        <f>"9048"</f>
        <v>9048</v>
      </c>
      <c r="B9049" t="str">
        <f>"0.43"</f>
        <v>0.43</v>
      </c>
      <c r="C9049" t="str">
        <f>"23"</f>
        <v>23</v>
      </c>
      <c r="D9049" t="str">
        <f>"Blue Rider"</f>
        <v>Blue Rider</v>
      </c>
    </row>
    <row r="9050" spans="1:4" x14ac:dyDescent="0.2">
      <c r="A9050" t="str">
        <f>"9049"</f>
        <v>9049</v>
      </c>
      <c r="B9050" t="str">
        <f>"-1.21"</f>
        <v>-1.21</v>
      </c>
      <c r="C9050" t="str">
        <f>"28"</f>
        <v>28</v>
      </c>
      <c r="D9050" t="str">
        <f>"Live at the Cellar Door"</f>
        <v>Live at the Cellar Door</v>
      </c>
    </row>
    <row r="9051" spans="1:4" x14ac:dyDescent="0.2">
      <c r="A9051" t="str">
        <f>"9050"</f>
        <v>9050</v>
      </c>
      <c r="B9051" t="str">
        <f>"-0.48"</f>
        <v>-0.48</v>
      </c>
      <c r="C9051" t="str">
        <f>"32"</f>
        <v>32</v>
      </c>
      <c r="D9051" t="str">
        <f>"Nina"</f>
        <v>Nina</v>
      </c>
    </row>
    <row r="9052" spans="1:4" x14ac:dyDescent="0.2">
      <c r="A9052" t="str">
        <f>"9051"</f>
        <v>9051</v>
      </c>
      <c r="B9052" t="str">
        <f>"0.12"</f>
        <v>0.12</v>
      </c>
      <c r="C9052" t="str">
        <f>"25"</f>
        <v>25</v>
      </c>
      <c r="D9052" t="str">
        <f>"School Daze"</f>
        <v>School Daze</v>
      </c>
    </row>
    <row r="9053" spans="1:4" x14ac:dyDescent="0.2">
      <c r="A9053" t="str">
        <f>"9052"</f>
        <v>9052</v>
      </c>
      <c r="B9053" t="str">
        <f>"-0.51"</f>
        <v>-0.51</v>
      </c>
      <c r="C9053" t="str">
        <f>"30"</f>
        <v>30</v>
      </c>
      <c r="D9053" t="str">
        <f>"Spit"</f>
        <v>Spit</v>
      </c>
    </row>
    <row r="9054" spans="1:4" x14ac:dyDescent="0.2">
      <c r="A9054" t="str">
        <f>"9053"</f>
        <v>9053</v>
      </c>
      <c r="B9054" t="str">
        <f>"-1.61"</f>
        <v>-1.61</v>
      </c>
      <c r="C9054" t="str">
        <f>"32"</f>
        <v>32</v>
      </c>
      <c r="D9054" t="str">
        <f>"Omen Ex Simulacra"</f>
        <v>Omen Ex Simulacra</v>
      </c>
    </row>
    <row r="9055" spans="1:4" x14ac:dyDescent="0.2">
      <c r="A9055" t="str">
        <f>"9054"</f>
        <v>9054</v>
      </c>
      <c r="B9055" t="str">
        <f>"-0.13"</f>
        <v>-0.13</v>
      </c>
      <c r="C9055" t="str">
        <f>"40"</f>
        <v>40</v>
      </c>
      <c r="D9055" t="str">
        <f>"Black Panties"</f>
        <v>Black Panties</v>
      </c>
    </row>
    <row r="9056" spans="1:4" x14ac:dyDescent="0.2">
      <c r="A9056" t="str">
        <f>"9055"</f>
        <v>9055</v>
      </c>
      <c r="B9056" t="str">
        <f>"0.79"</f>
        <v>0.79</v>
      </c>
      <c r="C9056" t="str">
        <f>"28"</f>
        <v>28</v>
      </c>
      <c r="D9056" t="str">
        <f>"I Heard The Angels Singing: Electrifying Black Gospel"</f>
        <v>I Heard The Angels Singing: Electrifying Black Gospel</v>
      </c>
    </row>
    <row r="9057" spans="1:4" x14ac:dyDescent="0.2">
      <c r="A9057" t="str">
        <f>"9056"</f>
        <v>9056</v>
      </c>
      <c r="B9057" t="str">
        <f>"0.51"</f>
        <v>0.51</v>
      </c>
      <c r="C9057" t="str">
        <f>"33"</f>
        <v>33</v>
      </c>
      <c r="D9057" t="str">
        <f>"David Novick"</f>
        <v>David Novick</v>
      </c>
    </row>
    <row r="9058" spans="1:4" x14ac:dyDescent="0.2">
      <c r="A9058" t="str">
        <f>"9057"</f>
        <v>9057</v>
      </c>
      <c r="B9058" t="str">
        <f>"0.87"</f>
        <v>0.87</v>
      </c>
      <c r="C9058" t="str">
        <f>"28"</f>
        <v>28</v>
      </c>
      <c r="D9058" t="str">
        <f>"Soundtracks for Takeshi Murata"</f>
        <v>Soundtracks for Takeshi Murata</v>
      </c>
    </row>
    <row r="9059" spans="1:4" x14ac:dyDescent="0.2">
      <c r="A9059" t="str">
        <f>"9058"</f>
        <v>9058</v>
      </c>
      <c r="B9059" t="str">
        <f>"-0.23"</f>
        <v>-0.23</v>
      </c>
      <c r="C9059" t="str">
        <f>"24"</f>
        <v>24</v>
      </c>
      <c r="D9059" t="str">
        <f>"Kok EP"</f>
        <v>Kok EP</v>
      </c>
    </row>
    <row r="9060" spans="1:4" x14ac:dyDescent="0.2">
      <c r="A9060" t="str">
        <f>"9059"</f>
        <v>9059</v>
      </c>
      <c r="B9060" t="str">
        <f>"0.41"</f>
        <v>0.41</v>
      </c>
      <c r="C9060" t="str">
        <f>"27"</f>
        <v>27</v>
      </c>
      <c r="D9060" t="str">
        <f>"7 Days of Funk"</f>
        <v>7 Days of Funk</v>
      </c>
    </row>
    <row r="9061" spans="1:4" x14ac:dyDescent="0.2">
      <c r="A9061" t="str">
        <f>"9060"</f>
        <v>9060</v>
      </c>
      <c r="B9061" t="str">
        <f>"-0.44"</f>
        <v>-0.44</v>
      </c>
      <c r="C9061" t="str">
        <f>"43"</f>
        <v>43</v>
      </c>
      <c r="D9061" t="str">
        <f>"Blazing Gentlemen"</f>
        <v>Blazing Gentlemen</v>
      </c>
    </row>
    <row r="9062" spans="1:4" x14ac:dyDescent="0.2">
      <c r="A9062" t="str">
        <f>"9061"</f>
        <v>9061</v>
      </c>
      <c r="B9062" t="str">
        <f>"1.16"</f>
        <v>1.16</v>
      </c>
      <c r="C9062" t="str">
        <f>"23"</f>
        <v>23</v>
      </c>
      <c r="D9062" t="str">
        <f>"Syndrome Syndrome"</f>
        <v>Syndrome Syndrome</v>
      </c>
    </row>
    <row r="9063" spans="1:4" x14ac:dyDescent="0.2">
      <c r="A9063" t="str">
        <f>"9062"</f>
        <v>9062</v>
      </c>
      <c r="B9063" t="str">
        <f>"0.29"</f>
        <v>0.29</v>
      </c>
      <c r="C9063" t="str">
        <f>"31"</f>
        <v>31</v>
      </c>
      <c r="D9063" t="str">
        <f>"Obscure Verses for the Multiverse"</f>
        <v>Obscure Verses for the Multiverse</v>
      </c>
    </row>
    <row r="9064" spans="1:4" x14ac:dyDescent="0.2">
      <c r="A9064" t="str">
        <f>"9063"</f>
        <v>9063</v>
      </c>
      <c r="B9064" t="str">
        <f>"0.75"</f>
        <v>0.75</v>
      </c>
      <c r="C9064" t="str">
        <f>"42"</f>
        <v>42</v>
      </c>
      <c r="D9064" t="str">
        <f>"Step Brothers 2"</f>
        <v>Step Brothers 2</v>
      </c>
    </row>
    <row r="9065" spans="1:4" x14ac:dyDescent="0.2">
      <c r="A9065" t="str">
        <f>"9064"</f>
        <v>9064</v>
      </c>
      <c r="B9065" t="str">
        <f>"0.41"</f>
        <v>0.41</v>
      </c>
      <c r="C9065" t="str">
        <f>"48"</f>
        <v>48</v>
      </c>
      <c r="D9065" t="str">
        <f>"Live at Brixton"</f>
        <v>Live at Brixton</v>
      </c>
    </row>
    <row r="9066" spans="1:4" x14ac:dyDescent="0.2">
      <c r="A9066" t="str">
        <f>"9065"</f>
        <v>9065</v>
      </c>
      <c r="B9066" t="str">
        <f>"2.14"</f>
        <v>2.14</v>
      </c>
      <c r="C9066" t="str">
        <f>"21"</f>
        <v>21</v>
      </c>
      <c r="D9066" t="str">
        <f>"Cosmic Machine"</f>
        <v>Cosmic Machine</v>
      </c>
    </row>
    <row r="9067" spans="1:4" x14ac:dyDescent="0.2">
      <c r="A9067" t="str">
        <f>"9066"</f>
        <v>9066</v>
      </c>
      <c r="B9067" t="str">
        <f>"-0.36"</f>
        <v>-0.36</v>
      </c>
      <c r="C9067" t="str">
        <f>"39"</f>
        <v>39</v>
      </c>
      <c r="D9067" t="str">
        <f>"The Constant One"</f>
        <v>The Constant One</v>
      </c>
    </row>
    <row r="9068" spans="1:4" x14ac:dyDescent="0.2">
      <c r="A9068" t="str">
        <f>"9067"</f>
        <v>9067</v>
      </c>
      <c r="B9068" t="str">
        <f>"0.31"</f>
        <v>0.31</v>
      </c>
      <c r="C9068" t="str">
        <f>"27"</f>
        <v>27</v>
      </c>
      <c r="D9068" t="str">
        <f>"No Dreams"</f>
        <v>No Dreams</v>
      </c>
    </row>
    <row r="9069" spans="1:4" x14ac:dyDescent="0.2">
      <c r="A9069" t="str">
        <f>"9068"</f>
        <v>9068</v>
      </c>
      <c r="B9069" t="str">
        <f>"-0.69"</f>
        <v>-0.69</v>
      </c>
      <c r="C9069" t="str">
        <f>"39"</f>
        <v>39</v>
      </c>
      <c r="D9069" t="str">
        <f>"Within The Walls"</f>
        <v>Within The Walls</v>
      </c>
    </row>
    <row r="9070" spans="1:4" x14ac:dyDescent="0.2">
      <c r="A9070" t="str">
        <f>"9069"</f>
        <v>9069</v>
      </c>
      <c r="B9070" t="str">
        <f>"0.36"</f>
        <v>0.36</v>
      </c>
      <c r="C9070" t="str">
        <f>"44"</f>
        <v>44</v>
      </c>
      <c r="D9070" t="str">
        <f>"A Christmas Album"</f>
        <v>A Christmas Album</v>
      </c>
    </row>
    <row r="9071" spans="1:4" x14ac:dyDescent="0.2">
      <c r="A9071" t="str">
        <f>"9070"</f>
        <v>9070</v>
      </c>
      <c r="B9071" t="str">
        <f>"0.57"</f>
        <v>0.57</v>
      </c>
      <c r="C9071" t="str">
        <f>"38"</f>
        <v>38</v>
      </c>
      <c r="D9071" t="str">
        <f>"Harmonie du Soir"</f>
        <v>Harmonie du Soir</v>
      </c>
    </row>
    <row r="9072" spans="1:4" x14ac:dyDescent="0.2">
      <c r="A9072" t="str">
        <f>"9071"</f>
        <v>9071</v>
      </c>
      <c r="B9072" t="str">
        <f>"0.05"</f>
        <v>0.05</v>
      </c>
      <c r="C9072" t="str">
        <f>"23"</f>
        <v>23</v>
      </c>
      <c r="D9072" t="str">
        <f>"Dominae"</f>
        <v>Dominae</v>
      </c>
    </row>
    <row r="9073" spans="1:4" x14ac:dyDescent="0.2">
      <c r="A9073" t="str">
        <f>"9072"</f>
        <v>9072</v>
      </c>
      <c r="B9073" t="str">
        <f>"0.52"</f>
        <v>0.52</v>
      </c>
      <c r="C9073" t="str">
        <f>"30"</f>
        <v>30</v>
      </c>
      <c r="D9073" t="str">
        <f>"EOLIAN INSTATE EP"</f>
        <v>EOLIAN INSTATE EP</v>
      </c>
    </row>
    <row r="9074" spans="1:4" x14ac:dyDescent="0.2">
      <c r="A9074" t="str">
        <f>"9073"</f>
        <v>9073</v>
      </c>
      <c r="B9074" t="str">
        <f>"0.49"</f>
        <v>0.49</v>
      </c>
      <c r="C9074" t="str">
        <f>"28"</f>
        <v>28</v>
      </c>
      <c r="D9074" t="str">
        <f>"Non-Drowsy"</f>
        <v>Non-Drowsy</v>
      </c>
    </row>
    <row r="9075" spans="1:4" x14ac:dyDescent="0.2">
      <c r="A9075" t="str">
        <f>"9074"</f>
        <v>9074</v>
      </c>
      <c r="B9075" t="str">
        <f>"1.08"</f>
        <v>1.08</v>
      </c>
      <c r="C9075" t="str">
        <f>"26"</f>
        <v>26</v>
      </c>
      <c r="D9075" t="str">
        <f>"SUM/ONE"</f>
        <v>SUM/ONE</v>
      </c>
    </row>
    <row r="9076" spans="1:4" x14ac:dyDescent="0.2">
      <c r="A9076" t="str">
        <f>"9075"</f>
        <v>9075</v>
      </c>
      <c r="B9076" t="str">
        <f>"1.34"</f>
        <v>1.34</v>
      </c>
      <c r="C9076" t="str">
        <f>"25"</f>
        <v>25</v>
      </c>
      <c r="D9076" t="str">
        <f>"Like A Dream EP"</f>
        <v>Like A Dream EP</v>
      </c>
    </row>
    <row r="9077" spans="1:4" x14ac:dyDescent="0.2">
      <c r="A9077" t="str">
        <f>"9076"</f>
        <v>9076</v>
      </c>
      <c r="B9077" t="str">
        <f>"0.02"</f>
        <v>0.02</v>
      </c>
      <c r="C9077" t="str">
        <f>"30"</f>
        <v>30</v>
      </c>
      <c r="D9077" t="str">
        <f>"ARC of Fire EP"</f>
        <v>ARC of Fire EP</v>
      </c>
    </row>
    <row r="9078" spans="1:4" x14ac:dyDescent="0.2">
      <c r="A9078" t="str">
        <f>"9077"</f>
        <v>9077</v>
      </c>
      <c r="B9078" t="str">
        <f>"-0.28"</f>
        <v>-0.28</v>
      </c>
      <c r="C9078" t="str">
        <f>"22"</f>
        <v>22</v>
      </c>
      <c r="D9078" t="str">
        <f>"Re-Engineering"</f>
        <v>Re-Engineering</v>
      </c>
    </row>
    <row r="9079" spans="1:4" x14ac:dyDescent="0.2">
      <c r="A9079" t="str">
        <f>"9078"</f>
        <v>9078</v>
      </c>
      <c r="B9079" t="str">
        <f>"-0.25"</f>
        <v>-0.25</v>
      </c>
      <c r="C9079" t="str">
        <f>"47"</f>
        <v>47</v>
      </c>
      <c r="D9079" t="str">
        <f>"The Missing"</f>
        <v>The Missing</v>
      </c>
    </row>
    <row r="9080" spans="1:4" x14ac:dyDescent="0.2">
      <c r="A9080" t="str">
        <f>"9079"</f>
        <v>9079</v>
      </c>
      <c r="B9080" t="str">
        <f>"-0.77"</f>
        <v>-0.77</v>
      </c>
      <c r="C9080" t="str">
        <f>"79"</f>
        <v>79</v>
      </c>
      <c r="D9080" t="str">
        <f>"What The..."</f>
        <v>What The...</v>
      </c>
    </row>
    <row r="9081" spans="1:4" x14ac:dyDescent="0.2">
      <c r="A9081" t="str">
        <f>"9080"</f>
        <v>9080</v>
      </c>
      <c r="B9081" t="str">
        <f>"0.65"</f>
        <v>0.65</v>
      </c>
      <c r="C9081" t="str">
        <f>"17"</f>
        <v>17</v>
      </c>
      <c r="D9081" t="str">
        <f>"Lockjaw EP"</f>
        <v>Lockjaw EP</v>
      </c>
    </row>
    <row r="9082" spans="1:4" x14ac:dyDescent="0.2">
      <c r="A9082" t="str">
        <f>"9081"</f>
        <v>9081</v>
      </c>
      <c r="B9082" t="str">
        <f>"1.19"</f>
        <v>1.19</v>
      </c>
      <c r="C9082" t="str">
        <f>"25"</f>
        <v>25</v>
      </c>
      <c r="D9082" t="str">
        <f>"Blood/Lines"</f>
        <v>Blood/Lines</v>
      </c>
    </row>
    <row r="9083" spans="1:4" x14ac:dyDescent="0.2">
      <c r="A9083" t="str">
        <f>"9082"</f>
        <v>9082</v>
      </c>
      <c r="B9083" t="str">
        <f>"0.35"</f>
        <v>0.35</v>
      </c>
      <c r="C9083" t="str">
        <f>"49"</f>
        <v>49</v>
      </c>
      <c r="D9083" t="str">
        <f>"Wot"</f>
        <v>Wot</v>
      </c>
    </row>
    <row r="9084" spans="1:4" x14ac:dyDescent="0.2">
      <c r="A9084" t="str">
        <f>"9083"</f>
        <v>9083</v>
      </c>
      <c r="B9084" t="str">
        <f>"0.65"</f>
        <v>0.65</v>
      </c>
      <c r="C9084" t="str">
        <f>"42"</f>
        <v>42</v>
      </c>
      <c r="D9084" t="str">
        <f>"CAPS LOCK"</f>
        <v>CAPS LOCK</v>
      </c>
    </row>
    <row r="9085" spans="1:4" x14ac:dyDescent="0.2">
      <c r="A9085" t="str">
        <f>"9084"</f>
        <v>9084</v>
      </c>
      <c r="B9085" t="str">
        <f>"-0.26"</f>
        <v>-0.26</v>
      </c>
      <c r="C9085" t="str">
        <f>"25"</f>
        <v>25</v>
      </c>
      <c r="D9085" t="str">
        <f>"Live From KCRW"</f>
        <v>Live From KCRW</v>
      </c>
    </row>
    <row r="9086" spans="1:4" x14ac:dyDescent="0.2">
      <c r="A9086" t="str">
        <f>"9085"</f>
        <v>9085</v>
      </c>
      <c r="B9086" t="str">
        <f>"0.65"</f>
        <v>0.65</v>
      </c>
      <c r="C9086" t="str">
        <f>"54"</f>
        <v>54</v>
      </c>
      <c r="D9086" t="str">
        <f>"Touch Five"</f>
        <v>Touch Five</v>
      </c>
    </row>
    <row r="9087" spans="1:4" x14ac:dyDescent="0.2">
      <c r="A9087" t="str">
        <f>"9086"</f>
        <v>9086</v>
      </c>
      <c r="B9087" t="str">
        <f>"-0.18"</f>
        <v>-0.18</v>
      </c>
      <c r="C9087" t="str">
        <f>"23"</f>
        <v>23</v>
      </c>
      <c r="D9087" t="str">
        <f>"Harlem River"</f>
        <v>Harlem River</v>
      </c>
    </row>
    <row r="9088" spans="1:4" x14ac:dyDescent="0.2">
      <c r="A9088" t="str">
        <f>"9087"</f>
        <v>9087</v>
      </c>
      <c r="B9088" t="str">
        <f>"0.05"</f>
        <v>0.05</v>
      </c>
      <c r="C9088" t="str">
        <f>"39"</f>
        <v>39</v>
      </c>
      <c r="D9088" t="str">
        <f>"Moods of Future Joy"</f>
        <v>Moods of Future Joy</v>
      </c>
    </row>
    <row r="9089" spans="1:4" x14ac:dyDescent="0.2">
      <c r="A9089" t="str">
        <f>"9088"</f>
        <v>9088</v>
      </c>
      <c r="B9089" t="str">
        <f>"0.22"</f>
        <v>0.22</v>
      </c>
      <c r="C9089" t="str">
        <f>"27"</f>
        <v>27</v>
      </c>
      <c r="D9089" t="str">
        <f>"Everlast"</f>
        <v>Everlast</v>
      </c>
    </row>
    <row r="9090" spans="1:4" x14ac:dyDescent="0.2">
      <c r="A9090" t="str">
        <f>"9089"</f>
        <v>9089</v>
      </c>
      <c r="B9090" t="str">
        <f>"-0.24"</f>
        <v>-0.24</v>
      </c>
      <c r="C9090" t="str">
        <f>"33"</f>
        <v>33</v>
      </c>
      <c r="D9090" t="str">
        <f>"Singles Collection Volume Three"</f>
        <v>Singles Collection Volume Three</v>
      </c>
    </row>
    <row r="9091" spans="1:4" x14ac:dyDescent="0.2">
      <c r="A9091" t="str">
        <f>"9090"</f>
        <v>9090</v>
      </c>
      <c r="B9091" t="str">
        <f>"-0.01"</f>
        <v>-0.01</v>
      </c>
      <c r="C9091" t="str">
        <f>"27"</f>
        <v>27</v>
      </c>
      <c r="D9091" t="str">
        <f>"Event of Your Leaving"</f>
        <v>Event of Your Leaving</v>
      </c>
    </row>
    <row r="9092" spans="1:4" x14ac:dyDescent="0.2">
      <c r="A9092" t="str">
        <f>"9091"</f>
        <v>9091</v>
      </c>
      <c r="B9092" t="str">
        <f>"-0.56"</f>
        <v>-0.56</v>
      </c>
      <c r="C9092" t="str">
        <f>"45"</f>
        <v>45</v>
      </c>
      <c r="D9092" t="str">
        <f>"Fellow Travelers"</f>
        <v>Fellow Travelers</v>
      </c>
    </row>
    <row r="9093" spans="1:4" x14ac:dyDescent="0.2">
      <c r="A9093" t="str">
        <f>"9092"</f>
        <v>9092</v>
      </c>
      <c r="B9093" t="str">
        <f>"-0.03"</f>
        <v>-0.03</v>
      </c>
      <c r="C9093" t="str">
        <f>"36"</f>
        <v>36</v>
      </c>
      <c r="D9093" t="str">
        <f>"Desert Skies"</f>
        <v>Desert Skies</v>
      </c>
    </row>
    <row r="9094" spans="1:4" x14ac:dyDescent="0.2">
      <c r="A9094" t="str">
        <f>"9093"</f>
        <v>9093</v>
      </c>
      <c r="B9094" t="str">
        <f>"-0.95"</f>
        <v>-0.95</v>
      </c>
      <c r="C9094" t="str">
        <f>"23"</f>
        <v>23</v>
      </c>
      <c r="D9094" t="str">
        <f>"Echoes"</f>
        <v>Echoes</v>
      </c>
    </row>
    <row r="9095" spans="1:4" x14ac:dyDescent="0.2">
      <c r="A9095" t="str">
        <f>"9094"</f>
        <v>9094</v>
      </c>
      <c r="B9095" t="str">
        <f>"1.15"</f>
        <v>1.15</v>
      </c>
      <c r="C9095" t="str">
        <f>"29"</f>
        <v>29</v>
      </c>
      <c r="D9095" t="str">
        <f>"Jetlag"</f>
        <v>Jetlag</v>
      </c>
    </row>
    <row r="9096" spans="1:4" x14ac:dyDescent="0.2">
      <c r="A9096" t="str">
        <f>"9095"</f>
        <v>9095</v>
      </c>
      <c r="B9096" t="str">
        <f>"0.32"</f>
        <v>0.32</v>
      </c>
      <c r="C9096" t="str">
        <f>"29"</f>
        <v>29</v>
      </c>
      <c r="D9096" t="str">
        <f>"Don't Tell the Driver"</f>
        <v>Don't Tell the Driver</v>
      </c>
    </row>
    <row r="9097" spans="1:4" x14ac:dyDescent="0.2">
      <c r="A9097" t="str">
        <f>"9096"</f>
        <v>9096</v>
      </c>
      <c r="B9097" t="str">
        <f>"0.03"</f>
        <v>0.03</v>
      </c>
      <c r="C9097" t="str">
        <f>"32"</f>
        <v>32</v>
      </c>
      <c r="D9097" t="str">
        <f>"Shine Your Light"</f>
        <v>Shine Your Light</v>
      </c>
    </row>
    <row r="9098" spans="1:4" x14ac:dyDescent="0.2">
      <c r="A9098" t="str">
        <f>"9097"</f>
        <v>9097</v>
      </c>
      <c r="B9098" t="str">
        <f>"1.46"</f>
        <v>1.46</v>
      </c>
      <c r="C9098" t="str">
        <f>"15"</f>
        <v>15</v>
      </c>
      <c r="D9098" t="str">
        <f>"Nun EP"</f>
        <v>Nun EP</v>
      </c>
    </row>
    <row r="9099" spans="1:4" x14ac:dyDescent="0.2">
      <c r="A9099" t="str">
        <f>"9098"</f>
        <v>9098</v>
      </c>
      <c r="B9099" t="str">
        <f>"-0.84"</f>
        <v>-0.84</v>
      </c>
      <c r="C9099" t="str">
        <f>"34"</f>
        <v>34</v>
      </c>
      <c r="D9099" t="str">
        <f>"Dorner vs. Tookie"</f>
        <v>Dorner vs. Tookie</v>
      </c>
    </row>
    <row r="9100" spans="1:4" x14ac:dyDescent="0.2">
      <c r="A9100" t="str">
        <f>"9099"</f>
        <v>9099</v>
      </c>
      <c r="B9100" t="str">
        <f>"1.33"</f>
        <v>1.33</v>
      </c>
      <c r="C9100" t="str">
        <f>"23"</f>
        <v>23</v>
      </c>
      <c r="D9100" t="str">
        <f>"Five Spanish Songs EP"</f>
        <v>Five Spanish Songs EP</v>
      </c>
    </row>
    <row r="9101" spans="1:4" x14ac:dyDescent="0.2">
      <c r="A9101" t="str">
        <f>"9100"</f>
        <v>9100</v>
      </c>
      <c r="B9101" t="str">
        <f>"-0.2"</f>
        <v>-0.2</v>
      </c>
      <c r="C9101" t="str">
        <f>"77"</f>
        <v>77</v>
      </c>
      <c r="D9101" t="str">
        <f>"Purple Snow: Forecasting the Minneapolis Sound"</f>
        <v>Purple Snow: Forecasting the Minneapolis Sound</v>
      </c>
    </row>
    <row r="9102" spans="1:4" x14ac:dyDescent="0.2">
      <c r="A9102" t="str">
        <f>"9101"</f>
        <v>9101</v>
      </c>
      <c r="B9102" t="str">
        <f>"-0.37"</f>
        <v>-0.37</v>
      </c>
      <c r="C9102" t="str">
        <f>"30"</f>
        <v>30</v>
      </c>
      <c r="D9102" t="str">
        <f>"Yours to Discover"</f>
        <v>Yours to Discover</v>
      </c>
    </row>
    <row r="9103" spans="1:4" x14ac:dyDescent="0.2">
      <c r="A9103" t="str">
        <f>"9102"</f>
        <v>9102</v>
      </c>
      <c r="B9103" t="str">
        <f>"0.32"</f>
        <v>0.32</v>
      </c>
      <c r="C9103" t="str">
        <f>"24"</f>
        <v>24</v>
      </c>
      <c r="D9103" t="str">
        <f>"A/B til Infinity"</f>
        <v>A/B til Infinity</v>
      </c>
    </row>
    <row r="9104" spans="1:4" x14ac:dyDescent="0.2">
      <c r="A9104" t="str">
        <f>"9103"</f>
        <v>9103</v>
      </c>
      <c r="B9104" t="str">
        <f>"-0.85"</f>
        <v>-0.85</v>
      </c>
      <c r="C9104" t="str">
        <f>"22"</f>
        <v>22</v>
      </c>
      <c r="D9104" t="str">
        <f>"Stealth of Days"</f>
        <v>Stealth of Days</v>
      </c>
    </row>
    <row r="9105" spans="1:4" x14ac:dyDescent="0.2">
      <c r="A9105" t="str">
        <f>"9104"</f>
        <v>9104</v>
      </c>
      <c r="B9105" t="str">
        <f>"0.81"</f>
        <v>0.81</v>
      </c>
      <c r="C9105" t="str">
        <f>"92"</f>
        <v>92</v>
      </c>
      <c r="D9105" t="s">
        <v>290</v>
      </c>
    </row>
    <row r="9106" spans="1:4" x14ac:dyDescent="0.2">
      <c r="A9106" t="str">
        <f>"9105"</f>
        <v>9105</v>
      </c>
      <c r="B9106" t="str">
        <f>"0.09"</f>
        <v>0.09</v>
      </c>
      <c r="C9106" t="str">
        <f>"36"</f>
        <v>36</v>
      </c>
      <c r="D9106" t="str">
        <f>"Across Six Leap Years"</f>
        <v>Across Six Leap Years</v>
      </c>
    </row>
    <row r="9107" spans="1:4" x14ac:dyDescent="0.2">
      <c r="A9107" t="str">
        <f>"9106"</f>
        <v>9106</v>
      </c>
      <c r="B9107" t="str">
        <f>"-0.05"</f>
        <v>-0.05</v>
      </c>
      <c r="C9107" t="str">
        <f>"29"</f>
        <v>29</v>
      </c>
      <c r="D9107" t="str">
        <f>"Wake Up Awesome"</f>
        <v>Wake Up Awesome</v>
      </c>
    </row>
    <row r="9108" spans="1:4" x14ac:dyDescent="0.2">
      <c r="A9108" t="str">
        <f>"9107"</f>
        <v>9107</v>
      </c>
      <c r="B9108" t="str">
        <f>"-0.58"</f>
        <v>-0.58</v>
      </c>
      <c r="C9108" t="str">
        <f>"38"</f>
        <v>38</v>
      </c>
      <c r="D9108" t="str">
        <f>"Spring Songs EP"</f>
        <v>Spring Songs EP</v>
      </c>
    </row>
    <row r="9109" spans="1:4" x14ac:dyDescent="0.2">
      <c r="A9109" t="str">
        <f>"9108"</f>
        <v>9108</v>
      </c>
      <c r="B9109" t="str">
        <f>"0.58"</f>
        <v>0.58</v>
      </c>
      <c r="C9109" t="str">
        <f>"37"</f>
        <v>37</v>
      </c>
      <c r="D9109" t="str">
        <f>"Sail Out EP"</f>
        <v>Sail Out EP</v>
      </c>
    </row>
    <row r="9110" spans="1:4" x14ac:dyDescent="0.2">
      <c r="A9110" t="str">
        <f>"9109"</f>
        <v>9109</v>
      </c>
      <c r="B9110" t="str">
        <f>"-0.42"</f>
        <v>-0.42</v>
      </c>
      <c r="C9110" t="str">
        <f>"76"</f>
        <v>76</v>
      </c>
      <c r="D9110" t="str">
        <f>"Direct Hits"</f>
        <v>Direct Hits</v>
      </c>
    </row>
    <row r="9111" spans="1:4" x14ac:dyDescent="0.2">
      <c r="A9111" t="str">
        <f>"9110"</f>
        <v>9110</v>
      </c>
      <c r="B9111" t="str">
        <f>"1.25"</f>
        <v>1.25</v>
      </c>
      <c r="C9111" t="str">
        <f>"34"</f>
        <v>34</v>
      </c>
      <c r="D9111" t="str">
        <f>"Memorial"</f>
        <v>Memorial</v>
      </c>
    </row>
    <row r="9112" spans="1:4" x14ac:dyDescent="0.2">
      <c r="A9112" t="str">
        <f>"9111"</f>
        <v>9111</v>
      </c>
      <c r="B9112" t="str">
        <f>"0.64"</f>
        <v>0.64</v>
      </c>
      <c r="C9112" t="str">
        <f>"38"</f>
        <v>38</v>
      </c>
      <c r="D9112" t="str">
        <f>"Cold Mission"</f>
        <v>Cold Mission</v>
      </c>
    </row>
    <row r="9113" spans="1:4" x14ac:dyDescent="0.2">
      <c r="A9113" t="str">
        <f>"9112"</f>
        <v>9112</v>
      </c>
      <c r="B9113" t="str">
        <f>"0.77"</f>
        <v>0.77</v>
      </c>
      <c r="C9113" t="str">
        <f>"31"</f>
        <v>31</v>
      </c>
      <c r="D9113" t="s">
        <v>291</v>
      </c>
    </row>
    <row r="9114" spans="1:4" x14ac:dyDescent="0.2">
      <c r="A9114" t="str">
        <f>"9113"</f>
        <v>9113</v>
      </c>
      <c r="B9114" t="str">
        <f>"-0.72"</f>
        <v>-0.72</v>
      </c>
      <c r="C9114" t="str">
        <f>"25"</f>
        <v>25</v>
      </c>
      <c r="D9114" t="str">
        <f>"Land vs Air"</f>
        <v>Land vs Air</v>
      </c>
    </row>
    <row r="9115" spans="1:4" x14ac:dyDescent="0.2">
      <c r="A9115" t="str">
        <f>"9114"</f>
        <v>9114</v>
      </c>
      <c r="B9115" t="str">
        <f>"-0.75"</f>
        <v>-0.75</v>
      </c>
      <c r="C9115" t="str">
        <f>"33"</f>
        <v>33</v>
      </c>
      <c r="D9115" t="str">
        <f>"Screaming Life / Fopp"</f>
        <v>Screaming Life / Fopp</v>
      </c>
    </row>
    <row r="9116" spans="1:4" x14ac:dyDescent="0.2">
      <c r="A9116" t="str">
        <f>"9115"</f>
        <v>9115</v>
      </c>
      <c r="B9116" t="str">
        <f>"-1.4"</f>
        <v>-1.4</v>
      </c>
      <c r="C9116" t="str">
        <f>"30"</f>
        <v>30</v>
      </c>
      <c r="D9116" t="str">
        <f>"Christisland"</f>
        <v>Christisland</v>
      </c>
    </row>
    <row r="9117" spans="1:4" x14ac:dyDescent="0.2">
      <c r="A9117" t="str">
        <f>"9116"</f>
        <v>9116</v>
      </c>
      <c r="B9117" t="str">
        <f>"-0.01"</f>
        <v>-0.01</v>
      </c>
      <c r="C9117" t="str">
        <f>"36"</f>
        <v>36</v>
      </c>
      <c r="D9117" t="str">
        <f>"One Breath"</f>
        <v>One Breath</v>
      </c>
    </row>
    <row r="9118" spans="1:4" x14ac:dyDescent="0.2">
      <c r="A9118" t="str">
        <f>"9117"</f>
        <v>9117</v>
      </c>
      <c r="B9118" t="str">
        <f>"-0.43"</f>
        <v>-0.43</v>
      </c>
      <c r="C9118" t="str">
        <f>"21"</f>
        <v>21</v>
      </c>
      <c r="D9118" t="str">
        <f>"FINS"</f>
        <v>FINS</v>
      </c>
    </row>
    <row r="9119" spans="1:4" x14ac:dyDescent="0.2">
      <c r="A9119" t="str">
        <f>"9118"</f>
        <v>9118</v>
      </c>
      <c r="B9119" t="str">
        <f>"-0.71"</f>
        <v>-0.71</v>
      </c>
      <c r="C9119" t="str">
        <f>"41"</f>
        <v>41</v>
      </c>
      <c r="D9119" t="str">
        <f>"Remember Your Black Day"</f>
        <v>Remember Your Black Day</v>
      </c>
    </row>
    <row r="9120" spans="1:4" x14ac:dyDescent="0.2">
      <c r="A9120" t="str">
        <f>"9119"</f>
        <v>9119</v>
      </c>
      <c r="B9120" t="str">
        <f>"-0.54"</f>
        <v>-0.54</v>
      </c>
      <c r="C9120" t="str">
        <f>"63"</f>
        <v>63</v>
      </c>
      <c r="D9120" t="str">
        <f>"Government Plates"</f>
        <v>Government Plates</v>
      </c>
    </row>
    <row r="9121" spans="1:4" x14ac:dyDescent="0.2">
      <c r="A9121" t="str">
        <f>"9120"</f>
        <v>9120</v>
      </c>
      <c r="B9121" t="str">
        <f>"1.5"</f>
        <v>1.5</v>
      </c>
      <c r="C9121" t="str">
        <f>"29"</f>
        <v>29</v>
      </c>
      <c r="D9121" t="str">
        <f>"I Want to See Pulaski at Night"</f>
        <v>I Want to See Pulaski at Night</v>
      </c>
    </row>
    <row r="9122" spans="1:4" x14ac:dyDescent="0.2">
      <c r="A9122" t="str">
        <f>"9121"</f>
        <v>9121</v>
      </c>
      <c r="B9122" t="str">
        <f>"-1.03"</f>
        <v>-1.03</v>
      </c>
      <c r="C9122" t="str">
        <f>"30"</f>
        <v>30</v>
      </c>
      <c r="D9122" t="str">
        <f>"Watching Dead Empires in Decay"</f>
        <v>Watching Dead Empires in Decay</v>
      </c>
    </row>
    <row r="9123" spans="1:4" x14ac:dyDescent="0.2">
      <c r="A9123" t="str">
        <f>"9122"</f>
        <v>9122</v>
      </c>
      <c r="B9123" t="str">
        <f>"0.19"</f>
        <v>0.19</v>
      </c>
      <c r="C9123" t="str">
        <f>"35"</f>
        <v>35</v>
      </c>
      <c r="D9123" t="str">
        <f>"Get There"</f>
        <v>Get There</v>
      </c>
    </row>
    <row r="9124" spans="1:4" x14ac:dyDescent="0.2">
      <c r="A9124" t="str">
        <f>"9123"</f>
        <v>9123</v>
      </c>
      <c r="B9124" t="str">
        <f>"-0.23"</f>
        <v>-0.23</v>
      </c>
      <c r="C9124" t="str">
        <f>"38"</f>
        <v>38</v>
      </c>
      <c r="D9124" t="str">
        <f>"Serpents Unleashed"</f>
        <v>Serpents Unleashed</v>
      </c>
    </row>
    <row r="9125" spans="1:4" x14ac:dyDescent="0.2">
      <c r="A9125" t="str">
        <f>"9124"</f>
        <v>9124</v>
      </c>
      <c r="B9125" t="str">
        <f>"-1.08"</f>
        <v>-1.08</v>
      </c>
      <c r="C9125" t="str">
        <f>"28"</f>
        <v>28</v>
      </c>
      <c r="D9125" t="str">
        <f>"Jamaica Plain EP"</f>
        <v>Jamaica Plain EP</v>
      </c>
    </row>
    <row r="9126" spans="1:4" x14ac:dyDescent="0.2">
      <c r="A9126" t="str">
        <f>"9125"</f>
        <v>9125</v>
      </c>
      <c r="B9126" t="str">
        <f>"1.38"</f>
        <v>1.38</v>
      </c>
      <c r="C9126" t="str">
        <f>"19"</f>
        <v>19</v>
      </c>
      <c r="D9126" t="str">
        <f>"Saint Heron"</f>
        <v>Saint Heron</v>
      </c>
    </row>
    <row r="9127" spans="1:4" x14ac:dyDescent="0.2">
      <c r="A9127" t="str">
        <f>"9126"</f>
        <v>9126</v>
      </c>
      <c r="B9127" t="str">
        <f>"-0.24"</f>
        <v>-0.24</v>
      </c>
      <c r="C9127" t="str">
        <f>"38"</f>
        <v>38</v>
      </c>
      <c r="D9127" t="str">
        <f>"Surrender to the Fantasy"</f>
        <v>Surrender to the Fantasy</v>
      </c>
    </row>
    <row r="9128" spans="1:4" x14ac:dyDescent="0.2">
      <c r="A9128" t="str">
        <f>"9127"</f>
        <v>9127</v>
      </c>
      <c r="B9128" t="str">
        <f>"-0.46"</f>
        <v>-0.46</v>
      </c>
      <c r="C9128" t="str">
        <f>"28"</f>
        <v>28</v>
      </c>
      <c r="D9128" t="str">
        <f>"Preparations EP"</f>
        <v>Preparations EP</v>
      </c>
    </row>
    <row r="9129" spans="1:4" x14ac:dyDescent="0.2">
      <c r="A9129" t="str">
        <f>"9128"</f>
        <v>9128</v>
      </c>
      <c r="B9129" t="str">
        <f>"-1.18"</f>
        <v>-1.18</v>
      </c>
      <c r="C9129" t="str">
        <f>"36"</f>
        <v>36</v>
      </c>
      <c r="D9129" t="str">
        <f>"How to Stop Your Brain in an Accident"</f>
        <v>How to Stop Your Brain in an Accident</v>
      </c>
    </row>
    <row r="9130" spans="1:4" x14ac:dyDescent="0.2">
      <c r="A9130" t="str">
        <f>"9129"</f>
        <v>9129</v>
      </c>
      <c r="B9130" t="str">
        <f>"0.8"</f>
        <v>0.8</v>
      </c>
      <c r="C9130" t="str">
        <f>"31"</f>
        <v>31</v>
      </c>
      <c r="D9130" t="str">
        <f>"DJ-Kicks"</f>
        <v>DJ-Kicks</v>
      </c>
    </row>
    <row r="9131" spans="1:4" x14ac:dyDescent="0.2">
      <c r="A9131" t="str">
        <f>"9130"</f>
        <v>9130</v>
      </c>
      <c r="B9131" t="str">
        <f>"-0.88"</f>
        <v>-0.88</v>
      </c>
      <c r="C9131" t="str">
        <f>"71"</f>
        <v>71</v>
      </c>
      <c r="D9131" t="str">
        <f>"Purgatory/Paradise"</f>
        <v>Purgatory/Paradise</v>
      </c>
    </row>
    <row r="9132" spans="1:4" x14ac:dyDescent="0.2">
      <c r="A9132" t="str">
        <f>"9131"</f>
        <v>9131</v>
      </c>
      <c r="B9132" t="str">
        <f>"-0.05"</f>
        <v>-0.05</v>
      </c>
      <c r="C9132" t="str">
        <f>"19"</f>
        <v>19</v>
      </c>
      <c r="D9132" t="str">
        <f>"Back to Land"</f>
        <v>Back to Land</v>
      </c>
    </row>
    <row r="9133" spans="1:4" x14ac:dyDescent="0.2">
      <c r="A9133" t="str">
        <f>"9132"</f>
        <v>9132</v>
      </c>
      <c r="B9133" t="str">
        <f>"0.62"</f>
        <v>0.62</v>
      </c>
      <c r="C9133" t="str">
        <f>"36"</f>
        <v>36</v>
      </c>
      <c r="D9133" t="str">
        <f>"Mug Museum"</f>
        <v>Mug Museum</v>
      </c>
    </row>
    <row r="9134" spans="1:4" x14ac:dyDescent="0.2">
      <c r="A9134" t="str">
        <f>"9133"</f>
        <v>9133</v>
      </c>
      <c r="B9134" t="str">
        <f>"-0.56"</f>
        <v>-0.56</v>
      </c>
      <c r="C9134" t="str">
        <f>"29"</f>
        <v>29</v>
      </c>
      <c r="D9134" t="str">
        <f>"Clean"</f>
        <v>Clean</v>
      </c>
    </row>
    <row r="9135" spans="1:4" x14ac:dyDescent="0.2">
      <c r="A9135" t="str">
        <f>"9134"</f>
        <v>9134</v>
      </c>
      <c r="B9135" t="str">
        <f>"1.65"</f>
        <v>1.65</v>
      </c>
      <c r="C9135" t="str">
        <f>"27"</f>
        <v>27</v>
      </c>
      <c r="D9135" t="str">
        <f>"On Air - Live at the BBC Vol. 2"</f>
        <v>On Air - Live at the BBC Vol. 2</v>
      </c>
    </row>
    <row r="9136" spans="1:4" x14ac:dyDescent="0.2">
      <c r="A9136" t="str">
        <f>"9135"</f>
        <v>9135</v>
      </c>
      <c r="B9136" t="str">
        <f>"0.71"</f>
        <v>0.71</v>
      </c>
      <c r="C9136" t="str">
        <f>"21"</f>
        <v>21</v>
      </c>
      <c r="D9136" t="str">
        <f>"UZU"</f>
        <v>UZU</v>
      </c>
    </row>
    <row r="9137" spans="1:4" x14ac:dyDescent="0.2">
      <c r="A9137" t="str">
        <f>"9136"</f>
        <v>9136</v>
      </c>
      <c r="B9137" t="str">
        <f>"0.44"</f>
        <v>0.44</v>
      </c>
      <c r="C9137" t="str">
        <f>"36"</f>
        <v>36</v>
      </c>
      <c r="D9137" t="str">
        <f>"I Am The Center: Private Issue New Age Music In America 1950-1990"</f>
        <v>I Am The Center: Private Issue New Age Music In America 1950-1990</v>
      </c>
    </row>
    <row r="9138" spans="1:4" x14ac:dyDescent="0.2">
      <c r="A9138" t="str">
        <f>"9137"</f>
        <v>9137</v>
      </c>
      <c r="B9138" t="str">
        <f>"0.32"</f>
        <v>0.32</v>
      </c>
      <c r="C9138" t="str">
        <f>"26"</f>
        <v>26</v>
      </c>
      <c r="D9138" t="str">
        <f>"Nearest Suns"</f>
        <v>Nearest Suns</v>
      </c>
    </row>
    <row r="9139" spans="1:4" x14ac:dyDescent="0.2">
      <c r="A9139" t="str">
        <f>"9138"</f>
        <v>9138</v>
      </c>
      <c r="B9139" t="str">
        <f>"0.56"</f>
        <v>0.56</v>
      </c>
      <c r="C9139" t="str">
        <f>"24"</f>
        <v>24</v>
      </c>
      <c r="D9139" t="str">
        <f>"As Plantas Que Curam"</f>
        <v>As Plantas Que Curam</v>
      </c>
    </row>
    <row r="9140" spans="1:4" x14ac:dyDescent="0.2">
      <c r="A9140" t="str">
        <f>"9139"</f>
        <v>9139</v>
      </c>
      <c r="B9140" t="str">
        <f>"0.05"</f>
        <v>0.05</v>
      </c>
      <c r="C9140" t="str">
        <f>"57"</f>
        <v>57</v>
      </c>
      <c r="D9140" t="str">
        <f>"Cupid Deluxe"</f>
        <v>Cupid Deluxe</v>
      </c>
    </row>
    <row r="9141" spans="1:4" x14ac:dyDescent="0.2">
      <c r="A9141" t="str">
        <f>"9140"</f>
        <v>9140</v>
      </c>
      <c r="B9141" t="str">
        <f>"0.54"</f>
        <v>0.54</v>
      </c>
      <c r="C9141" t="str">
        <f>"30"</f>
        <v>30</v>
      </c>
      <c r="D9141" t="str">
        <f>"Songs for Slim: Rockin' Here Tonight"</f>
        <v>Songs for Slim: Rockin' Here Tonight</v>
      </c>
    </row>
    <row r="9142" spans="1:4" x14ac:dyDescent="0.2">
      <c r="A9142" t="str">
        <f>"9141"</f>
        <v>9141</v>
      </c>
      <c r="B9142" t="str">
        <f>"-0.82"</f>
        <v>-0.82</v>
      </c>
      <c r="C9142" t="str">
        <f>"42"</f>
        <v>42</v>
      </c>
      <c r="D9142" t="str">
        <f>"Shulamith"</f>
        <v>Shulamith</v>
      </c>
    </row>
    <row r="9143" spans="1:4" x14ac:dyDescent="0.2">
      <c r="A9143" t="str">
        <f>"9142"</f>
        <v>9142</v>
      </c>
      <c r="B9143" t="str">
        <f>"-0.4"</f>
        <v>-0.4</v>
      </c>
      <c r="C9143" t="str">
        <f>"24"</f>
        <v>24</v>
      </c>
      <c r="D9143" t="str">
        <f>"Young Chronos EP"</f>
        <v>Young Chronos EP</v>
      </c>
    </row>
    <row r="9144" spans="1:4" x14ac:dyDescent="0.2">
      <c r="A9144" t="str">
        <f>"9143"</f>
        <v>9143</v>
      </c>
      <c r="B9144" t="str">
        <f>"1.4"</f>
        <v>1.4</v>
      </c>
      <c r="C9144" t="str">
        <f>"33"</f>
        <v>33</v>
      </c>
      <c r="D9144" t="str">
        <f>"The Room"</f>
        <v>The Room</v>
      </c>
    </row>
    <row r="9145" spans="1:4" x14ac:dyDescent="0.2">
      <c r="A9145" t="str">
        <f>"9144"</f>
        <v>9144</v>
      </c>
      <c r="B9145" t="str">
        <f>"0.27"</f>
        <v>0.27</v>
      </c>
      <c r="C9145" t="str">
        <f>"66"</f>
        <v>66</v>
      </c>
      <c r="D9145" t="str">
        <f>"The Magnolia Electric Co."</f>
        <v>The Magnolia Electric Co.</v>
      </c>
    </row>
    <row r="9146" spans="1:4" x14ac:dyDescent="0.2">
      <c r="A9146" t="str">
        <f>"9145"</f>
        <v>9145</v>
      </c>
      <c r="B9146" t="str">
        <f>"0.19"</f>
        <v>0.19</v>
      </c>
      <c r="C9146" t="str">
        <f>"52"</f>
        <v>52</v>
      </c>
      <c r="D9146" t="str">
        <f>"Julia with Blue Jeans On"</f>
        <v>Julia with Blue Jeans On</v>
      </c>
    </row>
    <row r="9147" spans="1:4" x14ac:dyDescent="0.2">
      <c r="A9147" t="str">
        <f>"9146"</f>
        <v>9146</v>
      </c>
      <c r="B9147" t="str">
        <f>"0.56"</f>
        <v>0.56</v>
      </c>
      <c r="C9147" t="str">
        <f>"32"</f>
        <v>32</v>
      </c>
      <c r="D9147" t="str">
        <f>"Small Sound EP"</f>
        <v>Small Sound EP</v>
      </c>
    </row>
    <row r="9148" spans="1:4" x14ac:dyDescent="0.2">
      <c r="A9148" t="str">
        <f>"9147"</f>
        <v>9147</v>
      </c>
      <c r="B9148" t="str">
        <f>"-0.11"</f>
        <v>-0.11</v>
      </c>
      <c r="C9148" t="str">
        <f>"22"</f>
        <v>22</v>
      </c>
      <c r="D9148" t="str">
        <f>"Pastel and Pass Out EP"</f>
        <v>Pastel and Pass Out EP</v>
      </c>
    </row>
    <row r="9149" spans="1:4" x14ac:dyDescent="0.2">
      <c r="A9149" t="str">
        <f>"9148"</f>
        <v>9148</v>
      </c>
      <c r="B9149" t="str">
        <f>"0"</f>
        <v>0</v>
      </c>
      <c r="C9149" t="str">
        <f>"33"</f>
        <v>33</v>
      </c>
      <c r="D9149" t="str">
        <f>"Rap Album One"</f>
        <v>Rap Album One</v>
      </c>
    </row>
    <row r="9150" spans="1:4" x14ac:dyDescent="0.2">
      <c r="A9150" t="str">
        <f>"9149"</f>
        <v>9149</v>
      </c>
      <c r="B9150" t="str">
        <f>"0.6"</f>
        <v>0.6</v>
      </c>
      <c r="C9150" t="str">
        <f>"42"</f>
        <v>42</v>
      </c>
      <c r="D9150" t="str">
        <f>"Shields: B-Sides"</f>
        <v>Shields: B-Sides</v>
      </c>
    </row>
    <row r="9151" spans="1:4" x14ac:dyDescent="0.2">
      <c r="A9151" t="str">
        <f>"9150"</f>
        <v>9150</v>
      </c>
      <c r="B9151" t="str">
        <f>"-0.32"</f>
        <v>-0.32</v>
      </c>
      <c r="C9151" t="str">
        <f>"38"</f>
        <v>38</v>
      </c>
      <c r="D9151" t="str">
        <f>"Pre-Human Ideas"</f>
        <v>Pre-Human Ideas</v>
      </c>
    </row>
    <row r="9152" spans="1:4" x14ac:dyDescent="0.2">
      <c r="A9152" t="str">
        <f>"9151"</f>
        <v>9151</v>
      </c>
      <c r="B9152" t="str">
        <f>"-0.02"</f>
        <v>-0.02</v>
      </c>
      <c r="C9152" t="str">
        <f>"46"</f>
        <v>46</v>
      </c>
      <c r="D9152" t="str">
        <f>"Good Mood Fool"</f>
        <v>Good Mood Fool</v>
      </c>
    </row>
    <row r="9153" spans="1:4" x14ac:dyDescent="0.2">
      <c r="A9153" t="str">
        <f>"9152"</f>
        <v>9152</v>
      </c>
      <c r="B9153" t="str">
        <f>"0.27"</f>
        <v>0.27</v>
      </c>
      <c r="C9153" t="str">
        <f>"45"</f>
        <v>45</v>
      </c>
      <c r="D9153" t="str">
        <f>"Caramel"</f>
        <v>Caramel</v>
      </c>
    </row>
    <row r="9154" spans="1:4" x14ac:dyDescent="0.2">
      <c r="A9154" t="str">
        <f>"9153"</f>
        <v>9153</v>
      </c>
      <c r="B9154" t="str">
        <f>"1.67"</f>
        <v>1.67</v>
      </c>
      <c r="C9154" t="str">
        <f>"29"</f>
        <v>29</v>
      </c>
      <c r="D9154" t="str">
        <f>"Harmonie"</f>
        <v>Harmonie</v>
      </c>
    </row>
    <row r="9155" spans="1:4" x14ac:dyDescent="0.2">
      <c r="A9155" t="str">
        <f>"9154"</f>
        <v>9154</v>
      </c>
      <c r="B9155" t="str">
        <f>"-0.1"</f>
        <v>-0.1</v>
      </c>
      <c r="C9155" t="str">
        <f>"30"</f>
        <v>30</v>
      </c>
      <c r="D9155" t="str">
        <f>"Not Here/Not Now"</f>
        <v>Not Here/Not Now</v>
      </c>
    </row>
    <row r="9156" spans="1:4" x14ac:dyDescent="0.2">
      <c r="A9156" t="str">
        <f>"9155"</f>
        <v>9155</v>
      </c>
      <c r="B9156" t="str">
        <f>"-0.06"</f>
        <v>-0.06</v>
      </c>
      <c r="C9156" t="str">
        <f>"22"</f>
        <v>22</v>
      </c>
      <c r="D9156" t="str">
        <f>"Aleph"</f>
        <v>Aleph</v>
      </c>
    </row>
    <row r="9157" spans="1:4" x14ac:dyDescent="0.2">
      <c r="A9157" t="str">
        <f>"9156"</f>
        <v>9156</v>
      </c>
      <c r="B9157" t="str">
        <f>"-0.25"</f>
        <v>-0.25</v>
      </c>
      <c r="C9157" t="str">
        <f>"28"</f>
        <v>28</v>
      </c>
      <c r="D9157" t="str">
        <f>"Aheym"</f>
        <v>Aheym</v>
      </c>
    </row>
    <row r="9158" spans="1:4" x14ac:dyDescent="0.2">
      <c r="A9158" t="str">
        <f>"9157"</f>
        <v>9157</v>
      </c>
      <c r="B9158" t="str">
        <f>"1.34"</f>
        <v>1.34</v>
      </c>
      <c r="C9158" t="str">
        <f>"32"</f>
        <v>32</v>
      </c>
      <c r="D9158" t="str">
        <f>"Who Is William Onyeabor?"</f>
        <v>Who Is William Onyeabor?</v>
      </c>
    </row>
    <row r="9159" spans="1:4" x14ac:dyDescent="0.2">
      <c r="A9159" t="str">
        <f>"9158"</f>
        <v>9158</v>
      </c>
      <c r="B9159" t="str">
        <f>"0.52"</f>
        <v>0.52</v>
      </c>
      <c r="C9159" t="str">
        <f>"29"</f>
        <v>29</v>
      </c>
      <c r="D9159" t="str">
        <f>"Magic Hour"</f>
        <v>Magic Hour</v>
      </c>
    </row>
    <row r="9160" spans="1:4" x14ac:dyDescent="0.2">
      <c r="A9160" t="str">
        <f>"9159"</f>
        <v>9159</v>
      </c>
      <c r="B9160" t="str">
        <f>"0.49"</f>
        <v>0.49</v>
      </c>
      <c r="C9160" t="str">
        <f>"32"</f>
        <v>32</v>
      </c>
      <c r="D9160" t="str">
        <f>"Blue Chips 2"</f>
        <v>Blue Chips 2</v>
      </c>
    </row>
    <row r="9161" spans="1:4" x14ac:dyDescent="0.2">
      <c r="A9161" t="str">
        <f>"9160"</f>
        <v>9160</v>
      </c>
      <c r="B9161" t="str">
        <f>"0.73"</f>
        <v>0.73</v>
      </c>
      <c r="C9161" t="str">
        <f>"19"</f>
        <v>19</v>
      </c>
      <c r="D9161" t="str">
        <f>"Confection"</f>
        <v>Confection</v>
      </c>
    </row>
    <row r="9162" spans="1:4" x14ac:dyDescent="0.2">
      <c r="A9162" t="str">
        <f>"9161"</f>
        <v>9161</v>
      </c>
      <c r="B9162" t="str">
        <f>"-0.51"</f>
        <v>-0.51</v>
      </c>
      <c r="C9162" t="str">
        <f>"49"</f>
        <v>49</v>
      </c>
      <c r="D9162" t="str">
        <f>"COIN COIN Chapter Two: Mississippi Moonchile"</f>
        <v>COIN COIN Chapter Two: Mississippi Moonchile</v>
      </c>
    </row>
    <row r="9163" spans="1:4" x14ac:dyDescent="0.2">
      <c r="A9163" t="str">
        <f>"9162"</f>
        <v>9162</v>
      </c>
      <c r="B9163" t="str">
        <f>"0.22"</f>
        <v>0.22</v>
      </c>
      <c r="C9163" t="str">
        <f>"22"</f>
        <v>22</v>
      </c>
      <c r="D9163" t="str">
        <f>"Skycell"</f>
        <v>Skycell</v>
      </c>
    </row>
    <row r="9164" spans="1:4" x14ac:dyDescent="0.2">
      <c r="A9164" t="str">
        <f>"9163"</f>
        <v>9163</v>
      </c>
      <c r="B9164" t="str">
        <f>"-0.32"</f>
        <v>-0.32</v>
      </c>
      <c r="C9164" t="str">
        <f>"27"</f>
        <v>27</v>
      </c>
      <c r="D9164" t="str">
        <f>"The Second Album"</f>
        <v>The Second Album</v>
      </c>
    </row>
    <row r="9165" spans="1:4" x14ac:dyDescent="0.2">
      <c r="A9165" t="str">
        <f>"9164"</f>
        <v>9164</v>
      </c>
      <c r="B9165" t="str">
        <f>"-1"</f>
        <v>-1</v>
      </c>
      <c r="C9165" t="str">
        <f>"42"</f>
        <v>42</v>
      </c>
      <c r="D9165" t="str">
        <f>"The Marshall Mathers LP 2"</f>
        <v>The Marshall Mathers LP 2</v>
      </c>
    </row>
    <row r="9166" spans="1:4" x14ac:dyDescent="0.2">
      <c r="A9166" t="str">
        <f>"9165"</f>
        <v>9165</v>
      </c>
      <c r="B9166" t="str">
        <f>"0"</f>
        <v>0</v>
      </c>
      <c r="C9166" t="str">
        <f>"54"</f>
        <v>54</v>
      </c>
      <c r="D9166" t="str">
        <f>"Transatlanticism"</f>
        <v>Transatlanticism</v>
      </c>
    </row>
    <row r="9167" spans="1:4" x14ac:dyDescent="0.2">
      <c r="A9167" t="str">
        <f>"9166"</f>
        <v>9166</v>
      </c>
      <c r="B9167" t="str">
        <f>"-0.37"</f>
        <v>-0.37</v>
      </c>
      <c r="C9167" t="str">
        <f>"31"</f>
        <v>31</v>
      </c>
      <c r="D9167" t="str">
        <f>"Process"</f>
        <v>Process</v>
      </c>
    </row>
    <row r="9168" spans="1:4" x14ac:dyDescent="0.2">
      <c r="A9168" t="str">
        <f>"9167"</f>
        <v>9167</v>
      </c>
      <c r="B9168" t="str">
        <f>"-0.52"</f>
        <v>-0.52</v>
      </c>
      <c r="C9168" t="str">
        <f>"32"</f>
        <v>32</v>
      </c>
      <c r="D9168" t="str">
        <f>"My 1st Chemistry Set"</f>
        <v>My 1st Chemistry Set</v>
      </c>
    </row>
    <row r="9169" spans="1:4" x14ac:dyDescent="0.2">
      <c r="A9169" t="str">
        <f>"9168"</f>
        <v>9168</v>
      </c>
      <c r="B9169" t="str">
        <f>"0.3"</f>
        <v>0.3</v>
      </c>
      <c r="C9169" t="str">
        <f>"31"</f>
        <v>31</v>
      </c>
      <c r="D9169" t="str">
        <f>"Wooden Wand &amp; The World War IV"</f>
        <v>Wooden Wand &amp; The World War IV</v>
      </c>
    </row>
    <row r="9170" spans="1:4" x14ac:dyDescent="0.2">
      <c r="A9170" t="str">
        <f>"9169"</f>
        <v>9169</v>
      </c>
      <c r="B9170" t="str">
        <f>"-0.45"</f>
        <v>-0.45</v>
      </c>
      <c r="C9170" t="str">
        <f>"50"</f>
        <v>50</v>
      </c>
      <c r="D9170" t="str">
        <f>"Matangi"</f>
        <v>Matangi</v>
      </c>
    </row>
    <row r="9171" spans="1:4" x14ac:dyDescent="0.2">
      <c r="A9171" t="str">
        <f>"9170"</f>
        <v>9170</v>
      </c>
      <c r="B9171" t="str">
        <f>"-0.67"</f>
        <v>-0.67</v>
      </c>
      <c r="C9171" t="str">
        <f>"37"</f>
        <v>37</v>
      </c>
      <c r="D9171" t="str">
        <f>"MellowHigh"</f>
        <v>MellowHigh</v>
      </c>
    </row>
    <row r="9172" spans="1:4" x14ac:dyDescent="0.2">
      <c r="A9172" t="str">
        <f>"9171"</f>
        <v>9171</v>
      </c>
      <c r="B9172" t="str">
        <f>"-0.92"</f>
        <v>-0.92</v>
      </c>
      <c r="C9172" t="str">
        <f>"29"</f>
        <v>29</v>
      </c>
      <c r="D9172" t="s">
        <v>292</v>
      </c>
    </row>
    <row r="9173" spans="1:4" x14ac:dyDescent="0.2">
      <c r="A9173" t="str">
        <f>"9172"</f>
        <v>9172</v>
      </c>
      <c r="B9173" t="str">
        <f>"-0.11"</f>
        <v>-0.11</v>
      </c>
      <c r="C9173" t="str">
        <f>"24"</f>
        <v>24</v>
      </c>
      <c r="D9173" t="str">
        <f>"The Swamps EP"</f>
        <v>The Swamps EP</v>
      </c>
    </row>
    <row r="9174" spans="1:4" x14ac:dyDescent="0.2">
      <c r="A9174" t="str">
        <f>"9173"</f>
        <v>9173</v>
      </c>
      <c r="B9174" t="str">
        <f>"0.14"</f>
        <v>0.14</v>
      </c>
      <c r="C9174" t="str">
        <f>"27"</f>
        <v>27</v>
      </c>
      <c r="D9174" t="str">
        <f>"Allegoria"</f>
        <v>Allegoria</v>
      </c>
    </row>
    <row r="9175" spans="1:4" x14ac:dyDescent="0.2">
      <c r="A9175" t="str">
        <f>"9174"</f>
        <v>9174</v>
      </c>
      <c r="B9175" t="str">
        <f>"0.26"</f>
        <v>0.26</v>
      </c>
      <c r="C9175" t="str">
        <f>"28"</f>
        <v>28</v>
      </c>
      <c r="D9175" t="str">
        <f>"Free Your Mind"</f>
        <v>Free Your Mind</v>
      </c>
    </row>
    <row r="9176" spans="1:4" x14ac:dyDescent="0.2">
      <c r="A9176" t="str">
        <f>"9175"</f>
        <v>9175</v>
      </c>
      <c r="B9176" t="str">
        <f>"0.5"</f>
        <v>0.5</v>
      </c>
      <c r="C9176" t="str">
        <f>"50"</f>
        <v>50</v>
      </c>
      <c r="D9176" t="str">
        <f>"The Regal Years: 1997-2004"</f>
        <v>The Regal Years: 1997-2004</v>
      </c>
    </row>
    <row r="9177" spans="1:4" x14ac:dyDescent="0.2">
      <c r="A9177" t="str">
        <f>"9176"</f>
        <v>9176</v>
      </c>
      <c r="B9177" t="str">
        <f>"-0.53"</f>
        <v>-0.53</v>
      </c>
      <c r="C9177" t="str">
        <f>"33"</f>
        <v>33</v>
      </c>
      <c r="D9177" t="str">
        <f>"Surfing Strange"</f>
        <v>Surfing Strange</v>
      </c>
    </row>
    <row r="9178" spans="1:4" x14ac:dyDescent="0.2">
      <c r="A9178" t="str">
        <f>"9177"</f>
        <v>9177</v>
      </c>
      <c r="B9178" t="str">
        <f>"0.61"</f>
        <v>0.61</v>
      </c>
      <c r="C9178" t="str">
        <f>"32"</f>
        <v>32</v>
      </c>
      <c r="D9178" t="str">
        <f>"Just In Case"</f>
        <v>Just In Case</v>
      </c>
    </row>
    <row r="9179" spans="1:4" x14ac:dyDescent="0.2">
      <c r="A9179" t="str">
        <f>"9178"</f>
        <v>9178</v>
      </c>
      <c r="B9179" t="str">
        <f>"0.4"</f>
        <v>0.4</v>
      </c>
      <c r="C9179" t="str">
        <f>"38"</f>
        <v>38</v>
      </c>
      <c r="D9179" t="str">
        <f>"Antiphon"</f>
        <v>Antiphon</v>
      </c>
    </row>
    <row r="9180" spans="1:4" x14ac:dyDescent="0.2">
      <c r="A9180" t="str">
        <f>"9179"</f>
        <v>9179</v>
      </c>
      <c r="B9180" t="str">
        <f>"0.49"</f>
        <v>0.49</v>
      </c>
      <c r="C9180" t="str">
        <f>"25"</f>
        <v>25</v>
      </c>
      <c r="D9180" t="str">
        <f>"Nonfiction"</f>
        <v>Nonfiction</v>
      </c>
    </row>
    <row r="9181" spans="1:4" x14ac:dyDescent="0.2">
      <c r="A9181" t="str">
        <f>"9180"</f>
        <v>9180</v>
      </c>
      <c r="B9181" t="str">
        <f>"-0.23"</f>
        <v>-0.23</v>
      </c>
      <c r="C9181" t="str">
        <f>"21"</f>
        <v>21</v>
      </c>
      <c r="D9181" t="str">
        <f>"Rapor EP"</f>
        <v>Rapor EP</v>
      </c>
    </row>
    <row r="9182" spans="1:4" x14ac:dyDescent="0.2">
      <c r="A9182" t="str">
        <f>"9181"</f>
        <v>9181</v>
      </c>
      <c r="B9182" t="str">
        <f>"0.32"</f>
        <v>0.32</v>
      </c>
      <c r="C9182" t="str">
        <f>"34"</f>
        <v>34</v>
      </c>
      <c r="D9182" t="str">
        <f>"Overdue"</f>
        <v>Overdue</v>
      </c>
    </row>
    <row r="9183" spans="1:4" x14ac:dyDescent="0.2">
      <c r="A9183" t="str">
        <f>"9182"</f>
        <v>9182</v>
      </c>
      <c r="B9183" t="str">
        <f>"0.56"</f>
        <v>0.56</v>
      </c>
      <c r="C9183" t="str">
        <f>"33"</f>
        <v>33</v>
      </c>
      <c r="D9183" t="str">
        <f>"Sunset Blvd."</f>
        <v>Sunset Blvd.</v>
      </c>
    </row>
    <row r="9184" spans="1:4" x14ac:dyDescent="0.2">
      <c r="A9184" t="str">
        <f>"9183"</f>
        <v>9183</v>
      </c>
      <c r="B9184" t="str">
        <f>"0.17"</f>
        <v>0.17</v>
      </c>
      <c r="C9184" t="str">
        <f>"23"</f>
        <v>23</v>
      </c>
      <c r="D9184" t="str">
        <f>"Mercury"</f>
        <v>Mercury</v>
      </c>
    </row>
    <row r="9185" spans="1:4" x14ac:dyDescent="0.2">
      <c r="A9185" t="str">
        <f>"9184"</f>
        <v>9184</v>
      </c>
      <c r="B9185" t="str">
        <f>"-0.9"</f>
        <v>-0.9</v>
      </c>
      <c r="C9185" t="str">
        <f>"27"</f>
        <v>27</v>
      </c>
      <c r="D9185" t="str">
        <f>"Peace Sword EP"</f>
        <v>Peace Sword EP</v>
      </c>
    </row>
    <row r="9186" spans="1:4" x14ac:dyDescent="0.2">
      <c r="A9186" t="str">
        <f>"9185"</f>
        <v>9185</v>
      </c>
      <c r="B9186" t="str">
        <f>"-0.52"</f>
        <v>-0.52</v>
      </c>
      <c r="C9186" t="str">
        <f>"31"</f>
        <v>31</v>
      </c>
      <c r="D9186" t="str">
        <f>"Chance of Rain"</f>
        <v>Chance of Rain</v>
      </c>
    </row>
    <row r="9187" spans="1:4" x14ac:dyDescent="0.2">
      <c r="A9187" t="str">
        <f>"9186"</f>
        <v>9186</v>
      </c>
      <c r="B9187" t="str">
        <f>"0.21"</f>
        <v>0.21</v>
      </c>
      <c r="C9187" t="str">
        <f>"33"</f>
        <v>33</v>
      </c>
      <c r="D9187" t="str">
        <f>"Double Exposure"</f>
        <v>Double Exposure</v>
      </c>
    </row>
    <row r="9188" spans="1:4" x14ac:dyDescent="0.2">
      <c r="A9188" t="str">
        <f>"9187"</f>
        <v>9187</v>
      </c>
      <c r="B9188" t="str">
        <f>"0.14"</f>
        <v>0.14</v>
      </c>
      <c r="C9188" t="str">
        <f>"23"</f>
        <v>23</v>
      </c>
      <c r="D9188" t="str">
        <f>"Black Moon White Sun"</f>
        <v>Black Moon White Sun</v>
      </c>
    </row>
    <row r="9189" spans="1:4" x14ac:dyDescent="0.2">
      <c r="A9189" t="str">
        <f>"9188"</f>
        <v>9188</v>
      </c>
      <c r="B9189" t="str">
        <f>"-0.34"</f>
        <v>-0.34</v>
      </c>
      <c r="C9189" t="str">
        <f>"32"</f>
        <v>32</v>
      </c>
      <c r="D9189" t="str">
        <f>"Retrash"</f>
        <v>Retrash</v>
      </c>
    </row>
    <row r="9190" spans="1:4" x14ac:dyDescent="0.2">
      <c r="A9190" t="str">
        <f>"9189"</f>
        <v>9189</v>
      </c>
      <c r="B9190" t="str">
        <f>"-0.27"</f>
        <v>-0.27</v>
      </c>
      <c r="C9190" t="str">
        <f>"29"</f>
        <v>29</v>
      </c>
      <c r="D9190" t="s">
        <v>293</v>
      </c>
    </row>
    <row r="9191" spans="1:4" x14ac:dyDescent="0.2">
      <c r="A9191" t="str">
        <f>"9190"</f>
        <v>9190</v>
      </c>
      <c r="B9191" t="str">
        <f>"0.14"</f>
        <v>0.14</v>
      </c>
      <c r="C9191" t="str">
        <f>"59"</f>
        <v>59</v>
      </c>
      <c r="D9191" t="str">
        <f>"No Blues"</f>
        <v>No Blues</v>
      </c>
    </row>
    <row r="9192" spans="1:4" x14ac:dyDescent="0.2">
      <c r="A9192" t="str">
        <f>"9191"</f>
        <v>9191</v>
      </c>
      <c r="B9192" t="str">
        <f>"0.45"</f>
        <v>0.45</v>
      </c>
      <c r="C9192" t="str">
        <f>"41"</f>
        <v>41</v>
      </c>
      <c r="D9192" t="str">
        <f>"Lanterns"</f>
        <v>Lanterns</v>
      </c>
    </row>
    <row r="9193" spans="1:4" x14ac:dyDescent="0.2">
      <c r="A9193" t="str">
        <f>"9192"</f>
        <v>9192</v>
      </c>
      <c r="B9193" t="str">
        <f>"-0.49"</f>
        <v>-0.49</v>
      </c>
      <c r="C9193" t="str">
        <f>"23"</f>
        <v>23</v>
      </c>
      <c r="D9193" t="str">
        <f>"She's Gone"</f>
        <v>She's Gone</v>
      </c>
    </row>
    <row r="9194" spans="1:4" x14ac:dyDescent="0.2">
      <c r="A9194" t="str">
        <f>"9193"</f>
        <v>9193</v>
      </c>
      <c r="B9194" t="str">
        <f>"-1.89"</f>
        <v>-1.89</v>
      </c>
      <c r="C9194" t="str">
        <f>"44"</f>
        <v>44</v>
      </c>
      <c r="D9194" t="str">
        <f>"Horrible Chamber"</f>
        <v>Horrible Chamber</v>
      </c>
    </row>
    <row r="9195" spans="1:4" x14ac:dyDescent="0.2">
      <c r="A9195" t="str">
        <f>"9194"</f>
        <v>9194</v>
      </c>
      <c r="B9195" t="str">
        <f>"-0.06"</f>
        <v>-0.06</v>
      </c>
      <c r="C9195" t="str">
        <f>"68"</f>
        <v>68</v>
      </c>
      <c r="D9195" t="str">
        <f>"Reflektor"</f>
        <v>Reflektor</v>
      </c>
    </row>
    <row r="9196" spans="1:4" x14ac:dyDescent="0.2">
      <c r="A9196" t="str">
        <f>"9195"</f>
        <v>9195</v>
      </c>
      <c r="B9196" t="str">
        <f>"0.73"</f>
        <v>0.73</v>
      </c>
      <c r="C9196" t="str">
        <f>"29"</f>
        <v>29</v>
      </c>
      <c r="D9196" t="str">
        <f>"L-event EP"</f>
        <v>L-event EP</v>
      </c>
    </row>
    <row r="9197" spans="1:4" x14ac:dyDescent="0.2">
      <c r="A9197" t="str">
        <f>"9196"</f>
        <v>9196</v>
      </c>
      <c r="B9197" t="str">
        <f>"-0.19"</f>
        <v>-0.19</v>
      </c>
      <c r="C9197" t="str">
        <f>"28"</f>
        <v>28</v>
      </c>
      <c r="D9197" t="str">
        <f>"Butter Knife"</f>
        <v>Butter Knife</v>
      </c>
    </row>
    <row r="9198" spans="1:4" x14ac:dyDescent="0.2">
      <c r="A9198" t="str">
        <f>"9197"</f>
        <v>9197</v>
      </c>
      <c r="B9198" t="str">
        <f>"-0.77"</f>
        <v>-0.77</v>
      </c>
      <c r="C9198" t="str">
        <f>"26"</f>
        <v>26</v>
      </c>
      <c r="D9198" t="str">
        <f>"Joko sinä tulet tänne alas tai minä nousen sinne"</f>
        <v>Joko sinä tulet tänne alas tai minä nousen sinne</v>
      </c>
    </row>
    <row r="9199" spans="1:4" x14ac:dyDescent="0.2">
      <c r="A9199" t="str">
        <f>"9198"</f>
        <v>9198</v>
      </c>
      <c r="B9199" t="str">
        <f>"1.03"</f>
        <v>1.03</v>
      </c>
      <c r="C9199" t="str">
        <f>"29"</f>
        <v>29</v>
      </c>
      <c r="D9199" t="str">
        <f>"The White Goddess (A Grammar of Poetic Myth)"</f>
        <v>The White Goddess (A Grammar of Poetic Myth)</v>
      </c>
    </row>
    <row r="9200" spans="1:4" x14ac:dyDescent="0.2">
      <c r="A9200" t="str">
        <f>"9199"</f>
        <v>9199</v>
      </c>
      <c r="B9200" t="str">
        <f>"-0.1"</f>
        <v>-0.1</v>
      </c>
      <c r="C9200" t="str">
        <f>"33"</f>
        <v>33</v>
      </c>
      <c r="D9200" t="str">
        <f>"Love's Crushing Diamond"</f>
        <v>Love's Crushing Diamond</v>
      </c>
    </row>
    <row r="9201" spans="1:4" x14ac:dyDescent="0.2">
      <c r="A9201" t="str">
        <f>"9200"</f>
        <v>9200</v>
      </c>
      <c r="B9201" t="str">
        <f>"1.2"</f>
        <v>1.2</v>
      </c>
      <c r="C9201" t="str">
        <f>"22"</f>
        <v>22</v>
      </c>
      <c r="D9201" t="str">
        <f>"Wenu Wenu"</f>
        <v>Wenu Wenu</v>
      </c>
    </row>
    <row r="9202" spans="1:4" x14ac:dyDescent="0.2">
      <c r="A9202" t="str">
        <f>"9201"</f>
        <v>9201</v>
      </c>
      <c r="B9202" t="str">
        <f>"0.28"</f>
        <v>0.28</v>
      </c>
      <c r="C9202" t="str">
        <f>"52"</f>
        <v>52</v>
      </c>
      <c r="D9202" t="str">
        <f>"Kid Is Gone"</f>
        <v>Kid Is Gone</v>
      </c>
    </row>
    <row r="9203" spans="1:4" x14ac:dyDescent="0.2">
      <c r="A9203" t="str">
        <f>"9202"</f>
        <v>9202</v>
      </c>
      <c r="B9203" t="str">
        <f>"0.85"</f>
        <v>0.85</v>
      </c>
      <c r="C9203" t="str">
        <f>"35"</f>
        <v>35</v>
      </c>
      <c r="D9203" t="str">
        <f>"Milk Money"</f>
        <v>Milk Money</v>
      </c>
    </row>
    <row r="9204" spans="1:4" x14ac:dyDescent="0.2">
      <c r="A9204" t="str">
        <f>"9203"</f>
        <v>9203</v>
      </c>
      <c r="B9204" t="str">
        <f>"-0.51"</f>
        <v>-0.51</v>
      </c>
      <c r="C9204" t="str">
        <f>"40"</f>
        <v>40</v>
      </c>
      <c r="D9204" t="str">
        <f>"Obsian"</f>
        <v>Obsian</v>
      </c>
    </row>
    <row r="9205" spans="1:4" x14ac:dyDescent="0.2">
      <c r="A9205" t="str">
        <f>"9204"</f>
        <v>9204</v>
      </c>
      <c r="B9205" t="str">
        <f>"0.2"</f>
        <v>0.2</v>
      </c>
      <c r="C9205" t="str">
        <f>"28"</f>
        <v>28</v>
      </c>
      <c r="D9205" t="str">
        <f>"Guilt Trips"</f>
        <v>Guilt Trips</v>
      </c>
    </row>
    <row r="9206" spans="1:4" x14ac:dyDescent="0.2">
      <c r="A9206" t="str">
        <f>"9205"</f>
        <v>9205</v>
      </c>
      <c r="B9206" t="str">
        <f>"0.15"</f>
        <v>0.15</v>
      </c>
      <c r="C9206" t="str">
        <f>"35"</f>
        <v>35</v>
      </c>
      <c r="D9206" t="str">
        <f>"ilp"</f>
        <v>ilp</v>
      </c>
    </row>
    <row r="9207" spans="1:4" x14ac:dyDescent="0.2">
      <c r="A9207" t="str">
        <f>"9206"</f>
        <v>9206</v>
      </c>
      <c r="B9207" t="str">
        <f>"0.68"</f>
        <v>0.68</v>
      </c>
      <c r="C9207" t="str">
        <f>"31"</f>
        <v>31</v>
      </c>
      <c r="D9207" t="str">
        <f>"Soul Music"</f>
        <v>Soul Music</v>
      </c>
    </row>
    <row r="9208" spans="1:4" x14ac:dyDescent="0.2">
      <c r="A9208" t="str">
        <f>"9207"</f>
        <v>9207</v>
      </c>
      <c r="B9208" t="str">
        <f>"-0.27"</f>
        <v>-0.27</v>
      </c>
      <c r="C9208" t="str">
        <f>"21"</f>
        <v>21</v>
      </c>
      <c r="D9208" t="str">
        <f>"Boardwalk"</f>
        <v>Boardwalk</v>
      </c>
    </row>
    <row r="9209" spans="1:4" x14ac:dyDescent="0.2">
      <c r="A9209" t="str">
        <f>"9208"</f>
        <v>9208</v>
      </c>
      <c r="B9209" t="str">
        <f>"0.1"</f>
        <v>0.1</v>
      </c>
      <c r="C9209" t="str">
        <f>"29"</f>
        <v>29</v>
      </c>
      <c r="D9209" t="str">
        <f>"Grand Blood"</f>
        <v>Grand Blood</v>
      </c>
    </row>
    <row r="9210" spans="1:4" x14ac:dyDescent="0.2">
      <c r="A9210" t="str">
        <f>"9209"</f>
        <v>9209</v>
      </c>
      <c r="B9210" t="str">
        <f>"1.08"</f>
        <v>1.08</v>
      </c>
      <c r="C9210" t="str">
        <f>"30"</f>
        <v>30</v>
      </c>
      <c r="D9210" t="str">
        <f>"Wed 21"</f>
        <v>Wed 21</v>
      </c>
    </row>
    <row r="9211" spans="1:4" x14ac:dyDescent="0.2">
      <c r="A9211" t="str">
        <f>"9210"</f>
        <v>9210</v>
      </c>
      <c r="B9211" t="str">
        <f>"-0.71"</f>
        <v>-0.71</v>
      </c>
      <c r="C9211" t="str">
        <f>"33"</f>
        <v>33</v>
      </c>
      <c r="D9211" t="str">
        <f>"Outer Face EP"</f>
        <v>Outer Face EP</v>
      </c>
    </row>
    <row r="9212" spans="1:4" x14ac:dyDescent="0.2">
      <c r="A9212" t="str">
        <f>"9211"</f>
        <v>9211</v>
      </c>
      <c r="B9212" t="str">
        <f>"0.77"</f>
        <v>0.77</v>
      </c>
      <c r="C9212" t="str">
        <f>"45"</f>
        <v>45</v>
      </c>
      <c r="D9212" t="str">
        <f>"Happy Jawbone Family Band"</f>
        <v>Happy Jawbone Family Band</v>
      </c>
    </row>
    <row r="9213" spans="1:4" x14ac:dyDescent="0.2">
      <c r="A9213" t="str">
        <f>"9212"</f>
        <v>9212</v>
      </c>
      <c r="B9213" t="str">
        <f>"1.68"</f>
        <v>1.68</v>
      </c>
      <c r="C9213" t="str">
        <f>"29"</f>
        <v>29</v>
      </c>
      <c r="D9213" t="str">
        <f>"Drone Logic"</f>
        <v>Drone Logic</v>
      </c>
    </row>
    <row r="9214" spans="1:4" x14ac:dyDescent="0.2">
      <c r="A9214" t="str">
        <f>"9213"</f>
        <v>9213</v>
      </c>
      <c r="B9214" t="str">
        <f>"0.1"</f>
        <v>0.1</v>
      </c>
      <c r="C9214" t="str">
        <f>"39"</f>
        <v>39</v>
      </c>
      <c r="D9214" t="str">
        <f>"Whales and Leeches"</f>
        <v>Whales and Leeches</v>
      </c>
    </row>
    <row r="9215" spans="1:4" x14ac:dyDescent="0.2">
      <c r="A9215" t="str">
        <f>"9214"</f>
        <v>9214</v>
      </c>
      <c r="B9215" t="str">
        <f>"0.36"</f>
        <v>0.36</v>
      </c>
      <c r="C9215" t="str">
        <f>"40"</f>
        <v>40</v>
      </c>
      <c r="D9215" t="str">
        <f>"Double Cup"</f>
        <v>Double Cup</v>
      </c>
    </row>
    <row r="9216" spans="1:4" x14ac:dyDescent="0.2">
      <c r="A9216" t="str">
        <f>"9215"</f>
        <v>9215</v>
      </c>
      <c r="B9216" t="str">
        <f>"-0.94"</f>
        <v>-0.94</v>
      </c>
      <c r="C9216" t="str">
        <f>"27"</f>
        <v>27</v>
      </c>
      <c r="D9216" t="s">
        <v>294</v>
      </c>
    </row>
    <row r="9217" spans="1:4" x14ac:dyDescent="0.2">
      <c r="A9217" t="str">
        <f>"9216"</f>
        <v>9216</v>
      </c>
      <c r="B9217" t="str">
        <f>"0.38"</f>
        <v>0.38</v>
      </c>
      <c r="C9217" t="str">
        <f>"28"</f>
        <v>28</v>
      </c>
      <c r="D9217" t="str">
        <f>"Wish Hotel EP"</f>
        <v>Wish Hotel EP</v>
      </c>
    </row>
    <row r="9218" spans="1:4" x14ac:dyDescent="0.2">
      <c r="A9218" t="str">
        <f>"9217"</f>
        <v>9217</v>
      </c>
      <c r="B9218" t="str">
        <f>"0.11"</f>
        <v>0.11</v>
      </c>
      <c r="C9218" t="str">
        <f>"34"</f>
        <v>34</v>
      </c>
      <c r="D9218" t="str">
        <f>"Livity Sound"</f>
        <v>Livity Sound</v>
      </c>
    </row>
    <row r="9219" spans="1:4" x14ac:dyDescent="0.2">
      <c r="A9219" t="str">
        <f>"9218"</f>
        <v>9218</v>
      </c>
      <c r="B9219" t="str">
        <f>"-0.59"</f>
        <v>-0.59</v>
      </c>
      <c r="C9219" t="str">
        <f>"44"</f>
        <v>44</v>
      </c>
      <c r="D9219" t="str">
        <f>"From the Ages"</f>
        <v>From the Ages</v>
      </c>
    </row>
    <row r="9220" spans="1:4" x14ac:dyDescent="0.2">
      <c r="A9220" t="str">
        <f>"9219"</f>
        <v>9219</v>
      </c>
      <c r="B9220" t="str">
        <f>"-0.34"</f>
        <v>-0.34</v>
      </c>
      <c r="C9220" t="str">
        <f>"33"</f>
        <v>33</v>
      </c>
      <c r="D9220" t="str">
        <f>"Fade Away"</f>
        <v>Fade Away</v>
      </c>
    </row>
    <row r="9221" spans="1:4" x14ac:dyDescent="0.2">
      <c r="A9221" t="str">
        <f>"9220"</f>
        <v>9220</v>
      </c>
      <c r="B9221" t="str">
        <f>"-0.07"</f>
        <v>-0.07</v>
      </c>
      <c r="C9221" t="str">
        <f>"39"</f>
        <v>39</v>
      </c>
      <c r="D9221" t="str">
        <f>"Aftershock"</f>
        <v>Aftershock</v>
      </c>
    </row>
    <row r="9222" spans="1:4" x14ac:dyDescent="0.2">
      <c r="A9222" t="str">
        <f>"9221"</f>
        <v>9221</v>
      </c>
      <c r="B9222" t="str">
        <f>"0.32"</f>
        <v>0.32</v>
      </c>
      <c r="C9222" t="str">
        <f>"28"</f>
        <v>28</v>
      </c>
      <c r="D9222" t="str">
        <f>"Brain Holiday"</f>
        <v>Brain Holiday</v>
      </c>
    </row>
    <row r="9223" spans="1:4" x14ac:dyDescent="0.2">
      <c r="A9223" t="str">
        <f>"9222"</f>
        <v>9222</v>
      </c>
      <c r="B9223" t="str">
        <f>"0.99"</f>
        <v>0.99</v>
      </c>
      <c r="C9223" t="str">
        <f>"26"</f>
        <v>26</v>
      </c>
      <c r="D9223" t="str">
        <f>"Outside"</f>
        <v>Outside</v>
      </c>
    </row>
    <row r="9224" spans="1:4" x14ac:dyDescent="0.2">
      <c r="A9224" t="str">
        <f>"9223"</f>
        <v>9223</v>
      </c>
      <c r="B9224" t="str">
        <f>"-0.09"</f>
        <v>-0.09</v>
      </c>
      <c r="C9224" t="str">
        <f>"49"</f>
        <v>49</v>
      </c>
      <c r="D9224" t="str">
        <f>"More Constant Than the Gods"</f>
        <v>More Constant Than the Gods</v>
      </c>
    </row>
    <row r="9225" spans="1:4" x14ac:dyDescent="0.2">
      <c r="A9225" t="str">
        <f>"9224"</f>
        <v>9224</v>
      </c>
      <c r="B9225" t="str">
        <f>"0.29"</f>
        <v>0.29</v>
      </c>
      <c r="C9225" t="str">
        <f>"25"</f>
        <v>25</v>
      </c>
      <c r="D9225" t="str">
        <f>"Cut 4 Me"</f>
        <v>Cut 4 Me</v>
      </c>
    </row>
    <row r="9226" spans="1:4" x14ac:dyDescent="0.2">
      <c r="A9226" t="str">
        <f>"9225"</f>
        <v>9225</v>
      </c>
      <c r="B9226" t="str">
        <f>"-0.14"</f>
        <v>-0.14</v>
      </c>
      <c r="C9226" t="str">
        <f>"58"</f>
        <v>58</v>
      </c>
      <c r="D9226" t="str">
        <f>"Big Wheel and Others"</f>
        <v>Big Wheel and Others</v>
      </c>
    </row>
    <row r="9227" spans="1:4" x14ac:dyDescent="0.2">
      <c r="A9227" t="str">
        <f>"9226"</f>
        <v>9226</v>
      </c>
      <c r="B9227" t="str">
        <f>"0.25"</f>
        <v>0.25</v>
      </c>
      <c r="C9227" t="str">
        <f>"40"</f>
        <v>40</v>
      </c>
      <c r="D9227" t="str">
        <f>"Forever Becoming"</f>
        <v>Forever Becoming</v>
      </c>
    </row>
    <row r="9228" spans="1:4" x14ac:dyDescent="0.2">
      <c r="A9228" t="str">
        <f>"9227"</f>
        <v>9227</v>
      </c>
      <c r="B9228" t="str">
        <f>"-0.29"</f>
        <v>-0.29</v>
      </c>
      <c r="C9228" t="str">
        <f>"28"</f>
        <v>28</v>
      </c>
      <c r="D9228" t="str">
        <f>"Guitar Sounds"</f>
        <v>Guitar Sounds</v>
      </c>
    </row>
    <row r="9229" spans="1:4" x14ac:dyDescent="0.2">
      <c r="A9229" t="str">
        <f>"9228"</f>
        <v>9228</v>
      </c>
      <c r="B9229" t="str">
        <f>"0.34"</f>
        <v>0.34</v>
      </c>
      <c r="C9229" t="str">
        <f>"22"</f>
        <v>22</v>
      </c>
      <c r="D9229" t="str">
        <f>"Timescales"</f>
        <v>Timescales</v>
      </c>
    </row>
    <row r="9230" spans="1:4" x14ac:dyDescent="0.2">
      <c r="A9230" t="str">
        <f>"9229"</f>
        <v>9229</v>
      </c>
      <c r="B9230" t="str">
        <f>"0.82"</f>
        <v>0.82</v>
      </c>
      <c r="C9230" t="str">
        <f>"31"</f>
        <v>31</v>
      </c>
      <c r="D9230" t="str">
        <f>"Beautiful Rewind"</f>
        <v>Beautiful Rewind</v>
      </c>
    </row>
    <row r="9231" spans="1:4" x14ac:dyDescent="0.2">
      <c r="A9231" t="str">
        <f>"9230"</f>
        <v>9230</v>
      </c>
      <c r="B9231" t="str">
        <f>"0.15"</f>
        <v>0.15</v>
      </c>
      <c r="C9231" t="str">
        <f>"42"</f>
        <v>42</v>
      </c>
      <c r="D9231" t="str">
        <f>"Bonnie ""Prince"" Billy"</f>
        <v>Bonnie "Prince" Billy</v>
      </c>
    </row>
    <row r="9232" spans="1:4" x14ac:dyDescent="0.2">
      <c r="A9232" t="str">
        <f>"9231"</f>
        <v>9231</v>
      </c>
      <c r="B9232" t="str">
        <f>"0.3"</f>
        <v>0.3</v>
      </c>
      <c r="C9232" t="str">
        <f>"28"</f>
        <v>28</v>
      </c>
      <c r="D9232" t="str">
        <f>"The Double EP: A Sea of Split Peas"</f>
        <v>The Double EP: A Sea of Split Peas</v>
      </c>
    </row>
    <row r="9233" spans="1:4" x14ac:dyDescent="0.2">
      <c r="A9233" t="str">
        <f>"9232"</f>
        <v>9232</v>
      </c>
      <c r="B9233" t="str">
        <f>"-0.03"</f>
        <v>-0.03</v>
      </c>
      <c r="C9233" t="str">
        <f>"32"</f>
        <v>32</v>
      </c>
      <c r="D9233" t="str">
        <f>"School of Night EP"</f>
        <v>School of Night EP</v>
      </c>
    </row>
    <row r="9234" spans="1:4" x14ac:dyDescent="0.2">
      <c r="A9234" t="str">
        <f>"9233"</f>
        <v>9233</v>
      </c>
      <c r="B9234" t="str">
        <f>"1.28"</f>
        <v>1.28</v>
      </c>
      <c r="C9234" t="str">
        <f>"26"</f>
        <v>26</v>
      </c>
      <c r="D9234" t="str">
        <f>"Threace"</f>
        <v>Threace</v>
      </c>
    </row>
    <row r="9235" spans="1:4" x14ac:dyDescent="0.2">
      <c r="A9235" t="str">
        <f>"9234"</f>
        <v>9234</v>
      </c>
      <c r="B9235" t="str">
        <f>"-0.4"</f>
        <v>-0.4</v>
      </c>
      <c r="C9235" t="str">
        <f>"53"</f>
        <v>53</v>
      </c>
      <c r="D9235" t="str">
        <f>"Uncanney Valley"</f>
        <v>Uncanney Valley</v>
      </c>
    </row>
    <row r="9236" spans="1:4" x14ac:dyDescent="0.2">
      <c r="A9236" t="str">
        <f>"9235"</f>
        <v>9235</v>
      </c>
      <c r="B9236" t="str">
        <f>"0.63"</f>
        <v>0.63</v>
      </c>
      <c r="C9236" t="str">
        <f>"24"</f>
        <v>24</v>
      </c>
      <c r="D9236" t="str">
        <f>"New"</f>
        <v>New</v>
      </c>
    </row>
    <row r="9237" spans="1:4" x14ac:dyDescent="0.2">
      <c r="A9237" t="str">
        <f>"9236"</f>
        <v>9236</v>
      </c>
      <c r="B9237" t="str">
        <f>"-0.69"</f>
        <v>-0.69</v>
      </c>
      <c r="C9237" t="str">
        <f>"38"</f>
        <v>38</v>
      </c>
      <c r="D9237" t="str">
        <f>"Nothing Is Real"</f>
        <v>Nothing Is Real</v>
      </c>
    </row>
    <row r="9238" spans="1:4" x14ac:dyDescent="0.2">
      <c r="A9238" t="str">
        <f>"9237"</f>
        <v>9237</v>
      </c>
      <c r="B9238" t="str">
        <f>"0.15"</f>
        <v>0.15</v>
      </c>
      <c r="C9238" t="str">
        <f>"24"</f>
        <v>24</v>
      </c>
      <c r="D9238" t="str">
        <f>"Summer Camp"</f>
        <v>Summer Camp</v>
      </c>
    </row>
    <row r="9239" spans="1:4" x14ac:dyDescent="0.2">
      <c r="A9239" t="str">
        <f>"9238"</f>
        <v>9238</v>
      </c>
      <c r="B9239" t="str">
        <f>"0.45"</f>
        <v>0.45</v>
      </c>
      <c r="C9239" t="str">
        <f>"49"</f>
        <v>49</v>
      </c>
      <c r="D9239" t="str">
        <f>"Leverage Models"</f>
        <v>Leverage Models</v>
      </c>
    </row>
    <row r="9240" spans="1:4" x14ac:dyDescent="0.2">
      <c r="A9240" t="str">
        <f>"9239"</f>
        <v>9239</v>
      </c>
      <c r="B9240" t="str">
        <f>"0.25"</f>
        <v>0.25</v>
      </c>
      <c r="C9240" t="str">
        <f>"29"</f>
        <v>29</v>
      </c>
      <c r="D9240" t="str">
        <f>"Virgins"</f>
        <v>Virgins</v>
      </c>
    </row>
    <row r="9241" spans="1:4" x14ac:dyDescent="0.2">
      <c r="A9241" t="str">
        <f>"9240"</f>
        <v>9240</v>
      </c>
      <c r="B9241" t="str">
        <f>"0.29"</f>
        <v>0.29</v>
      </c>
      <c r="C9241" t="str">
        <f>"22"</f>
        <v>22</v>
      </c>
      <c r="D9241" t="str">
        <f>"Lightning Bolt"</f>
        <v>Lightning Bolt</v>
      </c>
    </row>
    <row r="9242" spans="1:4" x14ac:dyDescent="0.2">
      <c r="A9242" t="str">
        <f>"9241"</f>
        <v>9241</v>
      </c>
      <c r="B9242" t="str">
        <f>"-0.96"</f>
        <v>-0.96</v>
      </c>
      <c r="C9242" t="str">
        <f>"50"</f>
        <v>50</v>
      </c>
      <c r="D9242" t="str">
        <f>"Hoax"</f>
        <v>Hoax</v>
      </c>
    </row>
    <row r="9243" spans="1:4" x14ac:dyDescent="0.2">
      <c r="A9243" t="str">
        <f>"9242"</f>
        <v>9242</v>
      </c>
      <c r="B9243" t="str">
        <f>"-0.1"</f>
        <v>-0.1</v>
      </c>
      <c r="C9243" t="str">
        <f>"39"</f>
        <v>39</v>
      </c>
      <c r="D9243" t="str">
        <f>"Carey's Cold Spring"</f>
        <v>Carey's Cold Spring</v>
      </c>
    </row>
    <row r="9244" spans="1:4" x14ac:dyDescent="0.2">
      <c r="A9244" t="str">
        <f>"9243"</f>
        <v>9243</v>
      </c>
      <c r="B9244" t="str">
        <f>"-1.34"</f>
        <v>-1.34</v>
      </c>
      <c r="C9244" t="str">
        <f>"38"</f>
        <v>38</v>
      </c>
      <c r="D9244" t="s">
        <v>295</v>
      </c>
    </row>
    <row r="9245" spans="1:4" x14ac:dyDescent="0.2">
      <c r="A9245" t="str">
        <f>"9244"</f>
        <v>9244</v>
      </c>
      <c r="B9245" t="str">
        <f>"0.54"</f>
        <v>0.54</v>
      </c>
      <c r="C9245" t="str">
        <f>"43"</f>
        <v>43</v>
      </c>
      <c r="D9245" t="str">
        <f>"Static"</f>
        <v>Static</v>
      </c>
    </row>
    <row r="9246" spans="1:4" x14ac:dyDescent="0.2">
      <c r="A9246" t="str">
        <f>"9245"</f>
        <v>9245</v>
      </c>
      <c r="B9246" t="str">
        <f>"1.78"</f>
        <v>1.78</v>
      </c>
      <c r="C9246" t="str">
        <f>"40"</f>
        <v>40</v>
      </c>
      <c r="D9246" t="str">
        <f>"Emancipated Hearts EP"</f>
        <v>Emancipated Hearts EP</v>
      </c>
    </row>
    <row r="9247" spans="1:4" x14ac:dyDescent="0.2">
      <c r="A9247" t="str">
        <f>"9246"</f>
        <v>9246</v>
      </c>
      <c r="B9247" t="str">
        <f>"0.72"</f>
        <v>0.72</v>
      </c>
      <c r="C9247" t="str">
        <f>"28"</f>
        <v>28</v>
      </c>
      <c r="D9247" t="str">
        <f>"Campfire Songs EP"</f>
        <v>Campfire Songs EP</v>
      </c>
    </row>
    <row r="9248" spans="1:4" x14ac:dyDescent="0.2">
      <c r="A9248" t="str">
        <f>"9247"</f>
        <v>9247</v>
      </c>
      <c r="B9248" t="str">
        <f>"-0.46"</f>
        <v>-0.46</v>
      </c>
      <c r="C9248" t="str">
        <f>"30"</f>
        <v>30</v>
      </c>
      <c r="D9248" t="str">
        <f>"Red Hot + Fela"</f>
        <v>Red Hot + Fela</v>
      </c>
    </row>
    <row r="9249" spans="1:4" x14ac:dyDescent="0.2">
      <c r="A9249" t="str">
        <f>"9248"</f>
        <v>9248</v>
      </c>
      <c r="B9249" t="str">
        <f>"0"</f>
        <v>0</v>
      </c>
      <c r="C9249" t="str">
        <f>"40"</f>
        <v>40</v>
      </c>
      <c r="D9249" t="str">
        <f>"A History of Every One"</f>
        <v>A History of Every One</v>
      </c>
    </row>
    <row r="9250" spans="1:4" x14ac:dyDescent="0.2">
      <c r="A9250" t="str">
        <f>"9249"</f>
        <v>9249</v>
      </c>
      <c r="B9250" t="str">
        <f>"-0.29"</f>
        <v>-0.29</v>
      </c>
      <c r="C9250" t="str">
        <f>"32"</f>
        <v>32</v>
      </c>
      <c r="D9250" t="str">
        <f>"Revolution EP"</f>
        <v>Revolution EP</v>
      </c>
    </row>
    <row r="9251" spans="1:4" x14ac:dyDescent="0.2">
      <c r="A9251" t="str">
        <f>"9250"</f>
        <v>9250</v>
      </c>
      <c r="B9251" t="str">
        <f>"-0.04"</f>
        <v>-0.04</v>
      </c>
      <c r="C9251" t="str">
        <f>"36"</f>
        <v>36</v>
      </c>
      <c r="D9251" t="str">
        <f>"lousy with sylvanbriar"</f>
        <v>lousy with sylvanbriar</v>
      </c>
    </row>
    <row r="9252" spans="1:4" x14ac:dyDescent="0.2">
      <c r="A9252" t="str">
        <f>"9251"</f>
        <v>9251</v>
      </c>
      <c r="B9252" t="str">
        <f>"0.34"</f>
        <v>0.34</v>
      </c>
      <c r="C9252" t="str">
        <f>"29"</f>
        <v>29</v>
      </c>
      <c r="D9252" t="str">
        <f>"Afrobeat Airways 2: Return Flight to Ghana 1974-1983"</f>
        <v>Afrobeat Airways 2: Return Flight to Ghana 1974-1983</v>
      </c>
    </row>
    <row r="9253" spans="1:4" x14ac:dyDescent="0.2">
      <c r="A9253" t="str">
        <f>"9252"</f>
        <v>9252</v>
      </c>
      <c r="B9253" t="str">
        <f>"-0.03"</f>
        <v>-0.03</v>
      </c>
      <c r="C9253" t="str">
        <f>"27"</f>
        <v>27</v>
      </c>
      <c r="D9253" t="str">
        <f>"Ooey Gooey Chewy Ka-Blooey"</f>
        <v>Ooey Gooey Chewy Ka-Blooey</v>
      </c>
    </row>
    <row r="9254" spans="1:4" x14ac:dyDescent="0.2">
      <c r="A9254" t="str">
        <f>"9253"</f>
        <v>9253</v>
      </c>
      <c r="B9254" t="str">
        <f>"1.13"</f>
        <v>1.13</v>
      </c>
      <c r="C9254" t="str">
        <f>"38"</f>
        <v>38</v>
      </c>
      <c r="D9254" t="str">
        <f>"Sister"</f>
        <v>Sister</v>
      </c>
    </row>
    <row r="9255" spans="1:4" x14ac:dyDescent="0.2">
      <c r="A9255" t="str">
        <f>"9254"</f>
        <v>9254</v>
      </c>
      <c r="B9255" t="str">
        <f>"0.51"</f>
        <v>0.51</v>
      </c>
      <c r="C9255" t="str">
        <f>"31"</f>
        <v>31</v>
      </c>
      <c r="D9255" t="str">
        <f>"Interiors"</f>
        <v>Interiors</v>
      </c>
    </row>
    <row r="9256" spans="1:4" x14ac:dyDescent="0.2">
      <c r="A9256" t="str">
        <f>"9255"</f>
        <v>9255</v>
      </c>
      <c r="B9256" t="str">
        <f>"-0.56"</f>
        <v>-0.56</v>
      </c>
      <c r="C9256" t="str">
        <f>"44"</f>
        <v>44</v>
      </c>
      <c r="D9256" t="str">
        <f>"Last Night on Earth"</f>
        <v>Last Night on Earth</v>
      </c>
    </row>
    <row r="9257" spans="1:4" x14ac:dyDescent="0.2">
      <c r="A9257" t="str">
        <f>"9256"</f>
        <v>9256</v>
      </c>
      <c r="B9257" t="str">
        <f>"-0.63"</f>
        <v>-0.63</v>
      </c>
      <c r="C9257" t="str">
        <f>"32"</f>
        <v>32</v>
      </c>
      <c r="D9257" t="str">
        <f>"Sunlight on the Moon"</f>
        <v>Sunlight on the Moon</v>
      </c>
    </row>
    <row r="9258" spans="1:4" x14ac:dyDescent="0.2">
      <c r="A9258" t="str">
        <f>"9257"</f>
        <v>9257</v>
      </c>
      <c r="B9258" t="str">
        <f>"-0.27"</f>
        <v>-0.27</v>
      </c>
      <c r="C9258" t="str">
        <f>"42"</f>
        <v>42</v>
      </c>
      <c r="D9258" t="str">
        <f>"Intersections"</f>
        <v>Intersections</v>
      </c>
    </row>
    <row r="9259" spans="1:4" x14ac:dyDescent="0.2">
      <c r="A9259" t="str">
        <f>"9258"</f>
        <v>9258</v>
      </c>
      <c r="B9259" t="str">
        <f>"-0.57"</f>
        <v>-0.57</v>
      </c>
      <c r="C9259" t="str">
        <f>"32"</f>
        <v>32</v>
      </c>
      <c r="D9259" t="str">
        <f>"My Name Is My Name"</f>
        <v>My Name Is My Name</v>
      </c>
    </row>
    <row r="9260" spans="1:4" x14ac:dyDescent="0.2">
      <c r="A9260" t="str">
        <f>"9259"</f>
        <v>9259</v>
      </c>
      <c r="B9260" t="str">
        <f>"-0.08"</f>
        <v>-0.08</v>
      </c>
      <c r="C9260" t="str">
        <f>"24"</f>
        <v>24</v>
      </c>
      <c r="D9260" t="str">
        <f>"Tree House"</f>
        <v>Tree House</v>
      </c>
    </row>
    <row r="9261" spans="1:4" x14ac:dyDescent="0.2">
      <c r="A9261" t="str">
        <f>"9260"</f>
        <v>9260</v>
      </c>
      <c r="B9261" t="str">
        <f>"0.1"</f>
        <v>0.1</v>
      </c>
      <c r="C9261" t="str">
        <f>"21"</f>
        <v>21</v>
      </c>
      <c r="D9261" t="str">
        <f>"AHJ EP"</f>
        <v>AHJ EP</v>
      </c>
    </row>
    <row r="9262" spans="1:4" x14ac:dyDescent="0.2">
      <c r="A9262" t="str">
        <f>"9261"</f>
        <v>9261</v>
      </c>
      <c r="B9262" t="str">
        <f>"-0.78"</f>
        <v>-0.78</v>
      </c>
      <c r="C9262" t="str">
        <f>"26"</f>
        <v>26</v>
      </c>
      <c r="D9262" t="str">
        <f>"Sway"</f>
        <v>Sway</v>
      </c>
    </row>
    <row r="9263" spans="1:4" x14ac:dyDescent="0.2">
      <c r="A9263" t="str">
        <f>"9262"</f>
        <v>9262</v>
      </c>
      <c r="B9263" t="str">
        <f>"-0.23"</f>
        <v>-0.23</v>
      </c>
      <c r="C9263" t="str">
        <f>"32"</f>
        <v>32</v>
      </c>
      <c r="D9263" t="str">
        <f>"Hunters"</f>
        <v>Hunters</v>
      </c>
    </row>
    <row r="9264" spans="1:4" x14ac:dyDescent="0.2">
      <c r="A9264" t="str">
        <f>"9263"</f>
        <v>9263</v>
      </c>
      <c r="B9264" t="str">
        <f>"-0.11"</f>
        <v>-0.11</v>
      </c>
      <c r="C9264" t="str">
        <f>"47"</f>
        <v>47</v>
      </c>
      <c r="D9264" t="str">
        <f>"Bitter Rivals"</f>
        <v>Bitter Rivals</v>
      </c>
    </row>
    <row r="9265" spans="1:4" x14ac:dyDescent="0.2">
      <c r="A9265" t="str">
        <f>"9264"</f>
        <v>9264</v>
      </c>
      <c r="B9265" t="str">
        <f>"0.76"</f>
        <v>0.76</v>
      </c>
      <c r="C9265" t="str">
        <f>"26"</f>
        <v>26</v>
      </c>
      <c r="D9265" t="str">
        <f>"Electricity By Candlelight"</f>
        <v>Electricity By Candlelight</v>
      </c>
    </row>
    <row r="9266" spans="1:4" x14ac:dyDescent="0.2">
      <c r="A9266" t="str">
        <f>"9265"</f>
        <v>9265</v>
      </c>
      <c r="B9266" t="str">
        <f>"1.07"</f>
        <v>1.07</v>
      </c>
      <c r="C9266" t="str">
        <f>"16"</f>
        <v>16</v>
      </c>
      <c r="D9266" t="str">
        <f>"You Gots 2 Chill"</f>
        <v>You Gots 2 Chill</v>
      </c>
    </row>
    <row r="9267" spans="1:4" x14ac:dyDescent="0.2">
      <c r="A9267" t="str">
        <f>"9266"</f>
        <v>9266</v>
      </c>
      <c r="B9267" t="str">
        <f>"0.92"</f>
        <v>0.92</v>
      </c>
      <c r="C9267" t="str">
        <f>"39"</f>
        <v>39</v>
      </c>
      <c r="D9267" t="str">
        <f>"S/H"</f>
        <v>S/H</v>
      </c>
    </row>
    <row r="9268" spans="1:4" x14ac:dyDescent="0.2">
      <c r="A9268" t="str">
        <f>"9267"</f>
        <v>9267</v>
      </c>
      <c r="B9268" t="str">
        <f>"0.07"</f>
        <v>0.07</v>
      </c>
      <c r="C9268" t="str">
        <f>"27"</f>
        <v>27</v>
      </c>
      <c r="D9268" t="str">
        <f>"Yuppies"</f>
        <v>Yuppies</v>
      </c>
    </row>
    <row r="9269" spans="1:4" x14ac:dyDescent="0.2">
      <c r="A9269" t="str">
        <f>"9268"</f>
        <v>9268</v>
      </c>
      <c r="B9269" t="str">
        <f>"0.03"</f>
        <v>0.03</v>
      </c>
      <c r="C9269" t="str">
        <f>"45"</f>
        <v>45</v>
      </c>
      <c r="D9269" t="str">
        <f>"Psychic"</f>
        <v>Psychic</v>
      </c>
    </row>
    <row r="9270" spans="1:4" x14ac:dyDescent="0.2">
      <c r="A9270" t="str">
        <f>"9269"</f>
        <v>9269</v>
      </c>
      <c r="B9270" t="str">
        <f>"0.94"</f>
        <v>0.94</v>
      </c>
      <c r="C9270" t="str">
        <f>"25"</f>
        <v>25</v>
      </c>
      <c r="D9270" t="str">
        <f>"Siberia"</f>
        <v>Siberia</v>
      </c>
    </row>
    <row r="9271" spans="1:4" x14ac:dyDescent="0.2">
      <c r="A9271" t="str">
        <f>"9270"</f>
        <v>9270</v>
      </c>
      <c r="B9271" t="str">
        <f>"0.82"</f>
        <v>0.82</v>
      </c>
      <c r="C9271" t="str">
        <f>"27"</f>
        <v>27</v>
      </c>
      <c r="D9271" t="str">
        <f>"More Is Than Isn't"</f>
        <v>More Is Than Isn't</v>
      </c>
    </row>
    <row r="9272" spans="1:4" x14ac:dyDescent="0.2">
      <c r="A9272" t="str">
        <f>"9271"</f>
        <v>9271</v>
      </c>
      <c r="B9272" t="str">
        <f>"-0.27"</f>
        <v>-0.27</v>
      </c>
      <c r="C9272" t="str">
        <f>"33"</f>
        <v>33</v>
      </c>
      <c r="D9272" t="str">
        <f>"Lost"</f>
        <v>Lost</v>
      </c>
    </row>
    <row r="9273" spans="1:4" x14ac:dyDescent="0.2">
      <c r="A9273" t="str">
        <f>"9272"</f>
        <v>9272</v>
      </c>
      <c r="B9273" t="str">
        <f>"-0.46"</f>
        <v>-0.46</v>
      </c>
      <c r="C9273" t="str">
        <f>"38"</f>
        <v>38</v>
      </c>
      <c r="D9273" t="str">
        <f>"Man and Myth"</f>
        <v>Man and Myth</v>
      </c>
    </row>
    <row r="9274" spans="1:4" x14ac:dyDescent="0.2">
      <c r="A9274" t="str">
        <f>"9273"</f>
        <v>9273</v>
      </c>
      <c r="B9274" t="str">
        <f>"0.06"</f>
        <v>0.06</v>
      </c>
      <c r="C9274" t="str">
        <f>"38"</f>
        <v>38</v>
      </c>
      <c r="D9274" t="str">
        <f>"R Plus Seven"</f>
        <v>R Plus Seven</v>
      </c>
    </row>
    <row r="9275" spans="1:4" x14ac:dyDescent="0.2">
      <c r="A9275" t="str">
        <f>"9274"</f>
        <v>9274</v>
      </c>
      <c r="B9275" t="str">
        <f>"0.47"</f>
        <v>0.47</v>
      </c>
      <c r="C9275" t="str">
        <f>"38"</f>
        <v>38</v>
      </c>
      <c r="D9275" t="str">
        <f>"Is Survived By"</f>
        <v>Is Survived By</v>
      </c>
    </row>
    <row r="9276" spans="1:4" x14ac:dyDescent="0.2">
      <c r="A9276" t="str">
        <f>"9275"</f>
        <v>9275</v>
      </c>
      <c r="B9276" t="str">
        <f>"0.07"</f>
        <v>0.07</v>
      </c>
      <c r="C9276" t="str">
        <f>"30"</f>
        <v>30</v>
      </c>
      <c r="D9276" t="str">
        <f>"The Blow"</f>
        <v>The Blow</v>
      </c>
    </row>
    <row r="9277" spans="1:4" x14ac:dyDescent="0.2">
      <c r="A9277" t="str">
        <f>"9276"</f>
        <v>9276</v>
      </c>
      <c r="B9277" t="str">
        <f>"-0.12"</f>
        <v>-0.12</v>
      </c>
      <c r="C9277" t="str">
        <f>"25"</f>
        <v>25</v>
      </c>
      <c r="D9277" t="str">
        <f>"Mole City"</f>
        <v>Mole City</v>
      </c>
    </row>
    <row r="9278" spans="1:4" x14ac:dyDescent="0.2">
      <c r="A9278" t="str">
        <f>"9277"</f>
        <v>9277</v>
      </c>
      <c r="B9278" t="str">
        <f>"-0.48"</f>
        <v>-0.48</v>
      </c>
      <c r="C9278" t="str">
        <f>"35"</f>
        <v>35</v>
      </c>
      <c r="D9278" t="str">
        <f>"Screens"</f>
        <v>Screens</v>
      </c>
    </row>
    <row r="9279" spans="1:4" x14ac:dyDescent="0.2">
      <c r="A9279" t="str">
        <f>"9278"</f>
        <v>9278</v>
      </c>
      <c r="B9279" t="str">
        <f>"-0.46"</f>
        <v>-0.46</v>
      </c>
      <c r="C9279" t="str">
        <f>"44"</f>
        <v>44</v>
      </c>
      <c r="D9279" t="str">
        <f>"Old"</f>
        <v>Old</v>
      </c>
    </row>
    <row r="9280" spans="1:4" x14ac:dyDescent="0.2">
      <c r="A9280" t="str">
        <f>"9279"</f>
        <v>9279</v>
      </c>
      <c r="B9280" t="str">
        <f>"-0.95"</f>
        <v>-0.95</v>
      </c>
      <c r="C9280" t="str">
        <f>"29"</f>
        <v>29</v>
      </c>
      <c r="D9280" t="str">
        <f>"Tally All the Things That You Broke EP"</f>
        <v>Tally All the Things That You Broke EP</v>
      </c>
    </row>
    <row r="9281" spans="1:4" x14ac:dyDescent="0.2">
      <c r="A9281" t="str">
        <f>"9280"</f>
        <v>9280</v>
      </c>
      <c r="B9281" t="str">
        <f>"-0.34"</f>
        <v>-0.34</v>
      </c>
      <c r="C9281" t="str">
        <f>"48"</f>
        <v>48</v>
      </c>
      <c r="D9281" t="str">
        <f>"Pure Heroine"</f>
        <v>Pure Heroine</v>
      </c>
    </row>
    <row r="9282" spans="1:4" x14ac:dyDescent="0.2">
      <c r="A9282" t="str">
        <f>"9281"</f>
        <v>9281</v>
      </c>
      <c r="B9282" t="str">
        <f>"0.96"</f>
        <v>0.96</v>
      </c>
      <c r="C9282" t="str">
        <f>"27"</f>
        <v>27</v>
      </c>
      <c r="D9282" t="str">
        <f>"VII"</f>
        <v>VII</v>
      </c>
    </row>
    <row r="9283" spans="1:4" x14ac:dyDescent="0.2">
      <c r="A9283" t="str">
        <f>"9282"</f>
        <v>9282</v>
      </c>
      <c r="B9283" t="str">
        <f>"1.25"</f>
        <v>1.25</v>
      </c>
      <c r="C9283" t="str">
        <f>"42"</f>
        <v>42</v>
      </c>
      <c r="D9283" t="str">
        <f>"Double Exposure"</f>
        <v>Double Exposure</v>
      </c>
    </row>
    <row r="9284" spans="1:4" x14ac:dyDescent="0.2">
      <c r="A9284" t="str">
        <f>"9283"</f>
        <v>9283</v>
      </c>
      <c r="B9284" t="str">
        <f>"0.04"</f>
        <v>0.04</v>
      </c>
      <c r="C9284" t="str">
        <f>"34"</f>
        <v>34</v>
      </c>
      <c r="D9284" t="str">
        <f>"Cupid's Head"</f>
        <v>Cupid's Head</v>
      </c>
    </row>
    <row r="9285" spans="1:4" x14ac:dyDescent="0.2">
      <c r="A9285" t="str">
        <f>"9284"</f>
        <v>9284</v>
      </c>
      <c r="B9285" t="str">
        <f>"-1.8"</f>
        <v>-1.8</v>
      </c>
      <c r="C9285" t="str">
        <f>"34"</f>
        <v>34</v>
      </c>
      <c r="D9285" t="str">
        <f>"Event II"</f>
        <v>Event II</v>
      </c>
    </row>
    <row r="9286" spans="1:4" x14ac:dyDescent="0.2">
      <c r="A9286" t="str">
        <f>"9285"</f>
        <v>9285</v>
      </c>
      <c r="B9286" t="str">
        <f>"1.23"</f>
        <v>1.23</v>
      </c>
      <c r="C9286" t="str">
        <f>"28"</f>
        <v>28</v>
      </c>
      <c r="D9286" t="str">
        <f>"Love In Flying Colors"</f>
        <v>Love In Flying Colors</v>
      </c>
    </row>
    <row r="9287" spans="1:4" x14ac:dyDescent="0.2">
      <c r="A9287" t="str">
        <f>"9286"</f>
        <v>9286</v>
      </c>
      <c r="B9287" t="str">
        <f>"0.08"</f>
        <v>0.08</v>
      </c>
      <c r="C9287" t="str">
        <f>"28"</f>
        <v>28</v>
      </c>
      <c r="D9287" t="str">
        <f>"Body Language"</f>
        <v>Body Language</v>
      </c>
    </row>
    <row r="9288" spans="1:4" x14ac:dyDescent="0.2">
      <c r="A9288" t="str">
        <f>"9287"</f>
        <v>9287</v>
      </c>
      <c r="B9288" t="str">
        <f>"0.01"</f>
        <v>0.01</v>
      </c>
      <c r="C9288" t="str">
        <f>"30"</f>
        <v>30</v>
      </c>
      <c r="D9288" t="str">
        <f>"Butterfly Case"</f>
        <v>Butterfly Case</v>
      </c>
    </row>
    <row r="9289" spans="1:4" x14ac:dyDescent="0.2">
      <c r="A9289" t="str">
        <f>"9288"</f>
        <v>9288</v>
      </c>
      <c r="B9289" t="str">
        <f>"-0.38"</f>
        <v>-0.38</v>
      </c>
      <c r="C9289" t="str">
        <f>"50"</f>
        <v>50</v>
      </c>
      <c r="D9289" t="str">
        <f>"The 20/20 Experience 2 of 2"</f>
        <v>The 20/20 Experience 2 of 2</v>
      </c>
    </row>
    <row r="9290" spans="1:4" x14ac:dyDescent="0.2">
      <c r="A9290" t="str">
        <f>"9289"</f>
        <v>9289</v>
      </c>
      <c r="B9290" t="str">
        <f>"0.2"</f>
        <v>0.2</v>
      </c>
      <c r="C9290" t="str">
        <f>"27"</f>
        <v>27</v>
      </c>
      <c r="D9290" t="str">
        <f>"Vapor City"</f>
        <v>Vapor City</v>
      </c>
    </row>
    <row r="9291" spans="1:4" x14ac:dyDescent="0.2">
      <c r="A9291" t="str">
        <f>"9290"</f>
        <v>9290</v>
      </c>
      <c r="B9291" t="str">
        <f>"-0.99"</f>
        <v>-0.99</v>
      </c>
      <c r="C9291" t="str">
        <f>"28"</f>
        <v>28</v>
      </c>
      <c r="D9291" t="str">
        <f>"Glow &amp; Behold"</f>
        <v>Glow &amp; Behold</v>
      </c>
    </row>
    <row r="9292" spans="1:4" x14ac:dyDescent="0.2">
      <c r="A9292" t="str">
        <f>"9291"</f>
        <v>9291</v>
      </c>
      <c r="B9292" t="str">
        <f>"-0.82"</f>
        <v>-0.82</v>
      </c>
      <c r="C9292" t="str">
        <f>"33"</f>
        <v>33</v>
      </c>
      <c r="D9292" t="str">
        <f>"fetch"</f>
        <v>fetch</v>
      </c>
    </row>
    <row r="9293" spans="1:4" x14ac:dyDescent="0.2">
      <c r="A9293" t="str">
        <f>"9292"</f>
        <v>9292</v>
      </c>
      <c r="B9293" t="str">
        <f>"-0.01"</f>
        <v>-0.01</v>
      </c>
      <c r="C9293" t="str">
        <f>"28"</f>
        <v>28</v>
      </c>
      <c r="D9293" t="str">
        <f>"Razed to the Ground"</f>
        <v>Razed to the Ground</v>
      </c>
    </row>
    <row r="9294" spans="1:4" x14ac:dyDescent="0.2">
      <c r="A9294" t="str">
        <f>"9293"</f>
        <v>9293</v>
      </c>
      <c r="B9294" t="str">
        <f>"1.1"</f>
        <v>1.1</v>
      </c>
      <c r="C9294" t="str">
        <f>"34"</f>
        <v>34</v>
      </c>
      <c r="D9294" t="str">
        <f>"Days Are Gone"</f>
        <v>Days Are Gone</v>
      </c>
    </row>
    <row r="9295" spans="1:4" x14ac:dyDescent="0.2">
      <c r="A9295" t="str">
        <f>"9294"</f>
        <v>9294</v>
      </c>
      <c r="B9295" t="str">
        <f>"0.67"</f>
        <v>0.67</v>
      </c>
      <c r="C9295" t="str">
        <f>"55"</f>
        <v>55</v>
      </c>
      <c r="D9295" t="str">
        <f>"Fuzz"</f>
        <v>Fuzz</v>
      </c>
    </row>
    <row r="9296" spans="1:4" x14ac:dyDescent="0.2">
      <c r="A9296" t="str">
        <f>"9295"</f>
        <v>9295</v>
      </c>
      <c r="B9296" t="str">
        <f>"-0.33"</f>
        <v>-0.33</v>
      </c>
      <c r="C9296" t="str">
        <f>"33"</f>
        <v>33</v>
      </c>
      <c r="D9296" t="str">
        <f>"B-Room"</f>
        <v>B-Room</v>
      </c>
    </row>
    <row r="9297" spans="1:4" x14ac:dyDescent="0.2">
      <c r="A9297" t="str">
        <f>"9296"</f>
        <v>9296</v>
      </c>
      <c r="B9297" t="str">
        <f>"0.92"</f>
        <v>0.92</v>
      </c>
      <c r="C9297" t="str">
        <f>"32"</f>
        <v>32</v>
      </c>
      <c r="D9297" t="str">
        <f>"San Fermin"</f>
        <v>San Fermin</v>
      </c>
    </row>
    <row r="9298" spans="1:4" x14ac:dyDescent="0.2">
      <c r="A9298" t="str">
        <f>"9297"</f>
        <v>9297</v>
      </c>
      <c r="B9298" t="str">
        <f>"-0.54"</f>
        <v>-0.54</v>
      </c>
      <c r="C9298" t="str">
        <f>"28"</f>
        <v>28</v>
      </c>
      <c r="D9298" t="str">
        <f>"Youth Code"</f>
        <v>Youth Code</v>
      </c>
    </row>
    <row r="9299" spans="1:4" x14ac:dyDescent="0.2">
      <c r="A9299" t="str">
        <f>"9298"</f>
        <v>9298</v>
      </c>
      <c r="B9299" t="str">
        <f>"1.47"</f>
        <v>1.47</v>
      </c>
      <c r="C9299" t="str">
        <f>"33"</f>
        <v>33</v>
      </c>
      <c r="D9299" t="str">
        <f>"Seasons of Your Day"</f>
        <v>Seasons of Your Day</v>
      </c>
    </row>
    <row r="9300" spans="1:4" x14ac:dyDescent="0.2">
      <c r="A9300" t="str">
        <f>"9299"</f>
        <v>9299</v>
      </c>
      <c r="B9300" t="str">
        <f>"0.53"</f>
        <v>0.53</v>
      </c>
      <c r="C9300" t="str">
        <f>"27"</f>
        <v>27</v>
      </c>
      <c r="D9300" t="str">
        <f>"Move in Spectrums"</f>
        <v>Move in Spectrums</v>
      </c>
    </row>
    <row r="9301" spans="1:4" x14ac:dyDescent="0.2">
      <c r="A9301" t="str">
        <f>"9300"</f>
        <v>9300</v>
      </c>
      <c r="B9301" t="str">
        <f>"-0.13"</f>
        <v>-0.13</v>
      </c>
      <c r="C9301" t="str">
        <f>"28"</f>
        <v>28</v>
      </c>
      <c r="D9301" t="str">
        <f>"Mediation of Ecstatic Energy"</f>
        <v>Mediation of Ecstatic Energy</v>
      </c>
    </row>
    <row r="9302" spans="1:4" x14ac:dyDescent="0.2">
      <c r="A9302" t="str">
        <f>"9301"</f>
        <v>9301</v>
      </c>
      <c r="B9302" t="str">
        <f>"-0.53"</f>
        <v>-0.53</v>
      </c>
      <c r="C9302" t="str">
        <f>"40"</f>
        <v>40</v>
      </c>
      <c r="D9302" t="str">
        <f>"Teklife Vol. 3: The Architek"</f>
        <v>Teklife Vol. 3: The Architek</v>
      </c>
    </row>
    <row r="9303" spans="1:4" x14ac:dyDescent="0.2">
      <c r="A9303" t="str">
        <f>"9302"</f>
        <v>9302</v>
      </c>
      <c r="B9303" t="str">
        <f>"0.18"</f>
        <v>0.18</v>
      </c>
      <c r="C9303" t="str">
        <f>"34"</f>
        <v>34</v>
      </c>
      <c r="D9303" t="str">
        <f>"12 Minutes"</f>
        <v>12 Minutes</v>
      </c>
    </row>
    <row r="9304" spans="1:4" x14ac:dyDescent="0.2">
      <c r="A9304" t="str">
        <f>"9303"</f>
        <v>9303</v>
      </c>
      <c r="B9304" t="str">
        <f>"0.57"</f>
        <v>0.57</v>
      </c>
      <c r="C9304" t="str">
        <f>"46"</f>
        <v>46</v>
      </c>
      <c r="D9304" t="str">
        <f>"This Is… Icona Pop"</f>
        <v>This Is… Icona Pop</v>
      </c>
    </row>
    <row r="9305" spans="1:4" x14ac:dyDescent="0.2">
      <c r="A9305" t="str">
        <f>"9304"</f>
        <v>9304</v>
      </c>
      <c r="B9305" t="str">
        <f>"0.38"</f>
        <v>0.38</v>
      </c>
      <c r="C9305" t="str">
        <f>"33"</f>
        <v>33</v>
      </c>
      <c r="D9305" t="str">
        <f>"Everyday I Get Closer to the Light From Which I Came"</f>
        <v>Everyday I Get Closer to the Light From Which I Came</v>
      </c>
    </row>
    <row r="9306" spans="1:4" x14ac:dyDescent="0.2">
      <c r="A9306" t="str">
        <f>"9305"</f>
        <v>9305</v>
      </c>
      <c r="B9306" t="str">
        <f>"-0.85"</f>
        <v>-0.85</v>
      </c>
      <c r="C9306" t="str">
        <f>"26"</f>
        <v>26</v>
      </c>
      <c r="D9306" t="str">
        <f>"The Ghost List"</f>
        <v>The Ghost List</v>
      </c>
    </row>
    <row r="9307" spans="1:4" x14ac:dyDescent="0.2">
      <c r="A9307" t="str">
        <f>"9306"</f>
        <v>9306</v>
      </c>
      <c r="B9307" t="str">
        <f>"0.14"</f>
        <v>0.14</v>
      </c>
      <c r="C9307" t="str">
        <f>"38"</f>
        <v>38</v>
      </c>
      <c r="D9307" t="str">
        <f>"Ages"</f>
        <v>Ages</v>
      </c>
    </row>
    <row r="9308" spans="1:4" x14ac:dyDescent="0.2">
      <c r="A9308" t="str">
        <f>"9307"</f>
        <v>9307</v>
      </c>
      <c r="B9308" t="str">
        <f>"-1.45"</f>
        <v>-1.45</v>
      </c>
      <c r="C9308" t="str">
        <f>"30"</f>
        <v>30</v>
      </c>
      <c r="D9308" t="str">
        <f>"Vermis"</f>
        <v>Vermis</v>
      </c>
    </row>
    <row r="9309" spans="1:4" x14ac:dyDescent="0.2">
      <c r="A9309" t="str">
        <f>"9308"</f>
        <v>9308</v>
      </c>
      <c r="B9309" t="str">
        <f>"0.3"</f>
        <v>0.3</v>
      </c>
      <c r="C9309" t="str">
        <f>"27"</f>
        <v>27</v>
      </c>
      <c r="D9309" t="str">
        <f>"The Bones of What You Believe"</f>
        <v>The Bones of What You Believe</v>
      </c>
    </row>
    <row r="9310" spans="1:4" x14ac:dyDescent="0.2">
      <c r="A9310" t="str">
        <f>"9309"</f>
        <v>9309</v>
      </c>
      <c r="B9310" t="str">
        <f>"0.19"</f>
        <v>0.19</v>
      </c>
      <c r="C9310" t="str">
        <f>"40"</f>
        <v>40</v>
      </c>
      <c r="D9310" t="str">
        <f>"Golden Tickets"</f>
        <v>Golden Tickets</v>
      </c>
    </row>
    <row r="9311" spans="1:4" x14ac:dyDescent="0.2">
      <c r="A9311" t="str">
        <f>"9310"</f>
        <v>9310</v>
      </c>
      <c r="B9311" t="str">
        <f>"0.04"</f>
        <v>0.04</v>
      </c>
      <c r="C9311" t="str">
        <f>"29"</f>
        <v>29</v>
      </c>
      <c r="D9311" t="str">
        <f>"Hell Bent"</f>
        <v>Hell Bent</v>
      </c>
    </row>
    <row r="9312" spans="1:4" x14ac:dyDescent="0.2">
      <c r="A9312" t="str">
        <f>"9311"</f>
        <v>9311</v>
      </c>
      <c r="B9312" t="str">
        <f>"-0.4"</f>
        <v>-0.4</v>
      </c>
      <c r="C9312" t="str">
        <f>"21"</f>
        <v>21</v>
      </c>
      <c r="D9312" t="str">
        <f>"Imperium"</f>
        <v>Imperium</v>
      </c>
    </row>
    <row r="9313" spans="1:4" x14ac:dyDescent="0.2">
      <c r="A9313" t="str">
        <f>"9312"</f>
        <v>9312</v>
      </c>
      <c r="B9313" t="str">
        <f>"-0.66"</f>
        <v>-0.66</v>
      </c>
      <c r="C9313" t="str">
        <f>"35"</f>
        <v>35</v>
      </c>
      <c r="D9313" t="str">
        <f>"Soma"</f>
        <v>Soma</v>
      </c>
    </row>
    <row r="9314" spans="1:4" x14ac:dyDescent="0.2">
      <c r="A9314" t="str">
        <f>"9313"</f>
        <v>9313</v>
      </c>
      <c r="B9314" t="str">
        <f>"-0.84"</f>
        <v>-0.84</v>
      </c>
      <c r="C9314" t="str">
        <f>"51"</f>
        <v>51</v>
      </c>
      <c r="D9314" t="str">
        <f>"In Utero: 20th Anniversary Edition"</f>
        <v>In Utero: 20th Anniversary Edition</v>
      </c>
    </row>
    <row r="9315" spans="1:4" x14ac:dyDescent="0.2">
      <c r="A9315" t="str">
        <f>"9314"</f>
        <v>9314</v>
      </c>
      <c r="B9315" t="str">
        <f>"-0.99"</f>
        <v>-0.99</v>
      </c>
      <c r="C9315" t="str">
        <f>"38"</f>
        <v>38</v>
      </c>
      <c r="D9315" t="str">
        <f>"And I'll Scratch Yours"</f>
        <v>And I'll Scratch Yours</v>
      </c>
    </row>
    <row r="9316" spans="1:4" x14ac:dyDescent="0.2">
      <c r="A9316" t="str">
        <f>"9315"</f>
        <v>9315</v>
      </c>
      <c r="B9316" t="str">
        <f>"0.55"</f>
        <v>0.55</v>
      </c>
      <c r="C9316" t="str">
        <f>"30"</f>
        <v>30</v>
      </c>
      <c r="D9316" t="str">
        <f>"More"</f>
        <v>More</v>
      </c>
    </row>
    <row r="9317" spans="1:4" x14ac:dyDescent="0.2">
      <c r="A9317" t="str">
        <f>"9316"</f>
        <v>9316</v>
      </c>
      <c r="B9317" t="str">
        <f>"-0.88"</f>
        <v>-0.88</v>
      </c>
      <c r="C9317" t="str">
        <f>"26"</f>
        <v>26</v>
      </c>
      <c r="D9317" t="str">
        <f>"Odori Sepulcrorum"</f>
        <v>Odori Sepulcrorum</v>
      </c>
    </row>
    <row r="9318" spans="1:4" x14ac:dyDescent="0.2">
      <c r="A9318" t="str">
        <f>"9317"</f>
        <v>9317</v>
      </c>
      <c r="B9318" t="str">
        <f>"0.58"</f>
        <v>0.58</v>
      </c>
      <c r="C9318" t="str">
        <f>"18"</f>
        <v>18</v>
      </c>
      <c r="D9318" t="str">
        <f>"Feel Good"</f>
        <v>Feel Good</v>
      </c>
    </row>
    <row r="9319" spans="1:4" x14ac:dyDescent="0.2">
      <c r="A9319" t="str">
        <f>"9318"</f>
        <v>9318</v>
      </c>
      <c r="B9319" t="str">
        <f>"-0.56"</f>
        <v>-0.56</v>
      </c>
      <c r="C9319" t="str">
        <f>"55"</f>
        <v>55</v>
      </c>
      <c r="D9319" t="str">
        <f>"Nothing Was the Same"</f>
        <v>Nothing Was the Same</v>
      </c>
    </row>
    <row r="9320" spans="1:4" x14ac:dyDescent="0.2">
      <c r="A9320" t="str">
        <f>"9319"</f>
        <v>9319</v>
      </c>
      <c r="B9320" t="str">
        <f>"-0.03"</f>
        <v>-0.03</v>
      </c>
      <c r="C9320" t="str">
        <f>"30"</f>
        <v>30</v>
      </c>
      <c r="D9320" t="str">
        <f>"Herein Wild"</f>
        <v>Herein Wild</v>
      </c>
    </row>
    <row r="9321" spans="1:4" x14ac:dyDescent="0.2">
      <c r="A9321" t="str">
        <f>"9320"</f>
        <v>9320</v>
      </c>
      <c r="B9321" t="str">
        <f>"-0.19"</f>
        <v>-0.19</v>
      </c>
      <c r="C9321" t="str">
        <f>"32"</f>
        <v>32</v>
      </c>
      <c r="D9321" t="str">
        <f>"Yours Truly"</f>
        <v>Yours Truly</v>
      </c>
    </row>
    <row r="9322" spans="1:4" x14ac:dyDescent="0.2">
      <c r="A9322" t="str">
        <f>"9321"</f>
        <v>9321</v>
      </c>
      <c r="B9322" t="str">
        <f>"0.43"</f>
        <v>0.43</v>
      </c>
      <c r="C9322" t="str">
        <f>"26"</f>
        <v>26</v>
      </c>
      <c r="D9322" t="str">
        <f>"Colonial Patterns"</f>
        <v>Colonial Patterns</v>
      </c>
    </row>
    <row r="9323" spans="1:4" x14ac:dyDescent="0.2">
      <c r="A9323" t="str">
        <f>"9322"</f>
        <v>9322</v>
      </c>
      <c r="B9323" t="str">
        <f>"0.66"</f>
        <v>0.66</v>
      </c>
      <c r="C9323" t="str">
        <f>"24"</f>
        <v>24</v>
      </c>
      <c r="D9323" t="str">
        <f>"Stay / True EP"</f>
        <v>Stay / True EP</v>
      </c>
    </row>
    <row r="9324" spans="1:4" x14ac:dyDescent="0.2">
      <c r="A9324" t="str">
        <f>"9323"</f>
        <v>9323</v>
      </c>
      <c r="B9324" t="str">
        <f>"0.29"</f>
        <v>0.29</v>
      </c>
      <c r="C9324" t="str">
        <f>"42"</f>
        <v>42</v>
      </c>
      <c r="D9324" t="str">
        <f>"Defend Yourself"</f>
        <v>Defend Yourself</v>
      </c>
    </row>
    <row r="9325" spans="1:4" x14ac:dyDescent="0.2">
      <c r="A9325" t="str">
        <f>"9324"</f>
        <v>9324</v>
      </c>
      <c r="B9325" t="str">
        <f>"-0.08"</f>
        <v>-0.08</v>
      </c>
      <c r="C9325" t="str">
        <f>"30"</f>
        <v>30</v>
      </c>
      <c r="D9325" t="str">
        <f>"Take Me to the Land of Hell"</f>
        <v>Take Me to the Land of Hell</v>
      </c>
    </row>
    <row r="9326" spans="1:4" x14ac:dyDescent="0.2">
      <c r="A9326" t="str">
        <f>"9325"</f>
        <v>9325</v>
      </c>
      <c r="B9326" t="str">
        <f>"0.46"</f>
        <v>0.46</v>
      </c>
      <c r="C9326" t="str">
        <f>"26"</f>
        <v>26</v>
      </c>
      <c r="D9326" t="str">
        <f>"Coup d'Etat"</f>
        <v>Coup d'Etat</v>
      </c>
    </row>
    <row r="9327" spans="1:4" x14ac:dyDescent="0.2">
      <c r="A9327" t="str">
        <f>"9326"</f>
        <v>9326</v>
      </c>
      <c r="B9327" t="str">
        <f>"-0.47"</f>
        <v>-0.47</v>
      </c>
      <c r="C9327" t="str">
        <f>"24"</f>
        <v>24</v>
      </c>
      <c r="D9327" t="str">
        <f>"Nommos"</f>
        <v>Nommos</v>
      </c>
    </row>
    <row r="9328" spans="1:4" x14ac:dyDescent="0.2">
      <c r="A9328" t="str">
        <f>"9327"</f>
        <v>9327</v>
      </c>
      <c r="B9328" t="str">
        <f>"0.93"</f>
        <v>0.93</v>
      </c>
      <c r="C9328" t="str">
        <f>"36"</f>
        <v>36</v>
      </c>
      <c r="D9328" t="str">
        <f>"Traditional Music of Notional Species Vol. I"</f>
        <v>Traditional Music of Notional Species Vol. I</v>
      </c>
    </row>
    <row r="9329" spans="1:4" x14ac:dyDescent="0.2">
      <c r="A9329" t="str">
        <f>"9328"</f>
        <v>9328</v>
      </c>
      <c r="B9329" t="str">
        <f>"-0.26"</f>
        <v>-0.26</v>
      </c>
      <c r="C9329" t="str">
        <f>"31"</f>
        <v>31</v>
      </c>
      <c r="D9329" t="str">
        <f>"EP2"</f>
        <v>EP2</v>
      </c>
    </row>
    <row r="9330" spans="1:4" x14ac:dyDescent="0.2">
      <c r="A9330" t="str">
        <f>"9329"</f>
        <v>9329</v>
      </c>
      <c r="B9330" t="str">
        <f>"0.39"</f>
        <v>0.39</v>
      </c>
      <c r="C9330" t="str">
        <f>"30"</f>
        <v>30</v>
      </c>
      <c r="D9330" t="str">
        <f>"Wise Up Ghost"</f>
        <v>Wise Up Ghost</v>
      </c>
    </row>
    <row r="9331" spans="1:4" x14ac:dyDescent="0.2">
      <c r="A9331" t="str">
        <f>"9330"</f>
        <v>9330</v>
      </c>
      <c r="B9331" t="str">
        <f>"0.45"</f>
        <v>0.45</v>
      </c>
      <c r="C9331" t="str">
        <f>"31"</f>
        <v>31</v>
      </c>
      <c r="D9331" t="str">
        <f>"Imitations"</f>
        <v>Imitations</v>
      </c>
    </row>
    <row r="9332" spans="1:4" x14ac:dyDescent="0.2">
      <c r="A9332" t="str">
        <f>"9331"</f>
        <v>9331</v>
      </c>
      <c r="B9332" t="str">
        <f>"1.21"</f>
        <v>1.21</v>
      </c>
      <c r="C9332" t="str">
        <f>"28"</f>
        <v>28</v>
      </c>
      <c r="D9332" t="str">
        <f>"Return of the Silkie"</f>
        <v>Return of the Silkie</v>
      </c>
    </row>
    <row r="9333" spans="1:4" x14ac:dyDescent="0.2">
      <c r="A9333" t="str">
        <f>"9332"</f>
        <v>9332</v>
      </c>
      <c r="B9333" t="str">
        <f>"0.71"</f>
        <v>0.71</v>
      </c>
      <c r="C9333" t="str">
        <f>"24"</f>
        <v>24</v>
      </c>
      <c r="D9333" t="str">
        <f>"The Water's Way"</f>
        <v>The Water's Way</v>
      </c>
    </row>
    <row r="9334" spans="1:4" x14ac:dyDescent="0.2">
      <c r="A9334" t="str">
        <f>"9333"</f>
        <v>9333</v>
      </c>
      <c r="B9334" t="str">
        <f>"-0.26"</f>
        <v>-0.26</v>
      </c>
      <c r="C9334" t="str">
        <f>"37"</f>
        <v>37</v>
      </c>
      <c r="D9334" t="str">
        <f>"Dynamics"</f>
        <v>Dynamics</v>
      </c>
    </row>
    <row r="9335" spans="1:4" x14ac:dyDescent="0.2">
      <c r="A9335" t="str">
        <f>"9334"</f>
        <v>9334</v>
      </c>
      <c r="B9335" t="str">
        <f>"0.09"</f>
        <v>0.09</v>
      </c>
      <c r="C9335" t="str">
        <f>"43"</f>
        <v>43</v>
      </c>
      <c r="D9335" t="str">
        <f>"B.O.A.T.S II: Me Time"</f>
        <v>B.O.A.T.S II: Me Time</v>
      </c>
    </row>
    <row r="9336" spans="1:4" x14ac:dyDescent="0.2">
      <c r="A9336" t="str">
        <f>"9335"</f>
        <v>9335</v>
      </c>
      <c r="B9336" t="str">
        <f>"-0.95"</f>
        <v>-0.95</v>
      </c>
      <c r="C9336" t="str">
        <f>"56"</f>
        <v>56</v>
      </c>
      <c r="D9336" t="str">
        <f>"Armed Courage"</f>
        <v>Armed Courage</v>
      </c>
    </row>
    <row r="9337" spans="1:4" x14ac:dyDescent="0.2">
      <c r="A9337" t="str">
        <f>"9336"</f>
        <v>9336</v>
      </c>
      <c r="B9337" t="str">
        <f>"-1.04"</f>
        <v>-1.04</v>
      </c>
      <c r="C9337" t="str">
        <f>"30"</f>
        <v>30</v>
      </c>
      <c r="D9337" t="str">
        <f>"Brass"</f>
        <v>Brass</v>
      </c>
    </row>
    <row r="9338" spans="1:4" x14ac:dyDescent="0.2">
      <c r="A9338" t="str">
        <f>"9337"</f>
        <v>9337</v>
      </c>
      <c r="B9338" t="str">
        <f>"0.5"</f>
        <v>0.5</v>
      </c>
      <c r="C9338" t="str">
        <f>"35"</f>
        <v>35</v>
      </c>
      <c r="D9338" t="str">
        <f>"At Home"</f>
        <v>At Home</v>
      </c>
    </row>
    <row r="9339" spans="1:4" x14ac:dyDescent="0.2">
      <c r="A9339" t="str">
        <f>"9338"</f>
        <v>9338</v>
      </c>
      <c r="B9339" t="str">
        <f>"0.18"</f>
        <v>0.18</v>
      </c>
      <c r="C9339" t="str">
        <f>"52"</f>
        <v>52</v>
      </c>
      <c r="D9339" t="str">
        <f>"Dream River"</f>
        <v>Dream River</v>
      </c>
    </row>
    <row r="9340" spans="1:4" x14ac:dyDescent="0.2">
      <c r="A9340" t="str">
        <f>"9339"</f>
        <v>9339</v>
      </c>
      <c r="B9340" t="str">
        <f>"-0.11"</f>
        <v>-0.11</v>
      </c>
      <c r="C9340" t="str">
        <f>"40"</f>
        <v>40</v>
      </c>
      <c r="D9340" t="str">
        <f>"Fever Hunting"</f>
        <v>Fever Hunting</v>
      </c>
    </row>
    <row r="9341" spans="1:4" x14ac:dyDescent="0.2">
      <c r="A9341" t="str">
        <f>"9340"</f>
        <v>9340</v>
      </c>
      <c r="B9341" t="str">
        <f>"0.58"</f>
        <v>0.58</v>
      </c>
      <c r="C9341" t="str">
        <f>"31"</f>
        <v>31</v>
      </c>
      <c r="D9341" t="str">
        <f>"Nature Noir"</f>
        <v>Nature Noir</v>
      </c>
    </row>
    <row r="9342" spans="1:4" x14ac:dyDescent="0.2">
      <c r="A9342" t="str">
        <f>"9341"</f>
        <v>9341</v>
      </c>
      <c r="B9342" t="str">
        <f>"-0.31"</f>
        <v>-0.31</v>
      </c>
      <c r="C9342" t="str">
        <f>"26"</f>
        <v>26</v>
      </c>
      <c r="D9342" t="str">
        <f>"If You Wait"</f>
        <v>If You Wait</v>
      </c>
    </row>
    <row r="9343" spans="1:4" x14ac:dyDescent="0.2">
      <c r="A9343" t="str">
        <f>"9342"</f>
        <v>9342</v>
      </c>
      <c r="B9343" t="str">
        <f>"-0.23"</f>
        <v>-0.23</v>
      </c>
      <c r="C9343" t="str">
        <f>"17"</f>
        <v>17</v>
      </c>
      <c r="D9343" t="str">
        <f>"10x"</f>
        <v>10x</v>
      </c>
    </row>
    <row r="9344" spans="1:4" x14ac:dyDescent="0.2">
      <c r="A9344" t="str">
        <f>"9343"</f>
        <v>9343</v>
      </c>
      <c r="B9344" t="str">
        <f>"0.08"</f>
        <v>0.08</v>
      </c>
      <c r="C9344" t="str">
        <f>"41"</f>
        <v>41</v>
      </c>
      <c r="D9344" t="str">
        <f>"MGMT"</f>
        <v>MGMT</v>
      </c>
    </row>
    <row r="9345" spans="1:4" x14ac:dyDescent="0.2">
      <c r="A9345" t="str">
        <f>"9344"</f>
        <v>9344</v>
      </c>
      <c r="B9345" t="str">
        <f>"0.42"</f>
        <v>0.42</v>
      </c>
      <c r="C9345" t="str">
        <f>"23"</f>
        <v>23</v>
      </c>
      <c r="D9345" t="str">
        <f>"Ski Mask"</f>
        <v>Ski Mask</v>
      </c>
    </row>
    <row r="9346" spans="1:4" x14ac:dyDescent="0.2">
      <c r="A9346" t="str">
        <f>"9345"</f>
        <v>9345</v>
      </c>
      <c r="B9346" t="str">
        <f>"0.74"</f>
        <v>0.74</v>
      </c>
      <c r="C9346" t="str">
        <f>"23"</f>
        <v>23</v>
      </c>
      <c r="D9346" t="str">
        <f>"Drown Out"</f>
        <v>Drown Out</v>
      </c>
    </row>
    <row r="9347" spans="1:4" x14ac:dyDescent="0.2">
      <c r="A9347" t="str">
        <f>"9346"</f>
        <v>9346</v>
      </c>
      <c r="B9347" t="str">
        <f>"-0.02"</f>
        <v>-0.02</v>
      </c>
      <c r="C9347" t="str">
        <f>"40"</f>
        <v>40</v>
      </c>
      <c r="D9347" t="str">
        <f>"Feast / Beast"</f>
        <v>Feast / Beast</v>
      </c>
    </row>
    <row r="9348" spans="1:4" x14ac:dyDescent="0.2">
      <c r="A9348" t="str">
        <f>"9347"</f>
        <v>9347</v>
      </c>
      <c r="B9348" t="str">
        <f>"0.81"</f>
        <v>0.81</v>
      </c>
      <c r="C9348" t="str">
        <f>"32"</f>
        <v>32</v>
      </c>
      <c r="D9348" t="str">
        <f>"The World Is Real"</f>
        <v>The World Is Real</v>
      </c>
    </row>
    <row r="9349" spans="1:4" x14ac:dyDescent="0.2">
      <c r="A9349" t="str">
        <f>"9348"</f>
        <v>9348</v>
      </c>
      <c r="B9349" t="str">
        <f>"-0.17"</f>
        <v>-0.17</v>
      </c>
      <c r="C9349" t="str">
        <f>"21"</f>
        <v>21</v>
      </c>
      <c r="D9349" t="str">
        <f>"Factory Floor"</f>
        <v>Factory Floor</v>
      </c>
    </row>
    <row r="9350" spans="1:4" x14ac:dyDescent="0.2">
      <c r="A9350" t="str">
        <f>"9349"</f>
        <v>9349</v>
      </c>
      <c r="B9350" t="str">
        <f>"0.91"</f>
        <v>0.91</v>
      </c>
      <c r="C9350" t="str">
        <f>"35"</f>
        <v>35</v>
      </c>
      <c r="D9350" t="str">
        <f>"Apar"</f>
        <v>Apar</v>
      </c>
    </row>
    <row r="9351" spans="1:4" x14ac:dyDescent="0.2">
      <c r="A9351" t="str">
        <f>"9350"</f>
        <v>9350</v>
      </c>
      <c r="B9351" t="str">
        <f>"-0.98"</f>
        <v>-0.98</v>
      </c>
      <c r="C9351" t="str">
        <f>"46"</f>
        <v>46</v>
      </c>
      <c r="D9351" t="str">
        <f>"Weird Sister"</f>
        <v>Weird Sister</v>
      </c>
    </row>
    <row r="9352" spans="1:4" x14ac:dyDescent="0.2">
      <c r="A9352" t="str">
        <f>"9351"</f>
        <v>9351</v>
      </c>
      <c r="B9352" t="str">
        <f>"-0.38"</f>
        <v>-0.38</v>
      </c>
      <c r="C9352" t="str">
        <f>"46"</f>
        <v>46</v>
      </c>
      <c r="D9352" t="str">
        <f>"The Things We Think We're Missing"</f>
        <v>The Things We Think We're Missing</v>
      </c>
    </row>
    <row r="9353" spans="1:4" x14ac:dyDescent="0.2">
      <c r="A9353" t="str">
        <f>"9352"</f>
        <v>9352</v>
      </c>
      <c r="B9353" t="str">
        <f>"0.58"</f>
        <v>0.58</v>
      </c>
      <c r="C9353" t="str">
        <f>"36"</f>
        <v>36</v>
      </c>
      <c r="D9353" t="str">
        <f>"Jacuzzi Boys"</f>
        <v>Jacuzzi Boys</v>
      </c>
    </row>
    <row r="9354" spans="1:4" x14ac:dyDescent="0.2">
      <c r="A9354" t="str">
        <f>"9353"</f>
        <v>9353</v>
      </c>
      <c r="B9354" t="str">
        <f>"0.05"</f>
        <v>0.05</v>
      </c>
      <c r="C9354" t="str">
        <f>"28"</f>
        <v>28</v>
      </c>
      <c r="D9354" t="str">
        <f>"Tales of Us"</f>
        <v>Tales of Us</v>
      </c>
    </row>
    <row r="9355" spans="1:4" x14ac:dyDescent="0.2">
      <c r="A9355" t="str">
        <f>"9354"</f>
        <v>9354</v>
      </c>
      <c r="B9355" t="str">
        <f>"-0.04"</f>
        <v>-0.04</v>
      </c>
      <c r="C9355" t="str">
        <f>"23"</f>
        <v>23</v>
      </c>
      <c r="D9355" t="str">
        <f>"Nobody Knows"</f>
        <v>Nobody Knows</v>
      </c>
    </row>
    <row r="9356" spans="1:4" x14ac:dyDescent="0.2">
      <c r="A9356" t="str">
        <f>"9355"</f>
        <v>9355</v>
      </c>
      <c r="B9356" t="str">
        <f>"0.29"</f>
        <v>0.29</v>
      </c>
      <c r="C9356" t="str">
        <f>"30"</f>
        <v>30</v>
      </c>
      <c r="D9356" t="str">
        <f>"The 1975"</f>
        <v>The 1975</v>
      </c>
    </row>
    <row r="9357" spans="1:4" x14ac:dyDescent="0.2">
      <c r="A9357" t="str">
        <f>"9356"</f>
        <v>9356</v>
      </c>
      <c r="B9357" t="str">
        <f>"0.54"</f>
        <v>0.54</v>
      </c>
      <c r="C9357" t="str">
        <f>"19"</f>
        <v>19</v>
      </c>
      <c r="D9357" t="str">
        <f>"Pull My Hair Back"</f>
        <v>Pull My Hair Back</v>
      </c>
    </row>
    <row r="9358" spans="1:4" x14ac:dyDescent="0.2">
      <c r="A9358" t="str">
        <f>"9357"</f>
        <v>9357</v>
      </c>
      <c r="B9358" t="str">
        <f>"-1.52"</f>
        <v>-1.52</v>
      </c>
      <c r="C9358" t="str">
        <f>"35"</f>
        <v>35</v>
      </c>
      <c r="D9358" t="str">
        <f>"Peter Pan Syndrome"</f>
        <v>Peter Pan Syndrome</v>
      </c>
    </row>
    <row r="9359" spans="1:4" x14ac:dyDescent="0.2">
      <c r="A9359" t="str">
        <f>"9358"</f>
        <v>9358</v>
      </c>
      <c r="B9359" t="str">
        <f>"0.57"</f>
        <v>0.57</v>
      </c>
      <c r="C9359" t="str">
        <f>"42"</f>
        <v>42</v>
      </c>
      <c r="D9359" t="str">
        <f>"AM"</f>
        <v>AM</v>
      </c>
    </row>
    <row r="9360" spans="1:4" x14ac:dyDescent="0.2">
      <c r="A9360" t="str">
        <f>"9359"</f>
        <v>9359</v>
      </c>
      <c r="B9360" t="str">
        <f>"-0.35"</f>
        <v>-0.35</v>
      </c>
      <c r="C9360" t="str">
        <f>"22"</f>
        <v>22</v>
      </c>
      <c r="D9360" t="str">
        <f>"Dedication 5"</f>
        <v>Dedication 5</v>
      </c>
    </row>
    <row r="9361" spans="1:4" x14ac:dyDescent="0.2">
      <c r="A9361" t="str">
        <f>"9360"</f>
        <v>9360</v>
      </c>
      <c r="B9361" t="str">
        <f>"0.79"</f>
        <v>0.79</v>
      </c>
      <c r="C9361" t="str">
        <f>"28"</f>
        <v>28</v>
      </c>
      <c r="D9361" t="str">
        <f>"Infinity Caller"</f>
        <v>Infinity Caller</v>
      </c>
    </row>
    <row r="9362" spans="1:4" x14ac:dyDescent="0.2">
      <c r="A9362" t="str">
        <f>"9361"</f>
        <v>9361</v>
      </c>
      <c r="B9362" t="str">
        <f>"0.33"</f>
        <v>0.33</v>
      </c>
      <c r="C9362" t="str">
        <f>"48"</f>
        <v>48</v>
      </c>
      <c r="D9362" t="str">
        <f>"Surgical Steel"</f>
        <v>Surgical Steel</v>
      </c>
    </row>
    <row r="9363" spans="1:4" x14ac:dyDescent="0.2">
      <c r="A9363" t="str">
        <f>"9362"</f>
        <v>9362</v>
      </c>
      <c r="B9363" t="str">
        <f>"-1.86"</f>
        <v>-1.86</v>
      </c>
      <c r="C9363" t="str">
        <f>"32"</f>
        <v>32</v>
      </c>
      <c r="D9363" t="str">
        <f>"Nobody Realizes This Is Nowhere"</f>
        <v>Nobody Realizes This Is Nowhere</v>
      </c>
    </row>
    <row r="9364" spans="1:4" x14ac:dyDescent="0.2">
      <c r="A9364" t="str">
        <f>"9363"</f>
        <v>9363</v>
      </c>
      <c r="B9364" t="str">
        <f>"0.28"</f>
        <v>0.28</v>
      </c>
      <c r="C9364" t="str">
        <f>"37"</f>
        <v>37</v>
      </c>
      <c r="D9364" t="str">
        <f>"The Electric Lady"</f>
        <v>The Electric Lady</v>
      </c>
    </row>
    <row r="9365" spans="1:4" x14ac:dyDescent="0.2">
      <c r="A9365" t="str">
        <f>"9364"</f>
        <v>9364</v>
      </c>
      <c r="B9365" t="str">
        <f>"-0.69"</f>
        <v>-0.69</v>
      </c>
      <c r="C9365" t="str">
        <f>"44"</f>
        <v>44</v>
      </c>
      <c r="D9365" t="str">
        <f>"Coming Apart"</f>
        <v>Coming Apart</v>
      </c>
    </row>
    <row r="9366" spans="1:4" x14ac:dyDescent="0.2">
      <c r="A9366" t="str">
        <f>"9365"</f>
        <v>9365</v>
      </c>
      <c r="B9366" t="str">
        <f>"-0.88"</f>
        <v>-0.88</v>
      </c>
      <c r="C9366" t="str">
        <f>"32"</f>
        <v>32</v>
      </c>
      <c r="D9366" t="str">
        <f>"On Oni Pond"</f>
        <v>On Oni Pond</v>
      </c>
    </row>
    <row r="9367" spans="1:4" x14ac:dyDescent="0.2">
      <c r="A9367" t="str">
        <f>"9366"</f>
        <v>9366</v>
      </c>
      <c r="B9367" t="str">
        <f>"1.5"</f>
        <v>1.5</v>
      </c>
      <c r="C9367" t="str">
        <f>"42"</f>
        <v>42</v>
      </c>
      <c r="D9367" t="str">
        <f>"Optimism"</f>
        <v>Optimism</v>
      </c>
    </row>
    <row r="9368" spans="1:4" x14ac:dyDescent="0.2">
      <c r="A9368" t="str">
        <f>"9367"</f>
        <v>9367</v>
      </c>
      <c r="B9368" t="str">
        <f>"0.58"</f>
        <v>0.58</v>
      </c>
      <c r="C9368" t="str">
        <f>"25"</f>
        <v>25</v>
      </c>
      <c r="D9368" t="str">
        <f>"Olive Juice"</f>
        <v>Olive Juice</v>
      </c>
    </row>
    <row r="9369" spans="1:4" x14ac:dyDescent="0.2">
      <c r="A9369" t="str">
        <f>"9368"</f>
        <v>9368</v>
      </c>
      <c r="B9369" t="str">
        <f>"0.38"</f>
        <v>0.38</v>
      </c>
      <c r="C9369" t="str">
        <f>"43"</f>
        <v>43</v>
      </c>
      <c r="D9369" t="str">
        <f>"Kiss Land"</f>
        <v>Kiss Land</v>
      </c>
    </row>
    <row r="9370" spans="1:4" x14ac:dyDescent="0.2">
      <c r="A9370" t="str">
        <f>"9369"</f>
        <v>9369</v>
      </c>
      <c r="B9370" t="str">
        <f>"-0.39"</f>
        <v>-0.39</v>
      </c>
      <c r="C9370" t="str">
        <f>"33"</f>
        <v>33</v>
      </c>
      <c r="D9370" t="str">
        <f>"Stitches"</f>
        <v>Stitches</v>
      </c>
    </row>
    <row r="9371" spans="1:4" x14ac:dyDescent="0.2">
      <c r="A9371" t="str">
        <f>"9370"</f>
        <v>9370</v>
      </c>
      <c r="B9371" t="str">
        <f>"0.17"</f>
        <v>0.17</v>
      </c>
      <c r="C9371" t="str">
        <f>"30"</f>
        <v>30</v>
      </c>
      <c r="D9371" t="str">
        <f>"Age Against the Machine"</f>
        <v>Age Against the Machine</v>
      </c>
    </row>
    <row r="9372" spans="1:4" x14ac:dyDescent="0.2">
      <c r="A9372" t="str">
        <f>"9371"</f>
        <v>9371</v>
      </c>
      <c r="B9372" t="str">
        <f>"0.3"</f>
        <v>0.3</v>
      </c>
      <c r="C9372" t="str">
        <f>"36"</f>
        <v>36</v>
      </c>
      <c r="D9372" t="str">
        <f>"Smilewound"</f>
        <v>Smilewound</v>
      </c>
    </row>
    <row r="9373" spans="1:4" x14ac:dyDescent="0.2">
      <c r="A9373" t="str">
        <f>"9372"</f>
        <v>9372</v>
      </c>
      <c r="B9373" t="str">
        <f>"-0.68"</f>
        <v>-0.68</v>
      </c>
      <c r="C9373" t="str">
        <f>"22"</f>
        <v>22</v>
      </c>
      <c r="D9373" t="str">
        <f>"Troubadour"</f>
        <v>Troubadour</v>
      </c>
    </row>
    <row r="9374" spans="1:4" x14ac:dyDescent="0.2">
      <c r="A9374" t="str">
        <f>"9373"</f>
        <v>9373</v>
      </c>
      <c r="B9374" t="str">
        <f>"-1.06"</f>
        <v>-1.06</v>
      </c>
      <c r="C9374" t="str">
        <f>"30"</f>
        <v>30</v>
      </c>
      <c r="D9374" t="str">
        <f>"EP-1"</f>
        <v>EP-1</v>
      </c>
    </row>
    <row r="9375" spans="1:4" x14ac:dyDescent="0.2">
      <c r="A9375" t="str">
        <f>"9374"</f>
        <v>9374</v>
      </c>
      <c r="B9375" t="str">
        <f>"-0.26"</f>
        <v>-0.26</v>
      </c>
      <c r="C9375" t="str">
        <f>"47"</f>
        <v>47</v>
      </c>
      <c r="D9375" t="str">
        <f>"Pain Is Beauty"</f>
        <v>Pain Is Beauty</v>
      </c>
    </row>
    <row r="9376" spans="1:4" x14ac:dyDescent="0.2">
      <c r="A9376" t="str">
        <f>"9375"</f>
        <v>9375</v>
      </c>
      <c r="B9376" t="str">
        <f>"-0.36"</f>
        <v>-0.36</v>
      </c>
      <c r="C9376" t="str">
        <f>"26"</f>
        <v>26</v>
      </c>
      <c r="D9376" t="str">
        <f>"Summer Through My Mind"</f>
        <v>Summer Through My Mind</v>
      </c>
    </row>
    <row r="9377" spans="1:4" x14ac:dyDescent="0.2">
      <c r="A9377" t="str">
        <f>"9376"</f>
        <v>9376</v>
      </c>
      <c r="B9377" t="str">
        <f>"-0.02"</f>
        <v>-0.02</v>
      </c>
      <c r="C9377" t="str">
        <f>"34"</f>
        <v>34</v>
      </c>
      <c r="D9377" t="str">
        <f>"Vortex"</f>
        <v>Vortex</v>
      </c>
    </row>
    <row r="9378" spans="1:4" x14ac:dyDescent="0.2">
      <c r="A9378" t="str">
        <f>"9377"</f>
        <v>9377</v>
      </c>
      <c r="B9378" t="str">
        <f>"-1.41"</f>
        <v>-1.41</v>
      </c>
      <c r="C9378" t="str">
        <f>"28"</f>
        <v>28</v>
      </c>
      <c r="D9378" t="str">
        <f>"Glow"</f>
        <v>Glow</v>
      </c>
    </row>
    <row r="9379" spans="1:4" x14ac:dyDescent="0.2">
      <c r="A9379" t="str">
        <f>"9378"</f>
        <v>9378</v>
      </c>
      <c r="B9379" t="str">
        <f>"-0.59"</f>
        <v>-0.59</v>
      </c>
      <c r="C9379" t="str">
        <f>"56"</f>
        <v>56</v>
      </c>
      <c r="D9379" t="s">
        <v>296</v>
      </c>
    </row>
    <row r="9380" spans="1:4" x14ac:dyDescent="0.2">
      <c r="A9380" t="str">
        <f>"9379"</f>
        <v>9379</v>
      </c>
      <c r="B9380" t="str">
        <f>"-0.18"</f>
        <v>-0.18</v>
      </c>
      <c r="C9380" t="str">
        <f>"43"</f>
        <v>43</v>
      </c>
      <c r="D9380" t="str">
        <f>"Run Fast"</f>
        <v>Run Fast</v>
      </c>
    </row>
    <row r="9381" spans="1:4" x14ac:dyDescent="0.2">
      <c r="A9381" t="str">
        <f>"9380"</f>
        <v>9380</v>
      </c>
      <c r="B9381" t="str">
        <f>"0.69"</f>
        <v>0.69</v>
      </c>
      <c r="C9381" t="str">
        <f>"25"</f>
        <v>25</v>
      </c>
      <c r="D9381" t="str">
        <f>"Law and Order"</f>
        <v>Law and Order</v>
      </c>
    </row>
    <row r="9382" spans="1:4" x14ac:dyDescent="0.2">
      <c r="A9382" t="str">
        <f>"9381"</f>
        <v>9381</v>
      </c>
      <c r="B9382" t="str">
        <f>"0.26"</f>
        <v>0.26</v>
      </c>
      <c r="C9382" t="str">
        <f>"33"</f>
        <v>33</v>
      </c>
      <c r="D9382" t="str">
        <f>"Hands on the Controls"</f>
        <v>Hands on the Controls</v>
      </c>
    </row>
    <row r="9383" spans="1:4" x14ac:dyDescent="0.2">
      <c r="A9383" t="str">
        <f>"9382"</f>
        <v>9382</v>
      </c>
      <c r="B9383" t="str">
        <f>"-0.16"</f>
        <v>-0.16</v>
      </c>
      <c r="C9383" t="str">
        <f>"22"</f>
        <v>22</v>
      </c>
      <c r="D9383" t="str">
        <f>"Sundowning"</f>
        <v>Sundowning</v>
      </c>
    </row>
    <row r="9384" spans="1:4" x14ac:dyDescent="0.2">
      <c r="A9384" t="str">
        <f>"9383"</f>
        <v>9383</v>
      </c>
      <c r="B9384" t="str">
        <f>"-0.17"</f>
        <v>-0.17</v>
      </c>
      <c r="C9384" t="str">
        <f>"53"</f>
        <v>53</v>
      </c>
      <c r="D9384" t="str">
        <f>"Repave"</f>
        <v>Repave</v>
      </c>
    </row>
    <row r="9385" spans="1:4" x14ac:dyDescent="0.2">
      <c r="A9385" t="str">
        <f>"9384"</f>
        <v>9384</v>
      </c>
      <c r="B9385" t="str">
        <f>"-0.12"</f>
        <v>-0.12</v>
      </c>
      <c r="C9385" t="str">
        <f>"29"</f>
        <v>29</v>
      </c>
      <c r="D9385" t="str">
        <f>"Idle No More"</f>
        <v>Idle No More</v>
      </c>
    </row>
    <row r="9386" spans="1:4" x14ac:dyDescent="0.2">
      <c r="A9386" t="str">
        <f>"9385"</f>
        <v>9385</v>
      </c>
      <c r="B9386" t="str">
        <f>"-0.4"</f>
        <v>-0.4</v>
      </c>
      <c r="C9386" t="str">
        <f>"74"</f>
        <v>74</v>
      </c>
      <c r="D9386" t="str">
        <f>"The Evil One"</f>
        <v>The Evil One</v>
      </c>
    </row>
    <row r="9387" spans="1:4" x14ac:dyDescent="0.2">
      <c r="A9387" t="str">
        <f>"9386"</f>
        <v>9386</v>
      </c>
      <c r="B9387" t="str">
        <f>"0.41"</f>
        <v>0.41</v>
      </c>
      <c r="C9387" t="str">
        <f>"34"</f>
        <v>34</v>
      </c>
      <c r="D9387" t="str">
        <f>"Surrounded"</f>
        <v>Surrounded</v>
      </c>
    </row>
    <row r="9388" spans="1:4" x14ac:dyDescent="0.2">
      <c r="A9388" t="str">
        <f>"9387"</f>
        <v>9387</v>
      </c>
      <c r="B9388" t="str">
        <f>"-0.78"</f>
        <v>-0.78</v>
      </c>
      <c r="C9388" t="str">
        <f>"25"</f>
        <v>25</v>
      </c>
      <c r="D9388" t="str">
        <f>"Sky Swallower"</f>
        <v>Sky Swallower</v>
      </c>
    </row>
    <row r="9389" spans="1:4" x14ac:dyDescent="0.2">
      <c r="A9389" t="str">
        <f>"9388"</f>
        <v>9388</v>
      </c>
      <c r="B9389" t="str">
        <f>"-1.1"</f>
        <v>-1.1</v>
      </c>
      <c r="C9389" t="str">
        <f>"31"</f>
        <v>31</v>
      </c>
      <c r="D9389" t="str">
        <f>"Hesitation Marks"</f>
        <v>Hesitation Marks</v>
      </c>
    </row>
    <row r="9390" spans="1:4" x14ac:dyDescent="0.2">
      <c r="A9390" t="str">
        <f>"9389"</f>
        <v>9389</v>
      </c>
      <c r="B9390" t="str">
        <f>"-0.89"</f>
        <v>-0.89</v>
      </c>
      <c r="C9390" t="str">
        <f>"54"</f>
        <v>54</v>
      </c>
      <c r="D9390" t="str">
        <f>"The Silver Gymnasium"</f>
        <v>The Silver Gymnasium</v>
      </c>
    </row>
    <row r="9391" spans="1:4" x14ac:dyDescent="0.2">
      <c r="A9391" t="str">
        <f>"9390"</f>
        <v>9390</v>
      </c>
      <c r="B9391" t="str">
        <f>"1.47"</f>
        <v>1.47</v>
      </c>
      <c r="C9391" t="str">
        <f>"22"</f>
        <v>22</v>
      </c>
      <c r="D9391" t="str">
        <f>"John Wizards"</f>
        <v>John Wizards</v>
      </c>
    </row>
    <row r="9392" spans="1:4" x14ac:dyDescent="0.2">
      <c r="A9392" t="str">
        <f>"9391"</f>
        <v>9391</v>
      </c>
      <c r="B9392" t="str">
        <f>"-0.6"</f>
        <v>-0.6</v>
      </c>
      <c r="C9392" t="str">
        <f>"45"</f>
        <v>45</v>
      </c>
      <c r="D9392" t="str">
        <f>"Forever"</f>
        <v>Forever</v>
      </c>
    </row>
    <row r="9393" spans="1:4" x14ac:dyDescent="0.2">
      <c r="A9393" t="str">
        <f>"9392"</f>
        <v>9392</v>
      </c>
      <c r="B9393" t="str">
        <f>"-0.44"</f>
        <v>-0.44</v>
      </c>
      <c r="C9393" t="str">
        <f>"33"</f>
        <v>33</v>
      </c>
      <c r="D9393" t="str">
        <f>"Zukunft Ohne Menschen"</f>
        <v>Zukunft Ohne Menschen</v>
      </c>
    </row>
    <row r="9394" spans="1:4" x14ac:dyDescent="0.2">
      <c r="A9394" t="str">
        <f>"9393"</f>
        <v>9393</v>
      </c>
      <c r="B9394" t="str">
        <f>"0.42"</f>
        <v>0.42</v>
      </c>
      <c r="C9394" t="str">
        <f>"65"</f>
        <v>65</v>
      </c>
      <c r="D9394" t="s">
        <v>297</v>
      </c>
    </row>
    <row r="9395" spans="1:4" x14ac:dyDescent="0.2">
      <c r="A9395" t="str">
        <f>"9394"</f>
        <v>9394</v>
      </c>
      <c r="B9395" t="str">
        <f>"-0.93"</f>
        <v>-0.93</v>
      </c>
      <c r="C9395" t="str">
        <f>"37"</f>
        <v>37</v>
      </c>
      <c r="D9395" t="str">
        <f>"Slave Vows"</f>
        <v>Slave Vows</v>
      </c>
    </row>
    <row r="9396" spans="1:4" x14ac:dyDescent="0.2">
      <c r="A9396" t="str">
        <f>"9395"</f>
        <v>9395</v>
      </c>
      <c r="B9396" t="str">
        <f>"-0.79"</f>
        <v>-0.79</v>
      </c>
      <c r="C9396" t="str">
        <f>"26"</f>
        <v>26</v>
      </c>
      <c r="D9396" t="str">
        <f>"False Memories"</f>
        <v>False Memories</v>
      </c>
    </row>
    <row r="9397" spans="1:4" x14ac:dyDescent="0.2">
      <c r="A9397" t="str">
        <f>"9396"</f>
        <v>9396</v>
      </c>
      <c r="B9397" t="str">
        <f>"-0.04"</f>
        <v>-0.04</v>
      </c>
      <c r="C9397" t="str">
        <f>"32"</f>
        <v>32</v>
      </c>
      <c r="D9397" t="str">
        <f>"Golden Suits"</f>
        <v>Golden Suits</v>
      </c>
    </row>
    <row r="9398" spans="1:4" x14ac:dyDescent="0.2">
      <c r="A9398" t="str">
        <f>"9397"</f>
        <v>9397</v>
      </c>
      <c r="B9398" t="str">
        <f>"-1.05"</f>
        <v>-1.05</v>
      </c>
      <c r="C9398" t="str">
        <f>"32"</f>
        <v>32</v>
      </c>
      <c r="D9398" t="str">
        <f>"All Uproarious Darkness"</f>
        <v>All Uproarious Darkness</v>
      </c>
    </row>
    <row r="9399" spans="1:4" x14ac:dyDescent="0.2">
      <c r="A9399" t="str">
        <f>"9398"</f>
        <v>9398</v>
      </c>
      <c r="B9399" t="str">
        <f>"-0.46"</f>
        <v>-0.46</v>
      </c>
      <c r="C9399" t="str">
        <f>"37"</f>
        <v>37</v>
      </c>
      <c r="D9399" t="str">
        <f>"6 Feet Beneath the Moon"</f>
        <v>6 Feet Beneath the Moon</v>
      </c>
    </row>
    <row r="9400" spans="1:4" x14ac:dyDescent="0.2">
      <c r="A9400" t="str">
        <f>"9399"</f>
        <v>9399</v>
      </c>
      <c r="B9400" t="str">
        <f>"0.76"</f>
        <v>0.76</v>
      </c>
      <c r="C9400" t="str">
        <f>"66"</f>
        <v>66</v>
      </c>
      <c r="D9400" t="str">
        <f>"Higher!"</f>
        <v>Higher!</v>
      </c>
    </row>
    <row r="9401" spans="1:4" x14ac:dyDescent="0.2">
      <c r="A9401" t="str">
        <f>"9400"</f>
        <v>9400</v>
      </c>
      <c r="B9401" t="str">
        <f>"0.44"</f>
        <v>0.44</v>
      </c>
      <c r="C9401" t="str">
        <f>"29"</f>
        <v>29</v>
      </c>
      <c r="D9401" t="str">
        <f>"Mon Pays"</f>
        <v>Mon Pays</v>
      </c>
    </row>
    <row r="9402" spans="1:4" x14ac:dyDescent="0.2">
      <c r="A9402" t="str">
        <f>"9401"</f>
        <v>9401</v>
      </c>
      <c r="B9402" t="str">
        <f>"-0.5"</f>
        <v>-0.5</v>
      </c>
      <c r="C9402" t="str">
        <f>"37"</f>
        <v>37</v>
      </c>
      <c r="D9402" t="str">
        <f>"Generic Treasure"</f>
        <v>Generic Treasure</v>
      </c>
    </row>
    <row r="9403" spans="1:4" x14ac:dyDescent="0.2">
      <c r="A9403" t="str">
        <f>"9402"</f>
        <v>9402</v>
      </c>
      <c r="B9403" t="str">
        <f>"-0.34"</f>
        <v>-0.34</v>
      </c>
      <c r="C9403" t="str">
        <f>"30"</f>
        <v>30</v>
      </c>
      <c r="D9403" t="str">
        <f>"1986-1991"</f>
        <v>1986-1991</v>
      </c>
    </row>
    <row r="9404" spans="1:4" x14ac:dyDescent="0.2">
      <c r="A9404" t="str">
        <f>"9403"</f>
        <v>9403</v>
      </c>
      <c r="B9404" t="str">
        <f>"0.48"</f>
        <v>0.48</v>
      </c>
      <c r="C9404" t="str">
        <f>"28"</f>
        <v>28</v>
      </c>
      <c r="D9404" t="str">
        <f>"The Third Eye Centre"</f>
        <v>The Third Eye Centre</v>
      </c>
    </row>
    <row r="9405" spans="1:4" x14ac:dyDescent="0.2">
      <c r="A9405" t="str">
        <f>"9404"</f>
        <v>9404</v>
      </c>
      <c r="B9405" t="str">
        <f>"0.65"</f>
        <v>0.65</v>
      </c>
      <c r="C9405" t="str">
        <f>"25"</f>
        <v>25</v>
      </c>
      <c r="D9405" t="str">
        <f>"Tough Love"</f>
        <v>Tough Love</v>
      </c>
    </row>
    <row r="9406" spans="1:4" x14ac:dyDescent="0.2">
      <c r="A9406" t="str">
        <f>"9405"</f>
        <v>9405</v>
      </c>
      <c r="B9406" t="str">
        <f>"0.38"</f>
        <v>0.38</v>
      </c>
      <c r="C9406" t="str">
        <f>"22"</f>
        <v>22</v>
      </c>
      <c r="D9406" t="str">
        <f>"No Better Time Than Now"</f>
        <v>No Better Time Than Now</v>
      </c>
    </row>
    <row r="9407" spans="1:4" x14ac:dyDescent="0.2">
      <c r="A9407" t="str">
        <f>"9406"</f>
        <v>9406</v>
      </c>
      <c r="B9407" t="str">
        <f>"0.19"</f>
        <v>0.19</v>
      </c>
      <c r="C9407" t="str">
        <f>"32"</f>
        <v>32</v>
      </c>
      <c r="D9407" t="str">
        <f>"Feast of Love"</f>
        <v>Feast of Love</v>
      </c>
    </row>
    <row r="9408" spans="1:4" x14ac:dyDescent="0.2">
      <c r="A9408" t="str">
        <f>"9407"</f>
        <v>9407</v>
      </c>
      <c r="B9408" t="str">
        <f>"0.12"</f>
        <v>0.12</v>
      </c>
      <c r="C9408" t="str">
        <f>"44"</f>
        <v>44</v>
      </c>
      <c r="D9408" t="str">
        <f>"Eccentric Soul: The Forte Label"</f>
        <v>Eccentric Soul: The Forte Label</v>
      </c>
    </row>
    <row r="9409" spans="1:4" x14ac:dyDescent="0.2">
      <c r="A9409" t="str">
        <f>"9408"</f>
        <v>9408</v>
      </c>
      <c r="B9409" t="str">
        <f>"0.34"</f>
        <v>0.34</v>
      </c>
      <c r="C9409" t="str">
        <f>"44"</f>
        <v>44</v>
      </c>
      <c r="D9409" t="str">
        <f>"Engravings"</f>
        <v>Engravings</v>
      </c>
    </row>
    <row r="9410" spans="1:4" x14ac:dyDescent="0.2">
      <c r="A9410" t="str">
        <f>"9409"</f>
        <v>9409</v>
      </c>
      <c r="B9410" t="str">
        <f>"0.34"</f>
        <v>0.34</v>
      </c>
      <c r="C9410" t="str">
        <f>"37"</f>
        <v>37</v>
      </c>
      <c r="D9410" t="str">
        <f>"Carrier"</f>
        <v>Carrier</v>
      </c>
    </row>
    <row r="9411" spans="1:4" x14ac:dyDescent="0.2">
      <c r="A9411" t="str">
        <f>"9410"</f>
        <v>9410</v>
      </c>
      <c r="B9411" t="str">
        <f>"-0.56"</f>
        <v>-0.56</v>
      </c>
      <c r="C9411" t="str">
        <f>"32"</f>
        <v>32</v>
      </c>
      <c r="D9411" t="str">
        <f>"Flaamingos"</f>
        <v>Flaamingos</v>
      </c>
    </row>
    <row r="9412" spans="1:4" x14ac:dyDescent="0.2">
      <c r="A9412" t="str">
        <f>"9411"</f>
        <v>9411</v>
      </c>
      <c r="B9412" t="str">
        <f>"-1.18"</f>
        <v>-1.18</v>
      </c>
      <c r="C9412" t="str">
        <f>"32"</f>
        <v>32</v>
      </c>
      <c r="D9412" t="str">
        <f>"Era"</f>
        <v>Era</v>
      </c>
    </row>
    <row r="9413" spans="1:4" x14ac:dyDescent="0.2">
      <c r="A9413" t="str">
        <f>"9412"</f>
        <v>9412</v>
      </c>
      <c r="B9413" t="str">
        <f>"0.37"</f>
        <v>0.37</v>
      </c>
      <c r="C9413" t="str">
        <f>"24"</f>
        <v>24</v>
      </c>
      <c r="D9413" t="str">
        <f>"Collected Works Vol. 1 The Moog Years"</f>
        <v>Collected Works Vol. 1 The Moog Years</v>
      </c>
    </row>
    <row r="9414" spans="1:4" x14ac:dyDescent="0.2">
      <c r="A9414" t="str">
        <f>"9413"</f>
        <v>9413</v>
      </c>
      <c r="B9414" t="str">
        <f>"-0.32"</f>
        <v>-0.32</v>
      </c>
      <c r="C9414" t="str">
        <f>"46"</f>
        <v>46</v>
      </c>
      <c r="D9414" t="s">
        <v>298</v>
      </c>
    </row>
    <row r="9415" spans="1:4" x14ac:dyDescent="0.2">
      <c r="A9415" t="str">
        <f>"9414"</f>
        <v>9414</v>
      </c>
      <c r="B9415" t="str">
        <f>"-0.11"</f>
        <v>-0.11</v>
      </c>
      <c r="C9415" t="str">
        <f>"25"</f>
        <v>25</v>
      </c>
      <c r="D9415" t="str">
        <f>"Warm Blanket"</f>
        <v>Warm Blanket</v>
      </c>
    </row>
    <row r="9416" spans="1:4" x14ac:dyDescent="0.2">
      <c r="A9416" t="str">
        <f>"9415"</f>
        <v>9415</v>
      </c>
      <c r="B9416" t="str">
        <f>"0.53"</f>
        <v>0.53</v>
      </c>
      <c r="C9416" t="str">
        <f>"65"</f>
        <v>65</v>
      </c>
      <c r="D9416" t="str">
        <f>"Colored Sands"</f>
        <v>Colored Sands</v>
      </c>
    </row>
    <row r="9417" spans="1:4" x14ac:dyDescent="0.2">
      <c r="A9417" t="str">
        <f>"9416"</f>
        <v>9416</v>
      </c>
      <c r="B9417" t="str">
        <f>"-0.39"</f>
        <v>-0.39</v>
      </c>
      <c r="C9417" t="str">
        <f>"25"</f>
        <v>25</v>
      </c>
      <c r="D9417" t="str">
        <f>"Feels Weird"</f>
        <v>Feels Weird</v>
      </c>
    </row>
    <row r="9418" spans="1:4" x14ac:dyDescent="0.2">
      <c r="A9418" t="str">
        <f>"9417"</f>
        <v>9417</v>
      </c>
      <c r="B9418" t="str">
        <f>"-0.22"</f>
        <v>-0.22</v>
      </c>
      <c r="C9418" t="str">
        <f>"40"</f>
        <v>40</v>
      </c>
      <c r="D9418" t="str">
        <f>"Quiet Moments"</f>
        <v>Quiet Moments</v>
      </c>
    </row>
    <row r="9419" spans="1:4" x14ac:dyDescent="0.2">
      <c r="A9419" t="str">
        <f>"9418"</f>
        <v>9418</v>
      </c>
      <c r="B9419" t="str">
        <f>"0.43"</f>
        <v>0.43</v>
      </c>
      <c r="C9419" t="str">
        <f>"44"</f>
        <v>44</v>
      </c>
      <c r="D9419" t="str">
        <f>"Nepenthe"</f>
        <v>Nepenthe</v>
      </c>
    </row>
    <row r="9420" spans="1:4" x14ac:dyDescent="0.2">
      <c r="A9420" t="str">
        <f>"9419"</f>
        <v>9419</v>
      </c>
      <c r="B9420" t="str">
        <f>"-0.79"</f>
        <v>-0.79</v>
      </c>
      <c r="C9420" t="str">
        <f>"18"</f>
        <v>18</v>
      </c>
      <c r="D9420" t="str">
        <f>"Crimes of Passion"</f>
        <v>Crimes of Passion</v>
      </c>
    </row>
    <row r="9421" spans="1:4" x14ac:dyDescent="0.2">
      <c r="A9421" t="str">
        <f>"9420"</f>
        <v>9420</v>
      </c>
      <c r="B9421" t="str">
        <f>"0.47"</f>
        <v>0.47</v>
      </c>
      <c r="C9421" t="str">
        <f>"26"</f>
        <v>26</v>
      </c>
      <c r="D9421" t="str">
        <f>"Perpetual Surrender"</f>
        <v>Perpetual Surrender</v>
      </c>
    </row>
    <row r="9422" spans="1:4" x14ac:dyDescent="0.2">
      <c r="A9422" t="str">
        <f>"9421"</f>
        <v>9421</v>
      </c>
      <c r="B9422" t="str">
        <f>"1.45"</f>
        <v>1.45</v>
      </c>
      <c r="C9422" t="str">
        <f>"27"</f>
        <v>27</v>
      </c>
      <c r="D9422" t="str">
        <f>"Love Now"</f>
        <v>Love Now</v>
      </c>
    </row>
    <row r="9423" spans="1:4" x14ac:dyDescent="0.2">
      <c r="A9423" t="str">
        <f>"9422"</f>
        <v>9422</v>
      </c>
      <c r="B9423" t="str">
        <f>"-0.36"</f>
        <v>-0.36</v>
      </c>
      <c r="C9423" t="str">
        <f>"30"</f>
        <v>30</v>
      </c>
      <c r="D9423" t="str">
        <f>"Necrocracy"</f>
        <v>Necrocracy</v>
      </c>
    </row>
    <row r="9424" spans="1:4" x14ac:dyDescent="0.2">
      <c r="A9424" t="str">
        <f>"9423"</f>
        <v>9423</v>
      </c>
      <c r="B9424" t="str">
        <f>"0.02"</f>
        <v>0.02</v>
      </c>
      <c r="C9424" t="str">
        <f>"27"</f>
        <v>27</v>
      </c>
      <c r="D9424" t="str">
        <f>"Trap Lord"</f>
        <v>Trap Lord</v>
      </c>
    </row>
    <row r="9425" spans="1:4" x14ac:dyDescent="0.2">
      <c r="A9425" t="str">
        <f>"9424"</f>
        <v>9424</v>
      </c>
      <c r="B9425" t="str">
        <f>"0.31"</f>
        <v>0.31</v>
      </c>
      <c r="C9425" t="str">
        <f>"36"</f>
        <v>36</v>
      </c>
      <c r="D9425" t="str">
        <f>"Jet Black Raider EP"</f>
        <v>Jet Black Raider EP</v>
      </c>
    </row>
    <row r="9426" spans="1:4" x14ac:dyDescent="0.2">
      <c r="A9426" t="str">
        <f>"9425"</f>
        <v>9425</v>
      </c>
      <c r="B9426" t="str">
        <f>"-0.09"</f>
        <v>-0.09</v>
      </c>
      <c r="C9426" t="str">
        <f>"23"</f>
        <v>23</v>
      </c>
      <c r="D9426" t="str">
        <f>"Warp and Weft"</f>
        <v>Warp and Weft</v>
      </c>
    </row>
    <row r="9427" spans="1:4" x14ac:dyDescent="0.2">
      <c r="A9427" t="str">
        <f>"9426"</f>
        <v>9426</v>
      </c>
      <c r="B9427" t="str">
        <f>"0.51"</f>
        <v>0.51</v>
      </c>
      <c r="C9427" t="str">
        <f>"48"</f>
        <v>48</v>
      </c>
      <c r="D9427" t="str">
        <f>"Personal Appeal"</f>
        <v>Personal Appeal</v>
      </c>
    </row>
    <row r="9428" spans="1:4" x14ac:dyDescent="0.2">
      <c r="A9428" t="str">
        <f>"9427"</f>
        <v>9427</v>
      </c>
      <c r="B9428" t="str">
        <f>"0.84"</f>
        <v>0.84</v>
      </c>
      <c r="C9428" t="str">
        <f>"18"</f>
        <v>18</v>
      </c>
      <c r="D9428" t="str">
        <f>"Mourning Trance"</f>
        <v>Mourning Trance</v>
      </c>
    </row>
    <row r="9429" spans="1:4" x14ac:dyDescent="0.2">
      <c r="A9429" t="str">
        <f>"9428"</f>
        <v>9428</v>
      </c>
      <c r="B9429" t="str">
        <f>"0.09"</f>
        <v>0.09</v>
      </c>
      <c r="C9429" t="str">
        <f>"36"</f>
        <v>36</v>
      </c>
      <c r="D9429" t="str">
        <f>"Sleeper"</f>
        <v>Sleeper</v>
      </c>
    </row>
    <row r="9430" spans="1:4" x14ac:dyDescent="0.2">
      <c r="A9430" t="str">
        <f>"9429"</f>
        <v>9429</v>
      </c>
      <c r="B9430" t="str">
        <f>"-1.25"</f>
        <v>-1.25</v>
      </c>
      <c r="C9430" t="str">
        <f>"31"</f>
        <v>31</v>
      </c>
      <c r="D9430" t="str">
        <f>"Deep Trip"</f>
        <v>Deep Trip</v>
      </c>
    </row>
    <row r="9431" spans="1:4" x14ac:dyDescent="0.2">
      <c r="A9431" t="str">
        <f>"9430"</f>
        <v>9430</v>
      </c>
      <c r="B9431" t="str">
        <f>"-0.45"</f>
        <v>-0.45</v>
      </c>
      <c r="C9431" t="str">
        <f>"45"</f>
        <v>45</v>
      </c>
      <c r="D9431" t="s">
        <v>299</v>
      </c>
    </row>
    <row r="9432" spans="1:4" x14ac:dyDescent="0.2">
      <c r="A9432" t="str">
        <f>"9431"</f>
        <v>9431</v>
      </c>
      <c r="B9432" t="str">
        <f>"0.38"</f>
        <v>0.38</v>
      </c>
      <c r="C9432" t="str">
        <f>"26"</f>
        <v>26</v>
      </c>
      <c r="D9432" t="str">
        <f>"So You Are... So You'll Be"</f>
        <v>So You Are... So You'll Be</v>
      </c>
    </row>
    <row r="9433" spans="1:4" x14ac:dyDescent="0.2">
      <c r="A9433" t="str">
        <f>"9432"</f>
        <v>9432</v>
      </c>
      <c r="B9433" t="str">
        <f>"0.04"</f>
        <v>0.04</v>
      </c>
      <c r="C9433" t="str">
        <f>"23"</f>
        <v>23</v>
      </c>
      <c r="D9433" t="str">
        <f>"Roachy Balboa Round 3"</f>
        <v>Roachy Balboa Round 3</v>
      </c>
    </row>
    <row r="9434" spans="1:4" x14ac:dyDescent="0.2">
      <c r="A9434" t="str">
        <f>"9433"</f>
        <v>9433</v>
      </c>
      <c r="B9434" t="str">
        <f>"-0.37"</f>
        <v>-0.37</v>
      </c>
      <c r="C9434" t="str">
        <f>"47"</f>
        <v>47</v>
      </c>
      <c r="D9434" t="str">
        <f>"An Object"</f>
        <v>An Object</v>
      </c>
    </row>
    <row r="9435" spans="1:4" x14ac:dyDescent="0.2">
      <c r="A9435" t="str">
        <f>"9434"</f>
        <v>9434</v>
      </c>
      <c r="B9435" t="str">
        <f>"0.57"</f>
        <v>0.57</v>
      </c>
      <c r="C9435" t="str">
        <f>"24"</f>
        <v>24</v>
      </c>
      <c r="D9435" t="str">
        <f>"History of Man"</f>
        <v>History of Man</v>
      </c>
    </row>
    <row r="9436" spans="1:4" x14ac:dyDescent="0.2">
      <c r="A9436" t="str">
        <f>"9435"</f>
        <v>9435</v>
      </c>
      <c r="B9436" t="str">
        <f>"0.02"</f>
        <v>0.02</v>
      </c>
      <c r="C9436" t="str">
        <f>"33"</f>
        <v>33</v>
      </c>
      <c r="D9436" t="str">
        <f>"No Regerts"</f>
        <v>No Regerts</v>
      </c>
    </row>
    <row r="9437" spans="1:4" x14ac:dyDescent="0.2">
      <c r="A9437" t="str">
        <f>"9436"</f>
        <v>9436</v>
      </c>
      <c r="B9437" t="str">
        <f>"0.4"</f>
        <v>0.4</v>
      </c>
      <c r="C9437" t="str">
        <f>"23"</f>
        <v>23</v>
      </c>
      <c r="D9437" t="str">
        <f>"Bad Jokes"</f>
        <v>Bad Jokes</v>
      </c>
    </row>
    <row r="9438" spans="1:4" x14ac:dyDescent="0.2">
      <c r="A9438" t="str">
        <f>"9437"</f>
        <v>9437</v>
      </c>
      <c r="B9438" t="str">
        <f>"-0.02"</f>
        <v>-0.02</v>
      </c>
      <c r="C9438" t="str">
        <f>"36"</f>
        <v>36</v>
      </c>
      <c r="D9438" t="str">
        <f>"The Wild Hunt"</f>
        <v>The Wild Hunt</v>
      </c>
    </row>
    <row r="9439" spans="1:4" x14ac:dyDescent="0.2">
      <c r="A9439" t="str">
        <f>"9438"</f>
        <v>9438</v>
      </c>
      <c r="B9439" t="str">
        <f>"-1.4"</f>
        <v>-1.4</v>
      </c>
      <c r="C9439" t="str">
        <f>"51"</f>
        <v>51</v>
      </c>
      <c r="D9439" t="str">
        <f>"Doris"</f>
        <v>Doris</v>
      </c>
    </row>
    <row r="9440" spans="1:4" x14ac:dyDescent="0.2">
      <c r="A9440" t="str">
        <f>"9439"</f>
        <v>9439</v>
      </c>
      <c r="B9440" t="str">
        <f>"-0.46"</f>
        <v>-0.46</v>
      </c>
      <c r="C9440" t="str">
        <f>"37"</f>
        <v>37</v>
      </c>
      <c r="D9440" t="str">
        <f>"Permanent Signal"</f>
        <v>Permanent Signal</v>
      </c>
    </row>
    <row r="9441" spans="1:4" x14ac:dyDescent="0.2">
      <c r="A9441" t="str">
        <f>"9440"</f>
        <v>9440</v>
      </c>
      <c r="B9441" t="str">
        <f>"-0.19"</f>
        <v>-0.19</v>
      </c>
      <c r="C9441" t="str">
        <f>"36"</f>
        <v>36</v>
      </c>
      <c r="D9441" t="str">
        <f>"I'm Rich Beyond Your Wildest Dreams"</f>
        <v>I'm Rich Beyond Your Wildest Dreams</v>
      </c>
    </row>
    <row r="9442" spans="1:4" x14ac:dyDescent="0.2">
      <c r="A9442" t="str">
        <f>"9441"</f>
        <v>9441</v>
      </c>
      <c r="B9442" t="str">
        <f>"-0.56"</f>
        <v>-0.56</v>
      </c>
      <c r="C9442" t="str">
        <f>"44"</f>
        <v>44</v>
      </c>
      <c r="D9442" t="str">
        <f>"Strength and Anger"</f>
        <v>Strength and Anger</v>
      </c>
    </row>
    <row r="9443" spans="1:4" x14ac:dyDescent="0.2">
      <c r="A9443" t="str">
        <f>"9442"</f>
        <v>9442</v>
      </c>
      <c r="B9443" t="str">
        <f>"1.23"</f>
        <v>1.23</v>
      </c>
      <c r="C9443" t="str">
        <f>"29"</f>
        <v>29</v>
      </c>
      <c r="D9443" t="str">
        <f>"Between Two Worlds"</f>
        <v>Between Two Worlds</v>
      </c>
    </row>
    <row r="9444" spans="1:4" x14ac:dyDescent="0.2">
      <c r="A9444" t="str">
        <f>"9443"</f>
        <v>9443</v>
      </c>
      <c r="B9444" t="str">
        <f>"0.32"</f>
        <v>0.32</v>
      </c>
      <c r="C9444" t="str">
        <f>"49"</f>
        <v>49</v>
      </c>
      <c r="D9444" t="str">
        <f>"Loud City Song"</f>
        <v>Loud City Song</v>
      </c>
    </row>
    <row r="9445" spans="1:4" x14ac:dyDescent="0.2">
      <c r="A9445" t="str">
        <f>"9444"</f>
        <v>9444</v>
      </c>
      <c r="B9445" t="str">
        <f>"-0.28"</f>
        <v>-0.28</v>
      </c>
      <c r="C9445" t="str">
        <f>"40"</f>
        <v>40</v>
      </c>
      <c r="D9445" t="str">
        <f>"Flourish//Perish"</f>
        <v>Flourish//Perish</v>
      </c>
    </row>
    <row r="9446" spans="1:4" x14ac:dyDescent="0.2">
      <c r="A9446" t="str">
        <f>"9445"</f>
        <v>9445</v>
      </c>
      <c r="B9446" t="str">
        <f>"1.01"</f>
        <v>1.01</v>
      </c>
      <c r="C9446" t="str">
        <f>"36"</f>
        <v>36</v>
      </c>
      <c r="D9446" t="str">
        <f>"Bitchitronics"</f>
        <v>Bitchitronics</v>
      </c>
    </row>
    <row r="9447" spans="1:4" x14ac:dyDescent="0.2">
      <c r="A9447" t="str">
        <f>"9446"</f>
        <v>9446</v>
      </c>
      <c r="B9447" t="str">
        <f>"-0.71"</f>
        <v>-0.71</v>
      </c>
      <c r="C9447" t="str">
        <f>"28"</f>
        <v>28</v>
      </c>
      <c r="D9447" t="str">
        <f>"Slow Walkers"</f>
        <v>Slow Walkers</v>
      </c>
    </row>
    <row r="9448" spans="1:4" x14ac:dyDescent="0.2">
      <c r="A9448" t="str">
        <f>"9447"</f>
        <v>9447</v>
      </c>
      <c r="B9448" t="str">
        <f>"0.15"</f>
        <v>0.15</v>
      </c>
      <c r="C9448" t="str">
        <f>"28"</f>
        <v>28</v>
      </c>
      <c r="D9448" t="str">
        <f>"Better Unsung"</f>
        <v>Better Unsung</v>
      </c>
    </row>
    <row r="9449" spans="1:4" x14ac:dyDescent="0.2">
      <c r="A9449" t="str">
        <f>"9448"</f>
        <v>9448</v>
      </c>
      <c r="B9449" t="str">
        <f>"0.31"</f>
        <v>0.31</v>
      </c>
      <c r="C9449" t="str">
        <f>"51"</f>
        <v>51</v>
      </c>
      <c r="D9449" t="str">
        <f>"Versions"</f>
        <v>Versions</v>
      </c>
    </row>
    <row r="9450" spans="1:4" x14ac:dyDescent="0.2">
      <c r="A9450" t="str">
        <f>"9449"</f>
        <v>9449</v>
      </c>
      <c r="B9450" t="str">
        <f>"-0.05"</f>
        <v>-0.05</v>
      </c>
      <c r="C9450" t="str">
        <f>"48"</f>
        <v>48</v>
      </c>
      <c r="D9450" t="str">
        <f>"Visions of the Country"</f>
        <v>Visions of the Country</v>
      </c>
    </row>
    <row r="9451" spans="1:4" x14ac:dyDescent="0.2">
      <c r="A9451" t="str">
        <f>"9450"</f>
        <v>9450</v>
      </c>
      <c r="B9451" t="str">
        <f>"0.33"</f>
        <v>0.33</v>
      </c>
      <c r="C9451" t="str">
        <f>"35"</f>
        <v>35</v>
      </c>
      <c r="D9451" t="str">
        <f>"Pura Vida Conspiracy"</f>
        <v>Pura Vida Conspiracy</v>
      </c>
    </row>
    <row r="9452" spans="1:4" x14ac:dyDescent="0.2">
      <c r="A9452" t="str">
        <f>"9451"</f>
        <v>9451</v>
      </c>
      <c r="B9452" t="str">
        <f>"0.4"</f>
        <v>0.4</v>
      </c>
      <c r="C9452" t="str">
        <f>"18"</f>
        <v>18</v>
      </c>
      <c r="D9452" t="str">
        <f>"We Knew It Was Not Going to Be Like This"</f>
        <v>We Knew It Was Not Going to Be Like This</v>
      </c>
    </row>
    <row r="9453" spans="1:4" x14ac:dyDescent="0.2">
      <c r="A9453" t="str">
        <f>"9452"</f>
        <v>9452</v>
      </c>
      <c r="B9453" t="str">
        <f>"0.95"</f>
        <v>0.95</v>
      </c>
      <c r="C9453" t="str">
        <f>"27"</f>
        <v>27</v>
      </c>
      <c r="D9453" t="str">
        <f>"Cassette 3: The Marion Morrison Mixtape"</f>
        <v>Cassette 3: The Marion Morrison Mixtape</v>
      </c>
    </row>
    <row r="9454" spans="1:4" x14ac:dyDescent="0.2">
      <c r="A9454" t="str">
        <f>"9453"</f>
        <v>9453</v>
      </c>
      <c r="B9454" t="str">
        <f>"0"</f>
        <v>0</v>
      </c>
      <c r="C9454" t="str">
        <f>"41"</f>
        <v>41</v>
      </c>
      <c r="D9454" t="str">
        <f>"I Hate Music"</f>
        <v>I Hate Music</v>
      </c>
    </row>
    <row r="9455" spans="1:4" x14ac:dyDescent="0.2">
      <c r="A9455" t="str">
        <f>"9454"</f>
        <v>9454</v>
      </c>
      <c r="B9455" t="str">
        <f>"0.04"</f>
        <v>0.04</v>
      </c>
      <c r="C9455" t="str">
        <f>"37"</f>
        <v>37</v>
      </c>
      <c r="D9455" t="str">
        <f>"Dual EP"</f>
        <v>Dual EP</v>
      </c>
    </row>
    <row r="9456" spans="1:4" x14ac:dyDescent="0.2">
      <c r="A9456" t="str">
        <f>"9455"</f>
        <v>9455</v>
      </c>
      <c r="B9456" t="str">
        <f>"-0.38"</f>
        <v>-0.38</v>
      </c>
      <c r="C9456" t="str">
        <f>"27"</f>
        <v>27</v>
      </c>
      <c r="D9456" t="str">
        <f>"Dour Candy"</f>
        <v>Dour Candy</v>
      </c>
    </row>
    <row r="9457" spans="1:4" x14ac:dyDescent="0.2">
      <c r="A9457" t="str">
        <f>"9456"</f>
        <v>9456</v>
      </c>
      <c r="B9457" t="str">
        <f>"-0.06"</f>
        <v>-0.06</v>
      </c>
      <c r="C9457" t="str">
        <f>"34"</f>
        <v>34</v>
      </c>
      <c r="D9457" t="str">
        <f>"Moon Tides"</f>
        <v>Moon Tides</v>
      </c>
    </row>
    <row r="9458" spans="1:4" x14ac:dyDescent="0.2">
      <c r="A9458" t="str">
        <f>"9457"</f>
        <v>9457</v>
      </c>
      <c r="B9458" t="str">
        <f>"-0.13"</f>
        <v>-0.13</v>
      </c>
      <c r="C9458" t="str">
        <f>"30"</f>
        <v>30</v>
      </c>
      <c r="D9458" t="str">
        <f>"Mutazione: Italian Electronic &amp; New Wave Underground 1980 - 1988"</f>
        <v>Mutazione: Italian Electronic &amp; New Wave Underground 1980 - 1988</v>
      </c>
    </row>
    <row r="9459" spans="1:4" x14ac:dyDescent="0.2">
      <c r="A9459" t="str">
        <f>"9458"</f>
        <v>9458</v>
      </c>
      <c r="B9459" t="str">
        <f>"0.1"</f>
        <v>0.1</v>
      </c>
      <c r="C9459" t="str">
        <f>"27"</f>
        <v>27</v>
      </c>
      <c r="D9459" t="str">
        <f>"Mark Kozelek and Desertshore"</f>
        <v>Mark Kozelek and Desertshore</v>
      </c>
    </row>
    <row r="9460" spans="1:4" x14ac:dyDescent="0.2">
      <c r="A9460" t="str">
        <f>"9459"</f>
        <v>9459</v>
      </c>
      <c r="B9460" t="str">
        <f>"0.8"</f>
        <v>0.8</v>
      </c>
      <c r="C9460" t="str">
        <f>"27"</f>
        <v>27</v>
      </c>
      <c r="D9460" t="str">
        <f>"To the Happy Few"</f>
        <v>To the Happy Few</v>
      </c>
    </row>
    <row r="9461" spans="1:4" x14ac:dyDescent="0.2">
      <c r="A9461" t="str">
        <f>"9460"</f>
        <v>9460</v>
      </c>
      <c r="B9461" t="str">
        <f>"-0.13"</f>
        <v>-0.13</v>
      </c>
      <c r="C9461" t="str">
        <f>"44"</f>
        <v>44</v>
      </c>
      <c r="D9461" t="str">
        <f>"The Word As Power"</f>
        <v>The Word As Power</v>
      </c>
    </row>
    <row r="9462" spans="1:4" x14ac:dyDescent="0.2">
      <c r="A9462" t="str">
        <f>"9461"</f>
        <v>9461</v>
      </c>
      <c r="B9462" t="str">
        <f>"-0.74"</f>
        <v>-0.74</v>
      </c>
      <c r="C9462" t="str">
        <f>"27"</f>
        <v>27</v>
      </c>
      <c r="D9462" t="str">
        <f>"The Affliction"</f>
        <v>The Affliction</v>
      </c>
    </row>
    <row r="9463" spans="1:4" x14ac:dyDescent="0.2">
      <c r="A9463" t="str">
        <f>"9462"</f>
        <v>9462</v>
      </c>
      <c r="B9463" t="str">
        <f>"1.7"</f>
        <v>1.7</v>
      </c>
      <c r="C9463" t="str">
        <f>"24"</f>
        <v>24</v>
      </c>
      <c r="D9463" t="str">
        <f>"Waterdrawn"</f>
        <v>Waterdrawn</v>
      </c>
    </row>
    <row r="9464" spans="1:4" x14ac:dyDescent="0.2">
      <c r="A9464" t="str">
        <f>"9463"</f>
        <v>9463</v>
      </c>
      <c r="B9464" t="str">
        <f>"0.77"</f>
        <v>0.77</v>
      </c>
      <c r="C9464" t="str">
        <f>"38"</f>
        <v>38</v>
      </c>
      <c r="D9464" t="str">
        <f>"Paracosm"</f>
        <v>Paracosm</v>
      </c>
    </row>
    <row r="9465" spans="1:4" x14ac:dyDescent="0.2">
      <c r="A9465" t="str">
        <f>"9464"</f>
        <v>9464</v>
      </c>
      <c r="B9465" t="str">
        <f>"-0.54"</f>
        <v>-0.54</v>
      </c>
      <c r="C9465" t="str">
        <f>"26"</f>
        <v>26</v>
      </c>
      <c r="D9465" t="str">
        <f>"Filthy EP"</f>
        <v>Filthy EP</v>
      </c>
    </row>
    <row r="9466" spans="1:4" x14ac:dyDescent="0.2">
      <c r="A9466" t="str">
        <f>"9465"</f>
        <v>9465</v>
      </c>
      <c r="B9466" t="str">
        <f>"0.37"</f>
        <v>0.37</v>
      </c>
      <c r="C9466" t="str">
        <f>"23"</f>
        <v>23</v>
      </c>
      <c r="D9466" t="str">
        <f>"Home"</f>
        <v>Home</v>
      </c>
    </row>
    <row r="9467" spans="1:4" x14ac:dyDescent="0.2">
      <c r="A9467" t="str">
        <f>"9466"</f>
        <v>9466</v>
      </c>
      <c r="B9467" t="str">
        <f>"0.03"</f>
        <v>0.03</v>
      </c>
      <c r="C9467" t="str">
        <f>"21"</f>
        <v>21</v>
      </c>
      <c r="D9467" t="str">
        <f>"Move Way EP"</f>
        <v>Move Way EP</v>
      </c>
    </row>
    <row r="9468" spans="1:4" x14ac:dyDescent="0.2">
      <c r="A9468" t="str">
        <f>"9467"</f>
        <v>9467</v>
      </c>
      <c r="B9468" t="str">
        <f>"0.26"</f>
        <v>0.26</v>
      </c>
      <c r="C9468" t="str">
        <f>"22"</f>
        <v>22</v>
      </c>
      <c r="D9468" t="str">
        <f>"Back on the Planet"</f>
        <v>Back on the Planet</v>
      </c>
    </row>
    <row r="9469" spans="1:4" x14ac:dyDescent="0.2">
      <c r="A9469" t="str">
        <f>"9468"</f>
        <v>9468</v>
      </c>
      <c r="B9469" t="str">
        <f>"-0.93"</f>
        <v>-0.93</v>
      </c>
      <c r="C9469" t="str">
        <f>"41"</f>
        <v>41</v>
      </c>
      <c r="D9469" t="str">
        <f>"Deformed Worship"</f>
        <v>Deformed Worship</v>
      </c>
    </row>
    <row r="9470" spans="1:4" x14ac:dyDescent="0.2">
      <c r="A9470" t="str">
        <f>"9469"</f>
        <v>9469</v>
      </c>
      <c r="B9470" t="str">
        <f>"0.72"</f>
        <v>0.72</v>
      </c>
      <c r="C9470" t="str">
        <f>"30"</f>
        <v>30</v>
      </c>
      <c r="D9470" t="str">
        <f>"Higher"</f>
        <v>Higher</v>
      </c>
    </row>
    <row r="9471" spans="1:4" x14ac:dyDescent="0.2">
      <c r="A9471" t="str">
        <f>"9470"</f>
        <v>9470</v>
      </c>
      <c r="B9471" t="str">
        <f>"0.71"</f>
        <v>0.71</v>
      </c>
      <c r="C9471" t="str">
        <f>"32"</f>
        <v>32</v>
      </c>
      <c r="D9471" t="str">
        <f>"Body Music"</f>
        <v>Body Music</v>
      </c>
    </row>
    <row r="9472" spans="1:4" x14ac:dyDescent="0.2">
      <c r="A9472" t="str">
        <f>"9471"</f>
        <v>9471</v>
      </c>
      <c r="B9472" t="str">
        <f>"0.84"</f>
        <v>0.84</v>
      </c>
      <c r="C9472" t="str">
        <f>"36"</f>
        <v>36</v>
      </c>
      <c r="D9472" t="str">
        <f>"Edward Sharpe &amp; the Magnetic Zeros"</f>
        <v>Edward Sharpe &amp; the Magnetic Zeros</v>
      </c>
    </row>
    <row r="9473" spans="1:4" x14ac:dyDescent="0.2">
      <c r="A9473" t="str">
        <f>"9472"</f>
        <v>9472</v>
      </c>
      <c r="B9473" t="str">
        <f>"0.32"</f>
        <v>0.32</v>
      </c>
      <c r="C9473" t="str">
        <f>"43"</f>
        <v>43</v>
      </c>
      <c r="D9473" t="str">
        <f>"Ritual Tradition Habit"</f>
        <v>Ritual Tradition Habit</v>
      </c>
    </row>
    <row r="9474" spans="1:4" x14ac:dyDescent="0.2">
      <c r="A9474" t="str">
        <f>"9473"</f>
        <v>9473</v>
      </c>
      <c r="B9474" t="str">
        <f>"-0.06"</f>
        <v>-0.06</v>
      </c>
      <c r="C9474" t="str">
        <f>"30"</f>
        <v>30</v>
      </c>
      <c r="D9474" t="str">
        <f>"Missing Monuments"</f>
        <v>Missing Monuments</v>
      </c>
    </row>
    <row r="9475" spans="1:4" x14ac:dyDescent="0.2">
      <c r="A9475" t="str">
        <f>"9474"</f>
        <v>9474</v>
      </c>
      <c r="B9475" t="str">
        <f>"0.73"</f>
        <v>0.73</v>
      </c>
      <c r="C9475" t="str">
        <f>"35"</f>
        <v>35</v>
      </c>
      <c r="D9475" t="str">
        <f>"The Nextwave Sessions"</f>
        <v>The Nextwave Sessions</v>
      </c>
    </row>
    <row r="9476" spans="1:4" x14ac:dyDescent="0.2">
      <c r="A9476" t="str">
        <f>"9475"</f>
        <v>9475</v>
      </c>
      <c r="B9476" t="str">
        <f>"0.62"</f>
        <v>0.62</v>
      </c>
      <c r="C9476" t="str">
        <f>"30"</f>
        <v>30</v>
      </c>
      <c r="D9476" t="str">
        <f>"Vehicle"</f>
        <v>Vehicle</v>
      </c>
    </row>
    <row r="9477" spans="1:4" x14ac:dyDescent="0.2">
      <c r="A9477" t="str">
        <f>"9476"</f>
        <v>9476</v>
      </c>
      <c r="B9477" t="str">
        <f>"0.73"</f>
        <v>0.73</v>
      </c>
      <c r="C9477" t="str">
        <f>"23"</f>
        <v>23</v>
      </c>
      <c r="D9477" t="str">
        <f>"80 Blocks From Tiffany's Pt. II"</f>
        <v>80 Blocks From Tiffany's Pt. II</v>
      </c>
    </row>
    <row r="9478" spans="1:4" x14ac:dyDescent="0.2">
      <c r="A9478" t="str">
        <f>"9477"</f>
        <v>9477</v>
      </c>
      <c r="B9478" t="str">
        <f>"0.61"</f>
        <v>0.61</v>
      </c>
      <c r="C9478" t="str">
        <f>"19"</f>
        <v>19</v>
      </c>
      <c r="D9478" t="str">
        <f>"All That I Hold Dear"</f>
        <v>All That I Hold Dear</v>
      </c>
    </row>
    <row r="9479" spans="1:4" x14ac:dyDescent="0.2">
      <c r="A9479" t="str">
        <f>"9478"</f>
        <v>9478</v>
      </c>
      <c r="B9479" t="str">
        <f>"0.1"</f>
        <v>0.1</v>
      </c>
      <c r="C9479" t="str">
        <f>"30"</f>
        <v>30</v>
      </c>
      <c r="D9479" t="str">
        <f>"Hammer of Night"</f>
        <v>Hammer of Night</v>
      </c>
    </row>
    <row r="9480" spans="1:4" x14ac:dyDescent="0.2">
      <c r="A9480" t="str">
        <f>"9479"</f>
        <v>9479</v>
      </c>
      <c r="B9480" t="str">
        <f>"-0.46"</f>
        <v>-0.46</v>
      </c>
      <c r="C9480" t="str">
        <f>"38"</f>
        <v>38</v>
      </c>
      <c r="D9480" t="str">
        <f>"Stop Pretending EP"</f>
        <v>Stop Pretending EP</v>
      </c>
    </row>
    <row r="9481" spans="1:4" x14ac:dyDescent="0.2">
      <c r="A9481" t="str">
        <f>"9480"</f>
        <v>9480</v>
      </c>
      <c r="B9481" t="str">
        <f>"-0.39"</f>
        <v>-0.39</v>
      </c>
      <c r="C9481" t="str">
        <f>"29"</f>
        <v>29</v>
      </c>
      <c r="D9481" t="str">
        <f>"Albert Einstein"</f>
        <v>Albert Einstein</v>
      </c>
    </row>
    <row r="9482" spans="1:4" x14ac:dyDescent="0.2">
      <c r="A9482" t="str">
        <f>"9481"</f>
        <v>9481</v>
      </c>
      <c r="B9482" t="str">
        <f>"0.71"</f>
        <v>0.71</v>
      </c>
      <c r="C9482" t="str">
        <f>"18"</f>
        <v>18</v>
      </c>
      <c r="D9482" t="str">
        <f>"Somerset Avenue Tracks (1992-1995)"</f>
        <v>Somerset Avenue Tracks (1992-1995)</v>
      </c>
    </row>
    <row r="9483" spans="1:4" x14ac:dyDescent="0.2">
      <c r="A9483" t="str">
        <f>"9482"</f>
        <v>9482</v>
      </c>
      <c r="B9483" t="str">
        <f>"0.34"</f>
        <v>0.34</v>
      </c>
      <c r="C9483" t="str">
        <f>"34"</f>
        <v>34</v>
      </c>
      <c r="D9483" t="str">
        <f>"Hobo Rocket"</f>
        <v>Hobo Rocket</v>
      </c>
    </row>
    <row r="9484" spans="1:4" x14ac:dyDescent="0.2">
      <c r="A9484" t="str">
        <f>"9483"</f>
        <v>9483</v>
      </c>
      <c r="B9484" t="str">
        <f>"-1.17"</f>
        <v>-1.17</v>
      </c>
      <c r="C9484" t="str">
        <f>"20"</f>
        <v>20</v>
      </c>
      <c r="D9484" t="str">
        <f>"Imps of Perversion"</f>
        <v>Imps of Perversion</v>
      </c>
    </row>
    <row r="9485" spans="1:4" x14ac:dyDescent="0.2">
      <c r="A9485" t="str">
        <f>"9484"</f>
        <v>9484</v>
      </c>
      <c r="B9485" t="str">
        <f>"-0.09"</f>
        <v>-0.09</v>
      </c>
      <c r="C9485" t="str">
        <f>"19"</f>
        <v>19</v>
      </c>
      <c r="D9485" t="str">
        <f>"Remixes"</f>
        <v>Remixes</v>
      </c>
    </row>
    <row r="9486" spans="1:4" x14ac:dyDescent="0.2">
      <c r="A9486" t="str">
        <f>"9485"</f>
        <v>9485</v>
      </c>
      <c r="B9486" t="str">
        <f>"-0.89"</f>
        <v>-0.89</v>
      </c>
      <c r="C9486" t="str">
        <f>"26"</f>
        <v>26</v>
      </c>
      <c r="D9486" t="str">
        <f>"Joke in the Hole"</f>
        <v>Joke in the Hole</v>
      </c>
    </row>
    <row r="9487" spans="1:4" x14ac:dyDescent="0.2">
      <c r="A9487" t="str">
        <f>"9486"</f>
        <v>9486</v>
      </c>
      <c r="B9487" t="str">
        <f>"0"</f>
        <v>0</v>
      </c>
      <c r="C9487" t="str">
        <f>"27"</f>
        <v>27</v>
      </c>
      <c r="D9487" t="str">
        <f>"Dysnomia"</f>
        <v>Dysnomia</v>
      </c>
    </row>
    <row r="9488" spans="1:4" x14ac:dyDescent="0.2">
      <c r="A9488" t="str">
        <f>"9487"</f>
        <v>9487</v>
      </c>
      <c r="B9488" t="str">
        <f>"-0.09"</f>
        <v>-0.09</v>
      </c>
      <c r="C9488" t="str">
        <f>"41"</f>
        <v>41</v>
      </c>
      <c r="D9488" t="str">
        <f>"The Complete LHI Recordings"</f>
        <v>The Complete LHI Recordings</v>
      </c>
    </row>
    <row r="9489" spans="1:4" x14ac:dyDescent="0.2">
      <c r="A9489" t="str">
        <f>"9488"</f>
        <v>9488</v>
      </c>
      <c r="B9489" t="str">
        <f>"-0.46"</f>
        <v>-0.46</v>
      </c>
      <c r="C9489" t="str">
        <f>"29"</f>
        <v>29</v>
      </c>
      <c r="D9489" t="str">
        <f>"Space Mirror"</f>
        <v>Space Mirror</v>
      </c>
    </row>
    <row r="9490" spans="1:4" x14ac:dyDescent="0.2">
      <c r="A9490" t="str">
        <f>"9489"</f>
        <v>9489</v>
      </c>
      <c r="B9490" t="str">
        <f>"1.35"</f>
        <v>1.35</v>
      </c>
      <c r="C9490" t="str">
        <f>"21"</f>
        <v>21</v>
      </c>
      <c r="D9490" t="str">
        <f>"Prince Avalanche OST"</f>
        <v>Prince Avalanche OST</v>
      </c>
    </row>
    <row r="9491" spans="1:4" x14ac:dyDescent="0.2">
      <c r="A9491" t="str">
        <f>"9490"</f>
        <v>9490</v>
      </c>
      <c r="B9491" t="str">
        <f>"0.14"</f>
        <v>0.14</v>
      </c>
      <c r="C9491" t="str">
        <f>"37"</f>
        <v>37</v>
      </c>
      <c r="D9491" t="str">
        <f>"The A&amp;R EP"</f>
        <v>The A&amp;R EP</v>
      </c>
    </row>
    <row r="9492" spans="1:4" x14ac:dyDescent="0.2">
      <c r="A9492" t="str">
        <f>"9491"</f>
        <v>9491</v>
      </c>
      <c r="B9492" t="str">
        <f>"-0.21"</f>
        <v>-0.21</v>
      </c>
      <c r="C9492" t="str">
        <f>"22"</f>
        <v>22</v>
      </c>
      <c r="D9492" t="str">
        <f>"Tides End"</f>
        <v>Tides End</v>
      </c>
    </row>
    <row r="9493" spans="1:4" x14ac:dyDescent="0.2">
      <c r="A9493" t="str">
        <f>"9492"</f>
        <v>9492</v>
      </c>
      <c r="B9493" t="str">
        <f>"0.49"</f>
        <v>0.49</v>
      </c>
      <c r="C9493" t="str">
        <f>"34"</f>
        <v>34</v>
      </c>
      <c r="D9493" t="str">
        <f>"Wassiac Way"</f>
        <v>Wassiac Way</v>
      </c>
    </row>
    <row r="9494" spans="1:4" x14ac:dyDescent="0.2">
      <c r="A9494" t="str">
        <f>"9493"</f>
        <v>9493</v>
      </c>
      <c r="B9494" t="str">
        <f>"0.09"</f>
        <v>0.09</v>
      </c>
      <c r="C9494" t="str">
        <f>"25"</f>
        <v>25</v>
      </c>
      <c r="D9494" t="str">
        <f>"Tempest"</f>
        <v>Tempest</v>
      </c>
    </row>
    <row r="9495" spans="1:4" x14ac:dyDescent="0.2">
      <c r="A9495" t="str">
        <f>"9494"</f>
        <v>9494</v>
      </c>
      <c r="B9495" t="str">
        <f>"0.39"</f>
        <v>0.39</v>
      </c>
      <c r="C9495" t="str">
        <f>"31"</f>
        <v>31</v>
      </c>
      <c r="D9495" t="str">
        <f>"Loftus"</f>
        <v>Loftus</v>
      </c>
    </row>
    <row r="9496" spans="1:4" x14ac:dyDescent="0.2">
      <c r="A9496" t="str">
        <f>"9495"</f>
        <v>9495</v>
      </c>
      <c r="B9496" t="str">
        <f>"-0.01"</f>
        <v>-0.01</v>
      </c>
      <c r="C9496" t="str">
        <f>"31"</f>
        <v>31</v>
      </c>
      <c r="D9496" t="str">
        <f>"Nanda Collection"</f>
        <v>Nanda Collection</v>
      </c>
    </row>
    <row r="9497" spans="1:4" x14ac:dyDescent="0.2">
      <c r="A9497" t="str">
        <f>"9496"</f>
        <v>9496</v>
      </c>
      <c r="B9497" t="str">
        <f>"1.26"</f>
        <v>1.26</v>
      </c>
      <c r="C9497" t="str">
        <f>"24"</f>
        <v>24</v>
      </c>
      <c r="D9497" t="str">
        <f>"Lenses"</f>
        <v>Lenses</v>
      </c>
    </row>
    <row r="9498" spans="1:4" x14ac:dyDescent="0.2">
      <c r="A9498" t="str">
        <f>"9497"</f>
        <v>9497</v>
      </c>
      <c r="B9498" t="str">
        <f>"-0.2"</f>
        <v>-0.2</v>
      </c>
      <c r="C9498" t="str">
        <f>"39"</f>
        <v>39</v>
      </c>
      <c r="D9498" t="str">
        <f>"Forestelevision"</f>
        <v>Forestelevision</v>
      </c>
    </row>
    <row r="9499" spans="1:4" x14ac:dyDescent="0.2">
      <c r="A9499" t="str">
        <f>"9498"</f>
        <v>9498</v>
      </c>
      <c r="B9499" t="str">
        <f>"-0.23"</f>
        <v>-0.23</v>
      </c>
      <c r="C9499" t="str">
        <f>"37"</f>
        <v>37</v>
      </c>
      <c r="D9499" t="str">
        <f>"You've Always Meant So Much to Me"</f>
        <v>You've Always Meant So Much to Me</v>
      </c>
    </row>
    <row r="9500" spans="1:4" x14ac:dyDescent="0.2">
      <c r="A9500" t="str">
        <f>"9499"</f>
        <v>9499</v>
      </c>
      <c r="B9500" t="str">
        <f>"-0.43"</f>
        <v>-0.43</v>
      </c>
      <c r="C9500" t="str">
        <f>"20"</f>
        <v>20</v>
      </c>
      <c r="D9500" t="str">
        <f>"II"</f>
        <v>II</v>
      </c>
    </row>
    <row r="9501" spans="1:4" x14ac:dyDescent="0.2">
      <c r="A9501" t="str">
        <f>"9500"</f>
        <v>9500</v>
      </c>
      <c r="B9501" t="str">
        <f>"0.84"</f>
        <v>0.84</v>
      </c>
      <c r="C9501" t="str">
        <f>"35"</f>
        <v>35</v>
      </c>
      <c r="D9501" t="str">
        <f>"Crystal World"</f>
        <v>Crystal World</v>
      </c>
    </row>
    <row r="9502" spans="1:4" x14ac:dyDescent="0.2">
      <c r="A9502" t="str">
        <f>"9501"</f>
        <v>9501</v>
      </c>
      <c r="B9502" t="str">
        <f>"0.46"</f>
        <v>0.46</v>
      </c>
      <c r="C9502" t="str">
        <f>"42"</f>
        <v>42</v>
      </c>
      <c r="D9502" t="str">
        <f>"Dawning"</f>
        <v>Dawning</v>
      </c>
    </row>
    <row r="9503" spans="1:4" x14ac:dyDescent="0.2">
      <c r="A9503" t="str">
        <f>"9502"</f>
        <v>9502</v>
      </c>
      <c r="B9503" t="str">
        <f>"-1.21"</f>
        <v>-1.21</v>
      </c>
      <c r="C9503" t="str">
        <f>"35"</f>
        <v>35</v>
      </c>
      <c r="D9503" t="str">
        <f>"Shadows"</f>
        <v>Shadows</v>
      </c>
    </row>
    <row r="9504" spans="1:4" x14ac:dyDescent="0.2">
      <c r="A9504" t="str">
        <f>"9503"</f>
        <v>9503</v>
      </c>
      <c r="B9504" t="str">
        <f>"0.33"</f>
        <v>0.33</v>
      </c>
      <c r="C9504" t="str">
        <f>"30"</f>
        <v>30</v>
      </c>
      <c r="D9504" t="str">
        <f>"Sleep of Reason"</f>
        <v>Sleep of Reason</v>
      </c>
    </row>
    <row r="9505" spans="1:4" x14ac:dyDescent="0.2">
      <c r="A9505" t="str">
        <f>"9504"</f>
        <v>9504</v>
      </c>
      <c r="B9505" t="str">
        <f>"-0.45"</f>
        <v>-0.45</v>
      </c>
      <c r="C9505" t="str">
        <f>"33"</f>
        <v>33</v>
      </c>
      <c r="D9505" t="str">
        <f>"The Night's Gambit"</f>
        <v>The Night's Gambit</v>
      </c>
    </row>
    <row r="9506" spans="1:4" x14ac:dyDescent="0.2">
      <c r="A9506" t="str">
        <f>"9505"</f>
        <v>9505</v>
      </c>
      <c r="B9506" t="str">
        <f>"-0.53"</f>
        <v>-0.53</v>
      </c>
      <c r="C9506" t="str">
        <f>"43"</f>
        <v>43</v>
      </c>
      <c r="D9506" t="str">
        <f>"Knots"</f>
        <v>Knots</v>
      </c>
    </row>
    <row r="9507" spans="1:4" x14ac:dyDescent="0.2">
      <c r="A9507" t="str">
        <f>"9506"</f>
        <v>9506</v>
      </c>
      <c r="B9507" t="str">
        <f>"-0.38"</f>
        <v>-0.38</v>
      </c>
      <c r="C9507" t="str">
        <f>"28"</f>
        <v>28</v>
      </c>
      <c r="D9507" t="str">
        <f>"Tiny Rebels"</f>
        <v>Tiny Rebels</v>
      </c>
    </row>
    <row r="9508" spans="1:4" x14ac:dyDescent="0.2">
      <c r="A9508" t="str">
        <f>"9507"</f>
        <v>9507</v>
      </c>
      <c r="B9508" t="str">
        <f>"0.28"</f>
        <v>0.28</v>
      </c>
      <c r="C9508" t="str">
        <f>"25"</f>
        <v>25</v>
      </c>
      <c r="D9508" t="str">
        <f>"PARTYNEXTDOOR"</f>
        <v>PARTYNEXTDOOR</v>
      </c>
    </row>
    <row r="9509" spans="1:4" x14ac:dyDescent="0.2">
      <c r="A9509" t="str">
        <f>"9508"</f>
        <v>9508</v>
      </c>
      <c r="B9509" t="str">
        <f>"0.08"</f>
        <v>0.08</v>
      </c>
      <c r="C9509" t="str">
        <f>"33"</f>
        <v>33</v>
      </c>
      <c r="D9509" t="str">
        <f>"Circumambulation"</f>
        <v>Circumambulation</v>
      </c>
    </row>
    <row r="9510" spans="1:4" x14ac:dyDescent="0.2">
      <c r="A9510" t="str">
        <f>"9509"</f>
        <v>9509</v>
      </c>
      <c r="B9510" t="str">
        <f>"-0.76"</f>
        <v>-0.76</v>
      </c>
      <c r="C9510" t="str">
        <f>"38"</f>
        <v>38</v>
      </c>
      <c r="D9510" t="str">
        <f>"Live at Maida Vale"</f>
        <v>Live at Maida Vale</v>
      </c>
    </row>
    <row r="9511" spans="1:4" x14ac:dyDescent="0.2">
      <c r="A9511" t="str">
        <f>"9510"</f>
        <v>9510</v>
      </c>
      <c r="B9511" t="str">
        <f>"-0.87"</f>
        <v>-0.87</v>
      </c>
      <c r="C9511" t="str">
        <f>"25"</f>
        <v>25</v>
      </c>
      <c r="D9511" t="str">
        <f>"The Argument"</f>
        <v>The Argument</v>
      </c>
    </row>
    <row r="9512" spans="1:4" x14ac:dyDescent="0.2">
      <c r="A9512" t="str">
        <f>"9511"</f>
        <v>9511</v>
      </c>
      <c r="B9512" t="str">
        <f>"1.42"</f>
        <v>1.42</v>
      </c>
      <c r="C9512" t="str">
        <f>"18"</f>
        <v>18</v>
      </c>
      <c r="D9512" t="str">
        <f>"Ruby Red"</f>
        <v>Ruby Red</v>
      </c>
    </row>
    <row r="9513" spans="1:4" x14ac:dyDescent="0.2">
      <c r="A9513" t="str">
        <f>"9512"</f>
        <v>9512</v>
      </c>
      <c r="B9513" t="str">
        <f>"-0.31"</f>
        <v>-0.31</v>
      </c>
      <c r="C9513" t="str">
        <f>"28"</f>
        <v>28</v>
      </c>
      <c r="D9513" t="str">
        <f>"Underworlds"</f>
        <v>Underworlds</v>
      </c>
    </row>
    <row r="9514" spans="1:4" x14ac:dyDescent="0.2">
      <c r="A9514" t="str">
        <f>"9513"</f>
        <v>9513</v>
      </c>
      <c r="B9514" t="str">
        <f>"-0.38"</f>
        <v>-0.38</v>
      </c>
      <c r="C9514" t="str">
        <f>"33"</f>
        <v>33</v>
      </c>
      <c r="D9514" t="str">
        <f>"Around"</f>
        <v>Around</v>
      </c>
    </row>
    <row r="9515" spans="1:4" x14ac:dyDescent="0.2">
      <c r="A9515" t="str">
        <f>"9514"</f>
        <v>9514</v>
      </c>
      <c r="B9515" t="str">
        <f>"-0.77"</f>
        <v>-0.77</v>
      </c>
      <c r="C9515" t="str">
        <f>"31"</f>
        <v>31</v>
      </c>
      <c r="D9515" t="str">
        <f>"Little Moments EP"</f>
        <v>Little Moments EP</v>
      </c>
    </row>
    <row r="9516" spans="1:4" x14ac:dyDescent="0.2">
      <c r="A9516" t="str">
        <f>"9515"</f>
        <v>9515</v>
      </c>
      <c r="B9516" t="str">
        <f>"-0.15"</f>
        <v>-0.15</v>
      </c>
      <c r="C9516" t="str">
        <f>"19"</f>
        <v>19</v>
      </c>
      <c r="D9516" t="str">
        <f>"Aerotropolis"</f>
        <v>Aerotropolis</v>
      </c>
    </row>
    <row r="9517" spans="1:4" x14ac:dyDescent="0.2">
      <c r="A9517" t="str">
        <f>"9516"</f>
        <v>9516</v>
      </c>
      <c r="B9517" t="str">
        <f>"1.11"</f>
        <v>1.11</v>
      </c>
      <c r="C9517" t="str">
        <f>"25"</f>
        <v>25</v>
      </c>
      <c r="D9517" t="str">
        <f>"Indigo Summer"</f>
        <v>Indigo Summer</v>
      </c>
    </row>
    <row r="9518" spans="1:4" x14ac:dyDescent="0.2">
      <c r="A9518" t="str">
        <f>"9517"</f>
        <v>9517</v>
      </c>
      <c r="B9518" t="str">
        <f>"-0.32"</f>
        <v>-0.32</v>
      </c>
      <c r="C9518" t="str">
        <f>"27"</f>
        <v>27</v>
      </c>
      <c r="D9518" t="str">
        <f>"In Search"</f>
        <v>In Search</v>
      </c>
    </row>
    <row r="9519" spans="1:4" x14ac:dyDescent="0.2">
      <c r="A9519" t="str">
        <f>"9518"</f>
        <v>9518</v>
      </c>
      <c r="B9519" t="str">
        <f>"-0.28"</f>
        <v>-0.28</v>
      </c>
      <c r="C9519" t="str">
        <f>"27"</f>
        <v>27</v>
      </c>
      <c r="D9519" t="str">
        <f>"Stranger Than Fiction"</f>
        <v>Stranger Than Fiction</v>
      </c>
    </row>
    <row r="9520" spans="1:4" x14ac:dyDescent="0.2">
      <c r="A9520" t="str">
        <f>"9519"</f>
        <v>9519</v>
      </c>
      <c r="B9520" t="str">
        <f>"0.12"</f>
        <v>0.12</v>
      </c>
      <c r="C9520" t="str">
        <f>"40"</f>
        <v>40</v>
      </c>
      <c r="D9520" t="str">
        <f>"Partygoing"</f>
        <v>Partygoing</v>
      </c>
    </row>
    <row r="9521" spans="1:4" x14ac:dyDescent="0.2">
      <c r="A9521" t="str">
        <f>"9520"</f>
        <v>9520</v>
      </c>
      <c r="B9521" t="str">
        <f>"0.76"</f>
        <v>0.76</v>
      </c>
      <c r="C9521" t="str">
        <f>"20"</f>
        <v>20</v>
      </c>
      <c r="D9521" t="str">
        <f>"Sunken"</f>
        <v>Sunken</v>
      </c>
    </row>
    <row r="9522" spans="1:4" x14ac:dyDescent="0.2">
      <c r="A9522" t="str">
        <f>"9521"</f>
        <v>9521</v>
      </c>
      <c r="B9522" t="str">
        <f>"0.15"</f>
        <v>0.15</v>
      </c>
      <c r="C9522" t="str">
        <f>"23"</f>
        <v>23</v>
      </c>
      <c r="D9522" t="str">
        <f>"Nothing Hype"</f>
        <v>Nothing Hype</v>
      </c>
    </row>
    <row r="9523" spans="1:4" x14ac:dyDescent="0.2">
      <c r="A9523" t="str">
        <f>"9522"</f>
        <v>9522</v>
      </c>
      <c r="B9523" t="str">
        <f>"0.77"</f>
        <v>0.77</v>
      </c>
      <c r="C9523" t="str">
        <f>"29"</f>
        <v>29</v>
      </c>
      <c r="D9523" t="str">
        <f>"High Beams EP"</f>
        <v>High Beams EP</v>
      </c>
    </row>
    <row r="9524" spans="1:4" x14ac:dyDescent="0.2">
      <c r="A9524" t="str">
        <f>"9523"</f>
        <v>9523</v>
      </c>
      <c r="B9524" t="str">
        <f>"0.45"</f>
        <v>0.45</v>
      </c>
      <c r="C9524" t="str">
        <f>"31"</f>
        <v>31</v>
      </c>
      <c r="D9524" t="str">
        <f>"Jinx"</f>
        <v>Jinx</v>
      </c>
    </row>
    <row r="9525" spans="1:4" x14ac:dyDescent="0.2">
      <c r="A9525" t="str">
        <f>"9524"</f>
        <v>9524</v>
      </c>
      <c r="B9525" t="str">
        <f>"-0.74"</f>
        <v>-0.74</v>
      </c>
      <c r="C9525" t="str">
        <f>"19"</f>
        <v>19</v>
      </c>
      <c r="D9525" t="str">
        <f>"Fantasy"</f>
        <v>Fantasy</v>
      </c>
    </row>
    <row r="9526" spans="1:4" x14ac:dyDescent="0.2">
      <c r="A9526" t="str">
        <f>"9525"</f>
        <v>9525</v>
      </c>
      <c r="B9526" t="str">
        <f>"-0.51"</f>
        <v>-0.51</v>
      </c>
      <c r="C9526" t="str">
        <f>"37"</f>
        <v>37</v>
      </c>
      <c r="D9526" t="str">
        <f>"Love Your Dum and Mad"</f>
        <v>Love Your Dum and Mad</v>
      </c>
    </row>
    <row r="9527" spans="1:4" x14ac:dyDescent="0.2">
      <c r="A9527" t="str">
        <f>"9526"</f>
        <v>9526</v>
      </c>
      <c r="B9527" t="str">
        <f>"-0.1"</f>
        <v>-0.1</v>
      </c>
      <c r="C9527" t="str">
        <f>"22"</f>
        <v>22</v>
      </c>
      <c r="D9527" t="str">
        <f>"Vivid Green"</f>
        <v>Vivid Green</v>
      </c>
    </row>
    <row r="9528" spans="1:4" x14ac:dyDescent="0.2">
      <c r="A9528" t="str">
        <f>"9527"</f>
        <v>9527</v>
      </c>
      <c r="B9528" t="str">
        <f>"-0.85"</f>
        <v>-0.85</v>
      </c>
      <c r="C9528" t="str">
        <f>"31"</f>
        <v>31</v>
      </c>
      <c r="D9528" t="str">
        <f>"Our Own Masters"</f>
        <v>Our Own Masters</v>
      </c>
    </row>
    <row r="9529" spans="1:4" x14ac:dyDescent="0.2">
      <c r="A9529" t="str">
        <f>"9528"</f>
        <v>9528</v>
      </c>
      <c r="B9529" t="str">
        <f>"0.1"</f>
        <v>0.1</v>
      </c>
      <c r="C9529" t="str">
        <f>"32"</f>
        <v>32</v>
      </c>
      <c r="D9529" t="str">
        <f>"Melbourne"</f>
        <v>Melbourne</v>
      </c>
    </row>
    <row r="9530" spans="1:4" x14ac:dyDescent="0.2">
      <c r="A9530" t="str">
        <f>"9529"</f>
        <v>9529</v>
      </c>
      <c r="B9530" t="str">
        <f>"0.69"</f>
        <v>0.69</v>
      </c>
      <c r="C9530" t="str">
        <f>"34"</f>
        <v>34</v>
      </c>
      <c r="D9530" t="str">
        <f>"Street Punk"</f>
        <v>Street Punk</v>
      </c>
    </row>
    <row r="9531" spans="1:4" x14ac:dyDescent="0.2">
      <c r="A9531" t="str">
        <f>"9530"</f>
        <v>9530</v>
      </c>
      <c r="B9531" t="str">
        <f>"0.33"</f>
        <v>0.33</v>
      </c>
      <c r="C9531" t="str">
        <f>"34"</f>
        <v>34</v>
      </c>
      <c r="D9531" t="str">
        <f>"Palms"</f>
        <v>Palms</v>
      </c>
    </row>
    <row r="9532" spans="1:4" x14ac:dyDescent="0.2">
      <c r="A9532" t="str">
        <f>"9531"</f>
        <v>9531</v>
      </c>
      <c r="B9532" t="str">
        <f>"-0.59"</f>
        <v>-0.59</v>
      </c>
      <c r="C9532" t="str">
        <f>"41"</f>
        <v>41</v>
      </c>
      <c r="D9532" t="str">
        <f>"Return to Annihilation"</f>
        <v>Return to Annihilation</v>
      </c>
    </row>
    <row r="9533" spans="1:4" x14ac:dyDescent="0.2">
      <c r="A9533" t="str">
        <f>"9532"</f>
        <v>9532</v>
      </c>
      <c r="B9533" t="str">
        <f>"0.24"</f>
        <v>0.24</v>
      </c>
      <c r="C9533" t="str">
        <f>"27"</f>
        <v>27</v>
      </c>
      <c r="D9533" t="str">
        <f>"The Bardo Story"</f>
        <v>The Bardo Story</v>
      </c>
    </row>
    <row r="9534" spans="1:4" x14ac:dyDescent="0.2">
      <c r="A9534" t="str">
        <f>"9533"</f>
        <v>9533</v>
      </c>
      <c r="B9534" t="str">
        <f>"-0.17"</f>
        <v>-0.17</v>
      </c>
      <c r="C9534" t="str">
        <f>"48"</f>
        <v>48</v>
      </c>
      <c r="D9534" t="str">
        <f>"All Hail West Texas"</f>
        <v>All Hail West Texas</v>
      </c>
    </row>
    <row r="9535" spans="1:4" x14ac:dyDescent="0.2">
      <c r="A9535" t="str">
        <f>"9534"</f>
        <v>9534</v>
      </c>
      <c r="B9535" t="str">
        <f>"0.52"</f>
        <v>0.52</v>
      </c>
      <c r="C9535" t="str">
        <f>"22"</f>
        <v>22</v>
      </c>
      <c r="D9535" t="str">
        <f>"Electric"</f>
        <v>Electric</v>
      </c>
    </row>
    <row r="9536" spans="1:4" x14ac:dyDescent="0.2">
      <c r="A9536" t="str">
        <f>"9535"</f>
        <v>9535</v>
      </c>
      <c r="B9536" t="str">
        <f>"1.72"</f>
        <v>1.72</v>
      </c>
      <c r="C9536" t="str">
        <f>"36"</f>
        <v>36</v>
      </c>
      <c r="D9536" t="str">
        <f>"Love Is the Law"</f>
        <v>Love Is the Law</v>
      </c>
    </row>
    <row r="9537" spans="1:4" x14ac:dyDescent="0.2">
      <c r="A9537" t="str">
        <f>"9536"</f>
        <v>9536</v>
      </c>
      <c r="B9537" t="str">
        <f>"1.26"</f>
        <v>1.26</v>
      </c>
      <c r="C9537" t="str">
        <f>"24"</f>
        <v>24</v>
      </c>
      <c r="D9537" t="str">
        <f>"Destruction in Yr Soul"</f>
        <v>Destruction in Yr Soul</v>
      </c>
    </row>
    <row r="9538" spans="1:4" x14ac:dyDescent="0.2">
      <c r="A9538" t="str">
        <f>"9537"</f>
        <v>9537</v>
      </c>
      <c r="B9538" t="str">
        <f>"-0.02"</f>
        <v>-0.02</v>
      </c>
      <c r="C9538" t="str">
        <f>"21"</f>
        <v>21</v>
      </c>
      <c r="D9538" t="s">
        <v>300</v>
      </c>
    </row>
    <row r="9539" spans="1:4" x14ac:dyDescent="0.2">
      <c r="A9539" t="str">
        <f>"9538"</f>
        <v>9538</v>
      </c>
      <c r="B9539" t="str">
        <f>"-1.04"</f>
        <v>-1.04</v>
      </c>
      <c r="C9539" t="str">
        <f>"35"</f>
        <v>35</v>
      </c>
      <c r="D9539" t="str">
        <f>"Slow Focus"</f>
        <v>Slow Focus</v>
      </c>
    </row>
    <row r="9540" spans="1:4" x14ac:dyDescent="0.2">
      <c r="A9540" t="str">
        <f>"9539"</f>
        <v>9539</v>
      </c>
      <c r="B9540" t="str">
        <f>"1.46"</f>
        <v>1.46</v>
      </c>
      <c r="C9540" t="str">
        <f>"23"</f>
        <v>23</v>
      </c>
      <c r="D9540" t="str">
        <f>"Chewed Corners"</f>
        <v>Chewed Corners</v>
      </c>
    </row>
    <row r="9541" spans="1:4" x14ac:dyDescent="0.2">
      <c r="A9541" t="str">
        <f>"9540"</f>
        <v>9540</v>
      </c>
      <c r="B9541" t="str">
        <f>"0.59"</f>
        <v>0.59</v>
      </c>
      <c r="C9541" t="str">
        <f>"35"</f>
        <v>35</v>
      </c>
      <c r="D9541" t="str">
        <f>"Tiden"</f>
        <v>Tiden</v>
      </c>
    </row>
    <row r="9542" spans="1:4" x14ac:dyDescent="0.2">
      <c r="A9542" t="str">
        <f>"9541"</f>
        <v>9541</v>
      </c>
      <c r="B9542" t="str">
        <f>"0.3"</f>
        <v>0.3</v>
      </c>
      <c r="C9542" t="str">
        <f>"33"</f>
        <v>33</v>
      </c>
      <c r="D9542" t="str">
        <f>"Rebellion Hymns"</f>
        <v>Rebellion Hymns</v>
      </c>
    </row>
    <row r="9543" spans="1:4" x14ac:dyDescent="0.2">
      <c r="A9543" t="str">
        <f>"9542"</f>
        <v>9542</v>
      </c>
      <c r="B9543" t="str">
        <f>"0.28"</f>
        <v>0.28</v>
      </c>
      <c r="C9543" t="str">
        <f>"32"</f>
        <v>32</v>
      </c>
      <c r="D9543" t="str">
        <f>"Ghil"</f>
        <v>Ghil</v>
      </c>
    </row>
    <row r="9544" spans="1:4" x14ac:dyDescent="0.2">
      <c r="A9544" t="str">
        <f>"9543"</f>
        <v>9543</v>
      </c>
      <c r="B9544" t="str">
        <f>"0.53"</f>
        <v>0.53</v>
      </c>
      <c r="C9544" t="str">
        <f>"76"</f>
        <v>76</v>
      </c>
      <c r="D9544" t="str">
        <f>"The Aeroplane Flies High"</f>
        <v>The Aeroplane Flies High</v>
      </c>
    </row>
    <row r="9545" spans="1:4" x14ac:dyDescent="0.2">
      <c r="A9545" t="str">
        <f>"9544"</f>
        <v>9544</v>
      </c>
      <c r="B9545" t="str">
        <f>"1.39"</f>
        <v>1.39</v>
      </c>
      <c r="C9545" t="str">
        <f>"32"</f>
        <v>32</v>
      </c>
      <c r="D9545" t="str">
        <f>"Dear Mark J Mulcahy I Love You"</f>
        <v>Dear Mark J Mulcahy I Love You</v>
      </c>
    </row>
    <row r="9546" spans="1:4" x14ac:dyDescent="0.2">
      <c r="A9546" t="str">
        <f>"9545"</f>
        <v>9545</v>
      </c>
      <c r="B9546" t="str">
        <f>"-0.05"</f>
        <v>-0.05</v>
      </c>
      <c r="C9546" t="str">
        <f>"32"</f>
        <v>32</v>
      </c>
      <c r="D9546" t="str">
        <f>"Tonight You Look Like a Spider"</f>
        <v>Tonight You Look Like a Spider</v>
      </c>
    </row>
    <row r="9547" spans="1:4" x14ac:dyDescent="0.2">
      <c r="A9547" t="str">
        <f>"9546"</f>
        <v>9546</v>
      </c>
      <c r="B9547" t="str">
        <f>"0.55"</f>
        <v>0.55</v>
      </c>
      <c r="C9547" t="str">
        <f>"32"</f>
        <v>32</v>
      </c>
      <c r="D9547" t="str">
        <f>"Celestial Soul Portrait"</f>
        <v>Celestial Soul Portrait</v>
      </c>
    </row>
    <row r="9548" spans="1:4" x14ac:dyDescent="0.2">
      <c r="A9548" t="str">
        <f>"9547"</f>
        <v>9547</v>
      </c>
      <c r="B9548" t="str">
        <f>"0.55"</f>
        <v>0.55</v>
      </c>
      <c r="C9548" t="str">
        <f>"34"</f>
        <v>34</v>
      </c>
      <c r="D9548" t="str">
        <f>"Deceiver of the Gods"</f>
        <v>Deceiver of the Gods</v>
      </c>
    </row>
    <row r="9549" spans="1:4" x14ac:dyDescent="0.2">
      <c r="A9549" t="str">
        <f>"9548"</f>
        <v>9548</v>
      </c>
      <c r="B9549" t="str">
        <f>"-0.57"</f>
        <v>-0.57</v>
      </c>
      <c r="C9549" t="str">
        <f>"38"</f>
        <v>38</v>
      </c>
      <c r="D9549" t="str">
        <f>"Nocturnes"</f>
        <v>Nocturnes</v>
      </c>
    </row>
    <row r="9550" spans="1:4" x14ac:dyDescent="0.2">
      <c r="A9550" t="str">
        <f>"9549"</f>
        <v>9549</v>
      </c>
      <c r="B9550" t="str">
        <f>"0.55"</f>
        <v>0.55</v>
      </c>
      <c r="C9550" t="str">
        <f>"30"</f>
        <v>30</v>
      </c>
      <c r="D9550" t="str">
        <f>"Where Does This Door Go"</f>
        <v>Where Does This Door Go</v>
      </c>
    </row>
    <row r="9551" spans="1:4" x14ac:dyDescent="0.2">
      <c r="A9551" t="str">
        <f>"9550"</f>
        <v>9550</v>
      </c>
      <c r="B9551" t="str">
        <f>"0.1"</f>
        <v>0.1</v>
      </c>
      <c r="C9551" t="str">
        <f>"35"</f>
        <v>35</v>
      </c>
      <c r="D9551" t="str">
        <f>"Beach House 2"</f>
        <v>Beach House 2</v>
      </c>
    </row>
    <row r="9552" spans="1:4" x14ac:dyDescent="0.2">
      <c r="A9552" t="str">
        <f>"9551"</f>
        <v>9551</v>
      </c>
      <c r="B9552" t="str">
        <f>"0.02"</f>
        <v>0.02</v>
      </c>
      <c r="C9552" t="str">
        <f>"24"</f>
        <v>24</v>
      </c>
      <c r="D9552" t="str">
        <f>"About Farewell"</f>
        <v>About Farewell</v>
      </c>
    </row>
    <row r="9553" spans="1:4" x14ac:dyDescent="0.2">
      <c r="A9553" t="str">
        <f>"9552"</f>
        <v>9552</v>
      </c>
      <c r="B9553" t="str">
        <f>"-1.06"</f>
        <v>-1.06</v>
      </c>
      <c r="C9553" t="str">
        <f>"27"</f>
        <v>27</v>
      </c>
      <c r="D9553" t="str">
        <f>"Human Overdose"</f>
        <v>Human Overdose</v>
      </c>
    </row>
    <row r="9554" spans="1:4" x14ac:dyDescent="0.2">
      <c r="A9554" t="str">
        <f>"9553"</f>
        <v>9553</v>
      </c>
      <c r="B9554" t="str">
        <f>"-1.19"</f>
        <v>-1.19</v>
      </c>
      <c r="C9554" t="str">
        <f>"62"</f>
        <v>62</v>
      </c>
      <c r="D9554" t="str">
        <f>"Andy and His Grandmother"</f>
        <v>Andy and His Grandmother</v>
      </c>
    </row>
    <row r="9555" spans="1:4" x14ac:dyDescent="0.2">
      <c r="A9555" t="str">
        <f>"9554"</f>
        <v>9554</v>
      </c>
      <c r="B9555" t="str">
        <f>"0.06"</f>
        <v>0.06</v>
      </c>
      <c r="C9555" t="str">
        <f>"17"</f>
        <v>17</v>
      </c>
      <c r="D9555" t="str">
        <f>"Evolution"</f>
        <v>Evolution</v>
      </c>
    </row>
    <row r="9556" spans="1:4" x14ac:dyDescent="0.2">
      <c r="A9556" t="str">
        <f>"9555"</f>
        <v>9555</v>
      </c>
      <c r="B9556" t="str">
        <f>"0.29"</f>
        <v>0.29</v>
      </c>
      <c r="C9556" t="str">
        <f>"24"</f>
        <v>24</v>
      </c>
      <c r="D9556" t="str">
        <f>"Stills"</f>
        <v>Stills</v>
      </c>
    </row>
    <row r="9557" spans="1:4" x14ac:dyDescent="0.2">
      <c r="A9557" t="str">
        <f>"9556"</f>
        <v>9556</v>
      </c>
      <c r="B9557" t="str">
        <f>"-0.49"</f>
        <v>-0.49</v>
      </c>
      <c r="C9557" t="str">
        <f>"40"</f>
        <v>40</v>
      </c>
      <c r="D9557" t="str">
        <f>"Unreal"</f>
        <v>Unreal</v>
      </c>
    </row>
    <row r="9558" spans="1:4" x14ac:dyDescent="0.2">
      <c r="A9558" t="str">
        <f>"9557"</f>
        <v>9557</v>
      </c>
      <c r="B9558" t="str">
        <f>"-0.01"</f>
        <v>-0.01</v>
      </c>
      <c r="C9558" t="str">
        <f>"29"</f>
        <v>29</v>
      </c>
      <c r="D9558" t="str">
        <f>"Planta"</f>
        <v>Planta</v>
      </c>
    </row>
    <row r="9559" spans="1:4" x14ac:dyDescent="0.2">
      <c r="A9559" t="str">
        <f>"9558"</f>
        <v>9558</v>
      </c>
      <c r="B9559" t="str">
        <f>"1.71"</f>
        <v>1.71</v>
      </c>
      <c r="C9559" t="str">
        <f>"23"</f>
        <v>23</v>
      </c>
      <c r="D9559" t="str">
        <f>"Good God! Aprocryphal Hymns"</f>
        <v>Good God! Aprocryphal Hymns</v>
      </c>
    </row>
    <row r="9560" spans="1:4" x14ac:dyDescent="0.2">
      <c r="A9560" t="str">
        <f>"9559"</f>
        <v>9559</v>
      </c>
      <c r="B9560" t="str">
        <f>"-0.17"</f>
        <v>-0.17</v>
      </c>
      <c r="C9560" t="str">
        <f>"48"</f>
        <v>48</v>
      </c>
      <c r="D9560" t="str">
        <f>"Nothing Can Hurt Me"</f>
        <v>Nothing Can Hurt Me</v>
      </c>
    </row>
    <row r="9561" spans="1:4" x14ac:dyDescent="0.2">
      <c r="A9561" t="str">
        <f>"9560"</f>
        <v>9560</v>
      </c>
      <c r="B9561" t="str">
        <f>"0.24"</f>
        <v>0.24</v>
      </c>
      <c r="C9561" t="str">
        <f>"35"</f>
        <v>35</v>
      </c>
      <c r="D9561" t="str">
        <f>"Home Life"</f>
        <v>Home Life</v>
      </c>
    </row>
    <row r="9562" spans="1:4" x14ac:dyDescent="0.2">
      <c r="A9562" t="str">
        <f>"9561"</f>
        <v>9561</v>
      </c>
      <c r="B9562" t="str">
        <f>"0.51"</f>
        <v>0.51</v>
      </c>
      <c r="C9562" t="str">
        <f>"32"</f>
        <v>32</v>
      </c>
      <c r="D9562" t="str">
        <f>"Crisis"</f>
        <v>Crisis</v>
      </c>
    </row>
    <row r="9563" spans="1:4" x14ac:dyDescent="0.2">
      <c r="A9563" t="str">
        <f>"9562"</f>
        <v>9562</v>
      </c>
      <c r="B9563" t="str">
        <f>"-0.15"</f>
        <v>-0.15</v>
      </c>
      <c r="C9563" t="str">
        <f>"24"</f>
        <v>24</v>
      </c>
      <c r="D9563" t="str">
        <f>"I Want You to Destroy Me"</f>
        <v>I Want You to Destroy Me</v>
      </c>
    </row>
    <row r="9564" spans="1:4" x14ac:dyDescent="0.2">
      <c r="A9564" t="str">
        <f>"9563"</f>
        <v>9563</v>
      </c>
      <c r="B9564" t="str">
        <f>"0.31"</f>
        <v>0.31</v>
      </c>
      <c r="C9564" t="str">
        <f>"50"</f>
        <v>50</v>
      </c>
      <c r="D9564" t="s">
        <v>301</v>
      </c>
    </row>
    <row r="9565" spans="1:4" x14ac:dyDescent="0.2">
      <c r="A9565" t="str">
        <f>"9564"</f>
        <v>9564</v>
      </c>
      <c r="B9565" t="str">
        <f>"-0.18"</f>
        <v>-0.18</v>
      </c>
      <c r="C9565" t="str">
        <f>"35"</f>
        <v>35</v>
      </c>
      <c r="D9565" t="str">
        <f>"The Big Dream"</f>
        <v>The Big Dream</v>
      </c>
    </row>
    <row r="9566" spans="1:4" x14ac:dyDescent="0.2">
      <c r="A9566" t="str">
        <f>"9565"</f>
        <v>9565</v>
      </c>
      <c r="B9566" t="str">
        <f>"-0.97"</f>
        <v>-0.97</v>
      </c>
      <c r="C9566" t="str">
        <f>"41"</f>
        <v>41</v>
      </c>
      <c r="D9566" t="str">
        <f>"Hardcore Volume 1"</f>
        <v>Hardcore Volume 1</v>
      </c>
    </row>
    <row r="9567" spans="1:4" x14ac:dyDescent="0.2">
      <c r="A9567" t="str">
        <f>"9566"</f>
        <v>9566</v>
      </c>
      <c r="B9567" t="str">
        <f>"1.12"</f>
        <v>1.12</v>
      </c>
      <c r="C9567" t="str">
        <f>"34"</f>
        <v>34</v>
      </c>
      <c r="D9567" t="str">
        <f>"Music for Objects EP"</f>
        <v>Music for Objects EP</v>
      </c>
    </row>
    <row r="9568" spans="1:4" x14ac:dyDescent="0.2">
      <c r="A9568" t="str">
        <f>"9567"</f>
        <v>9567</v>
      </c>
      <c r="B9568" t="str">
        <f>"0.46"</f>
        <v>0.46</v>
      </c>
      <c r="C9568" t="str">
        <f>"38"</f>
        <v>38</v>
      </c>
      <c r="D9568" t="str">
        <f>"Humble Hustle 2"</f>
        <v>Humble Hustle 2</v>
      </c>
    </row>
    <row r="9569" spans="1:4" x14ac:dyDescent="0.2">
      <c r="A9569" t="str">
        <f>"9568"</f>
        <v>9568</v>
      </c>
      <c r="B9569" t="str">
        <f>"0.42"</f>
        <v>0.42</v>
      </c>
      <c r="C9569" t="str">
        <f>"28"</f>
        <v>28</v>
      </c>
      <c r="D9569" t="str">
        <f>"Tarot"</f>
        <v>Tarot</v>
      </c>
    </row>
    <row r="9570" spans="1:4" x14ac:dyDescent="0.2">
      <c r="A9570" t="str">
        <f>"9569"</f>
        <v>9569</v>
      </c>
      <c r="B9570" t="str">
        <f>"0.86"</f>
        <v>0.86</v>
      </c>
      <c r="C9570" t="str">
        <f>"30"</f>
        <v>30</v>
      </c>
      <c r="D9570" t="str">
        <f>"Major Arcana"</f>
        <v>Major Arcana</v>
      </c>
    </row>
    <row r="9571" spans="1:4" x14ac:dyDescent="0.2">
      <c r="A9571" t="str">
        <f>"9570"</f>
        <v>9570</v>
      </c>
      <c r="B9571" t="str">
        <f>"-0.84"</f>
        <v>-0.84</v>
      </c>
      <c r="C9571" t="str">
        <f>"32"</f>
        <v>32</v>
      </c>
      <c r="D9571" t="str">
        <f>"Summer Knights"</f>
        <v>Summer Knights</v>
      </c>
    </row>
    <row r="9572" spans="1:4" x14ac:dyDescent="0.2">
      <c r="A9572" t="str">
        <f>"9571"</f>
        <v>9571</v>
      </c>
      <c r="B9572" t="str">
        <f>"0.2"</f>
        <v>0.2</v>
      </c>
      <c r="C9572" t="str">
        <f>"38"</f>
        <v>38</v>
      </c>
      <c r="D9572" t="str">
        <f>"Bass Drum of Death"</f>
        <v>Bass Drum of Death</v>
      </c>
    </row>
    <row r="9573" spans="1:4" x14ac:dyDescent="0.2">
      <c r="A9573" t="str">
        <f>"9572"</f>
        <v>9572</v>
      </c>
      <c r="B9573" t="str">
        <f>"0.36"</f>
        <v>0.36</v>
      </c>
      <c r="C9573" t="str">
        <f>"27"</f>
        <v>27</v>
      </c>
      <c r="D9573" t="str">
        <f>"Time Off"</f>
        <v>Time Off</v>
      </c>
    </row>
    <row r="9574" spans="1:4" x14ac:dyDescent="0.2">
      <c r="A9574" t="str">
        <f>"9573"</f>
        <v>9573</v>
      </c>
      <c r="B9574" t="str">
        <f>"0.48"</f>
        <v>0.48</v>
      </c>
      <c r="C9574" t="str">
        <f>"33"</f>
        <v>33</v>
      </c>
      <c r="D9574" t="str">
        <f>"Old Mornings Dawn"</f>
        <v>Old Mornings Dawn</v>
      </c>
    </row>
    <row r="9575" spans="1:4" x14ac:dyDescent="0.2">
      <c r="A9575" t="str">
        <f>"9574"</f>
        <v>9574</v>
      </c>
      <c r="B9575" t="str">
        <f>"1.36"</f>
        <v>1.36</v>
      </c>
      <c r="C9575" t="str">
        <f>"29"</f>
        <v>29</v>
      </c>
      <c r="D9575" t="str">
        <f>"Ciara"</f>
        <v>Ciara</v>
      </c>
    </row>
    <row r="9576" spans="1:4" x14ac:dyDescent="0.2">
      <c r="A9576" t="str">
        <f>"9575"</f>
        <v>9575</v>
      </c>
      <c r="B9576" t="str">
        <f>"1.32"</f>
        <v>1.32</v>
      </c>
      <c r="C9576" t="str">
        <f>"31"</f>
        <v>31</v>
      </c>
      <c r="D9576" t="str">
        <f>"Late Night Tales"</f>
        <v>Late Night Tales</v>
      </c>
    </row>
    <row r="9577" spans="1:4" x14ac:dyDescent="0.2">
      <c r="A9577" t="str">
        <f>"9576"</f>
        <v>9576</v>
      </c>
      <c r="B9577" t="str">
        <f>"-0.42"</f>
        <v>-0.42</v>
      </c>
      <c r="C9577" t="str">
        <f>"41"</f>
        <v>41</v>
      </c>
      <c r="D9577" t="str">
        <f>"Embracism"</f>
        <v>Embracism</v>
      </c>
    </row>
    <row r="9578" spans="1:4" x14ac:dyDescent="0.2">
      <c r="A9578" t="str">
        <f>"9577"</f>
        <v>9577</v>
      </c>
      <c r="B9578" t="str">
        <f>"-0.45"</f>
        <v>-0.45</v>
      </c>
      <c r="C9578" t="str">
        <f>"40"</f>
        <v>40</v>
      </c>
      <c r="D9578" t="str">
        <f>"Southeastern"</f>
        <v>Southeastern</v>
      </c>
    </row>
    <row r="9579" spans="1:4" x14ac:dyDescent="0.2">
      <c r="A9579" t="str">
        <f>"9578"</f>
        <v>9578</v>
      </c>
      <c r="B9579" t="str">
        <f>"0.36"</f>
        <v>0.36</v>
      </c>
      <c r="C9579" t="str">
        <f>"26"</f>
        <v>26</v>
      </c>
      <c r="D9579" t="str">
        <f>"Spiritoso"</f>
        <v>Spiritoso</v>
      </c>
    </row>
    <row r="9580" spans="1:4" x14ac:dyDescent="0.2">
      <c r="A9580" t="str">
        <f>"9579"</f>
        <v>9579</v>
      </c>
      <c r="B9580" t="str">
        <f>"-0.66"</f>
        <v>-0.66</v>
      </c>
      <c r="C9580" t="str">
        <f>"41"</f>
        <v>41</v>
      </c>
      <c r="D9580" t="str">
        <f>"Me Moan"</f>
        <v>Me Moan</v>
      </c>
    </row>
    <row r="9581" spans="1:4" x14ac:dyDescent="0.2">
      <c r="A9581" t="str">
        <f>"9580"</f>
        <v>9580</v>
      </c>
      <c r="B9581" t="str">
        <f>"0.36"</f>
        <v>0.36</v>
      </c>
      <c r="C9581" t="str">
        <f>"36"</f>
        <v>36</v>
      </c>
      <c r="D9581" t="str">
        <f>"ESGN"</f>
        <v>ESGN</v>
      </c>
    </row>
    <row r="9582" spans="1:4" x14ac:dyDescent="0.2">
      <c r="A9582" t="str">
        <f>"9581"</f>
        <v>9581</v>
      </c>
      <c r="B9582" t="str">
        <f>"-0.68"</f>
        <v>-0.68</v>
      </c>
      <c r="C9582" t="str">
        <f>"22"</f>
        <v>22</v>
      </c>
      <c r="D9582" t="str">
        <f>"Swisher"</f>
        <v>Swisher</v>
      </c>
    </row>
    <row r="9583" spans="1:4" x14ac:dyDescent="0.2">
      <c r="A9583" t="str">
        <f>"9582"</f>
        <v>9582</v>
      </c>
      <c r="B9583" t="str">
        <f>"-0.57"</f>
        <v>-0.57</v>
      </c>
      <c r="C9583" t="str">
        <f>"27"</f>
        <v>27</v>
      </c>
      <c r="D9583" t="str">
        <f>"Split LP"</f>
        <v>Split LP</v>
      </c>
    </row>
    <row r="9584" spans="1:4" x14ac:dyDescent="0.2">
      <c r="A9584" t="str">
        <f>"9583"</f>
        <v>9583</v>
      </c>
      <c r="B9584" t="str">
        <f>"-0.13"</f>
        <v>-0.13</v>
      </c>
      <c r="C9584" t="str">
        <f>"21"</f>
        <v>21</v>
      </c>
      <c r="D9584" t="str">
        <f>"Melt Yourself Down"</f>
        <v>Melt Yourself Down</v>
      </c>
    </row>
    <row r="9585" spans="1:4" x14ac:dyDescent="0.2">
      <c r="A9585" t="str">
        <f>"9584"</f>
        <v>9584</v>
      </c>
      <c r="B9585" t="str">
        <f>"0.25"</f>
        <v>0.25</v>
      </c>
      <c r="C9585" t="str">
        <f>"38"</f>
        <v>38</v>
      </c>
      <c r="D9585" t="s">
        <v>302</v>
      </c>
    </row>
    <row r="9586" spans="1:4" x14ac:dyDescent="0.2">
      <c r="A9586" t="str">
        <f>"9585"</f>
        <v>9585</v>
      </c>
      <c r="B9586" t="str">
        <f>"0.45"</f>
        <v>0.45</v>
      </c>
      <c r="C9586" t="str">
        <f>"32"</f>
        <v>32</v>
      </c>
      <c r="D9586" t="str">
        <f>"Honey Locust Honky Tonk"</f>
        <v>Honey Locust Honky Tonk</v>
      </c>
    </row>
    <row r="9587" spans="1:4" x14ac:dyDescent="0.2">
      <c r="A9587" t="str">
        <f>"9586"</f>
        <v>9586</v>
      </c>
      <c r="B9587" t="str">
        <f>"0.74"</f>
        <v>0.74</v>
      </c>
      <c r="C9587" t="str">
        <f>"29"</f>
        <v>29</v>
      </c>
      <c r="D9587" t="str">
        <f>"Without Your Love"</f>
        <v>Without Your Love</v>
      </c>
    </row>
    <row r="9588" spans="1:4" x14ac:dyDescent="0.2">
      <c r="A9588" t="str">
        <f>"9587"</f>
        <v>9587</v>
      </c>
      <c r="B9588" t="str">
        <f>"-0.02"</f>
        <v>-0.02</v>
      </c>
      <c r="C9588" t="str">
        <f>"32"</f>
        <v>32</v>
      </c>
      <c r="D9588" t="str">
        <f>"Sub Contra"</f>
        <v>Sub Contra</v>
      </c>
    </row>
    <row r="9589" spans="1:4" x14ac:dyDescent="0.2">
      <c r="A9589" t="str">
        <f>"9588"</f>
        <v>9588</v>
      </c>
      <c r="B9589" t="str">
        <f>"-0.38"</f>
        <v>-0.38</v>
      </c>
      <c r="C9589" t="str">
        <f>"30"</f>
        <v>30</v>
      </c>
      <c r="D9589" t="str">
        <f>"Ruby Pins"</f>
        <v>Ruby Pins</v>
      </c>
    </row>
    <row r="9590" spans="1:4" x14ac:dyDescent="0.2">
      <c r="A9590" t="str">
        <f>"9589"</f>
        <v>9589</v>
      </c>
      <c r="B9590" t="str">
        <f>"-0.43"</f>
        <v>-0.43</v>
      </c>
      <c r="C9590" t="str">
        <f>"40"</f>
        <v>40</v>
      </c>
      <c r="D9590" t="str">
        <f>"Magna Carta Holy Grail"</f>
        <v>Magna Carta Holy Grail</v>
      </c>
    </row>
    <row r="9591" spans="1:4" x14ac:dyDescent="0.2">
      <c r="A9591" t="str">
        <f>"9590"</f>
        <v>9590</v>
      </c>
      <c r="B9591" t="str">
        <f>"0.57"</f>
        <v>0.57</v>
      </c>
      <c r="C9591" t="str">
        <f>"32"</f>
        <v>32</v>
      </c>
      <c r="D9591" t="str">
        <f>"Live at Bestival 2012"</f>
        <v>Live at Bestival 2012</v>
      </c>
    </row>
    <row r="9592" spans="1:4" x14ac:dyDescent="0.2">
      <c r="A9592" t="str">
        <f>"9591"</f>
        <v>9591</v>
      </c>
      <c r="B9592" t="str">
        <f>"0.99"</f>
        <v>0.99</v>
      </c>
      <c r="C9592" t="str">
        <f>"39"</f>
        <v>39</v>
      </c>
      <c r="D9592" t="str">
        <f>"Masterpiece"</f>
        <v>Masterpiece</v>
      </c>
    </row>
    <row r="9593" spans="1:4" x14ac:dyDescent="0.2">
      <c r="A9593" t="str">
        <f>"9592"</f>
        <v>9592</v>
      </c>
      <c r="B9593" t="str">
        <f>"-0.95"</f>
        <v>-0.95</v>
      </c>
      <c r="C9593" t="str">
        <f>"24"</f>
        <v>24</v>
      </c>
      <c r="D9593" t="str">
        <f>"Blaze Colour Burn"</f>
        <v>Blaze Colour Burn</v>
      </c>
    </row>
    <row r="9594" spans="1:4" x14ac:dyDescent="0.2">
      <c r="A9594" t="str">
        <f>"9593"</f>
        <v>9593</v>
      </c>
      <c r="B9594" t="str">
        <f>"-0.61"</f>
        <v>-0.61</v>
      </c>
      <c r="C9594" t="str">
        <f>"24"</f>
        <v>24</v>
      </c>
      <c r="D9594" t="str">
        <f>"Corps Exquis"</f>
        <v>Corps Exquis</v>
      </c>
    </row>
    <row r="9595" spans="1:4" x14ac:dyDescent="0.2">
      <c r="A9595" t="str">
        <f>"9594"</f>
        <v>9594</v>
      </c>
      <c r="B9595" t="str">
        <f>"-0.33"</f>
        <v>-0.33</v>
      </c>
      <c r="C9595" t="str">
        <f>"30"</f>
        <v>30</v>
      </c>
      <c r="D9595" t="str">
        <f>"The Inheritors"</f>
        <v>The Inheritors</v>
      </c>
    </row>
    <row r="9596" spans="1:4" x14ac:dyDescent="0.2">
      <c r="A9596" t="str">
        <f>"9595"</f>
        <v>9595</v>
      </c>
      <c r="B9596" t="str">
        <f>"0.53"</f>
        <v>0.53</v>
      </c>
      <c r="C9596" t="str">
        <f>"56"</f>
        <v>56</v>
      </c>
      <c r="D9596" t="s">
        <v>303</v>
      </c>
    </row>
    <row r="9597" spans="1:4" x14ac:dyDescent="0.2">
      <c r="A9597" t="str">
        <f>"9596"</f>
        <v>9596</v>
      </c>
      <c r="B9597" t="str">
        <f>"-0.33"</f>
        <v>-0.33</v>
      </c>
      <c r="C9597" t="str">
        <f>"41"</f>
        <v>41</v>
      </c>
      <c r="D9597" t="str">
        <f>"Y.R.N. (Young Rich Niggas)"</f>
        <v>Y.R.N. (Young Rich Niggas)</v>
      </c>
    </row>
    <row r="9598" spans="1:4" x14ac:dyDescent="0.2">
      <c r="A9598" t="str">
        <f>"9597"</f>
        <v>9597</v>
      </c>
      <c r="B9598" t="str">
        <f>"-0.47"</f>
        <v>-0.47</v>
      </c>
      <c r="C9598" t="str">
        <f>"28"</f>
        <v>28</v>
      </c>
      <c r="D9598" t="str">
        <f>"Contact"</f>
        <v>Contact</v>
      </c>
    </row>
    <row r="9599" spans="1:4" x14ac:dyDescent="0.2">
      <c r="A9599" t="str">
        <f>"9598"</f>
        <v>9598</v>
      </c>
      <c r="B9599" t="str">
        <f>"-0.68"</f>
        <v>-0.68</v>
      </c>
      <c r="C9599" t="str">
        <f>"23"</f>
        <v>23</v>
      </c>
      <c r="D9599" t="str">
        <f>"Drillary Clinton"</f>
        <v>Drillary Clinton</v>
      </c>
    </row>
    <row r="9600" spans="1:4" x14ac:dyDescent="0.2">
      <c r="A9600" t="str">
        <f>"9599"</f>
        <v>9599</v>
      </c>
      <c r="B9600" t="str">
        <f>"-1.29"</f>
        <v>-1.29</v>
      </c>
      <c r="C9600" t="str">
        <f>"43"</f>
        <v>43</v>
      </c>
      <c r="D9600" t="str">
        <f>"Run the Jewels"</f>
        <v>Run the Jewels</v>
      </c>
    </row>
    <row r="9601" spans="1:4" x14ac:dyDescent="0.2">
      <c r="A9601" t="str">
        <f>"9600"</f>
        <v>9600</v>
      </c>
      <c r="B9601" t="str">
        <f>"0.68"</f>
        <v>0.68</v>
      </c>
      <c r="C9601" t="str">
        <f>"26"</f>
        <v>26</v>
      </c>
      <c r="D9601" t="str">
        <f>"For Years"</f>
        <v>For Years</v>
      </c>
    </row>
    <row r="9602" spans="1:4" x14ac:dyDescent="0.2">
      <c r="A9602" t="str">
        <f>"9601"</f>
        <v>9601</v>
      </c>
      <c r="B9602" t="str">
        <f>"1.01"</f>
        <v>1.01</v>
      </c>
      <c r="C9602" t="str">
        <f>"25"</f>
        <v>25</v>
      </c>
      <c r="D9602" t="str">
        <f>"Anthology"</f>
        <v>Anthology</v>
      </c>
    </row>
    <row r="9603" spans="1:4" x14ac:dyDescent="0.2">
      <c r="A9603" t="str">
        <f>"9602"</f>
        <v>9602</v>
      </c>
      <c r="B9603" t="str">
        <f>"0.79"</f>
        <v>0.79</v>
      </c>
      <c r="C9603" t="str">
        <f>"25"</f>
        <v>25</v>
      </c>
      <c r="D9603" t="str">
        <f>"Ecstasy &amp; Release"</f>
        <v>Ecstasy &amp; Release</v>
      </c>
    </row>
    <row r="9604" spans="1:4" x14ac:dyDescent="0.2">
      <c r="A9604" t="str">
        <f>"9603"</f>
        <v>9603</v>
      </c>
      <c r="B9604" t="str">
        <f>"-0.88"</f>
        <v>-0.88</v>
      </c>
      <c r="C9604" t="str">
        <f>"35"</f>
        <v>35</v>
      </c>
      <c r="D9604" t="str">
        <f>"Random Access Memories Memories"</f>
        <v>Random Access Memories Memories</v>
      </c>
    </row>
    <row r="9605" spans="1:4" x14ac:dyDescent="0.2">
      <c r="A9605" t="str">
        <f>"9604"</f>
        <v>9604</v>
      </c>
      <c r="B9605" t="str">
        <f>"0"</f>
        <v>0</v>
      </c>
      <c r="C9605" t="str">
        <f>"28"</f>
        <v>28</v>
      </c>
      <c r="D9605" t="str">
        <f>"BE"</f>
        <v>BE</v>
      </c>
    </row>
    <row r="9606" spans="1:4" x14ac:dyDescent="0.2">
      <c r="A9606" t="str">
        <f>"9605"</f>
        <v>9605</v>
      </c>
      <c r="B9606" t="str">
        <f>"1.07"</f>
        <v>1.07</v>
      </c>
      <c r="C9606" t="str">
        <f>"32"</f>
        <v>32</v>
      </c>
      <c r="D9606" t="str">
        <f>"Kilt II"</f>
        <v>Kilt II</v>
      </c>
    </row>
    <row r="9607" spans="1:4" x14ac:dyDescent="0.2">
      <c r="A9607" t="str">
        <f>"9606"</f>
        <v>9606</v>
      </c>
      <c r="B9607" t="str">
        <f>"-0.81"</f>
        <v>-0.81</v>
      </c>
      <c r="C9607" t="str">
        <f>"43"</f>
        <v>43</v>
      </c>
      <c r="D9607" t="str">
        <f>"Manifest Decimation"</f>
        <v>Manifest Decimation</v>
      </c>
    </row>
    <row r="9608" spans="1:4" x14ac:dyDescent="0.2">
      <c r="A9608" t="str">
        <f>"9607"</f>
        <v>9607</v>
      </c>
      <c r="B9608" t="str">
        <f>"0.38"</f>
        <v>0.38</v>
      </c>
      <c r="C9608" t="str">
        <f>"37"</f>
        <v>37</v>
      </c>
      <c r="D9608" t="str">
        <f>"Hailu Mergia and His Classical Instrument"</f>
        <v>Hailu Mergia and His Classical Instrument</v>
      </c>
    </row>
    <row r="9609" spans="1:4" x14ac:dyDescent="0.2">
      <c r="A9609" t="str">
        <f>"9608"</f>
        <v>9608</v>
      </c>
      <c r="B9609" t="str">
        <f>"-0.09"</f>
        <v>-0.09</v>
      </c>
      <c r="C9609" t="str">
        <f>"31"</f>
        <v>31</v>
      </c>
      <c r="D9609" t="str">
        <f>"The Gifted"</f>
        <v>The Gifted</v>
      </c>
    </row>
    <row r="9610" spans="1:4" x14ac:dyDescent="0.2">
      <c r="A9610" t="str">
        <f>"9609"</f>
        <v>9609</v>
      </c>
      <c r="B9610" t="str">
        <f>"0.67"</f>
        <v>0.67</v>
      </c>
      <c r="C9610" t="str">
        <f>"25"</f>
        <v>25</v>
      </c>
      <c r="D9610" t="str">
        <f>"Enormous Door"</f>
        <v>Enormous Door</v>
      </c>
    </row>
    <row r="9611" spans="1:4" x14ac:dyDescent="0.2">
      <c r="A9611" t="str">
        <f>"9610"</f>
        <v>9610</v>
      </c>
      <c r="B9611" t="str">
        <f>"-0.59"</f>
        <v>-0.59</v>
      </c>
      <c r="C9611" t="str">
        <f>"30"</f>
        <v>30</v>
      </c>
      <c r="D9611" t="str">
        <f>"The Visitor"</f>
        <v>The Visitor</v>
      </c>
    </row>
    <row r="9612" spans="1:4" x14ac:dyDescent="0.2">
      <c r="A9612" t="str">
        <f>"9611"</f>
        <v>9611</v>
      </c>
      <c r="B9612" t="str">
        <f>"0.69"</f>
        <v>0.69</v>
      </c>
      <c r="C9612" t="str">
        <f>"26"</f>
        <v>26</v>
      </c>
      <c r="D9612" t="str">
        <f>"Sob Story"</f>
        <v>Sob Story</v>
      </c>
    </row>
    <row r="9613" spans="1:4" x14ac:dyDescent="0.2">
      <c r="A9613" t="str">
        <f>"9612"</f>
        <v>9612</v>
      </c>
      <c r="B9613" t="str">
        <f>"0.8"</f>
        <v>0.8</v>
      </c>
      <c r="C9613" t="str">
        <f>"24"</f>
        <v>24</v>
      </c>
      <c r="D9613" t="str">
        <f>"Agony Defined"</f>
        <v>Agony Defined</v>
      </c>
    </row>
    <row r="9614" spans="1:4" x14ac:dyDescent="0.2">
      <c r="A9614" t="str">
        <f>"9613"</f>
        <v>9613</v>
      </c>
      <c r="B9614" t="str">
        <f>"-0.31"</f>
        <v>-0.31</v>
      </c>
      <c r="C9614" t="str">
        <f>"34"</f>
        <v>34</v>
      </c>
      <c r="D9614" t="str">
        <f>"Olympia"</f>
        <v>Olympia</v>
      </c>
    </row>
    <row r="9615" spans="1:4" x14ac:dyDescent="0.2">
      <c r="A9615" t="str">
        <f>"9614"</f>
        <v>9614</v>
      </c>
      <c r="B9615" t="str">
        <f>"0.61"</f>
        <v>0.61</v>
      </c>
      <c r="C9615" t="str">
        <f>"31"</f>
        <v>31</v>
      </c>
      <c r="D9615" t="str">
        <f>"One True Vine"</f>
        <v>One True Vine</v>
      </c>
    </row>
    <row r="9616" spans="1:4" x14ac:dyDescent="0.2">
      <c r="A9616" t="str">
        <f>"9615"</f>
        <v>9615</v>
      </c>
      <c r="B9616" t="str">
        <f>"-1.63"</f>
        <v>-1.63</v>
      </c>
      <c r="C9616" t="str">
        <f>"25"</f>
        <v>25</v>
      </c>
      <c r="D9616" t="str">
        <f>"The End of Silence"</f>
        <v>The End of Silence</v>
      </c>
    </row>
    <row r="9617" spans="1:4" x14ac:dyDescent="0.2">
      <c r="A9617" t="str">
        <f>"9616"</f>
        <v>9616</v>
      </c>
      <c r="B9617" t="str">
        <f>"0.13"</f>
        <v>0.13</v>
      </c>
      <c r="C9617" t="str">
        <f>"23"</f>
        <v>23</v>
      </c>
      <c r="D9617" t="str">
        <f>"Heart of Nowhere"</f>
        <v>Heart of Nowhere</v>
      </c>
    </row>
    <row r="9618" spans="1:4" x14ac:dyDescent="0.2">
      <c r="A9618" t="str">
        <f>"9617"</f>
        <v>9617</v>
      </c>
      <c r="B9618" t="str">
        <f>"-0.11"</f>
        <v>-0.11</v>
      </c>
      <c r="C9618" t="str">
        <f>"39"</f>
        <v>39</v>
      </c>
      <c r="D9618" t="str">
        <f>"Suicide Black Snake"</f>
        <v>Suicide Black Snake</v>
      </c>
    </row>
    <row r="9619" spans="1:4" x14ac:dyDescent="0.2">
      <c r="A9619" t="str">
        <f>"9618"</f>
        <v>9618</v>
      </c>
      <c r="B9619" t="str">
        <f>"0.78"</f>
        <v>0.78</v>
      </c>
      <c r="C9619" t="str">
        <f>"60"</f>
        <v>60</v>
      </c>
      <c r="D9619" t="str">
        <f>"Blowout Comb"</f>
        <v>Blowout Comb</v>
      </c>
    </row>
    <row r="9620" spans="1:4" x14ac:dyDescent="0.2">
      <c r="A9620" t="str">
        <f>"9619"</f>
        <v>9619</v>
      </c>
      <c r="B9620" t="str">
        <f>"0.1"</f>
        <v>0.1</v>
      </c>
      <c r="C9620" t="str">
        <f>"33"</f>
        <v>33</v>
      </c>
      <c r="D9620" t="str">
        <f>"Spitting Fire Live Vol. 1 &amp; 2"</f>
        <v>Spitting Fire Live Vol. 1 &amp; 2</v>
      </c>
    </row>
    <row r="9621" spans="1:4" x14ac:dyDescent="0.2">
      <c r="A9621" t="str">
        <f>"9620"</f>
        <v>9620</v>
      </c>
      <c r="B9621" t="str">
        <f>"0.66"</f>
        <v>0.66</v>
      </c>
      <c r="C9621" t="str">
        <f>"25"</f>
        <v>25</v>
      </c>
      <c r="D9621" t="str">
        <f>"FOUR (Acts of Love)"</f>
        <v>FOUR (Acts of Love)</v>
      </c>
    </row>
    <row r="9622" spans="1:4" x14ac:dyDescent="0.2">
      <c r="A9622" t="str">
        <f>"9621"</f>
        <v>9621</v>
      </c>
      <c r="B9622" t="str">
        <f>"-0.43"</f>
        <v>-0.43</v>
      </c>
      <c r="C9622" t="str">
        <f>"27"</f>
        <v>27</v>
      </c>
      <c r="D9622" t="str">
        <f>"Kenny Dennis LP"</f>
        <v>Kenny Dennis LP</v>
      </c>
    </row>
    <row r="9623" spans="1:4" x14ac:dyDescent="0.2">
      <c r="A9623" t="str">
        <f>"9622"</f>
        <v>9622</v>
      </c>
      <c r="B9623" t="str">
        <f>"-0.3"</f>
        <v>-0.3</v>
      </c>
      <c r="C9623" t="str">
        <f>"36"</f>
        <v>36</v>
      </c>
      <c r="D9623" t="str">
        <f>"Ideal Cities"</f>
        <v>Ideal Cities</v>
      </c>
    </row>
    <row r="9624" spans="1:4" x14ac:dyDescent="0.2">
      <c r="A9624" t="str">
        <f>"9623"</f>
        <v>9623</v>
      </c>
      <c r="B9624" t="str">
        <f>"-0.21"</f>
        <v>-0.21</v>
      </c>
      <c r="C9624" t="str">
        <f>"36"</f>
        <v>36</v>
      </c>
      <c r="D9624" t="str">
        <f>"Watching Movies With the Sound Off"</f>
        <v>Watching Movies With the Sound Off</v>
      </c>
    </row>
    <row r="9625" spans="1:4" x14ac:dyDescent="0.2">
      <c r="A9625" t="str">
        <f>"9624"</f>
        <v>9624</v>
      </c>
      <c r="B9625" t="str">
        <f>"-1.25"</f>
        <v>-1.25</v>
      </c>
      <c r="C9625" t="str">
        <f>"36"</f>
        <v>36</v>
      </c>
      <c r="D9625" t="str">
        <f>"First Issue"</f>
        <v>First Issue</v>
      </c>
    </row>
    <row r="9626" spans="1:4" x14ac:dyDescent="0.2">
      <c r="A9626" t="str">
        <f>"9625"</f>
        <v>9625</v>
      </c>
      <c r="B9626" t="str">
        <f>"0.14"</f>
        <v>0.14</v>
      </c>
      <c r="C9626" t="str">
        <f>"32"</f>
        <v>32</v>
      </c>
      <c r="D9626" t="str">
        <f>"Ceres &amp; Calypso in the Deep Time Forever"</f>
        <v>Ceres &amp; Calypso in the Deep Time Forever</v>
      </c>
    </row>
    <row r="9627" spans="1:4" x14ac:dyDescent="0.2">
      <c r="A9627" t="str">
        <f>"9626"</f>
        <v>9626</v>
      </c>
      <c r="B9627" t="str">
        <f>"1.24"</f>
        <v>1.24</v>
      </c>
      <c r="C9627" t="str">
        <f>"30"</f>
        <v>30</v>
      </c>
      <c r="D9627" t="str">
        <f>"Joy One Mile"</f>
        <v>Joy One Mile</v>
      </c>
    </row>
    <row r="9628" spans="1:4" x14ac:dyDescent="0.2">
      <c r="A9628" t="str">
        <f>"9627"</f>
        <v>9627</v>
      </c>
      <c r="B9628" t="str">
        <f>"-0.7"</f>
        <v>-0.7</v>
      </c>
      <c r="C9628" t="str">
        <f>"24"</f>
        <v>24</v>
      </c>
      <c r="D9628" t="str">
        <f>"Acquitted"</f>
        <v>Acquitted</v>
      </c>
    </row>
    <row r="9629" spans="1:4" x14ac:dyDescent="0.2">
      <c r="A9629" t="str">
        <f>"9628"</f>
        <v>9628</v>
      </c>
      <c r="B9629" t="str">
        <f>"-0.36"</f>
        <v>-0.36</v>
      </c>
      <c r="C9629" t="str">
        <f>"35"</f>
        <v>35</v>
      </c>
      <c r="D9629" t="str">
        <f>"Born Sinner"</f>
        <v>Born Sinner</v>
      </c>
    </row>
    <row r="9630" spans="1:4" x14ac:dyDescent="0.2">
      <c r="A9630" t="str">
        <f>"9629"</f>
        <v>9629</v>
      </c>
      <c r="B9630" t="str">
        <f>"0.46"</f>
        <v>0.46</v>
      </c>
      <c r="C9630" t="str">
        <f>"31"</f>
        <v>31</v>
      </c>
      <c r="D9630" t="str">
        <f>"Ice on the Dune"</f>
        <v>Ice on the Dune</v>
      </c>
    </row>
    <row r="9631" spans="1:4" x14ac:dyDescent="0.2">
      <c r="A9631" t="str">
        <f>"9630"</f>
        <v>9630</v>
      </c>
      <c r="B9631" t="str">
        <f>"0.32"</f>
        <v>0.32</v>
      </c>
      <c r="C9631" t="str">
        <f>"34"</f>
        <v>34</v>
      </c>
      <c r="D9631" t="str">
        <f>"Howlin'"</f>
        <v>Howlin'</v>
      </c>
    </row>
    <row r="9632" spans="1:4" x14ac:dyDescent="0.2">
      <c r="A9632" t="str">
        <f>"9631"</f>
        <v>9631</v>
      </c>
      <c r="B9632" t="str">
        <f>"-0.73"</f>
        <v>-0.73</v>
      </c>
      <c r="C9632" t="str">
        <f>"22"</f>
        <v>22</v>
      </c>
      <c r="D9632" t="str">
        <f>"Jackleg Devotional to the Heart"</f>
        <v>Jackleg Devotional to the Heart</v>
      </c>
    </row>
    <row r="9633" spans="1:4" x14ac:dyDescent="0.2">
      <c r="A9633" t="str">
        <f>"9632"</f>
        <v>9632</v>
      </c>
      <c r="B9633" t="str">
        <f>"0.48"</f>
        <v>0.48</v>
      </c>
      <c r="C9633" t="str">
        <f>"51"</f>
        <v>51</v>
      </c>
      <c r="D9633" t="str">
        <f>"Antenna to the Afterworld"</f>
        <v>Antenna to the Afterworld</v>
      </c>
    </row>
    <row r="9634" spans="1:4" x14ac:dyDescent="0.2">
      <c r="A9634" t="str">
        <f>"9633"</f>
        <v>9633</v>
      </c>
      <c r="B9634" t="str">
        <f>"-0.72"</f>
        <v>-0.72</v>
      </c>
      <c r="C9634" t="str">
        <f>"31"</f>
        <v>31</v>
      </c>
      <c r="D9634" t="str">
        <f>"Saaab Stories"</f>
        <v>Saaab Stories</v>
      </c>
    </row>
    <row r="9635" spans="1:4" x14ac:dyDescent="0.2">
      <c r="A9635" t="str">
        <f>"9634"</f>
        <v>9634</v>
      </c>
      <c r="B9635" t="str">
        <f>"-0.41"</f>
        <v>-0.41</v>
      </c>
      <c r="C9635" t="str">
        <f>"67"</f>
        <v>67</v>
      </c>
      <c r="D9635" t="str">
        <f>"Scott: The Collection 1967-1970"</f>
        <v>Scott: The Collection 1967-1970</v>
      </c>
    </row>
    <row r="9636" spans="1:4" x14ac:dyDescent="0.2">
      <c r="A9636" t="str">
        <f>"9635"</f>
        <v>9635</v>
      </c>
      <c r="B9636" t="str">
        <f>"0.09"</f>
        <v>0.09</v>
      </c>
      <c r="C9636" t="str">
        <f>"30"</f>
        <v>30</v>
      </c>
      <c r="D9636" t="str">
        <f>"American Love"</f>
        <v>American Love</v>
      </c>
    </row>
    <row r="9637" spans="1:4" x14ac:dyDescent="0.2">
      <c r="A9637" t="str">
        <f>"9636"</f>
        <v>9636</v>
      </c>
      <c r="B9637" t="str">
        <f>"0.37"</f>
        <v>0.37</v>
      </c>
      <c r="C9637" t="str">
        <f>"30"</f>
        <v>30</v>
      </c>
      <c r="D9637" t="str">
        <f>"Long Enough to Leave"</f>
        <v>Long Enough to Leave</v>
      </c>
    </row>
    <row r="9638" spans="1:4" x14ac:dyDescent="0.2">
      <c r="A9638" t="str">
        <f>"9637"</f>
        <v>9637</v>
      </c>
      <c r="B9638" t="str">
        <f>"0.47"</f>
        <v>0.47</v>
      </c>
      <c r="C9638" t="str">
        <f>"28"</f>
        <v>28</v>
      </c>
      <c r="D9638" t="str">
        <f>"The Dusted Sessions"</f>
        <v>The Dusted Sessions</v>
      </c>
    </row>
    <row r="9639" spans="1:4" x14ac:dyDescent="0.2">
      <c r="A9639" t="str">
        <f>"9638"</f>
        <v>9638</v>
      </c>
      <c r="B9639" t="str">
        <f>"1.2"</f>
        <v>1.2</v>
      </c>
      <c r="C9639" t="str">
        <f>"37"</f>
        <v>37</v>
      </c>
      <c r="D9639" t="str">
        <f>"With Love"</f>
        <v>With Love</v>
      </c>
    </row>
    <row r="9640" spans="1:4" x14ac:dyDescent="0.2">
      <c r="A9640" t="str">
        <f>"9639"</f>
        <v>9639</v>
      </c>
      <c r="B9640" t="str">
        <f>"0.71"</f>
        <v>0.71</v>
      </c>
      <c r="C9640" t="str">
        <f>"27"</f>
        <v>27</v>
      </c>
      <c r="D9640" t="str">
        <f>"Dagger Beach"</f>
        <v>Dagger Beach</v>
      </c>
    </row>
    <row r="9641" spans="1:4" x14ac:dyDescent="0.2">
      <c r="A9641" t="str">
        <f>"9640"</f>
        <v>9640</v>
      </c>
      <c r="B9641" t="str">
        <f>"1.18"</f>
        <v>1.18</v>
      </c>
      <c r="C9641" t="str">
        <f>"26"</f>
        <v>26</v>
      </c>
      <c r="D9641" t="str">
        <f>"Now While it’s Still Warm Let Us Pour in All the Mystery"</f>
        <v>Now While it’s Still Warm Let Us Pour in All the Mystery</v>
      </c>
    </row>
    <row r="9642" spans="1:4" x14ac:dyDescent="0.2">
      <c r="A9642" t="str">
        <f>"9641"</f>
        <v>9641</v>
      </c>
      <c r="B9642" t="str">
        <f>"0.08"</f>
        <v>0.08</v>
      </c>
      <c r="C9642" t="str">
        <f>"32"</f>
        <v>32</v>
      </c>
      <c r="D9642" t="str">
        <f>"The Dwell"</f>
        <v>The Dwell</v>
      </c>
    </row>
    <row r="9643" spans="1:4" x14ac:dyDescent="0.2">
      <c r="A9643" t="str">
        <f>"9642"</f>
        <v>9642</v>
      </c>
      <c r="B9643" t="str">
        <f>"0.33"</f>
        <v>0.33</v>
      </c>
      <c r="C9643" t="str">
        <f>"21"</f>
        <v>21</v>
      </c>
      <c r="D9643" t="str">
        <f>"Mansions 2"</f>
        <v>Mansions 2</v>
      </c>
    </row>
    <row r="9644" spans="1:4" x14ac:dyDescent="0.2">
      <c r="A9644" t="str">
        <f>"9643"</f>
        <v>9643</v>
      </c>
      <c r="B9644" t="str">
        <f>"-0.69"</f>
        <v>-0.69</v>
      </c>
      <c r="C9644" t="str">
        <f>"68"</f>
        <v>68</v>
      </c>
      <c r="D9644" t="str">
        <f>"Yeezus"</f>
        <v>Yeezus</v>
      </c>
    </row>
    <row r="9645" spans="1:4" x14ac:dyDescent="0.2">
      <c r="A9645" t="str">
        <f>"9644"</f>
        <v>9644</v>
      </c>
      <c r="B9645" t="str">
        <f>"0.08"</f>
        <v>0.08</v>
      </c>
      <c r="C9645" t="str">
        <f>"29"</f>
        <v>29</v>
      </c>
      <c r="D9645" t="str">
        <f>"Yessir Whatever"</f>
        <v>Yessir Whatever</v>
      </c>
    </row>
    <row r="9646" spans="1:4" x14ac:dyDescent="0.2">
      <c r="A9646" t="str">
        <f>"9645"</f>
        <v>9645</v>
      </c>
      <c r="B9646" t="str">
        <f>"0.69"</f>
        <v>0.69</v>
      </c>
      <c r="C9646" t="str">
        <f>"18"</f>
        <v>18</v>
      </c>
      <c r="D9646" t="str">
        <f>"Unleash Yourself"</f>
        <v>Unleash Yourself</v>
      </c>
    </row>
    <row r="9647" spans="1:4" x14ac:dyDescent="0.2">
      <c r="A9647" t="str">
        <f>"9646"</f>
        <v>9646</v>
      </c>
      <c r="B9647" t="str">
        <f>"0.92"</f>
        <v>0.92</v>
      </c>
      <c r="C9647" t="str">
        <f>"28"</f>
        <v>28</v>
      </c>
      <c r="D9647" t="str">
        <f>"Toropical Circle"</f>
        <v>Toropical Circle</v>
      </c>
    </row>
    <row r="9648" spans="1:4" x14ac:dyDescent="0.2">
      <c r="A9648" t="str">
        <f>"9647"</f>
        <v>9647</v>
      </c>
      <c r="B9648" t="str">
        <f>"0.7"</f>
        <v>0.7</v>
      </c>
      <c r="C9648" t="str">
        <f>"21"</f>
        <v>21</v>
      </c>
      <c r="D9648" t="str">
        <f>"Carolina EP"</f>
        <v>Carolina EP</v>
      </c>
    </row>
    <row r="9649" spans="1:4" x14ac:dyDescent="0.2">
      <c r="A9649" t="str">
        <f>"9648"</f>
        <v>9648</v>
      </c>
      <c r="B9649" t="str">
        <f>"-0.23"</f>
        <v>-0.23</v>
      </c>
      <c r="C9649" t="str">
        <f>"34"</f>
        <v>34</v>
      </c>
      <c r="D9649" t="str">
        <f>"Kveikur"</f>
        <v>Kveikur</v>
      </c>
    </row>
    <row r="9650" spans="1:4" x14ac:dyDescent="0.2">
      <c r="A9650" t="str">
        <f>"9649"</f>
        <v>9649</v>
      </c>
      <c r="B9650" t="str">
        <f>"-0.19"</f>
        <v>-0.19</v>
      </c>
      <c r="C9650" t="str">
        <f>"16"</f>
        <v>16</v>
      </c>
      <c r="D9650" t="str">
        <f>"3-Song EP"</f>
        <v>3-Song EP</v>
      </c>
    </row>
    <row r="9651" spans="1:4" x14ac:dyDescent="0.2">
      <c r="A9651" t="str">
        <f>"9650"</f>
        <v>9650</v>
      </c>
      <c r="B9651" t="str">
        <f>"-0.47"</f>
        <v>-0.47</v>
      </c>
      <c r="C9651" t="str">
        <f>"38"</f>
        <v>38</v>
      </c>
      <c r="D9651" t="str">
        <f>"Desperation"</f>
        <v>Desperation</v>
      </c>
    </row>
    <row r="9652" spans="1:4" x14ac:dyDescent="0.2">
      <c r="A9652" t="str">
        <f>"9651"</f>
        <v>9651</v>
      </c>
      <c r="B9652" t="str">
        <f>"1.14"</f>
        <v>1.14</v>
      </c>
      <c r="C9652" t="str">
        <f>"31"</f>
        <v>31</v>
      </c>
      <c r="D9652" t="str">
        <f>"Soft Will"</f>
        <v>Soft Will</v>
      </c>
    </row>
    <row r="9653" spans="1:4" x14ac:dyDescent="0.2">
      <c r="A9653" t="str">
        <f>"9652"</f>
        <v>9652</v>
      </c>
      <c r="B9653" t="str">
        <f>"0.55"</f>
        <v>0.55</v>
      </c>
      <c r="C9653" t="str">
        <f>"36"</f>
        <v>36</v>
      </c>
      <c r="D9653" t="str">
        <f>"Avalanche"</f>
        <v>Avalanche</v>
      </c>
    </row>
    <row r="9654" spans="1:4" x14ac:dyDescent="0.2">
      <c r="A9654" t="str">
        <f>"9653"</f>
        <v>9653</v>
      </c>
      <c r="B9654" t="str">
        <f>"0.15"</f>
        <v>0.15</v>
      </c>
      <c r="C9654" t="str">
        <f>"31"</f>
        <v>31</v>
      </c>
      <c r="D9654" t="str">
        <f>"The Jellyfish Mentality"</f>
        <v>The Jellyfish Mentality</v>
      </c>
    </row>
    <row r="9655" spans="1:4" x14ac:dyDescent="0.2">
      <c r="A9655" t="str">
        <f>"9654"</f>
        <v>9654</v>
      </c>
      <c r="B9655" t="str">
        <f>"0.14"</f>
        <v>0.14</v>
      </c>
      <c r="C9655" t="str">
        <f>"35"</f>
        <v>35</v>
      </c>
      <c r="D9655" t="str">
        <f>"The Eldritch Dark"</f>
        <v>The Eldritch Dark</v>
      </c>
    </row>
    <row r="9656" spans="1:4" x14ac:dyDescent="0.2">
      <c r="A9656" t="str">
        <f>"9655"</f>
        <v>9655</v>
      </c>
      <c r="B9656" t="str">
        <f>"0.53"</f>
        <v>0.53</v>
      </c>
      <c r="C9656" t="str">
        <f>"32"</f>
        <v>32</v>
      </c>
      <c r="D9656" t="str">
        <f>"Chapter II"</f>
        <v>Chapter II</v>
      </c>
    </row>
    <row r="9657" spans="1:4" x14ac:dyDescent="0.2">
      <c r="A9657" t="str">
        <f>"9656"</f>
        <v>9656</v>
      </c>
      <c r="B9657" t="str">
        <f>"0.59"</f>
        <v>0.59</v>
      </c>
      <c r="C9657" t="str">
        <f>"69"</f>
        <v>69</v>
      </c>
      <c r="D9657" t="str">
        <f>"Sunbather"</f>
        <v>Sunbather</v>
      </c>
    </row>
    <row r="9658" spans="1:4" x14ac:dyDescent="0.2">
      <c r="A9658" t="str">
        <f>"9657"</f>
        <v>9657</v>
      </c>
      <c r="B9658" t="str">
        <f>"-0.55"</f>
        <v>-0.55</v>
      </c>
      <c r="C9658" t="str">
        <f>"37"</f>
        <v>37</v>
      </c>
      <c r="D9658" t="str">
        <f>"Evil Friends"</f>
        <v>Evil Friends</v>
      </c>
    </row>
    <row r="9659" spans="1:4" x14ac:dyDescent="0.2">
      <c r="A9659" t="str">
        <f>"9658"</f>
        <v>9658</v>
      </c>
      <c r="B9659" t="str">
        <f>"-0.06"</f>
        <v>-0.06</v>
      </c>
      <c r="C9659" t="str">
        <f>"31"</f>
        <v>31</v>
      </c>
      <c r="D9659" t="str">
        <f>"Yugen EP"</f>
        <v>Yugen EP</v>
      </c>
    </row>
    <row r="9660" spans="1:4" x14ac:dyDescent="0.2">
      <c r="A9660" t="str">
        <f>"9659"</f>
        <v>9659</v>
      </c>
      <c r="B9660" t="str">
        <f>"0.68"</f>
        <v>0.68</v>
      </c>
      <c r="C9660" t="str">
        <f>"19"</f>
        <v>19</v>
      </c>
      <c r="D9660" t="str">
        <f>"Walking Field"</f>
        <v>Walking Field</v>
      </c>
    </row>
    <row r="9661" spans="1:4" x14ac:dyDescent="0.2">
      <c r="A9661" t="str">
        <f>"9660"</f>
        <v>9660</v>
      </c>
      <c r="B9661" t="str">
        <f>"0.71"</f>
        <v>0.71</v>
      </c>
      <c r="C9661" t="str">
        <f>"23"</f>
        <v>23</v>
      </c>
      <c r="D9661" t="str">
        <f>"This Is Another Life"</f>
        <v>This Is Another Life</v>
      </c>
    </row>
    <row r="9662" spans="1:4" x14ac:dyDescent="0.2">
      <c r="A9662" t="str">
        <f>"9661"</f>
        <v>9661</v>
      </c>
      <c r="B9662" t="str">
        <f>"0.29"</f>
        <v>0.29</v>
      </c>
      <c r="C9662" t="str">
        <f>"48"</f>
        <v>48</v>
      </c>
      <c r="D9662" t="str">
        <f>"Tomorrow's Harvest"</f>
        <v>Tomorrow's Harvest</v>
      </c>
    </row>
    <row r="9663" spans="1:4" x14ac:dyDescent="0.2">
      <c r="A9663" t="str">
        <f>"9662"</f>
        <v>9662</v>
      </c>
      <c r="B9663" t="str">
        <f>"0.38"</f>
        <v>0.38</v>
      </c>
      <c r="C9663" t="str">
        <f>"30"</f>
        <v>30</v>
      </c>
      <c r="D9663" t="str">
        <f>"Blood Drive"</f>
        <v>Blood Drive</v>
      </c>
    </row>
    <row r="9664" spans="1:4" x14ac:dyDescent="0.2">
      <c r="A9664" t="str">
        <f>"9663"</f>
        <v>9663</v>
      </c>
      <c r="B9664" t="str">
        <f>"-0.41"</f>
        <v>-0.41</v>
      </c>
      <c r="C9664" t="str">
        <f>"29"</f>
        <v>29</v>
      </c>
      <c r="D9664" t="str">
        <f>"The Raw and the Cooked"</f>
        <v>The Raw and the Cooked</v>
      </c>
    </row>
    <row r="9665" spans="1:4" x14ac:dyDescent="0.2">
      <c r="A9665" t="str">
        <f>"9664"</f>
        <v>9664</v>
      </c>
      <c r="B9665" t="str">
        <f>"0.38"</f>
        <v>0.38</v>
      </c>
      <c r="C9665" t="str">
        <f>"39"</f>
        <v>39</v>
      </c>
      <c r="D9665" t="str">
        <f>"Personal Record"</f>
        <v>Personal Record</v>
      </c>
    </row>
    <row r="9666" spans="1:4" x14ac:dyDescent="0.2">
      <c r="A9666" t="str">
        <f>"9665"</f>
        <v>9665</v>
      </c>
      <c r="B9666" t="str">
        <f>"-0.74"</f>
        <v>-0.74</v>
      </c>
      <c r="C9666" t="str">
        <f>"36"</f>
        <v>36</v>
      </c>
      <c r="D9666" t="str">
        <f>"Excuse My French"</f>
        <v>Excuse My French</v>
      </c>
    </row>
    <row r="9667" spans="1:4" x14ac:dyDescent="0.2">
      <c r="A9667" t="str">
        <f>"9666"</f>
        <v>9666</v>
      </c>
      <c r="B9667" t="str">
        <f>"-0.8"</f>
        <v>-0.8</v>
      </c>
      <c r="C9667" t="str">
        <f>"33"</f>
        <v>33</v>
      </c>
      <c r="D9667" t="str">
        <f>"How Far Away"</f>
        <v>How Far Away</v>
      </c>
    </row>
    <row r="9668" spans="1:4" x14ac:dyDescent="0.2">
      <c r="A9668" t="str">
        <f>"9667"</f>
        <v>9667</v>
      </c>
      <c r="B9668" t="str">
        <f>"0.57"</f>
        <v>0.57</v>
      </c>
      <c r="C9668" t="str">
        <f>"30"</f>
        <v>30</v>
      </c>
      <c r="D9668" t="str">
        <f>"In The Golden Autumn"</f>
        <v>In The Golden Autumn</v>
      </c>
    </row>
    <row r="9669" spans="1:4" x14ac:dyDescent="0.2">
      <c r="A9669" t="str">
        <f>"9668"</f>
        <v>9668</v>
      </c>
      <c r="B9669" t="str">
        <f>"0.09"</f>
        <v>0.09</v>
      </c>
      <c r="C9669" t="str">
        <f>"26"</f>
        <v>26</v>
      </c>
      <c r="D9669" t="str">
        <f>"The Child of Lov"</f>
        <v>The Child of Lov</v>
      </c>
    </row>
    <row r="9670" spans="1:4" x14ac:dyDescent="0.2">
      <c r="A9670" t="str">
        <f>"9669"</f>
        <v>9669</v>
      </c>
      <c r="B9670" t="str">
        <f>"0.78"</f>
        <v>0.78</v>
      </c>
      <c r="C9670" t="str">
        <f>"48"</f>
        <v>48</v>
      </c>
      <c r="D9670" t="str">
        <f>"Settle"</f>
        <v>Settle</v>
      </c>
    </row>
    <row r="9671" spans="1:4" x14ac:dyDescent="0.2">
      <c r="A9671" t="str">
        <f>"9670"</f>
        <v>9670</v>
      </c>
      <c r="B9671" t="str">
        <f>"0.11"</f>
        <v>0.11</v>
      </c>
      <c r="C9671" t="str">
        <f>"37"</f>
        <v>37</v>
      </c>
      <c r="D9671" t="str">
        <f>"The Devil Put Dinosaurs Here"</f>
        <v>The Devil Put Dinosaurs Here</v>
      </c>
    </row>
    <row r="9672" spans="1:4" x14ac:dyDescent="0.2">
      <c r="A9672" t="str">
        <f>"9671"</f>
        <v>9671</v>
      </c>
      <c r="B9672" t="str">
        <f>"0.83"</f>
        <v>0.83</v>
      </c>
      <c r="C9672" t="str">
        <f>"28"</f>
        <v>28</v>
      </c>
      <c r="D9672" t="str">
        <f>"Modern Worship"</f>
        <v>Modern Worship</v>
      </c>
    </row>
    <row r="9673" spans="1:4" x14ac:dyDescent="0.2">
      <c r="A9673" t="str">
        <f>"9672"</f>
        <v>9672</v>
      </c>
      <c r="B9673" t="str">
        <f>"1.06"</f>
        <v>1.06</v>
      </c>
      <c r="C9673" t="str">
        <f>"32"</f>
        <v>32</v>
      </c>
      <c r="D9673" t="str">
        <f>"Anarchic Breezes"</f>
        <v>Anarchic Breezes</v>
      </c>
    </row>
    <row r="9674" spans="1:4" x14ac:dyDescent="0.2">
      <c r="A9674" t="str">
        <f>"9673"</f>
        <v>9673</v>
      </c>
      <c r="B9674" t="str">
        <f>"-0.75"</f>
        <v>-0.75</v>
      </c>
      <c r="C9674" t="str">
        <f>"22"</f>
        <v>22</v>
      </c>
      <c r="D9674" t="str">
        <f>"The Ways We Separate"</f>
        <v>The Ways We Separate</v>
      </c>
    </row>
    <row r="9675" spans="1:4" x14ac:dyDescent="0.2">
      <c r="A9675" t="str">
        <f>"9674"</f>
        <v>9674</v>
      </c>
      <c r="B9675" t="str">
        <f>"-0.81"</f>
        <v>-0.81</v>
      </c>
      <c r="C9675" t="str">
        <f>"35"</f>
        <v>35</v>
      </c>
      <c r="D9675" t="str">
        <f>"Like Clockwork"</f>
        <v>Like Clockwork</v>
      </c>
    </row>
    <row r="9676" spans="1:4" x14ac:dyDescent="0.2">
      <c r="A9676" t="str">
        <f>"9675"</f>
        <v>9675</v>
      </c>
      <c r="B9676" t="str">
        <f>"0.52"</f>
        <v>0.52</v>
      </c>
      <c r="C9676" t="str">
        <f>"21"</f>
        <v>21</v>
      </c>
      <c r="D9676" t="str">
        <f>"Monkey Been to Burntown EP"</f>
        <v>Monkey Been to Burntown EP</v>
      </c>
    </row>
    <row r="9677" spans="1:4" x14ac:dyDescent="0.2">
      <c r="A9677" t="str">
        <f>"9676"</f>
        <v>9676</v>
      </c>
      <c r="B9677" t="str">
        <f>"0"</f>
        <v>0</v>
      </c>
      <c r="C9677" t="str">
        <f>"58"</f>
        <v>58</v>
      </c>
      <c r="D9677" t="str">
        <f>"Once I Was an Eagle"</f>
        <v>Once I Was an Eagle</v>
      </c>
    </row>
    <row r="9678" spans="1:4" x14ac:dyDescent="0.2">
      <c r="A9678" t="str">
        <f>"9677"</f>
        <v>9677</v>
      </c>
      <c r="B9678" t="str">
        <f>"-0.1"</f>
        <v>-0.1</v>
      </c>
      <c r="C9678" t="str">
        <f>"32"</f>
        <v>32</v>
      </c>
      <c r="D9678" t="str">
        <f>"Nightingale Floors"</f>
        <v>Nightingale Floors</v>
      </c>
    </row>
    <row r="9679" spans="1:4" x14ac:dyDescent="0.2">
      <c r="A9679" t="str">
        <f>"9678"</f>
        <v>9678</v>
      </c>
      <c r="B9679" t="str">
        <f>"-0.24"</f>
        <v>-0.24</v>
      </c>
      <c r="C9679" t="str">
        <f>"45"</f>
        <v>45</v>
      </c>
      <c r="D9679" t="str">
        <f>"One One One"</f>
        <v>One One One</v>
      </c>
    </row>
    <row r="9680" spans="1:4" x14ac:dyDescent="0.2">
      <c r="A9680" t="str">
        <f>"9679"</f>
        <v>9679</v>
      </c>
      <c r="B9680" t="str">
        <f>"1.04"</f>
        <v>1.04</v>
      </c>
      <c r="C9680" t="str">
        <f>"35"</f>
        <v>35</v>
      </c>
      <c r="D9680" t="str">
        <f>"After Dark 2"</f>
        <v>After Dark 2</v>
      </c>
    </row>
    <row r="9681" spans="1:4" x14ac:dyDescent="0.2">
      <c r="A9681" t="str">
        <f>"9680"</f>
        <v>9680</v>
      </c>
      <c r="B9681" t="str">
        <f>"-0.75"</f>
        <v>-0.75</v>
      </c>
      <c r="C9681" t="str">
        <f>"27"</f>
        <v>27</v>
      </c>
      <c r="D9681" t="str">
        <f>"False Idols"</f>
        <v>False Idols</v>
      </c>
    </row>
    <row r="9682" spans="1:4" x14ac:dyDescent="0.2">
      <c r="A9682" t="str">
        <f>"9681"</f>
        <v>9681</v>
      </c>
      <c r="B9682" t="str">
        <f>"0.65"</f>
        <v>0.65</v>
      </c>
      <c r="C9682" t="str">
        <f>"24"</f>
        <v>24</v>
      </c>
      <c r="D9682" t="str">
        <f>"Hanging Gardens"</f>
        <v>Hanging Gardens</v>
      </c>
    </row>
    <row r="9683" spans="1:4" x14ac:dyDescent="0.2">
      <c r="A9683" t="str">
        <f>"9682"</f>
        <v>9682</v>
      </c>
      <c r="B9683" t="str">
        <f>"0.88"</f>
        <v>0.88</v>
      </c>
      <c r="C9683" t="str">
        <f>"18"</f>
        <v>18</v>
      </c>
      <c r="D9683" t="str">
        <f>"Other Life"</f>
        <v>Other Life</v>
      </c>
    </row>
    <row r="9684" spans="1:4" x14ac:dyDescent="0.2">
      <c r="A9684" t="str">
        <f>"9683"</f>
        <v>9683</v>
      </c>
      <c r="B9684" t="str">
        <f>"-0.81"</f>
        <v>-0.81</v>
      </c>
      <c r="C9684" t="str">
        <f>"40"</f>
        <v>40</v>
      </c>
      <c r="D9684" t="str">
        <f>"Innocence is Kinky"</f>
        <v>Innocence is Kinky</v>
      </c>
    </row>
    <row r="9685" spans="1:4" x14ac:dyDescent="0.2">
      <c r="A9685" t="str">
        <f>"9684"</f>
        <v>9684</v>
      </c>
      <c r="B9685" t="str">
        <f>"-0.28"</f>
        <v>-0.28</v>
      </c>
      <c r="C9685" t="str">
        <f>"32"</f>
        <v>32</v>
      </c>
      <c r="D9685" t="str">
        <f>"Ultraviolet"</f>
        <v>Ultraviolet</v>
      </c>
    </row>
    <row r="9686" spans="1:4" x14ac:dyDescent="0.2">
      <c r="A9686" t="str">
        <f>"9685"</f>
        <v>9685</v>
      </c>
      <c r="B9686" t="str">
        <f>"0.77"</f>
        <v>0.77</v>
      </c>
      <c r="C9686" t="str">
        <f>"39"</f>
        <v>39</v>
      </c>
      <c r="D9686" t="str">
        <f>"Scott &amp; Rivers"</f>
        <v>Scott &amp; Rivers</v>
      </c>
    </row>
    <row r="9687" spans="1:4" x14ac:dyDescent="0.2">
      <c r="A9687" t="str">
        <f>"9686"</f>
        <v>9686</v>
      </c>
      <c r="B9687" t="str">
        <f>"-0.48"</f>
        <v>-0.48</v>
      </c>
      <c r="C9687" t="str">
        <f>"35"</f>
        <v>35</v>
      </c>
      <c r="D9687" t="str">
        <f>"Hecla &amp; Griper EP"</f>
        <v>Hecla &amp; Griper EP</v>
      </c>
    </row>
    <row r="9688" spans="1:4" x14ac:dyDescent="0.2">
      <c r="A9688" t="str">
        <f>"9687"</f>
        <v>9687</v>
      </c>
      <c r="B9688" t="str">
        <f>"-0.1"</f>
        <v>-0.1</v>
      </c>
      <c r="C9688" t="str">
        <f>"20"</f>
        <v>20</v>
      </c>
      <c r="D9688" t="str">
        <f>"Sunday School II: When Church Lets Out"</f>
        <v>Sunday School II: When Church Lets Out</v>
      </c>
    </row>
    <row r="9689" spans="1:4" x14ac:dyDescent="0.2">
      <c r="A9689" t="str">
        <f>"9688"</f>
        <v>9688</v>
      </c>
      <c r="B9689" t="str">
        <f>"-0.51"</f>
        <v>-0.51</v>
      </c>
      <c r="C9689" t="str">
        <f>"26"</f>
        <v>26</v>
      </c>
      <c r="D9689" t="str">
        <f>"Secondhand Rapture"</f>
        <v>Secondhand Rapture</v>
      </c>
    </row>
    <row r="9690" spans="1:4" x14ac:dyDescent="0.2">
      <c r="A9690" t="str">
        <f>"9689"</f>
        <v>9689</v>
      </c>
      <c r="B9690" t="str">
        <f>"0.77"</f>
        <v>0.77</v>
      </c>
      <c r="C9690" t="str">
        <f>"29"</f>
        <v>29</v>
      </c>
      <c r="D9690" t="str">
        <f>"Between Two Selves"</f>
        <v>Between Two Selves</v>
      </c>
    </row>
    <row r="9691" spans="1:4" x14ac:dyDescent="0.2">
      <c r="A9691" t="str">
        <f>"9690"</f>
        <v>9690</v>
      </c>
      <c r="B9691" t="str">
        <f>"-0.23"</f>
        <v>-0.23</v>
      </c>
      <c r="C9691" t="str">
        <f>"52"</f>
        <v>52</v>
      </c>
      <c r="D9691" t="str">
        <f>"Trouble Will Find Me"</f>
        <v>Trouble Will Find Me</v>
      </c>
    </row>
    <row r="9692" spans="1:4" x14ac:dyDescent="0.2">
      <c r="A9692" t="str">
        <f>"9691"</f>
        <v>9691</v>
      </c>
      <c r="B9692" t="str">
        <f>"-0.51"</f>
        <v>-0.51</v>
      </c>
      <c r="C9692" t="str">
        <f>"31"</f>
        <v>31</v>
      </c>
      <c r="D9692" t="str">
        <f>"Behind the Green Door EP"</f>
        <v>Behind the Green Door EP</v>
      </c>
    </row>
    <row r="9693" spans="1:4" x14ac:dyDescent="0.2">
      <c r="A9693" t="str">
        <f>"9692"</f>
        <v>9692</v>
      </c>
      <c r="B9693" t="str">
        <f>"-0.1"</f>
        <v>-0.1</v>
      </c>
      <c r="C9693" t="str">
        <f>"27"</f>
        <v>27</v>
      </c>
      <c r="D9693" t="str">
        <f>"Survival"</f>
        <v>Survival</v>
      </c>
    </row>
    <row r="9694" spans="1:4" x14ac:dyDescent="0.2">
      <c r="A9694" t="str">
        <f>"9693"</f>
        <v>9693</v>
      </c>
      <c r="B9694" t="str">
        <f>"0.39"</f>
        <v>0.39</v>
      </c>
      <c r="C9694" t="str">
        <f>"20"</f>
        <v>20</v>
      </c>
      <c r="D9694" t="str">
        <f>"Dreams in the Rat House"</f>
        <v>Dreams in the Rat House</v>
      </c>
    </row>
    <row r="9695" spans="1:4" x14ac:dyDescent="0.2">
      <c r="A9695" t="str">
        <f>"9694"</f>
        <v>9694</v>
      </c>
      <c r="B9695" t="str">
        <f>"-0.26"</f>
        <v>-0.26</v>
      </c>
      <c r="C9695" t="str">
        <f>"23"</f>
        <v>23</v>
      </c>
      <c r="D9695" t="str">
        <f>"Tactile Galactics"</f>
        <v>Tactile Galactics</v>
      </c>
    </row>
    <row r="9696" spans="1:4" x14ac:dyDescent="0.2">
      <c r="A9696" t="str">
        <f>"9695"</f>
        <v>9695</v>
      </c>
      <c r="B9696" t="str">
        <f>"1.12"</f>
        <v>1.12</v>
      </c>
      <c r="C9696" t="str">
        <f>"84"</f>
        <v>84</v>
      </c>
      <c r="D9696" t="str">
        <f>"Random Access Memories"</f>
        <v>Random Access Memories</v>
      </c>
    </row>
    <row r="9697" spans="1:4" x14ac:dyDescent="0.2">
      <c r="A9697" t="str">
        <f>"9696"</f>
        <v>9696</v>
      </c>
      <c r="B9697" t="str">
        <f>"1.28"</f>
        <v>1.28</v>
      </c>
      <c r="C9697" t="str">
        <f>"26"</f>
        <v>26</v>
      </c>
      <c r="D9697" t="str">
        <f>"Sing to the Moon"</f>
        <v>Sing to the Moon</v>
      </c>
    </row>
    <row r="9698" spans="1:4" x14ac:dyDescent="0.2">
      <c r="A9698" t="str">
        <f>"9697"</f>
        <v>9697</v>
      </c>
      <c r="B9698" t="str">
        <f>"-0.11"</f>
        <v>-0.11</v>
      </c>
      <c r="C9698" t="str">
        <f>"46"</f>
        <v>46</v>
      </c>
      <c r="D9698" t="str">
        <f>"It's Up to Emma"</f>
        <v>It's Up to Emma</v>
      </c>
    </row>
    <row r="9699" spans="1:4" x14ac:dyDescent="0.2">
      <c r="A9699" t="str">
        <f>"9698"</f>
        <v>9698</v>
      </c>
      <c r="B9699" t="str">
        <f>"-0.25"</f>
        <v>-0.25</v>
      </c>
      <c r="C9699" t="str">
        <f>"40"</f>
        <v>40</v>
      </c>
      <c r="D9699" t="str">
        <f>"Marriage of Metals"</f>
        <v>Marriage of Metals</v>
      </c>
    </row>
    <row r="9700" spans="1:4" x14ac:dyDescent="0.2">
      <c r="A9700" t="str">
        <f>"9699"</f>
        <v>9699</v>
      </c>
      <c r="B9700" t="str">
        <f>"0.5"</f>
        <v>0.5</v>
      </c>
      <c r="C9700" t="str">
        <f>"31"</f>
        <v>31</v>
      </c>
      <c r="D9700" t="str">
        <f>"Sqürl EP"</f>
        <v>Sqürl EP</v>
      </c>
    </row>
    <row r="9701" spans="1:4" x14ac:dyDescent="0.2">
      <c r="A9701" t="str">
        <f>"9700"</f>
        <v>9700</v>
      </c>
      <c r="B9701" t="str">
        <f>"0.66"</f>
        <v>0.66</v>
      </c>
      <c r="C9701" t="str">
        <f>"30"</f>
        <v>30</v>
      </c>
      <c r="D9701" t="str">
        <f>"The Great Gatsby OST"</f>
        <v>The Great Gatsby OST</v>
      </c>
    </row>
    <row r="9702" spans="1:4" x14ac:dyDescent="0.2">
      <c r="A9702" t="str">
        <f>"9701"</f>
        <v>9701</v>
      </c>
      <c r="B9702" t="str">
        <f>"-0.05"</f>
        <v>-0.05</v>
      </c>
      <c r="C9702" t="str">
        <f>"28"</f>
        <v>28</v>
      </c>
      <c r="D9702" t="str">
        <f>"Black Pudding"</f>
        <v>Black Pudding</v>
      </c>
    </row>
    <row r="9703" spans="1:4" x14ac:dyDescent="0.2">
      <c r="A9703" t="str">
        <f>"9702"</f>
        <v>9702</v>
      </c>
      <c r="B9703" t="str">
        <f>"0.13"</f>
        <v>0.13</v>
      </c>
      <c r="C9703" t="str">
        <f>"20"</f>
        <v>20</v>
      </c>
      <c r="D9703" t="str">
        <f>"No One Dances Quite Like My Brothers"</f>
        <v>No One Dances Quite Like My Brothers</v>
      </c>
    </row>
    <row r="9704" spans="1:4" x14ac:dyDescent="0.2">
      <c r="A9704" t="str">
        <f>"9703"</f>
        <v>9703</v>
      </c>
      <c r="B9704" t="str">
        <f>"-0.42"</f>
        <v>-0.42</v>
      </c>
      <c r="C9704" t="str">
        <f>"45"</f>
        <v>45</v>
      </c>
      <c r="D9704" t="str">
        <f>"The Last Spire"</f>
        <v>The Last Spire</v>
      </c>
    </row>
    <row r="9705" spans="1:4" x14ac:dyDescent="0.2">
      <c r="A9705" t="str">
        <f>"9704"</f>
        <v>9704</v>
      </c>
      <c r="B9705" t="str">
        <f>"-0.1"</f>
        <v>-0.1</v>
      </c>
      <c r="C9705" t="str">
        <f>"33"</f>
        <v>33</v>
      </c>
      <c r="D9705" t="str">
        <f>"Tectonic Plates Vol. 4"</f>
        <v>Tectonic Plates Vol. 4</v>
      </c>
    </row>
    <row r="9706" spans="1:4" x14ac:dyDescent="0.2">
      <c r="A9706" t="str">
        <f>"9705"</f>
        <v>9705</v>
      </c>
      <c r="B9706" t="str">
        <f>"-0.4"</f>
        <v>-0.4</v>
      </c>
      <c r="C9706" t="str">
        <f>"22"</f>
        <v>22</v>
      </c>
      <c r="D9706" t="str">
        <f>"Re-Mit"</f>
        <v>Re-Mit</v>
      </c>
    </row>
    <row r="9707" spans="1:4" x14ac:dyDescent="0.2">
      <c r="A9707" t="str">
        <f>"9706"</f>
        <v>9706</v>
      </c>
      <c r="B9707" t="str">
        <f>"-1.1"</f>
        <v>-1.1</v>
      </c>
      <c r="C9707" t="str">
        <f>"42"</f>
        <v>42</v>
      </c>
      <c r="D9707" t="str">
        <f>"Abandon"</f>
        <v>Abandon</v>
      </c>
    </row>
    <row r="9708" spans="1:4" x14ac:dyDescent="0.2">
      <c r="A9708" t="str">
        <f>"9707"</f>
        <v>9707</v>
      </c>
      <c r="B9708" t="str">
        <f>"1.24"</f>
        <v>1.24</v>
      </c>
      <c r="C9708" t="str">
        <f>"30"</f>
        <v>30</v>
      </c>
      <c r="D9708" t="str">
        <f>"Dungeonesse"</f>
        <v>Dungeonesse</v>
      </c>
    </row>
    <row r="9709" spans="1:4" x14ac:dyDescent="0.2">
      <c r="A9709" t="str">
        <f>"9708"</f>
        <v>9708</v>
      </c>
      <c r="B9709" t="str">
        <f>"1.44"</f>
        <v>1.44</v>
      </c>
      <c r="C9709" t="str">
        <f>"20"</f>
        <v>20</v>
      </c>
      <c r="D9709" t="str">
        <f>"Raw Solutions"</f>
        <v>Raw Solutions</v>
      </c>
    </row>
    <row r="9710" spans="1:4" x14ac:dyDescent="0.2">
      <c r="A9710" t="str">
        <f>"9709"</f>
        <v>9709</v>
      </c>
      <c r="B9710" t="str">
        <f>"-1.15"</f>
        <v>-1.15</v>
      </c>
      <c r="C9710" t="str">
        <f>"27"</f>
        <v>27</v>
      </c>
      <c r="D9710" t="str">
        <f>"Pale Green Ghosts"</f>
        <v>Pale Green Ghosts</v>
      </c>
    </row>
    <row r="9711" spans="1:4" x14ac:dyDescent="0.2">
      <c r="A9711" t="str">
        <f>"9710"</f>
        <v>9710</v>
      </c>
      <c r="B9711" t="str">
        <f>"0.8"</f>
        <v>0.8</v>
      </c>
      <c r="C9711" t="str">
        <f>"92"</f>
        <v>92</v>
      </c>
      <c r="D9711" t="str">
        <f>"LSXX"</f>
        <v>LSXX</v>
      </c>
    </row>
    <row r="9712" spans="1:4" x14ac:dyDescent="0.2">
      <c r="A9712" t="str">
        <f>"9711"</f>
        <v>9711</v>
      </c>
      <c r="B9712" t="str">
        <f>"0.17"</f>
        <v>0.17</v>
      </c>
      <c r="C9712" t="str">
        <f>"33"</f>
        <v>33</v>
      </c>
      <c r="D9712" t="str">
        <f>"Silver Wilkinson"</f>
        <v>Silver Wilkinson</v>
      </c>
    </row>
    <row r="9713" spans="1:4" x14ac:dyDescent="0.2">
      <c r="A9713" t="str">
        <f>"9712"</f>
        <v>9712</v>
      </c>
      <c r="B9713" t="str">
        <f>"0.28"</f>
        <v>0.28</v>
      </c>
      <c r="C9713" t="str">
        <f>"31"</f>
        <v>31</v>
      </c>
      <c r="D9713" t="str">
        <f>"Black Beauty"</f>
        <v>Black Beauty</v>
      </c>
    </row>
    <row r="9714" spans="1:4" x14ac:dyDescent="0.2">
      <c r="A9714" t="str">
        <f>"9713"</f>
        <v>9713</v>
      </c>
      <c r="B9714" t="str">
        <f>"0.64"</f>
        <v>0.64</v>
      </c>
      <c r="C9714" t="str">
        <f>"48"</f>
        <v>48</v>
      </c>
      <c r="D9714" t="str">
        <f>"Hard Coming Down"</f>
        <v>Hard Coming Down</v>
      </c>
    </row>
    <row r="9715" spans="1:4" x14ac:dyDescent="0.2">
      <c r="A9715" t="str">
        <f>"9714"</f>
        <v>9714</v>
      </c>
      <c r="B9715" t="str">
        <f>"-0.76"</f>
        <v>-0.76</v>
      </c>
      <c r="C9715" t="str">
        <f>"32"</f>
        <v>32</v>
      </c>
      <c r="D9715" t="str">
        <f>"False Prism"</f>
        <v>False Prism</v>
      </c>
    </row>
    <row r="9716" spans="1:4" x14ac:dyDescent="0.2">
      <c r="A9716" t="str">
        <f>"9715"</f>
        <v>9715</v>
      </c>
      <c r="B9716" t="str">
        <f>"-0.46"</f>
        <v>-0.46</v>
      </c>
      <c r="C9716" t="str">
        <f>"27"</f>
        <v>27</v>
      </c>
      <c r="D9716" t="str">
        <f>"Empty Estate EP"</f>
        <v>Empty Estate EP</v>
      </c>
    </row>
    <row r="9717" spans="1:4" x14ac:dyDescent="0.2">
      <c r="A9717" t="str">
        <f>"9716"</f>
        <v>9716</v>
      </c>
      <c r="B9717" t="str">
        <f>"-0.02"</f>
        <v>-0.02</v>
      </c>
      <c r="C9717" t="str">
        <f>"61"</f>
        <v>61</v>
      </c>
      <c r="D9717" t="str">
        <f>"Green: 25th Anniversary Deluxe Edition"</f>
        <v>Green: 25th Anniversary Deluxe Edition</v>
      </c>
    </row>
    <row r="9718" spans="1:4" x14ac:dyDescent="0.2">
      <c r="A9718" t="str">
        <f>"9717"</f>
        <v>9717</v>
      </c>
      <c r="B9718" t="str">
        <f>"0.53"</f>
        <v>0.53</v>
      </c>
      <c r="C9718" t="str">
        <f>"28"</f>
        <v>28</v>
      </c>
      <c r="D9718" t="str">
        <f>"The Way Things Fall"</f>
        <v>The Way Things Fall</v>
      </c>
    </row>
    <row r="9719" spans="1:4" x14ac:dyDescent="0.2">
      <c r="A9719" t="str">
        <f>"9718"</f>
        <v>9718</v>
      </c>
      <c r="B9719" t="str">
        <f>"-0.53"</f>
        <v>-0.53</v>
      </c>
      <c r="C9719" t="str">
        <f>"34"</f>
        <v>34</v>
      </c>
      <c r="D9719" t="str">
        <f>"Mind Control"</f>
        <v>Mind Control</v>
      </c>
    </row>
    <row r="9720" spans="1:4" x14ac:dyDescent="0.2">
      <c r="A9720" t="str">
        <f>"9719"</f>
        <v>9719</v>
      </c>
      <c r="B9720" t="str">
        <f>"-0.01"</f>
        <v>-0.01</v>
      </c>
      <c r="C9720" t="str">
        <f>"31"</f>
        <v>31</v>
      </c>
      <c r="D9720" t="str">
        <f>"Bruits et Temps Analogues"</f>
        <v>Bruits et Temps Analogues</v>
      </c>
    </row>
    <row r="9721" spans="1:4" x14ac:dyDescent="0.2">
      <c r="A9721" t="str">
        <f>"9720"</f>
        <v>9720</v>
      </c>
      <c r="B9721" t="str">
        <f>"0.47"</f>
        <v>0.47</v>
      </c>
      <c r="C9721" t="str">
        <f>"53"</f>
        <v>53</v>
      </c>
      <c r="D9721" t="str">
        <f>"Modern Vampires of the City"</f>
        <v>Modern Vampires of the City</v>
      </c>
    </row>
    <row r="9722" spans="1:4" x14ac:dyDescent="0.2">
      <c r="A9722" t="str">
        <f>"9721"</f>
        <v>9721</v>
      </c>
      <c r="B9722" t="str">
        <f>"0.66"</f>
        <v>0.66</v>
      </c>
      <c r="C9722" t="str">
        <f>"35"</f>
        <v>35</v>
      </c>
      <c r="D9722" t="str">
        <f>"Bright Sunny South"</f>
        <v>Bright Sunny South</v>
      </c>
    </row>
    <row r="9723" spans="1:4" x14ac:dyDescent="0.2">
      <c r="A9723" t="str">
        <f>"9722"</f>
        <v>9722</v>
      </c>
      <c r="B9723" t="str">
        <f>"0.66"</f>
        <v>0.66</v>
      </c>
      <c r="C9723" t="str">
        <f>"39"</f>
        <v>39</v>
      </c>
      <c r="D9723" t="str">
        <f>"X'ed Out"</f>
        <v>X'ed Out</v>
      </c>
    </row>
    <row r="9724" spans="1:4" x14ac:dyDescent="0.2">
      <c r="A9724" t="str">
        <f>"9723"</f>
        <v>9723</v>
      </c>
      <c r="B9724" t="str">
        <f>"0.55"</f>
        <v>0.55</v>
      </c>
      <c r="C9724" t="str">
        <f>"26"</f>
        <v>26</v>
      </c>
      <c r="D9724" t="str">
        <f>"Acid: Mysterons Invade the Jackin' Zone"</f>
        <v>Acid: Mysterons Invade the Jackin' Zone</v>
      </c>
    </row>
    <row r="9725" spans="1:4" x14ac:dyDescent="0.2">
      <c r="A9725" t="str">
        <f>"9724"</f>
        <v>9724</v>
      </c>
      <c r="B9725" t="str">
        <f>"-0.68"</f>
        <v>-0.68</v>
      </c>
      <c r="C9725" t="str">
        <f>"32"</f>
        <v>32</v>
      </c>
      <c r="D9725" t="str">
        <f>"The Elektrik Karousel"</f>
        <v>The Elektrik Karousel</v>
      </c>
    </row>
    <row r="9726" spans="1:4" x14ac:dyDescent="0.2">
      <c r="A9726" t="str">
        <f>"9725"</f>
        <v>9725</v>
      </c>
      <c r="B9726" t="str">
        <f>"1.13"</f>
        <v>1.13</v>
      </c>
      <c r="C9726" t="str">
        <f>"38"</f>
        <v>38</v>
      </c>
      <c r="D9726" t="str">
        <f>"Volume 3"</f>
        <v>Volume 3</v>
      </c>
    </row>
    <row r="9727" spans="1:4" x14ac:dyDescent="0.2">
      <c r="A9727" t="str">
        <f>"9726"</f>
        <v>9726</v>
      </c>
      <c r="B9727" t="str">
        <f>"0.76"</f>
        <v>0.76</v>
      </c>
      <c r="C9727" t="str">
        <f>"25"</f>
        <v>25</v>
      </c>
      <c r="D9727" t="str">
        <f>"Limits of Desire"</f>
        <v>Limits of Desire</v>
      </c>
    </row>
    <row r="9728" spans="1:4" x14ac:dyDescent="0.2">
      <c r="A9728" t="str">
        <f>"9727"</f>
        <v>9727</v>
      </c>
      <c r="B9728" t="str">
        <f>"0.93"</f>
        <v>0.93</v>
      </c>
      <c r="C9728" t="str">
        <f>"30"</f>
        <v>30</v>
      </c>
      <c r="D9728" t="str">
        <f>"Replicant Moods"</f>
        <v>Replicant Moods</v>
      </c>
    </row>
    <row r="9729" spans="1:4" x14ac:dyDescent="0.2">
      <c r="A9729" t="str">
        <f>"9728"</f>
        <v>9728</v>
      </c>
      <c r="B9729" t="str">
        <f>"0.41"</f>
        <v>0.41</v>
      </c>
      <c r="C9729" t="str">
        <f>"49"</f>
        <v>49</v>
      </c>
      <c r="D9729" t="str">
        <f>"Kingdom of Conspiracy"</f>
        <v>Kingdom of Conspiracy</v>
      </c>
    </row>
    <row r="9730" spans="1:4" x14ac:dyDescent="0.2">
      <c r="A9730" t="str">
        <f>"9729"</f>
        <v>9729</v>
      </c>
      <c r="B9730" t="str">
        <f>"0.29"</f>
        <v>0.29</v>
      </c>
      <c r="C9730" t="str">
        <f>"29"</f>
        <v>29</v>
      </c>
      <c r="D9730" t="str">
        <f>"The Circle and the Blue Door"</f>
        <v>The Circle and the Blue Door</v>
      </c>
    </row>
    <row r="9731" spans="1:4" x14ac:dyDescent="0.2">
      <c r="A9731" t="str">
        <f>"9730"</f>
        <v>9730</v>
      </c>
      <c r="B9731" t="str">
        <f>"0.22"</f>
        <v>0.22</v>
      </c>
      <c r="C9731" t="str">
        <f>"31"</f>
        <v>31</v>
      </c>
      <c r="D9731" t="str">
        <f>"Access All Arenas"</f>
        <v>Access All Arenas</v>
      </c>
    </row>
    <row r="9732" spans="1:4" x14ac:dyDescent="0.2">
      <c r="A9732" t="str">
        <f>"9731"</f>
        <v>9731</v>
      </c>
      <c r="B9732" t="str">
        <f>"-0.32"</f>
        <v>-0.32</v>
      </c>
      <c r="C9732" t="str">
        <f>"39"</f>
        <v>39</v>
      </c>
      <c r="D9732" t="str">
        <f>"Indicud"</f>
        <v>Indicud</v>
      </c>
    </row>
    <row r="9733" spans="1:4" x14ac:dyDescent="0.2">
      <c r="A9733" t="str">
        <f>"9732"</f>
        <v>9732</v>
      </c>
      <c r="B9733" t="str">
        <f>"-0.02"</f>
        <v>-0.02</v>
      </c>
      <c r="C9733" t="str">
        <f>"21"</f>
        <v>21</v>
      </c>
      <c r="D9733" t="str">
        <f>"She Beats"</f>
        <v>She Beats</v>
      </c>
    </row>
    <row r="9734" spans="1:4" x14ac:dyDescent="0.2">
      <c r="A9734" t="str">
        <f>"9733"</f>
        <v>9733</v>
      </c>
      <c r="B9734" t="str">
        <f>"-0.69"</f>
        <v>-0.69</v>
      </c>
      <c r="C9734" t="str">
        <f>"34"</f>
        <v>34</v>
      </c>
      <c r="D9734" t="str">
        <f>"Grain"</f>
        <v>Grain</v>
      </c>
    </row>
    <row r="9735" spans="1:4" x14ac:dyDescent="0.2">
      <c r="A9735" t="str">
        <f>"9734"</f>
        <v>9734</v>
      </c>
      <c r="B9735" t="str">
        <f>"0.45"</f>
        <v>0.45</v>
      </c>
      <c r="C9735" t="str">
        <f>"29"</f>
        <v>29</v>
      </c>
      <c r="D9735" t="str">
        <f>"IV: Arrow in Heart"</f>
        <v>IV: Arrow in Heart</v>
      </c>
    </row>
    <row r="9736" spans="1:4" x14ac:dyDescent="0.2">
      <c r="A9736" t="str">
        <f>"9735"</f>
        <v>9735</v>
      </c>
      <c r="B9736" t="str">
        <f>"-0.86"</f>
        <v>-0.86</v>
      </c>
      <c r="C9736" t="str">
        <f>"35"</f>
        <v>35</v>
      </c>
      <c r="D9736" t="str">
        <f>"More Light"</f>
        <v>More Light</v>
      </c>
    </row>
    <row r="9737" spans="1:4" x14ac:dyDescent="0.2">
      <c r="A9737" t="str">
        <f>"9736"</f>
        <v>9736</v>
      </c>
      <c r="B9737" t="str">
        <f>"-0.52"</f>
        <v>-0.52</v>
      </c>
      <c r="C9737" t="str">
        <f>"30"</f>
        <v>30</v>
      </c>
      <c r="D9737" t="str">
        <f>"Nocturnes"</f>
        <v>Nocturnes</v>
      </c>
    </row>
    <row r="9738" spans="1:4" x14ac:dyDescent="0.2">
      <c r="A9738" t="str">
        <f>"9737"</f>
        <v>9737</v>
      </c>
      <c r="B9738" t="str">
        <f>"-0.05"</f>
        <v>-0.05</v>
      </c>
      <c r="C9738" t="str">
        <f>"37"</f>
        <v>37</v>
      </c>
      <c r="D9738" t="str">
        <f>"Death Speaks"</f>
        <v>Death Speaks</v>
      </c>
    </row>
    <row r="9739" spans="1:4" x14ac:dyDescent="0.2">
      <c r="A9739" t="str">
        <f>"9738"</f>
        <v>9738</v>
      </c>
      <c r="B9739" t="str">
        <f>"-0.51"</f>
        <v>-0.51</v>
      </c>
      <c r="C9739" t="str">
        <f>"22"</f>
        <v>22</v>
      </c>
      <c r="D9739" t="str">
        <f>"Fashion Lady"</f>
        <v>Fashion Lady</v>
      </c>
    </row>
    <row r="9740" spans="1:4" x14ac:dyDescent="0.2">
      <c r="A9740" t="str">
        <f>"9739"</f>
        <v>9739</v>
      </c>
      <c r="B9740" t="str">
        <f>"0.04"</f>
        <v>0.04</v>
      </c>
      <c r="C9740" t="str">
        <f>"40"</f>
        <v>40</v>
      </c>
      <c r="D9740" t="str">
        <f>"Fain"</f>
        <v>Fain</v>
      </c>
    </row>
    <row r="9741" spans="1:4" x14ac:dyDescent="0.2">
      <c r="A9741" t="str">
        <f>"9740"</f>
        <v>9740</v>
      </c>
      <c r="B9741" t="str">
        <f>"0.29"</f>
        <v>0.29</v>
      </c>
      <c r="C9741" t="str">
        <f>"78"</f>
        <v>78</v>
      </c>
      <c r="D9741" t="str">
        <f>"Acid Rap"</f>
        <v>Acid Rap</v>
      </c>
    </row>
    <row r="9742" spans="1:4" x14ac:dyDescent="0.2">
      <c r="A9742" t="str">
        <f>"9741"</f>
        <v>9741</v>
      </c>
      <c r="B9742" t="str">
        <f>"0.86"</f>
        <v>0.86</v>
      </c>
      <c r="C9742" t="str">
        <f>"29"</f>
        <v>29</v>
      </c>
      <c r="D9742" t="str">
        <f>"New History Warfare Vol. 3: To See More Light"</f>
        <v>New History Warfare Vol. 3: To See More Light</v>
      </c>
    </row>
    <row r="9743" spans="1:4" x14ac:dyDescent="0.2">
      <c r="A9743" t="str">
        <f>"9742"</f>
        <v>9742</v>
      </c>
      <c r="B9743" t="str">
        <f>"1.17"</f>
        <v>1.17</v>
      </c>
      <c r="C9743" t="str">
        <f>"22"</f>
        <v>22</v>
      </c>
      <c r="D9743" t="str">
        <f>"Moody Coup"</f>
        <v>Moody Coup</v>
      </c>
    </row>
    <row r="9744" spans="1:4" x14ac:dyDescent="0.2">
      <c r="A9744" t="str">
        <f>"9743"</f>
        <v>9743</v>
      </c>
      <c r="B9744" t="str">
        <f>"-0.71"</f>
        <v>-0.71</v>
      </c>
      <c r="C9744" t="str">
        <f>"17"</f>
        <v>17</v>
      </c>
      <c r="D9744" t="str">
        <f>"A Bad Wind Blows in My Heart"</f>
        <v>A Bad Wind Blows in My Heart</v>
      </c>
    </row>
    <row r="9745" spans="1:4" x14ac:dyDescent="0.2">
      <c r="A9745" t="str">
        <f>"9744"</f>
        <v>9744</v>
      </c>
      <c r="B9745" t="str">
        <f>"-0.71"</f>
        <v>-0.71</v>
      </c>
      <c r="C9745" t="str">
        <f>"31"</f>
        <v>31</v>
      </c>
      <c r="D9745" t="str">
        <f>"Bloodlines"</f>
        <v>Bloodlines</v>
      </c>
    </row>
    <row r="9746" spans="1:4" x14ac:dyDescent="0.2">
      <c r="A9746" t="str">
        <f>"9745"</f>
        <v>9745</v>
      </c>
      <c r="B9746" t="str">
        <f>"-0.4"</f>
        <v>-0.4</v>
      </c>
      <c r="C9746" t="str">
        <f>"53"</f>
        <v>53</v>
      </c>
      <c r="D9746" t="str">
        <f>"Silence Yourself"</f>
        <v>Silence Yourself</v>
      </c>
    </row>
    <row r="9747" spans="1:4" x14ac:dyDescent="0.2">
      <c r="A9747" t="str">
        <f>"9746"</f>
        <v>9746</v>
      </c>
      <c r="B9747" t="str">
        <f>"0.26"</f>
        <v>0.26</v>
      </c>
      <c r="C9747" t="str">
        <f>"58"</f>
        <v>58</v>
      </c>
      <c r="D9747" t="str">
        <f>"Songs Cycled"</f>
        <v>Songs Cycled</v>
      </c>
    </row>
    <row r="9748" spans="1:4" x14ac:dyDescent="0.2">
      <c r="A9748" t="str">
        <f>"9747"</f>
        <v>9747</v>
      </c>
      <c r="B9748" t="str">
        <f>"0.25"</f>
        <v>0.25</v>
      </c>
      <c r="C9748" t="str">
        <f>"38"</f>
        <v>38</v>
      </c>
      <c r="D9748" t="str">
        <f>"Praxis Makes Perfect"</f>
        <v>Praxis Makes Perfect</v>
      </c>
    </row>
    <row r="9749" spans="1:4" x14ac:dyDescent="0.2">
      <c r="A9749" t="str">
        <f>"9748"</f>
        <v>9748</v>
      </c>
      <c r="B9749" t="str">
        <f>"-0.5"</f>
        <v>-0.5</v>
      </c>
      <c r="C9749" t="str">
        <f>"38"</f>
        <v>38</v>
      </c>
      <c r="D9749" t="str">
        <f>"Teethed Glory and Injury"</f>
        <v>Teethed Glory and Injury</v>
      </c>
    </row>
    <row r="9750" spans="1:4" x14ac:dyDescent="0.2">
      <c r="A9750" t="str">
        <f>"9749"</f>
        <v>9749</v>
      </c>
      <c r="B9750" t="str">
        <f>"1.13"</f>
        <v>1.13</v>
      </c>
      <c r="C9750" t="str">
        <f>"21"</f>
        <v>21</v>
      </c>
      <c r="D9750" t="str">
        <f>"Thank You for Letting Me Be Myself"</f>
        <v>Thank You for Letting Me Be Myself</v>
      </c>
    </row>
    <row r="9751" spans="1:4" x14ac:dyDescent="0.2">
      <c r="A9751" t="str">
        <f>"9750"</f>
        <v>9750</v>
      </c>
      <c r="B9751" t="str">
        <f>"0.39"</f>
        <v>0.39</v>
      </c>
      <c r="C9751" t="str">
        <f>"43"</f>
        <v>43</v>
      </c>
      <c r="D9751" t="str">
        <f>"Monomania"</f>
        <v>Monomania</v>
      </c>
    </row>
    <row r="9752" spans="1:4" x14ac:dyDescent="0.2">
      <c r="A9752" t="str">
        <f>"9751"</f>
        <v>9751</v>
      </c>
      <c r="B9752" t="str">
        <f>"0.21"</f>
        <v>0.21</v>
      </c>
      <c r="C9752" t="str">
        <f>"35"</f>
        <v>35</v>
      </c>
      <c r="D9752" t="str">
        <f>"Blowout"</f>
        <v>Blowout</v>
      </c>
    </row>
    <row r="9753" spans="1:4" x14ac:dyDescent="0.2">
      <c r="A9753" t="str">
        <f>"9752"</f>
        <v>9752</v>
      </c>
      <c r="B9753" t="str">
        <f>"-0.8"</f>
        <v>-0.8</v>
      </c>
      <c r="C9753" t="str">
        <f>"19"</f>
        <v>19</v>
      </c>
      <c r="D9753" t="str">
        <f>"Prisoner of Conscious"</f>
        <v>Prisoner of Conscious</v>
      </c>
    </row>
    <row r="9754" spans="1:4" x14ac:dyDescent="0.2">
      <c r="A9754" t="str">
        <f>"9753"</f>
        <v>9753</v>
      </c>
      <c r="B9754" t="str">
        <f>"-1.88"</f>
        <v>-1.88</v>
      </c>
      <c r="C9754" t="str">
        <f>"28"</f>
        <v>28</v>
      </c>
      <c r="D9754" t="s">
        <v>304</v>
      </c>
    </row>
    <row r="9755" spans="1:4" x14ac:dyDescent="0.2">
      <c r="A9755" t="str">
        <f>"9754"</f>
        <v>9754</v>
      </c>
      <c r="B9755" t="str">
        <f>"0.35"</f>
        <v>0.35</v>
      </c>
      <c r="C9755" t="str">
        <f>"19"</f>
        <v>19</v>
      </c>
      <c r="D9755" t="str">
        <f>"Discipline + Desire"</f>
        <v>Discipline + Desire</v>
      </c>
    </row>
    <row r="9756" spans="1:4" x14ac:dyDescent="0.2">
      <c r="A9756" t="str">
        <f>"9755"</f>
        <v>9755</v>
      </c>
      <c r="B9756" t="str">
        <f>"0.83"</f>
        <v>0.83</v>
      </c>
      <c r="C9756" t="str">
        <f>"51"</f>
        <v>51</v>
      </c>
      <c r="D9756" t="str">
        <f>"MCII"</f>
        <v>MCII</v>
      </c>
    </row>
    <row r="9757" spans="1:4" x14ac:dyDescent="0.2">
      <c r="A9757" t="str">
        <f>"9756"</f>
        <v>9756</v>
      </c>
      <c r="B9757" t="str">
        <f>"-0.74"</f>
        <v>-0.74</v>
      </c>
      <c r="C9757" t="str">
        <f>"24"</f>
        <v>24</v>
      </c>
      <c r="D9757" t="str">
        <f>"Everybody Loves Sausages"</f>
        <v>Everybody Loves Sausages</v>
      </c>
    </row>
    <row r="9758" spans="1:4" x14ac:dyDescent="0.2">
      <c r="A9758" t="str">
        <f>"9757"</f>
        <v>9757</v>
      </c>
      <c r="B9758" t="str">
        <f>"0.93"</f>
        <v>0.93</v>
      </c>
      <c r="C9758" t="str">
        <f>"23"</f>
        <v>23</v>
      </c>
      <c r="D9758" t="str">
        <f>"Ghosts Go Blind"</f>
        <v>Ghosts Go Blind</v>
      </c>
    </row>
    <row r="9759" spans="1:4" x14ac:dyDescent="0.2">
      <c r="A9759" t="str">
        <f>"9758"</f>
        <v>9758</v>
      </c>
      <c r="B9759" t="str">
        <f>"1.25"</f>
        <v>1.25</v>
      </c>
      <c r="C9759" t="str">
        <f>"30"</f>
        <v>30</v>
      </c>
      <c r="D9759" t="str">
        <f>"Eglo Records Vol. 1"</f>
        <v>Eglo Records Vol. 1</v>
      </c>
    </row>
    <row r="9760" spans="1:4" x14ac:dyDescent="0.2">
      <c r="A9760" t="str">
        <f>"9759"</f>
        <v>9759</v>
      </c>
      <c r="B9760" t="str">
        <f>"0.78"</f>
        <v>0.78</v>
      </c>
      <c r="C9760" t="str">
        <f>"29"</f>
        <v>29</v>
      </c>
      <c r="D9760" t="str">
        <f>"Private Airplane"</f>
        <v>Private Airplane</v>
      </c>
    </row>
    <row r="9761" spans="1:4" x14ac:dyDescent="0.2">
      <c r="A9761" t="str">
        <f>"9760"</f>
        <v>9760</v>
      </c>
      <c r="B9761" t="str">
        <f>"0.7"</f>
        <v>0.7</v>
      </c>
      <c r="C9761" t="str">
        <f>"48"</f>
        <v>48</v>
      </c>
      <c r="D9761" t="str">
        <f>"English Little League"</f>
        <v>English Little League</v>
      </c>
    </row>
    <row r="9762" spans="1:4" x14ac:dyDescent="0.2">
      <c r="A9762" t="str">
        <f>"9761"</f>
        <v>9761</v>
      </c>
      <c r="B9762" t="str">
        <f>"0"</f>
        <v>0</v>
      </c>
      <c r="C9762" t="str">
        <f>"24"</f>
        <v>24</v>
      </c>
      <c r="D9762" t="str">
        <f>"Sub Verses"</f>
        <v>Sub Verses</v>
      </c>
    </row>
    <row r="9763" spans="1:4" x14ac:dyDescent="0.2">
      <c r="A9763" t="str">
        <f>"9762"</f>
        <v>9762</v>
      </c>
      <c r="B9763" t="str">
        <f>"1.06"</f>
        <v>1.06</v>
      </c>
      <c r="C9763" t="str">
        <f>"25"</f>
        <v>25</v>
      </c>
      <c r="D9763" t="str">
        <f>"TRAXX: The House That Garage Built"</f>
        <v>TRAXX: The House That Garage Built</v>
      </c>
    </row>
    <row r="9764" spans="1:4" x14ac:dyDescent="0.2">
      <c r="A9764" t="str">
        <f>"9763"</f>
        <v>9763</v>
      </c>
      <c r="B9764" t="str">
        <f>"-1.49"</f>
        <v>-1.49</v>
      </c>
      <c r="C9764" t="str">
        <f>"23"</f>
        <v>23</v>
      </c>
      <c r="D9764" t="str">
        <f>"Alone in the Grave"</f>
        <v>Alone in the Grave</v>
      </c>
    </row>
    <row r="9765" spans="1:4" x14ac:dyDescent="0.2">
      <c r="A9765" t="str">
        <f>"9764"</f>
        <v>9764</v>
      </c>
      <c r="B9765" t="str">
        <f>"-0.14"</f>
        <v>-0.14</v>
      </c>
      <c r="C9765" t="str">
        <f>"32"</f>
        <v>32</v>
      </c>
      <c r="D9765" t="str">
        <f>"Fabric 69"</f>
        <v>Fabric 69</v>
      </c>
    </row>
    <row r="9766" spans="1:4" x14ac:dyDescent="0.2">
      <c r="A9766" t="str">
        <f>"9765"</f>
        <v>9765</v>
      </c>
      <c r="B9766" t="str">
        <f>"-0.26"</f>
        <v>-0.26</v>
      </c>
      <c r="C9766" t="str">
        <f>"33"</f>
        <v>33</v>
      </c>
      <c r="D9766" t="str">
        <f>"Thr!!!er"</f>
        <v>Thr!!!er</v>
      </c>
    </row>
    <row r="9767" spans="1:4" x14ac:dyDescent="0.2">
      <c r="A9767" t="str">
        <f>"9766"</f>
        <v>9766</v>
      </c>
      <c r="B9767" t="str">
        <f>"-0.35"</f>
        <v>-0.35</v>
      </c>
      <c r="C9767" t="str">
        <f>"34"</f>
        <v>34</v>
      </c>
      <c r="D9767" t="str">
        <f>"Perils from the Sea"</f>
        <v>Perils from the Sea</v>
      </c>
    </row>
    <row r="9768" spans="1:4" x14ac:dyDescent="0.2">
      <c r="A9768" t="str">
        <f>"9767"</f>
        <v>9767</v>
      </c>
      <c r="B9768" t="str">
        <f>"0.43"</f>
        <v>0.43</v>
      </c>
      <c r="C9768" t="str">
        <f>"21"</f>
        <v>21</v>
      </c>
      <c r="D9768" t="str">
        <f>"Live in Concert"</f>
        <v>Live in Concert</v>
      </c>
    </row>
    <row r="9769" spans="1:4" x14ac:dyDescent="0.2">
      <c r="A9769" t="str">
        <f>"9768"</f>
        <v>9768</v>
      </c>
      <c r="B9769" t="str">
        <f>"-0.78"</f>
        <v>-0.78</v>
      </c>
      <c r="C9769" t="str">
        <f>"23"</f>
        <v>23</v>
      </c>
      <c r="D9769" t="str">
        <f>"Manégarmr"</f>
        <v>Manégarmr</v>
      </c>
    </row>
    <row r="9770" spans="1:4" x14ac:dyDescent="0.2">
      <c r="A9770" t="str">
        <f>"9769"</f>
        <v>9769</v>
      </c>
      <c r="B9770" t="str">
        <f>"0.47"</f>
        <v>0.47</v>
      </c>
      <c r="C9770" t="str">
        <f>"32"</f>
        <v>32</v>
      </c>
      <c r="D9770" t="str">
        <f>"Golden Rules for Golden People"</f>
        <v>Golden Rules for Golden People</v>
      </c>
    </row>
    <row r="9771" spans="1:4" x14ac:dyDescent="0.2">
      <c r="A9771" t="str">
        <f>"9770"</f>
        <v>9770</v>
      </c>
      <c r="B9771" t="str">
        <f>"-1.39"</f>
        <v>-1.39</v>
      </c>
      <c r="C9771" t="str">
        <f>"30"</f>
        <v>30</v>
      </c>
      <c r="D9771" t="str">
        <f>"Ready to Die"</f>
        <v>Ready to Die</v>
      </c>
    </row>
    <row r="9772" spans="1:4" x14ac:dyDescent="0.2">
      <c r="A9772" t="str">
        <f>"9771"</f>
        <v>9771</v>
      </c>
      <c r="B9772" t="str">
        <f>"0.29"</f>
        <v>0.29</v>
      </c>
      <c r="C9772" t="str">
        <f>"67"</f>
        <v>67</v>
      </c>
      <c r="D9772" t="str">
        <f>"Acrobatic Tenement"</f>
        <v>Acrobatic Tenement</v>
      </c>
    </row>
    <row r="9773" spans="1:4" x14ac:dyDescent="0.2">
      <c r="A9773" t="str">
        <f>"9772"</f>
        <v>9772</v>
      </c>
      <c r="B9773" t="str">
        <f>"0.43"</f>
        <v>0.43</v>
      </c>
      <c r="C9773" t="str">
        <f>"30"</f>
        <v>30</v>
      </c>
      <c r="D9773" t="s">
        <v>305</v>
      </c>
    </row>
    <row r="9774" spans="1:4" x14ac:dyDescent="0.2">
      <c r="A9774" t="str">
        <f>"9773"</f>
        <v>9773</v>
      </c>
      <c r="B9774" t="str">
        <f>"-0.83"</f>
        <v>-0.83</v>
      </c>
      <c r="C9774" t="str">
        <f>"25"</f>
        <v>25</v>
      </c>
      <c r="D9774" t="str">
        <f>"Wheel"</f>
        <v>Wheel</v>
      </c>
    </row>
    <row r="9775" spans="1:4" x14ac:dyDescent="0.2">
      <c r="A9775" t="str">
        <f>"9774"</f>
        <v>9774</v>
      </c>
      <c r="B9775" t="str">
        <f>"-0.19"</f>
        <v>-0.19</v>
      </c>
      <c r="C9775" t="str">
        <f>"28"</f>
        <v>28</v>
      </c>
      <c r="D9775" t="str">
        <f>"Bigfoot"</f>
        <v>Bigfoot</v>
      </c>
    </row>
    <row r="9776" spans="1:4" x14ac:dyDescent="0.2">
      <c r="A9776" t="str">
        <f>"9775"</f>
        <v>9775</v>
      </c>
      <c r="B9776" t="str">
        <f>"-0.92"</f>
        <v>-0.92</v>
      </c>
      <c r="C9776" t="str">
        <f>"34"</f>
        <v>34</v>
      </c>
      <c r="D9776" t="str">
        <f>"Oblivion OST"</f>
        <v>Oblivion OST</v>
      </c>
    </row>
    <row r="9777" spans="1:4" x14ac:dyDescent="0.2">
      <c r="A9777" t="str">
        <f>"9776"</f>
        <v>9776</v>
      </c>
      <c r="B9777" t="str">
        <f>"0.44"</f>
        <v>0.44</v>
      </c>
      <c r="C9777" t="str">
        <f>"46"</f>
        <v>46</v>
      </c>
      <c r="D9777" t="str">
        <f>"½ Gentlemen / Not Beasts"</f>
        <v>½ Gentlemen / Not Beasts</v>
      </c>
    </row>
    <row r="9778" spans="1:4" x14ac:dyDescent="0.2">
      <c r="A9778" t="str">
        <f>"9777"</f>
        <v>9777</v>
      </c>
      <c r="B9778" t="str">
        <f>"-0.52"</f>
        <v>-0.52</v>
      </c>
      <c r="C9778" t="str">
        <f>"46"</f>
        <v>46</v>
      </c>
      <c r="D9778" t="str">
        <f>"Sister Faith"</f>
        <v>Sister Faith</v>
      </c>
    </row>
    <row r="9779" spans="1:4" x14ac:dyDescent="0.2">
      <c r="A9779" t="str">
        <f>"9778"</f>
        <v>9778</v>
      </c>
      <c r="B9779" t="str">
        <f>"-0.44"</f>
        <v>-0.44</v>
      </c>
      <c r="C9779" t="str">
        <f>"39"</f>
        <v>39</v>
      </c>
      <c r="D9779" t="str">
        <f>"Withdrawal"</f>
        <v>Withdrawal</v>
      </c>
    </row>
    <row r="9780" spans="1:4" x14ac:dyDescent="0.2">
      <c r="A9780" t="str">
        <f>"9779"</f>
        <v>9779</v>
      </c>
      <c r="B9780" t="str">
        <f>"-0.49"</f>
        <v>-0.49</v>
      </c>
      <c r="C9780" t="str">
        <f>"27"</f>
        <v>27</v>
      </c>
      <c r="D9780" t="str">
        <f>"13 Degrees of Reality"</f>
        <v>13 Degrees of Reality</v>
      </c>
    </row>
    <row r="9781" spans="1:4" x14ac:dyDescent="0.2">
      <c r="A9781" t="str">
        <f>"9780"</f>
        <v>9780</v>
      </c>
      <c r="B9781" t="str">
        <f>"0.82"</f>
        <v>0.82</v>
      </c>
      <c r="C9781" t="str">
        <f>"36"</f>
        <v>36</v>
      </c>
      <c r="D9781" t="str">
        <f>"True Romance"</f>
        <v>True Romance</v>
      </c>
    </row>
    <row r="9782" spans="1:4" x14ac:dyDescent="0.2">
      <c r="A9782" t="str">
        <f>"9781"</f>
        <v>9781</v>
      </c>
      <c r="B9782" t="str">
        <f>"0.65"</f>
        <v>0.65</v>
      </c>
      <c r="C9782" t="str">
        <f>"34"</f>
        <v>34</v>
      </c>
      <c r="D9782" t="str">
        <f>"Ultramarine"</f>
        <v>Ultramarine</v>
      </c>
    </row>
    <row r="9783" spans="1:4" x14ac:dyDescent="0.2">
      <c r="A9783" t="str">
        <f>"9782"</f>
        <v>9782</v>
      </c>
      <c r="B9783" t="str">
        <f>"1.04"</f>
        <v>1.04</v>
      </c>
      <c r="C9783" t="str">
        <f>"37"</f>
        <v>37</v>
      </c>
      <c r="D9783" t="str">
        <f>"To Be Close to You"</f>
        <v>To Be Close to You</v>
      </c>
    </row>
    <row r="9784" spans="1:4" x14ac:dyDescent="0.2">
      <c r="A9784" t="str">
        <f>"9783"</f>
        <v>9783</v>
      </c>
      <c r="B9784" t="str">
        <f>"1.18"</f>
        <v>1.18</v>
      </c>
      <c r="C9784" t="str">
        <f>"23"</f>
        <v>23</v>
      </c>
      <c r="D9784" t="str">
        <f>"The Great Perhaps"</f>
        <v>The Great Perhaps</v>
      </c>
    </row>
    <row r="9785" spans="1:4" x14ac:dyDescent="0.2">
      <c r="A9785" t="str">
        <f>"9784"</f>
        <v>9784</v>
      </c>
      <c r="B9785" t="str">
        <f>"0.31"</f>
        <v>0.31</v>
      </c>
      <c r="C9785" t="str">
        <f>"34"</f>
        <v>34</v>
      </c>
      <c r="D9785" t="str">
        <f>"Baba Yaga"</f>
        <v>Baba Yaga</v>
      </c>
    </row>
    <row r="9786" spans="1:4" x14ac:dyDescent="0.2">
      <c r="A9786" t="str">
        <f>"9785"</f>
        <v>9785</v>
      </c>
      <c r="B9786" t="str">
        <f>"-0.38"</f>
        <v>-0.38</v>
      </c>
      <c r="C9786" t="str">
        <f>"32"</f>
        <v>32</v>
      </c>
      <c r="D9786" t="str">
        <f>"Reincarnated"</f>
        <v>Reincarnated</v>
      </c>
    </row>
    <row r="9787" spans="1:4" x14ac:dyDescent="0.2">
      <c r="A9787" t="str">
        <f>"9786"</f>
        <v>9786</v>
      </c>
      <c r="B9787" t="str">
        <f>"0.58"</f>
        <v>0.58</v>
      </c>
      <c r="C9787" t="str">
        <f>"30"</f>
        <v>30</v>
      </c>
      <c r="D9787" t="str">
        <f>"Wait to Pleasure"</f>
        <v>Wait to Pleasure</v>
      </c>
    </row>
    <row r="9788" spans="1:4" x14ac:dyDescent="0.2">
      <c r="A9788" t="str">
        <f>"9787"</f>
        <v>9787</v>
      </c>
      <c r="B9788" t="str">
        <f>"-0.69"</f>
        <v>-0.69</v>
      </c>
      <c r="C9788" t="str">
        <f>"38"</f>
        <v>38</v>
      </c>
      <c r="D9788" t="str">
        <f>"Anika EP"</f>
        <v>Anika EP</v>
      </c>
    </row>
    <row r="9789" spans="1:4" x14ac:dyDescent="0.2">
      <c r="A9789" t="str">
        <f>"9788"</f>
        <v>9788</v>
      </c>
      <c r="B9789" t="str">
        <f>"-0.15"</f>
        <v>-0.15</v>
      </c>
      <c r="C9789" t="str">
        <f>"28"</f>
        <v>28</v>
      </c>
      <c r="D9789" t="str">
        <f>"II"</f>
        <v>II</v>
      </c>
    </row>
    <row r="9790" spans="1:4" x14ac:dyDescent="0.2">
      <c r="A9790" t="str">
        <f>"9789"</f>
        <v>9789</v>
      </c>
      <c r="B9790" t="str">
        <f>"-0.36"</f>
        <v>-0.36</v>
      </c>
      <c r="C9790" t="str">
        <f>"46"</f>
        <v>46</v>
      </c>
      <c r="D9790" t="s">
        <v>306</v>
      </c>
    </row>
    <row r="9791" spans="1:4" x14ac:dyDescent="0.2">
      <c r="A9791" t="str">
        <f>"9790"</f>
        <v>9790</v>
      </c>
      <c r="B9791" t="str">
        <f>"0.71"</f>
        <v>0.71</v>
      </c>
      <c r="C9791" t="str">
        <f>"34"</f>
        <v>34</v>
      </c>
      <c r="D9791" t="str">
        <f>"Junip"</f>
        <v>Junip</v>
      </c>
    </row>
    <row r="9792" spans="1:4" x14ac:dyDescent="0.2">
      <c r="A9792" t="str">
        <f>"9791"</f>
        <v>9791</v>
      </c>
      <c r="B9792" t="str">
        <f>"0.81"</f>
        <v>0.81</v>
      </c>
      <c r="C9792" t="str">
        <f>"18"</f>
        <v>18</v>
      </c>
      <c r="D9792" t="str">
        <f>"King Remembered In Time"</f>
        <v>King Remembered In Time</v>
      </c>
    </row>
    <row r="9793" spans="1:4" x14ac:dyDescent="0.2">
      <c r="A9793" t="str">
        <f>"9792"</f>
        <v>9792</v>
      </c>
      <c r="B9793" t="str">
        <f>"0.59"</f>
        <v>0.59</v>
      </c>
      <c r="C9793" t="str">
        <f>"27"</f>
        <v>27</v>
      </c>
      <c r="D9793" t="str">
        <f>"Illumination Ritual"</f>
        <v>Illumination Ritual</v>
      </c>
    </row>
    <row r="9794" spans="1:4" x14ac:dyDescent="0.2">
      <c r="A9794" t="str">
        <f>"9793"</f>
        <v>9793</v>
      </c>
      <c r="B9794" t="str">
        <f>"0.51"</f>
        <v>0.51</v>
      </c>
      <c r="C9794" t="str">
        <f>"28"</f>
        <v>28</v>
      </c>
      <c r="D9794" t="str">
        <f>"Blues Trip"</f>
        <v>Blues Trip</v>
      </c>
    </row>
    <row r="9795" spans="1:4" x14ac:dyDescent="0.2">
      <c r="A9795" t="str">
        <f>"9794"</f>
        <v>9794</v>
      </c>
      <c r="B9795" t="str">
        <f>"0.27"</f>
        <v>0.27</v>
      </c>
      <c r="C9795" t="str">
        <f>"33"</f>
        <v>33</v>
      </c>
      <c r="D9795" t="str">
        <f>"Heart of Oak"</f>
        <v>Heart of Oak</v>
      </c>
    </row>
    <row r="9796" spans="1:4" x14ac:dyDescent="0.2">
      <c r="A9796" t="str">
        <f>"9795"</f>
        <v>9795</v>
      </c>
      <c r="B9796" t="str">
        <f>"-0.6"</f>
        <v>-0.6</v>
      </c>
      <c r="C9796" t="str">
        <f>"45"</f>
        <v>45</v>
      </c>
      <c r="D9796" t="str">
        <f>"Bankrupt!"</f>
        <v>Bankrupt!</v>
      </c>
    </row>
    <row r="9797" spans="1:4" x14ac:dyDescent="0.2">
      <c r="A9797" t="str">
        <f>"9796"</f>
        <v>9796</v>
      </c>
      <c r="B9797" t="str">
        <f>"0.39"</f>
        <v>0.39</v>
      </c>
      <c r="C9797" t="str">
        <f>"33"</f>
        <v>33</v>
      </c>
      <c r="D9797" t="str">
        <f>"Grownass Man"</f>
        <v>Grownass Man</v>
      </c>
    </row>
    <row r="9798" spans="1:4" x14ac:dyDescent="0.2">
      <c r="A9798" t="str">
        <f>"9797"</f>
        <v>9797</v>
      </c>
      <c r="B9798" t="str">
        <f>"0.36"</f>
        <v>0.36</v>
      </c>
      <c r="C9798" t="str">
        <f>"32"</f>
        <v>32</v>
      </c>
      <c r="D9798" t="str">
        <f>"V"</f>
        <v>V</v>
      </c>
    </row>
    <row r="9799" spans="1:4" x14ac:dyDescent="0.2">
      <c r="A9799" t="str">
        <f>"9798"</f>
        <v>9798</v>
      </c>
      <c r="B9799" t="str">
        <f>"0.24"</f>
        <v>0.24</v>
      </c>
      <c r="C9799" t="str">
        <f>"24"</f>
        <v>24</v>
      </c>
      <c r="D9799" t="str">
        <f>"Chunky Monkey"</f>
        <v>Chunky Monkey</v>
      </c>
    </row>
    <row r="9800" spans="1:4" x14ac:dyDescent="0.2">
      <c r="A9800" t="str">
        <f>"9799"</f>
        <v>9799</v>
      </c>
      <c r="B9800" t="str">
        <f>"-0.15"</f>
        <v>-0.15</v>
      </c>
      <c r="C9800" t="str">
        <f>"31"</f>
        <v>31</v>
      </c>
      <c r="D9800" t="str">
        <f>"Bored Nothing"</f>
        <v>Bored Nothing</v>
      </c>
    </row>
    <row r="9801" spans="1:4" x14ac:dyDescent="0.2">
      <c r="A9801" t="str">
        <f>"9800"</f>
        <v>9800</v>
      </c>
      <c r="B9801" t="str">
        <f>"0.48"</f>
        <v>0.48</v>
      </c>
      <c r="C9801" t="str">
        <f>"34"</f>
        <v>34</v>
      </c>
      <c r="D9801" t="str">
        <f>"Ghost on Ghost"</f>
        <v>Ghost on Ghost</v>
      </c>
    </row>
    <row r="9802" spans="1:4" x14ac:dyDescent="0.2">
      <c r="A9802" t="str">
        <f>"9801"</f>
        <v>9801</v>
      </c>
      <c r="B9802" t="str">
        <f>"-0.23"</f>
        <v>-0.23</v>
      </c>
      <c r="C9802" t="str">
        <f>"27"</f>
        <v>27</v>
      </c>
      <c r="D9802" t="str">
        <f>"#RockaByeBaby"</f>
        <v>#RockaByeBaby</v>
      </c>
    </row>
    <row r="9803" spans="1:4" x14ac:dyDescent="0.2">
      <c r="A9803" t="str">
        <f>"9802"</f>
        <v>9802</v>
      </c>
      <c r="B9803" t="str">
        <f>"0.09"</f>
        <v>0.09</v>
      </c>
      <c r="C9803" t="str">
        <f>"22"</f>
        <v>22</v>
      </c>
      <c r="D9803" t="str">
        <f>"Rat Farm"</f>
        <v>Rat Farm</v>
      </c>
    </row>
    <row r="9804" spans="1:4" x14ac:dyDescent="0.2">
      <c r="A9804" t="str">
        <f>"9803"</f>
        <v>9803</v>
      </c>
      <c r="B9804" t="str">
        <f>"-0.32"</f>
        <v>-0.32</v>
      </c>
      <c r="C9804" t="str">
        <f>"37"</f>
        <v>37</v>
      </c>
      <c r="D9804" t="str">
        <f>"VHÖL"</f>
        <v>VHÖL</v>
      </c>
    </row>
    <row r="9805" spans="1:4" x14ac:dyDescent="0.2">
      <c r="A9805" t="str">
        <f>"9804"</f>
        <v>9804</v>
      </c>
      <c r="B9805" t="str">
        <f>"1.23"</f>
        <v>1.23</v>
      </c>
      <c r="C9805" t="str">
        <f>"24"</f>
        <v>24</v>
      </c>
      <c r="D9805" t="str">
        <f>"Gordian"</f>
        <v>Gordian</v>
      </c>
    </row>
    <row r="9806" spans="1:4" x14ac:dyDescent="0.2">
      <c r="A9806" t="str">
        <f>"9805"</f>
        <v>9805</v>
      </c>
      <c r="B9806" t="str">
        <f>"0.27"</f>
        <v>0.27</v>
      </c>
      <c r="C9806" t="str">
        <f>"34"</f>
        <v>34</v>
      </c>
      <c r="D9806" t="str">
        <f>"Twelve Reasons to Die"</f>
        <v>Twelve Reasons to Die</v>
      </c>
    </row>
    <row r="9807" spans="1:4" x14ac:dyDescent="0.2">
      <c r="A9807" t="str">
        <f>"9806"</f>
        <v>9806</v>
      </c>
      <c r="B9807" t="str">
        <f>"-0.3"</f>
        <v>-0.3</v>
      </c>
      <c r="C9807" t="str">
        <f>"44"</f>
        <v>44</v>
      </c>
      <c r="D9807" t="str">
        <f>"Infestissumam"</f>
        <v>Infestissumam</v>
      </c>
    </row>
    <row r="9808" spans="1:4" x14ac:dyDescent="0.2">
      <c r="A9808" t="str">
        <f>"9807"</f>
        <v>9807</v>
      </c>
      <c r="B9808" t="str">
        <f>"1.03"</f>
        <v>1.03</v>
      </c>
      <c r="C9808" t="str">
        <f>"31"</f>
        <v>31</v>
      </c>
      <c r="D9808" t="str">
        <f>"Live"</f>
        <v>Live</v>
      </c>
    </row>
    <row r="9809" spans="1:4" x14ac:dyDescent="0.2">
      <c r="A9809" t="str">
        <f>"9808"</f>
        <v>9808</v>
      </c>
      <c r="B9809" t="str">
        <f>"0.46"</f>
        <v>0.46</v>
      </c>
      <c r="C9809" t="str">
        <f>"33"</f>
        <v>33</v>
      </c>
      <c r="D9809" t="str">
        <f>"A Quiet Darkness"</f>
        <v>A Quiet Darkness</v>
      </c>
    </row>
    <row r="9810" spans="1:4" x14ac:dyDescent="0.2">
      <c r="A9810" t="str">
        <f>"9809"</f>
        <v>9809</v>
      </c>
      <c r="B9810" t="str">
        <f>"0.63"</f>
        <v>0.63</v>
      </c>
      <c r="C9810" t="str">
        <f>"32"</f>
        <v>32</v>
      </c>
      <c r="D9810" t="str">
        <f>"Snapper EP"</f>
        <v>Snapper EP</v>
      </c>
    </row>
    <row r="9811" spans="1:4" x14ac:dyDescent="0.2">
      <c r="A9811" t="str">
        <f>"9810"</f>
        <v>9810</v>
      </c>
      <c r="B9811" t="str">
        <f>"-0.64"</f>
        <v>-0.64</v>
      </c>
      <c r="C9811" t="str">
        <f>"44"</f>
        <v>44</v>
      </c>
      <c r="D9811" t="str">
        <f>"Excavation"</f>
        <v>Excavation</v>
      </c>
    </row>
    <row r="9812" spans="1:4" x14ac:dyDescent="0.2">
      <c r="A9812" t="str">
        <f>"9811"</f>
        <v>9811</v>
      </c>
      <c r="B9812" t="str">
        <f>"-0.45"</f>
        <v>-0.45</v>
      </c>
      <c r="C9812" t="str">
        <f>"50"</f>
        <v>50</v>
      </c>
      <c r="D9812" t="str">
        <f>"Top of the Pops"</f>
        <v>Top of the Pops</v>
      </c>
    </row>
    <row r="9813" spans="1:4" x14ac:dyDescent="0.2">
      <c r="A9813" t="str">
        <f>"9812"</f>
        <v>9812</v>
      </c>
      <c r="B9813" t="str">
        <f>"0.45"</f>
        <v>0.45</v>
      </c>
      <c r="C9813" t="str">
        <f>"22"</f>
        <v>22</v>
      </c>
      <c r="D9813" t="str">
        <f>"The Plain Where the Palace Stood"</f>
        <v>The Plain Where the Palace Stood</v>
      </c>
    </row>
    <row r="9814" spans="1:4" x14ac:dyDescent="0.2">
      <c r="A9814" t="str">
        <f>"9813"</f>
        <v>9813</v>
      </c>
      <c r="B9814" t="str">
        <f>"0.74"</f>
        <v>0.74</v>
      </c>
      <c r="C9814" t="str">
        <f>"34"</f>
        <v>34</v>
      </c>
      <c r="D9814" t="str">
        <f>"Alphawaves"</f>
        <v>Alphawaves</v>
      </c>
    </row>
    <row r="9815" spans="1:4" x14ac:dyDescent="0.2">
      <c r="A9815" t="str">
        <f>"9814"</f>
        <v>9814</v>
      </c>
      <c r="B9815" t="str">
        <f>"-0.14"</f>
        <v>-0.14</v>
      </c>
      <c r="C9815" t="str">
        <f>"25"</f>
        <v>25</v>
      </c>
      <c r="D9815" t="str">
        <f>"Anarchic"</f>
        <v>Anarchic</v>
      </c>
    </row>
    <row r="9816" spans="1:4" x14ac:dyDescent="0.2">
      <c r="A9816" t="str">
        <f>"9815"</f>
        <v>9815</v>
      </c>
      <c r="B9816" t="str">
        <f>"-0.82"</f>
        <v>-0.82</v>
      </c>
      <c r="C9816" t="str">
        <f>"41"</f>
        <v>41</v>
      </c>
      <c r="D9816" t="str">
        <f>"Free the Universe"</f>
        <v>Free the Universe</v>
      </c>
    </row>
    <row r="9817" spans="1:4" x14ac:dyDescent="0.2">
      <c r="A9817" t="str">
        <f>"9816"</f>
        <v>9816</v>
      </c>
      <c r="B9817" t="str">
        <f>"1.06"</f>
        <v>1.06</v>
      </c>
      <c r="C9817" t="str">
        <f>"63"</f>
        <v>63</v>
      </c>
      <c r="D9817" t="str">
        <f>"Inspiration Information"</f>
        <v>Inspiration Information</v>
      </c>
    </row>
    <row r="9818" spans="1:4" x14ac:dyDescent="0.2">
      <c r="A9818" t="str">
        <f>"9817"</f>
        <v>9817</v>
      </c>
      <c r="B9818" t="str">
        <f>"-1.2"</f>
        <v>-1.2</v>
      </c>
      <c r="C9818" t="str">
        <f>"29"</f>
        <v>29</v>
      </c>
      <c r="D9818" t="str">
        <f>"Desperate Ground"</f>
        <v>Desperate Ground</v>
      </c>
    </row>
    <row r="9819" spans="1:4" x14ac:dyDescent="0.2">
      <c r="A9819" t="str">
        <f>"9818"</f>
        <v>9818</v>
      </c>
      <c r="B9819" t="str">
        <f>"-0.01"</f>
        <v>-0.01</v>
      </c>
      <c r="C9819" t="str">
        <f>"27"</f>
        <v>27</v>
      </c>
      <c r="D9819" t="str">
        <f>"New York Renaissance"</f>
        <v>New York Renaissance</v>
      </c>
    </row>
    <row r="9820" spans="1:4" x14ac:dyDescent="0.2">
      <c r="A9820" t="str">
        <f>"9819"</f>
        <v>9819</v>
      </c>
      <c r="B9820" t="str">
        <f>"0.27"</f>
        <v>0.27</v>
      </c>
      <c r="C9820" t="str">
        <f>"28"</f>
        <v>28</v>
      </c>
      <c r="D9820" t="str">
        <f>"Kone EP"</f>
        <v>Kone EP</v>
      </c>
    </row>
    <row r="9821" spans="1:4" x14ac:dyDescent="0.2">
      <c r="A9821" t="str">
        <f>"9820"</f>
        <v>9820</v>
      </c>
      <c r="B9821" t="str">
        <f>"-0.73"</f>
        <v>-0.73</v>
      </c>
      <c r="C9821" t="str">
        <f>"45"</f>
        <v>45</v>
      </c>
      <c r="D9821" t="str">
        <f>"Mosquito"</f>
        <v>Mosquito</v>
      </c>
    </row>
    <row r="9822" spans="1:4" x14ac:dyDescent="0.2">
      <c r="A9822" t="str">
        <f>"9821"</f>
        <v>9821</v>
      </c>
      <c r="B9822" t="str">
        <f>"0.45"</f>
        <v>0.45</v>
      </c>
      <c r="C9822" t="str">
        <f>"43"</f>
        <v>43</v>
      </c>
      <c r="D9822" t="str">
        <f>"Floating Coffin"</f>
        <v>Floating Coffin</v>
      </c>
    </row>
    <row r="9823" spans="1:4" x14ac:dyDescent="0.2">
      <c r="A9823" t="str">
        <f>"9822"</f>
        <v>9822</v>
      </c>
      <c r="B9823" t="str">
        <f>"1.58"</f>
        <v>1.58</v>
      </c>
      <c r="C9823" t="str">
        <f>"29"</f>
        <v>29</v>
      </c>
      <c r="D9823" t="str">
        <f>"Supermigration"</f>
        <v>Supermigration</v>
      </c>
    </row>
    <row r="9824" spans="1:4" x14ac:dyDescent="0.2">
      <c r="A9824" t="str">
        <f>"9823"</f>
        <v>9823</v>
      </c>
      <c r="B9824" t="str">
        <f>"0.18"</f>
        <v>0.18</v>
      </c>
      <c r="C9824" t="str">
        <f>"24"</f>
        <v>24</v>
      </c>
      <c r="D9824" t="str">
        <f>"Rituals"</f>
        <v>Rituals</v>
      </c>
    </row>
    <row r="9825" spans="1:4" x14ac:dyDescent="0.2">
      <c r="A9825" t="str">
        <f>"9824"</f>
        <v>9824</v>
      </c>
      <c r="B9825" t="str">
        <f>"-0.72"</f>
        <v>-0.72</v>
      </c>
      <c r="C9825" t="str">
        <f>"40"</f>
        <v>40</v>
      </c>
      <c r="D9825" t="str">
        <f>"Reflection of the Negative"</f>
        <v>Reflection of the Negative</v>
      </c>
    </row>
    <row r="9826" spans="1:4" x14ac:dyDescent="0.2">
      <c r="A9826" t="str">
        <f>"9825"</f>
        <v>9825</v>
      </c>
      <c r="B9826" t="str">
        <f>"-0.29"</f>
        <v>-0.29</v>
      </c>
      <c r="C9826" t="str">
        <f>"61"</f>
        <v>61</v>
      </c>
      <c r="D9826" t="str">
        <f>"Kill Uncle"</f>
        <v>Kill Uncle</v>
      </c>
    </row>
    <row r="9827" spans="1:4" x14ac:dyDescent="0.2">
      <c r="A9827" t="str">
        <f>"9826"</f>
        <v>9826</v>
      </c>
      <c r="B9827" t="str">
        <f>"0.28"</f>
        <v>0.28</v>
      </c>
      <c r="C9827" t="str">
        <f>"25"</f>
        <v>25</v>
      </c>
      <c r="D9827" t="str">
        <f>"Way to Blue: The Songs of Nick Drake"</f>
        <v>Way to Blue: The Songs of Nick Drake</v>
      </c>
    </row>
    <row r="9828" spans="1:4" x14ac:dyDescent="0.2">
      <c r="A9828" t="str">
        <f>"9827"</f>
        <v>9827</v>
      </c>
      <c r="B9828" t="str">
        <f>"0.98"</f>
        <v>0.98</v>
      </c>
      <c r="C9828" t="str">
        <f>"30"</f>
        <v>30</v>
      </c>
      <c r="D9828" t="str">
        <f>"FM Sushi"</f>
        <v>FM Sushi</v>
      </c>
    </row>
    <row r="9829" spans="1:4" x14ac:dyDescent="0.2">
      <c r="A9829" t="str">
        <f>"9828"</f>
        <v>9828</v>
      </c>
      <c r="B9829" t="str">
        <f>"0.38"</f>
        <v>0.38</v>
      </c>
      <c r="C9829" t="str">
        <f>"32"</f>
        <v>32</v>
      </c>
      <c r="D9829" t="str">
        <f>"The Ol' Soul EP"</f>
        <v>The Ol' Soul EP</v>
      </c>
    </row>
    <row r="9830" spans="1:4" x14ac:dyDescent="0.2">
      <c r="A9830" t="str">
        <f>"9829"</f>
        <v>9829</v>
      </c>
      <c r="B9830" t="str">
        <f>"0.05"</f>
        <v>0.05</v>
      </c>
      <c r="C9830" t="str">
        <f>"30"</f>
        <v>30</v>
      </c>
      <c r="D9830" t="str">
        <f>"The North Borders"</f>
        <v>The North Borders</v>
      </c>
    </row>
    <row r="9831" spans="1:4" x14ac:dyDescent="0.2">
      <c r="A9831" t="str">
        <f>"9830"</f>
        <v>9830</v>
      </c>
      <c r="B9831" t="str">
        <f>"0.1"</f>
        <v>0.1</v>
      </c>
      <c r="C9831" t="str">
        <f>"64"</f>
        <v>64</v>
      </c>
      <c r="D9831" t="str">
        <f>"Give Up"</f>
        <v>Give Up</v>
      </c>
    </row>
    <row r="9832" spans="1:4" x14ac:dyDescent="0.2">
      <c r="A9832" t="str">
        <f>"9831"</f>
        <v>9831</v>
      </c>
      <c r="B9832" t="str">
        <f>"0.51"</f>
        <v>0.51</v>
      </c>
      <c r="C9832" t="str">
        <f>"21"</f>
        <v>21</v>
      </c>
      <c r="D9832" t="str">
        <f>"English Electric"</f>
        <v>English Electric</v>
      </c>
    </row>
    <row r="9833" spans="1:4" x14ac:dyDescent="0.2">
      <c r="A9833" t="str">
        <f>"9832"</f>
        <v>9832</v>
      </c>
      <c r="B9833" t="str">
        <f>"1.41"</f>
        <v>1.41</v>
      </c>
      <c r="C9833" t="str">
        <f>"20"</f>
        <v>20</v>
      </c>
      <c r="D9833" t="str">
        <f>"Beautiful Africa"</f>
        <v>Beautiful Africa</v>
      </c>
    </row>
    <row r="9834" spans="1:4" x14ac:dyDescent="0.2">
      <c r="A9834" t="str">
        <f>"9833"</f>
        <v>9833</v>
      </c>
      <c r="B9834" t="str">
        <f>"0.83"</f>
        <v>0.83</v>
      </c>
      <c r="C9834" t="str">
        <f>"43"</f>
        <v>43</v>
      </c>
      <c r="D9834" t="str">
        <f>"Music For Dancefloors: The KPM Music Library"</f>
        <v>Music For Dancefloors: The KPM Music Library</v>
      </c>
    </row>
    <row r="9835" spans="1:4" x14ac:dyDescent="0.2">
      <c r="A9835" t="str">
        <f>"9834"</f>
        <v>9834</v>
      </c>
      <c r="B9835" t="str">
        <f>"1.11"</f>
        <v>1.11</v>
      </c>
      <c r="C9835" t="str">
        <f>"28"</f>
        <v>28</v>
      </c>
      <c r="D9835" t="str">
        <f>"You Have Already Gone To The Other World"</f>
        <v>You Have Already Gone To The Other World</v>
      </c>
    </row>
    <row r="9836" spans="1:4" x14ac:dyDescent="0.2">
      <c r="A9836" t="str">
        <f>"9835"</f>
        <v>9835</v>
      </c>
      <c r="B9836" t="str">
        <f>"-0.26"</f>
        <v>-0.26</v>
      </c>
      <c r="C9836" t="str">
        <f>"37"</f>
        <v>37</v>
      </c>
      <c r="D9836" t="str">
        <f>"Wakin on a Pretty Daze"</f>
        <v>Wakin on a Pretty Daze</v>
      </c>
    </row>
    <row r="9837" spans="1:4" x14ac:dyDescent="0.2">
      <c r="A9837" t="str">
        <f>"9836"</f>
        <v>9836</v>
      </c>
      <c r="B9837" t="str">
        <f>"-0.53"</f>
        <v>-0.53</v>
      </c>
      <c r="C9837" t="str">
        <f>"47"</f>
        <v>47</v>
      </c>
      <c r="D9837" t="str">
        <f>"No Answer : Lower Floors"</f>
        <v>No Answer : Lower Floors</v>
      </c>
    </row>
    <row r="9838" spans="1:4" x14ac:dyDescent="0.2">
      <c r="A9838" t="str">
        <f>"9837"</f>
        <v>9837</v>
      </c>
      <c r="B9838" t="str">
        <f>"-0.4"</f>
        <v>-0.4</v>
      </c>
      <c r="C9838" t="str">
        <f>"25"</f>
        <v>25</v>
      </c>
      <c r="D9838" t="str">
        <f>"Recurring Dream"</f>
        <v>Recurring Dream</v>
      </c>
    </row>
    <row r="9839" spans="1:4" x14ac:dyDescent="0.2">
      <c r="A9839" t="str">
        <f>"9838"</f>
        <v>9838</v>
      </c>
      <c r="B9839" t="str">
        <f>"1.2"</f>
        <v>1.2</v>
      </c>
      <c r="C9839" t="str">
        <f>"38"</f>
        <v>38</v>
      </c>
      <c r="D9839" t="str">
        <f>"Cyclops Reap"</f>
        <v>Cyclops Reap</v>
      </c>
    </row>
    <row r="9840" spans="1:4" x14ac:dyDescent="0.2">
      <c r="A9840" t="str">
        <f>"9839"</f>
        <v>9839</v>
      </c>
      <c r="B9840" t="str">
        <f>"-0.41"</f>
        <v>-0.41</v>
      </c>
      <c r="C9840" t="str">
        <f>"25"</f>
        <v>25</v>
      </c>
      <c r="D9840" t="str">
        <f>"Birthmarks"</f>
        <v>Birthmarks</v>
      </c>
    </row>
    <row r="9841" spans="1:4" x14ac:dyDescent="0.2">
      <c r="A9841" t="str">
        <f>"9840"</f>
        <v>9840</v>
      </c>
      <c r="B9841" t="str">
        <f>"0.21"</f>
        <v>0.21</v>
      </c>
      <c r="C9841" t="str">
        <f>"45"</f>
        <v>45</v>
      </c>
      <c r="D9841" t="str">
        <f>"Overgrown"</f>
        <v>Overgrown</v>
      </c>
    </row>
    <row r="9842" spans="1:4" x14ac:dyDescent="0.2">
      <c r="A9842" t="str">
        <f>"9841"</f>
        <v>9841</v>
      </c>
      <c r="B9842" t="str">
        <f>"-0.16"</f>
        <v>-0.16</v>
      </c>
      <c r="C9842" t="str">
        <f>"21"</f>
        <v>21</v>
      </c>
      <c r="D9842" t="str">
        <f>"Monkey Minds in the Devil's Time"</f>
        <v>Monkey Minds in the Devil's Time</v>
      </c>
    </row>
    <row r="9843" spans="1:4" x14ac:dyDescent="0.2">
      <c r="A9843" t="str">
        <f>"9842"</f>
        <v>9842</v>
      </c>
      <c r="B9843" t="str">
        <f>"0.53"</f>
        <v>0.53</v>
      </c>
      <c r="C9843" t="str">
        <f>"28"</f>
        <v>28</v>
      </c>
      <c r="D9843" t="str">
        <f>"Make You EP"</f>
        <v>Make You EP</v>
      </c>
    </row>
    <row r="9844" spans="1:4" x14ac:dyDescent="0.2">
      <c r="A9844" t="str">
        <f>"9843"</f>
        <v>9843</v>
      </c>
      <c r="B9844" t="str">
        <f>"0.65"</f>
        <v>0.65</v>
      </c>
      <c r="C9844" t="str">
        <f>"36"</f>
        <v>36</v>
      </c>
      <c r="D9844" t="str">
        <f>"Now I Am Winter"</f>
        <v>Now I Am Winter</v>
      </c>
    </row>
    <row r="9845" spans="1:4" x14ac:dyDescent="0.2">
      <c r="A9845" t="str">
        <f>"9844"</f>
        <v>9844</v>
      </c>
      <c r="B9845" t="str">
        <f>"-0.43"</f>
        <v>-0.43</v>
      </c>
      <c r="C9845" t="str">
        <f>"24"</f>
        <v>24</v>
      </c>
      <c r="D9845" t="str">
        <f>"They're Flowers"</f>
        <v>They're Flowers</v>
      </c>
    </row>
    <row r="9846" spans="1:4" x14ac:dyDescent="0.2">
      <c r="A9846" t="str">
        <f>"9845"</f>
        <v>9845</v>
      </c>
      <c r="B9846" t="str">
        <f>"0.12"</f>
        <v>0.12</v>
      </c>
      <c r="C9846" t="str">
        <f>"67"</f>
        <v>67</v>
      </c>
      <c r="D9846" t="str">
        <f>"Shaking the Habitual"</f>
        <v>Shaking the Habitual</v>
      </c>
    </row>
    <row r="9847" spans="1:4" x14ac:dyDescent="0.2">
      <c r="A9847" t="str">
        <f>"9846"</f>
        <v>9846</v>
      </c>
      <c r="B9847" t="str">
        <f>"-0.04"</f>
        <v>-0.04</v>
      </c>
      <c r="C9847" t="str">
        <f>"50"</f>
        <v>50</v>
      </c>
      <c r="D9847" t="str">
        <f>"Cruise Your Illusion"</f>
        <v>Cruise Your Illusion</v>
      </c>
    </row>
    <row r="9848" spans="1:4" x14ac:dyDescent="0.2">
      <c r="A9848" t="str">
        <f>"9847"</f>
        <v>9847</v>
      </c>
      <c r="B9848" t="str">
        <f>"0.1"</f>
        <v>0.1</v>
      </c>
      <c r="C9848" t="str">
        <f>"32"</f>
        <v>32</v>
      </c>
      <c r="D9848" t="str">
        <f>"Ministry of Love"</f>
        <v>Ministry of Love</v>
      </c>
    </row>
    <row r="9849" spans="1:4" x14ac:dyDescent="0.2">
      <c r="A9849" t="str">
        <f>"9848"</f>
        <v>9848</v>
      </c>
      <c r="B9849" t="str">
        <f>"-0.36"</f>
        <v>-0.36</v>
      </c>
      <c r="C9849" t="str">
        <f>"33"</f>
        <v>33</v>
      </c>
      <c r="D9849" t="str">
        <f>"Specter at the Feast"</f>
        <v>Specter at the Feast</v>
      </c>
    </row>
    <row r="9850" spans="1:4" x14ac:dyDescent="0.2">
      <c r="A9850" t="str">
        <f>"9849"</f>
        <v>9849</v>
      </c>
      <c r="B9850" t="str">
        <f>"-0.13"</f>
        <v>-0.13</v>
      </c>
      <c r="C9850" t="str">
        <f>"19"</f>
        <v>19</v>
      </c>
      <c r="D9850" t="str">
        <f>"From the Ashes of Nuclear Destruction"</f>
        <v>From the Ashes of Nuclear Destruction</v>
      </c>
    </row>
    <row r="9851" spans="1:4" x14ac:dyDescent="0.2">
      <c r="A9851" t="str">
        <f>"9850"</f>
        <v>9850</v>
      </c>
      <c r="B9851" t="str">
        <f>"-0.36"</f>
        <v>-0.36</v>
      </c>
      <c r="C9851" t="str">
        <f>"33"</f>
        <v>33</v>
      </c>
      <c r="D9851" t="str">
        <f>"Totale Nite"</f>
        <v>Totale Nite</v>
      </c>
    </row>
    <row r="9852" spans="1:4" x14ac:dyDescent="0.2">
      <c r="A9852" t="str">
        <f>"9851"</f>
        <v>9851</v>
      </c>
      <c r="B9852" t="str">
        <f>"-0.32"</f>
        <v>-0.32</v>
      </c>
      <c r="C9852" t="str">
        <f>"33"</f>
        <v>33</v>
      </c>
      <c r="D9852" t="str">
        <f>"Cold"</f>
        <v>Cold</v>
      </c>
    </row>
    <row r="9853" spans="1:4" x14ac:dyDescent="0.2">
      <c r="A9853" t="str">
        <f>"9852"</f>
        <v>9852</v>
      </c>
      <c r="B9853" t="str">
        <f>"0.07"</f>
        <v>0.07</v>
      </c>
      <c r="C9853" t="str">
        <f>"34"</f>
        <v>34</v>
      </c>
      <c r="D9853" t="str">
        <f>"Victim of Love"</f>
        <v>Victim of Love</v>
      </c>
    </row>
    <row r="9854" spans="1:4" x14ac:dyDescent="0.2">
      <c r="A9854" t="str">
        <f>"9853"</f>
        <v>9853</v>
      </c>
      <c r="B9854" t="str">
        <f>"-0.66"</f>
        <v>-0.66</v>
      </c>
      <c r="C9854" t="str">
        <f>"28"</f>
        <v>28</v>
      </c>
      <c r="D9854" t="str">
        <f>"I Hear a New World"</f>
        <v>I Hear a New World</v>
      </c>
    </row>
    <row r="9855" spans="1:4" x14ac:dyDescent="0.2">
      <c r="A9855" t="str">
        <f>"9854"</f>
        <v>9854</v>
      </c>
      <c r="B9855" t="str">
        <f>"0.4"</f>
        <v>0.4</v>
      </c>
      <c r="C9855" t="str">
        <f>"23"</f>
        <v>23</v>
      </c>
      <c r="D9855" t="str">
        <f>"Caveman"</f>
        <v>Caveman</v>
      </c>
    </row>
    <row r="9856" spans="1:4" x14ac:dyDescent="0.2">
      <c r="A9856" t="str">
        <f>"9855"</f>
        <v>9855</v>
      </c>
      <c r="B9856" t="str">
        <f>"-1.36"</f>
        <v>-1.36</v>
      </c>
      <c r="C9856" t="str">
        <f>"35"</f>
        <v>35</v>
      </c>
      <c r="D9856" t="str">
        <f>"The Terror"</f>
        <v>The Terror</v>
      </c>
    </row>
    <row r="9857" spans="1:4" x14ac:dyDescent="0.2">
      <c r="A9857" t="str">
        <f>"9856"</f>
        <v>9856</v>
      </c>
      <c r="B9857" t="str">
        <f>"0.05"</f>
        <v>0.05</v>
      </c>
      <c r="C9857" t="str">
        <f>"63"</f>
        <v>63</v>
      </c>
      <c r="D9857" t="str">
        <f>"rkives"</f>
        <v>rkives</v>
      </c>
    </row>
    <row r="9858" spans="1:4" x14ac:dyDescent="0.2">
      <c r="A9858" t="str">
        <f>"9857"</f>
        <v>9857</v>
      </c>
      <c r="B9858" t="str">
        <f>"-0.05"</f>
        <v>-0.05</v>
      </c>
      <c r="C9858" t="str">
        <f>"33"</f>
        <v>33</v>
      </c>
      <c r="D9858" t="str">
        <f>"snakes/vultures/sulfate"</f>
        <v>snakes/vultures/sulfate</v>
      </c>
    </row>
    <row r="9859" spans="1:4" x14ac:dyDescent="0.2">
      <c r="A9859" t="str">
        <f>"9858"</f>
        <v>9858</v>
      </c>
      <c r="B9859" t="str">
        <f>"-1.16"</f>
        <v>-1.16</v>
      </c>
      <c r="C9859" t="str">
        <f>"32"</f>
        <v>32</v>
      </c>
      <c r="D9859" t="str">
        <f>"Abandon All Life"</f>
        <v>Abandon All Life</v>
      </c>
    </row>
    <row r="9860" spans="1:4" x14ac:dyDescent="0.2">
      <c r="A9860" t="str">
        <f>"9859"</f>
        <v>9859</v>
      </c>
      <c r="B9860" t="str">
        <f>"0.03"</f>
        <v>0.03</v>
      </c>
      <c r="C9860" t="str">
        <f>"34"</f>
        <v>34</v>
      </c>
      <c r="D9860" t="str">
        <f>"Time EP"</f>
        <v>Time EP</v>
      </c>
    </row>
    <row r="9861" spans="1:4" x14ac:dyDescent="0.2">
      <c r="A9861" t="str">
        <f>"9860"</f>
        <v>9860</v>
      </c>
      <c r="B9861" t="str">
        <f>"-1.01"</f>
        <v>-1.01</v>
      </c>
      <c r="C9861" t="str">
        <f>"31"</f>
        <v>31</v>
      </c>
      <c r="D9861" t="str">
        <f>"Vanishing Point"</f>
        <v>Vanishing Point</v>
      </c>
    </row>
    <row r="9862" spans="1:4" x14ac:dyDescent="0.2">
      <c r="A9862" t="str">
        <f>"9861"</f>
        <v>9861</v>
      </c>
      <c r="B9862" t="str">
        <f>"1.14"</f>
        <v>1.14</v>
      </c>
      <c r="C9862" t="str">
        <f>"31"</f>
        <v>31</v>
      </c>
      <c r="D9862" t="str">
        <f>"Machineries of Joy"</f>
        <v>Machineries of Joy</v>
      </c>
    </row>
    <row r="9863" spans="1:4" x14ac:dyDescent="0.2">
      <c r="A9863" t="str">
        <f>"9862"</f>
        <v>9862</v>
      </c>
      <c r="B9863" t="str">
        <f>"-0.1"</f>
        <v>-0.1</v>
      </c>
      <c r="C9863" t="str">
        <f>"29"</f>
        <v>29</v>
      </c>
      <c r="D9863" t="str">
        <f>"Tales from Terra Firma"</f>
        <v>Tales from Terra Firma</v>
      </c>
    </row>
    <row r="9864" spans="1:4" x14ac:dyDescent="0.2">
      <c r="A9864" t="str">
        <f>"9863"</f>
        <v>9863</v>
      </c>
      <c r="B9864" t="str">
        <f>"0.4"</f>
        <v>0.4</v>
      </c>
      <c r="C9864" t="str">
        <f>"28"</f>
        <v>28</v>
      </c>
      <c r="D9864" t="str">
        <f>"Lil Ghetto Boy"</f>
        <v>Lil Ghetto Boy</v>
      </c>
    </row>
    <row r="9865" spans="1:4" x14ac:dyDescent="0.2">
      <c r="A9865" t="str">
        <f>"9864"</f>
        <v>9864</v>
      </c>
      <c r="B9865" t="str">
        <f>"-1.07"</f>
        <v>-1.07</v>
      </c>
      <c r="C9865" t="str">
        <f>"18"</f>
        <v>18</v>
      </c>
      <c r="D9865" t="str">
        <f>"Cosy Moments"</f>
        <v>Cosy Moments</v>
      </c>
    </row>
    <row r="9866" spans="1:4" x14ac:dyDescent="0.2">
      <c r="A9866" t="str">
        <f>"9865"</f>
        <v>9865</v>
      </c>
      <c r="B9866" t="str">
        <f>"-0.36"</f>
        <v>-0.36</v>
      </c>
      <c r="C9866" t="str">
        <f>"26"</f>
        <v>26</v>
      </c>
      <c r="D9866" t="str">
        <f>"Change Becomes Us"</f>
        <v>Change Becomes Us</v>
      </c>
    </row>
    <row r="9867" spans="1:4" x14ac:dyDescent="0.2">
      <c r="A9867" t="str">
        <f>"9866"</f>
        <v>9866</v>
      </c>
      <c r="B9867" t="str">
        <f>"0.04"</f>
        <v>0.04</v>
      </c>
      <c r="C9867" t="str">
        <f>"31"</f>
        <v>31</v>
      </c>
      <c r="D9867" t="str">
        <f>"Indigo Meadow"</f>
        <v>Indigo Meadow</v>
      </c>
    </row>
    <row r="9868" spans="1:4" x14ac:dyDescent="0.2">
      <c r="A9868" t="str">
        <f>"9867"</f>
        <v>9867</v>
      </c>
      <c r="B9868" t="str">
        <f>"0.26"</f>
        <v>0.26</v>
      </c>
      <c r="C9868" t="str">
        <f>"23"</f>
        <v>23</v>
      </c>
      <c r="D9868" t="str">
        <f>"The Ascent"</f>
        <v>The Ascent</v>
      </c>
    </row>
    <row r="9869" spans="1:4" x14ac:dyDescent="0.2">
      <c r="A9869" t="str">
        <f>"9868"</f>
        <v>9868</v>
      </c>
      <c r="B9869" t="str">
        <f>"1.01"</f>
        <v>1.01</v>
      </c>
      <c r="C9869" t="str">
        <f>"32"</f>
        <v>32</v>
      </c>
      <c r="D9869" t="str">
        <f>"Update"</f>
        <v>Update</v>
      </c>
    </row>
    <row r="9870" spans="1:4" x14ac:dyDescent="0.2">
      <c r="A9870" t="str">
        <f>"9869"</f>
        <v>9869</v>
      </c>
      <c r="B9870" t="str">
        <f>"0.27"</f>
        <v>0.27</v>
      </c>
      <c r="C9870" t="str">
        <f>"36"</f>
        <v>36</v>
      </c>
      <c r="D9870" t="str">
        <f>"1017 Thug"</f>
        <v>1017 Thug</v>
      </c>
    </row>
    <row r="9871" spans="1:4" x14ac:dyDescent="0.2">
      <c r="A9871" t="str">
        <f>"9870"</f>
        <v>9870</v>
      </c>
      <c r="B9871" t="str">
        <f>"-0.63"</f>
        <v>-0.63</v>
      </c>
      <c r="C9871" t="str">
        <f>"48"</f>
        <v>48</v>
      </c>
      <c r="D9871" t="str">
        <f>"Wolf"</f>
        <v>Wolf</v>
      </c>
    </row>
    <row r="9872" spans="1:4" x14ac:dyDescent="0.2">
      <c r="A9872" t="str">
        <f>"9871"</f>
        <v>9871</v>
      </c>
      <c r="B9872" t="str">
        <f>"-0.96"</f>
        <v>-0.96</v>
      </c>
      <c r="C9872" t="str">
        <f>"48"</f>
        <v>48</v>
      </c>
      <c r="D9872" t="str">
        <f>"Above (Deluxe Edition)"</f>
        <v>Above (Deluxe Edition)</v>
      </c>
    </row>
    <row r="9873" spans="1:4" x14ac:dyDescent="0.2">
      <c r="A9873" t="str">
        <f>"9872"</f>
        <v>9872</v>
      </c>
      <c r="B9873" t="str">
        <f>"0.73"</f>
        <v>0.73</v>
      </c>
      <c r="C9873" t="str">
        <f>"32"</f>
        <v>32</v>
      </c>
      <c r="D9873" t="str">
        <f>"Haw"</f>
        <v>Haw</v>
      </c>
    </row>
    <row r="9874" spans="1:4" x14ac:dyDescent="0.2">
      <c r="A9874" t="str">
        <f>"9873"</f>
        <v>9873</v>
      </c>
      <c r="B9874" t="str">
        <f>"-0.27"</f>
        <v>-0.27</v>
      </c>
      <c r="C9874" t="str">
        <f>"22"</f>
        <v>22</v>
      </c>
      <c r="D9874" t="str">
        <f>"Ride Your Heart"</f>
        <v>Ride Your Heart</v>
      </c>
    </row>
    <row r="9875" spans="1:4" x14ac:dyDescent="0.2">
      <c r="A9875" t="str">
        <f>"9874"</f>
        <v>9874</v>
      </c>
      <c r="B9875" t="str">
        <f>"0.24"</f>
        <v>0.24</v>
      </c>
      <c r="C9875" t="str">
        <f>"28"</f>
        <v>28</v>
      </c>
      <c r="D9875" t="s">
        <v>307</v>
      </c>
    </row>
    <row r="9876" spans="1:4" x14ac:dyDescent="0.2">
      <c r="A9876" t="str">
        <f>"9875"</f>
        <v>9875</v>
      </c>
      <c r="B9876" t="str">
        <f>"-0.6"</f>
        <v>-0.6</v>
      </c>
      <c r="C9876" t="str">
        <f>"28"</f>
        <v>28</v>
      </c>
      <c r="D9876" t="str">
        <f>"I Am Not a Human Being II"</f>
        <v>I Am Not a Human Being II</v>
      </c>
    </row>
    <row r="9877" spans="1:4" x14ac:dyDescent="0.2">
      <c r="A9877" t="str">
        <f>"9876"</f>
        <v>9876</v>
      </c>
      <c r="B9877" t="str">
        <f>"-0.01"</f>
        <v>-0.01</v>
      </c>
      <c r="C9877" t="str">
        <f>"37"</f>
        <v>37</v>
      </c>
      <c r="D9877" t="str">
        <f>"The Alchemist: The Best of Goldie 1992-2012"</f>
        <v>The Alchemist: The Best of Goldie 1992-2012</v>
      </c>
    </row>
    <row r="9878" spans="1:4" x14ac:dyDescent="0.2">
      <c r="A9878" t="str">
        <f>"9877"</f>
        <v>9877</v>
      </c>
      <c r="B9878" t="str">
        <f>"1.36"</f>
        <v>1.36</v>
      </c>
      <c r="C9878" t="str">
        <f>"29"</f>
        <v>29</v>
      </c>
      <c r="D9878" t="str">
        <f>"Seabed"</f>
        <v>Seabed</v>
      </c>
    </row>
    <row r="9879" spans="1:4" x14ac:dyDescent="0.2">
      <c r="A9879" t="str">
        <f>"9878"</f>
        <v>9878</v>
      </c>
      <c r="B9879" t="str">
        <f>"0.01"</f>
        <v>0.01</v>
      </c>
      <c r="C9879" t="str">
        <f>"31"</f>
        <v>31</v>
      </c>
      <c r="D9879" t="str">
        <f>"The Empire Never Ended"</f>
        <v>The Empire Never Ended</v>
      </c>
    </row>
    <row r="9880" spans="1:4" x14ac:dyDescent="0.2">
      <c r="A9880" t="str">
        <f>"9879"</f>
        <v>9879</v>
      </c>
      <c r="B9880" t="str">
        <f>"0.72"</f>
        <v>0.72</v>
      </c>
      <c r="C9880" t="str">
        <f>"16"</f>
        <v>16</v>
      </c>
      <c r="D9880" t="str">
        <f>"Heza"</f>
        <v>Heza</v>
      </c>
    </row>
    <row r="9881" spans="1:4" x14ac:dyDescent="0.2">
      <c r="A9881" t="str">
        <f>"9880"</f>
        <v>9880</v>
      </c>
      <c r="B9881" t="str">
        <f>"0.87"</f>
        <v>0.87</v>
      </c>
      <c r="C9881" t="str">
        <f>"34"</f>
        <v>34</v>
      </c>
      <c r="D9881" t="str">
        <f>"Delta Machine"</f>
        <v>Delta Machine</v>
      </c>
    </row>
    <row r="9882" spans="1:4" x14ac:dyDescent="0.2">
      <c r="A9882" t="str">
        <f>"9881"</f>
        <v>9881</v>
      </c>
      <c r="B9882" t="str">
        <f>"-0.82"</f>
        <v>-0.82</v>
      </c>
      <c r="C9882" t="str">
        <f>"41"</f>
        <v>41</v>
      </c>
      <c r="D9882" t="str">
        <f>"The Julius Eastman Memory Depot"</f>
        <v>The Julius Eastman Memory Depot</v>
      </c>
    </row>
    <row r="9883" spans="1:4" x14ac:dyDescent="0.2">
      <c r="A9883" t="str">
        <f>"9882"</f>
        <v>9882</v>
      </c>
      <c r="B9883" t="str">
        <f>"0.79"</f>
        <v>0.79</v>
      </c>
      <c r="C9883" t="str">
        <f>"29"</f>
        <v>29</v>
      </c>
      <c r="D9883" t="str">
        <f>"Dormarion"</f>
        <v>Dormarion</v>
      </c>
    </row>
    <row r="9884" spans="1:4" x14ac:dyDescent="0.2">
      <c r="A9884" t="str">
        <f>"9883"</f>
        <v>9883</v>
      </c>
      <c r="B9884" t="str">
        <f>"1.03"</f>
        <v>1.03</v>
      </c>
      <c r="C9884" t="str">
        <f>"21"</f>
        <v>21</v>
      </c>
      <c r="D9884" t="str">
        <f>"Nostalchic"</f>
        <v>Nostalchic</v>
      </c>
    </row>
    <row r="9885" spans="1:4" x14ac:dyDescent="0.2">
      <c r="A9885" t="str">
        <f>"9884"</f>
        <v>9884</v>
      </c>
      <c r="B9885" t="str">
        <f>"-0.97"</f>
        <v>-0.97</v>
      </c>
      <c r="C9885" t="str">
        <f>"37"</f>
        <v>37</v>
      </c>
      <c r="D9885" t="str">
        <f>"The Devil's Dream: Alan Lomax's 1942 Library of Congress Recordings"</f>
        <v>The Devil's Dream: Alan Lomax's 1942 Library of Congress Recordings</v>
      </c>
    </row>
    <row r="9886" spans="1:4" x14ac:dyDescent="0.2">
      <c r="A9886" t="str">
        <f>"9885"</f>
        <v>9885</v>
      </c>
      <c r="B9886" t="str">
        <f>"0.75"</f>
        <v>0.75</v>
      </c>
      <c r="C9886" t="str">
        <f>"32"</f>
        <v>32</v>
      </c>
      <c r="D9886" t="str">
        <f>"Amygdala"</f>
        <v>Amygdala</v>
      </c>
    </row>
    <row r="9887" spans="1:4" x14ac:dyDescent="0.2">
      <c r="A9887" t="str">
        <f>"9886"</f>
        <v>9886</v>
      </c>
      <c r="B9887" t="str">
        <f>"-0.08"</f>
        <v>-0.08</v>
      </c>
      <c r="C9887" t="str">
        <f>"37"</f>
        <v>37</v>
      </c>
      <c r="D9887" t="str">
        <f>"NoYork!"</f>
        <v>NoYork!</v>
      </c>
    </row>
    <row r="9888" spans="1:4" x14ac:dyDescent="0.2">
      <c r="A9888" t="str">
        <f>"9887"</f>
        <v>9887</v>
      </c>
      <c r="B9888" t="str">
        <f>"0.29"</f>
        <v>0.29</v>
      </c>
      <c r="C9888" t="str">
        <f>"30"</f>
        <v>30</v>
      </c>
      <c r="D9888" t="str">
        <f>"Understated"</f>
        <v>Understated</v>
      </c>
    </row>
    <row r="9889" spans="1:4" x14ac:dyDescent="0.2">
      <c r="A9889" t="str">
        <f>"9888"</f>
        <v>9888</v>
      </c>
      <c r="B9889" t="str">
        <f>"-0.11"</f>
        <v>-0.11</v>
      </c>
      <c r="C9889" t="str">
        <f>"27"</f>
        <v>27</v>
      </c>
      <c r="D9889" t="str">
        <f>"Culture of Pink"</f>
        <v>Culture of Pink</v>
      </c>
    </row>
    <row r="9890" spans="1:4" x14ac:dyDescent="0.2">
      <c r="A9890" t="str">
        <f>"9889"</f>
        <v>9889</v>
      </c>
      <c r="B9890" t="str">
        <f>"-1.18"</f>
        <v>-1.18</v>
      </c>
      <c r="C9890" t="str">
        <f>"23"</f>
        <v>23</v>
      </c>
      <c r="D9890" t="str">
        <f>"Dragged Down a Dead End Path"</f>
        <v>Dragged Down a Dead End Path</v>
      </c>
    </row>
    <row r="9891" spans="1:4" x14ac:dyDescent="0.2">
      <c r="A9891" t="str">
        <f>"9890"</f>
        <v>9890</v>
      </c>
      <c r="B9891" t="str">
        <f>"-0.3"</f>
        <v>-0.3</v>
      </c>
      <c r="C9891" t="str">
        <f>"38"</f>
        <v>38</v>
      </c>
      <c r="D9891" t="str">
        <f>"Afraid of Heights"</f>
        <v>Afraid of Heights</v>
      </c>
    </row>
    <row r="9892" spans="1:4" x14ac:dyDescent="0.2">
      <c r="A9892" t="str">
        <f>"9891"</f>
        <v>9891</v>
      </c>
      <c r="B9892" t="str">
        <f>"1.54"</f>
        <v>1.54</v>
      </c>
      <c r="C9892" t="str">
        <f>"42"</f>
        <v>42</v>
      </c>
      <c r="D9892" t="str">
        <f>"20 Jahre Kompakt / Kollektion 1"</f>
        <v>20 Jahre Kompakt / Kollektion 1</v>
      </c>
    </row>
    <row r="9893" spans="1:4" x14ac:dyDescent="0.2">
      <c r="A9893" t="str">
        <f>"9892"</f>
        <v>9892</v>
      </c>
      <c r="B9893" t="str">
        <f>"-0.09"</f>
        <v>-0.09</v>
      </c>
      <c r="C9893" t="str">
        <f>"30"</f>
        <v>30</v>
      </c>
      <c r="D9893" t="str">
        <f>"Wooden Ball"</f>
        <v>Wooden Ball</v>
      </c>
    </row>
    <row r="9894" spans="1:4" x14ac:dyDescent="0.2">
      <c r="A9894" t="str">
        <f>"9893"</f>
        <v>9893</v>
      </c>
      <c r="B9894" t="str">
        <f>"-0.28"</f>
        <v>-0.28</v>
      </c>
      <c r="C9894" t="str">
        <f>"22"</f>
        <v>22</v>
      </c>
      <c r="D9894" t="str">
        <f>"Make Memories"</f>
        <v>Make Memories</v>
      </c>
    </row>
    <row r="9895" spans="1:4" x14ac:dyDescent="0.2">
      <c r="A9895" t="str">
        <f>"9894"</f>
        <v>9894</v>
      </c>
      <c r="B9895" t="str">
        <f>"0.82"</f>
        <v>0.82</v>
      </c>
      <c r="C9895" t="str">
        <f>"31"</f>
        <v>31</v>
      </c>
      <c r="D9895" t="str">
        <f>"Love &amp; Devotion"</f>
        <v>Love &amp; Devotion</v>
      </c>
    </row>
    <row r="9896" spans="1:4" x14ac:dyDescent="0.2">
      <c r="A9896" t="str">
        <f>"9895"</f>
        <v>9895</v>
      </c>
      <c r="B9896" t="str">
        <f>"-0.29"</f>
        <v>-0.29</v>
      </c>
      <c r="C9896" t="str">
        <f>"37"</f>
        <v>37</v>
      </c>
      <c r="D9896" t="str">
        <f>"Comedown Machine"</f>
        <v>Comedown Machine</v>
      </c>
    </row>
    <row r="9897" spans="1:4" x14ac:dyDescent="0.2">
      <c r="A9897" t="str">
        <f>"9896"</f>
        <v>9896</v>
      </c>
      <c r="B9897" t="str">
        <f>"0.35"</f>
        <v>0.35</v>
      </c>
      <c r="C9897" t="str">
        <f>"27"</f>
        <v>27</v>
      </c>
      <c r="D9897" t="str">
        <f>"Recover EP"</f>
        <v>Recover EP</v>
      </c>
    </row>
    <row r="9898" spans="1:4" x14ac:dyDescent="0.2">
      <c r="A9898" t="str">
        <f>"9897"</f>
        <v>9897</v>
      </c>
      <c r="B9898" t="str">
        <f>"-0.01"</f>
        <v>-0.01</v>
      </c>
      <c r="C9898" t="str">
        <f>"35"</f>
        <v>35</v>
      </c>
      <c r="D9898" t="str">
        <f>"Miami"</f>
        <v>Miami</v>
      </c>
    </row>
    <row r="9899" spans="1:4" x14ac:dyDescent="0.2">
      <c r="A9899" t="str">
        <f>"9898"</f>
        <v>9898</v>
      </c>
      <c r="B9899" t="str">
        <f>"0.35"</f>
        <v>0.35</v>
      </c>
      <c r="C9899" t="str">
        <f>"28"</f>
        <v>28</v>
      </c>
      <c r="D9899" t="str">
        <f>"Off the Record"</f>
        <v>Off the Record</v>
      </c>
    </row>
    <row r="9900" spans="1:4" x14ac:dyDescent="0.2">
      <c r="A9900" t="str">
        <f>"9899"</f>
        <v>9899</v>
      </c>
      <c r="B9900" t="str">
        <f>"1.28"</f>
        <v>1.28</v>
      </c>
      <c r="C9900" t="str">
        <f>"32"</f>
        <v>32</v>
      </c>
      <c r="D9900" t="str">
        <f>"Meir"</f>
        <v>Meir</v>
      </c>
    </row>
    <row r="9901" spans="1:4" x14ac:dyDescent="0.2">
      <c r="A9901" t="str">
        <f>"9900"</f>
        <v>9900</v>
      </c>
      <c r="B9901" t="str">
        <f>"0.93"</f>
        <v>0.93</v>
      </c>
      <c r="C9901" t="str">
        <f>"26"</f>
        <v>26</v>
      </c>
      <c r="D9901" t="str">
        <f>"Bloodsports"</f>
        <v>Bloodsports</v>
      </c>
    </row>
    <row r="9902" spans="1:4" x14ac:dyDescent="0.2">
      <c r="A9902" t="str">
        <f>"9901"</f>
        <v>9901</v>
      </c>
      <c r="B9902" t="str">
        <f>"0.36"</f>
        <v>0.36</v>
      </c>
      <c r="C9902" t="str">
        <f>"29"</f>
        <v>29</v>
      </c>
      <c r="D9902" t="str">
        <f>"Impossible Truth"</f>
        <v>Impossible Truth</v>
      </c>
    </row>
    <row r="9903" spans="1:4" x14ac:dyDescent="0.2">
      <c r="A9903" t="str">
        <f>"9902"</f>
        <v>9902</v>
      </c>
      <c r="B9903" t="str">
        <f>"1.12"</f>
        <v>1.12</v>
      </c>
      <c r="C9903" t="str">
        <f>"21"</f>
        <v>21</v>
      </c>
      <c r="D9903" t="str">
        <f>"Lady"</f>
        <v>Lady</v>
      </c>
    </row>
    <row r="9904" spans="1:4" x14ac:dyDescent="0.2">
      <c r="A9904" t="str">
        <f>"9903"</f>
        <v>9903</v>
      </c>
      <c r="B9904" t="str">
        <f>"0.48"</f>
        <v>0.48</v>
      </c>
      <c r="C9904" t="str">
        <f>"37"</f>
        <v>37</v>
      </c>
      <c r="D9904" t="str">
        <f>"Ensemble Pearl"</f>
        <v>Ensemble Pearl</v>
      </c>
    </row>
    <row r="9905" spans="1:4" x14ac:dyDescent="0.2">
      <c r="A9905" t="str">
        <f>"9904"</f>
        <v>9904</v>
      </c>
      <c r="B9905" t="str">
        <f>"0.63"</f>
        <v>0.63</v>
      </c>
      <c r="C9905" t="str">
        <f>"43"</f>
        <v>43</v>
      </c>
      <c r="D9905" t="str">
        <f>"Calidostópia!"</f>
        <v>Calidostópia!</v>
      </c>
    </row>
    <row r="9906" spans="1:4" x14ac:dyDescent="0.2">
      <c r="A9906" t="str">
        <f>"9905"</f>
        <v>9905</v>
      </c>
      <c r="B9906" t="str">
        <f>"-0.01"</f>
        <v>-0.01</v>
      </c>
      <c r="C9906" t="str">
        <f>"42"</f>
        <v>42</v>
      </c>
      <c r="D9906" t="str">
        <f>"The Invisible Way"</f>
        <v>The Invisible Way</v>
      </c>
    </row>
    <row r="9907" spans="1:4" x14ac:dyDescent="0.2">
      <c r="A9907" t="str">
        <f>"9906"</f>
        <v>9906</v>
      </c>
      <c r="B9907" t="str">
        <f>"-0.67"</f>
        <v>-0.67</v>
      </c>
      <c r="C9907" t="str">
        <f>"45"</f>
        <v>45</v>
      </c>
      <c r="D9907" t="str">
        <f>"Entrench"</f>
        <v>Entrench</v>
      </c>
    </row>
    <row r="9908" spans="1:4" x14ac:dyDescent="0.2">
      <c r="A9908" t="str">
        <f>"9907"</f>
        <v>9907</v>
      </c>
      <c r="B9908" t="str">
        <f>"0.63"</f>
        <v>0.63</v>
      </c>
      <c r="C9908" t="str">
        <f>"23"</f>
        <v>23</v>
      </c>
      <c r="D9908" t="str">
        <f>"Hit-Boy Presents HS87 – All I've Ever Dreamed Of"</f>
        <v>Hit-Boy Presents HS87 – All I've Ever Dreamed Of</v>
      </c>
    </row>
    <row r="9909" spans="1:4" x14ac:dyDescent="0.2">
      <c r="A9909" t="str">
        <f>"9908"</f>
        <v>9908</v>
      </c>
      <c r="B9909" t="str">
        <f>"0.08"</f>
        <v>0.08</v>
      </c>
      <c r="C9909" t="str">
        <f>"24"</f>
        <v>24</v>
      </c>
      <c r="D9909" t="str">
        <f>"Life After Defo"</f>
        <v>Life After Defo</v>
      </c>
    </row>
    <row r="9910" spans="1:4" x14ac:dyDescent="0.2">
      <c r="A9910" t="str">
        <f>"9909"</f>
        <v>9909</v>
      </c>
      <c r="B9910" t="str">
        <f>"-0.66"</f>
        <v>-0.66</v>
      </c>
      <c r="C9910" t="str">
        <f>"29"</f>
        <v>29</v>
      </c>
      <c r="D9910" t="str">
        <f>"The New Life"</f>
        <v>The New Life</v>
      </c>
    </row>
    <row r="9911" spans="1:4" x14ac:dyDescent="0.2">
      <c r="A9911" t="str">
        <f>"9910"</f>
        <v>9910</v>
      </c>
      <c r="B9911" t="str">
        <f>"-0.27"</f>
        <v>-0.27</v>
      </c>
      <c r="C9911" t="str">
        <f>"50"</f>
        <v>50</v>
      </c>
      <c r="D9911" t="str">
        <f>"The Chronicles of Marnia"</f>
        <v>The Chronicles of Marnia</v>
      </c>
    </row>
    <row r="9912" spans="1:4" x14ac:dyDescent="0.2">
      <c r="A9912" t="str">
        <f>"9911"</f>
        <v>9911</v>
      </c>
      <c r="B9912" t="str">
        <f>"0.47"</f>
        <v>0.47</v>
      </c>
      <c r="C9912" t="str">
        <f>"27"</f>
        <v>27</v>
      </c>
      <c r="D9912" t="str">
        <f>"Superpowerless"</f>
        <v>Superpowerless</v>
      </c>
    </row>
    <row r="9913" spans="1:4" x14ac:dyDescent="0.2">
      <c r="A9913" t="str">
        <f>"9912"</f>
        <v>9912</v>
      </c>
      <c r="B9913" t="str">
        <f>"-0.23"</f>
        <v>-0.23</v>
      </c>
      <c r="C9913" t="str">
        <f>"44"</f>
        <v>44</v>
      </c>
      <c r="D9913" t="str">
        <f>"Change the Beat: The Celluloid Records Story 1980 – 1987"</f>
        <v>Change the Beat: The Celluloid Records Story 1980 – 1987</v>
      </c>
    </row>
    <row r="9914" spans="1:4" x14ac:dyDescent="0.2">
      <c r="A9914" t="str">
        <f>"9913"</f>
        <v>9913</v>
      </c>
      <c r="B9914" t="str">
        <f>"0.8"</f>
        <v>0.8</v>
      </c>
      <c r="C9914" t="str">
        <f>"24"</f>
        <v>24</v>
      </c>
      <c r="D9914" t="str">
        <f>"The Stand-In"</f>
        <v>The Stand-In</v>
      </c>
    </row>
    <row r="9915" spans="1:4" x14ac:dyDescent="0.2">
      <c r="A9915" t="str">
        <f>"9914"</f>
        <v>9914</v>
      </c>
      <c r="B9915" t="str">
        <f>"1.11"</f>
        <v>1.11</v>
      </c>
      <c r="C9915" t="str">
        <f>"22"</f>
        <v>22</v>
      </c>
      <c r="D9915" t="str">
        <f>"Pretend To Be Brave"</f>
        <v>Pretend To Be Brave</v>
      </c>
    </row>
    <row r="9916" spans="1:4" x14ac:dyDescent="0.2">
      <c r="A9916" t="str">
        <f>"9915"</f>
        <v>9915</v>
      </c>
      <c r="B9916" t="str">
        <f>"0.95"</f>
        <v>0.95</v>
      </c>
      <c r="C9916" t="str">
        <f>"42"</f>
        <v>42</v>
      </c>
      <c r="D9916" t="str">
        <f>"The 20/20 Experience"</f>
        <v>The 20/20 Experience</v>
      </c>
    </row>
    <row r="9917" spans="1:4" x14ac:dyDescent="0.2">
      <c r="A9917" t="str">
        <f>"9916"</f>
        <v>9916</v>
      </c>
      <c r="B9917" t="str">
        <f>"0.81"</f>
        <v>0.81</v>
      </c>
      <c r="C9917" t="str">
        <f>"28"</f>
        <v>28</v>
      </c>
      <c r="D9917" t="str">
        <f>"Lines"</f>
        <v>Lines</v>
      </c>
    </row>
    <row r="9918" spans="1:4" x14ac:dyDescent="0.2">
      <c r="A9918" t="str">
        <f>"9917"</f>
        <v>9917</v>
      </c>
      <c r="B9918" t="str">
        <f>"0.08"</f>
        <v>0.08</v>
      </c>
      <c r="C9918" t="str">
        <f>"28"</f>
        <v>28</v>
      </c>
      <c r="D9918" t="str">
        <f>"The Patriarch"</f>
        <v>The Patriarch</v>
      </c>
    </row>
    <row r="9919" spans="1:4" x14ac:dyDescent="0.2">
      <c r="A9919" t="str">
        <f>"9918"</f>
        <v>9918</v>
      </c>
      <c r="B9919" t="str">
        <f>"0.69"</f>
        <v>0.69</v>
      </c>
      <c r="C9919" t="str">
        <f>"32"</f>
        <v>32</v>
      </c>
      <c r="D9919" t="str">
        <f>"Water on Mars"</f>
        <v>Water on Mars</v>
      </c>
    </row>
    <row r="9920" spans="1:4" x14ac:dyDescent="0.2">
      <c r="A9920" t="str">
        <f>"9919"</f>
        <v>9919</v>
      </c>
      <c r="B9920" t="str">
        <f>"0.6"</f>
        <v>0.6</v>
      </c>
      <c r="C9920" t="str">
        <f>"46"</f>
        <v>46</v>
      </c>
      <c r="D9920" t="str">
        <f>"Sky Burial"</f>
        <v>Sky Burial</v>
      </c>
    </row>
    <row r="9921" spans="1:4" x14ac:dyDescent="0.2">
      <c r="A9921" t="str">
        <f>"9920"</f>
        <v>9920</v>
      </c>
      <c r="B9921" t="str">
        <f>"0.39"</f>
        <v>0.39</v>
      </c>
      <c r="C9921" t="str">
        <f>"30"</f>
        <v>30</v>
      </c>
      <c r="D9921" t="str">
        <f>"Muchacho"</f>
        <v>Muchacho</v>
      </c>
    </row>
    <row r="9922" spans="1:4" x14ac:dyDescent="0.2">
      <c r="A9922" t="str">
        <f>"9921"</f>
        <v>9921</v>
      </c>
      <c r="B9922" t="str">
        <f>"0.46"</f>
        <v>0.46</v>
      </c>
      <c r="C9922" t="str">
        <f>"31"</f>
        <v>31</v>
      </c>
      <c r="D9922" t="str">
        <f>"180"</f>
        <v>180</v>
      </c>
    </row>
    <row r="9923" spans="1:4" x14ac:dyDescent="0.2">
      <c r="A9923" t="str">
        <f>"9922"</f>
        <v>9922</v>
      </c>
      <c r="B9923" t="str">
        <f>"0.06"</f>
        <v>0.06</v>
      </c>
      <c r="C9923" t="str">
        <f>"37"</f>
        <v>37</v>
      </c>
      <c r="D9923" t="str">
        <f>"Ripely Pine"</f>
        <v>Ripely Pine</v>
      </c>
    </row>
    <row r="9924" spans="1:4" x14ac:dyDescent="0.2">
      <c r="A9924" t="str">
        <f>"9923"</f>
        <v>9923</v>
      </c>
      <c r="B9924" t="str">
        <f>"-0.34"</f>
        <v>-0.34</v>
      </c>
      <c r="C9924" t="str">
        <f>"35"</f>
        <v>35</v>
      </c>
      <c r="D9924" t="str">
        <f>"Via"</f>
        <v>Via</v>
      </c>
    </row>
    <row r="9925" spans="1:4" x14ac:dyDescent="0.2">
      <c r="A9925" t="str">
        <f>"9924"</f>
        <v>9924</v>
      </c>
      <c r="B9925" t="str">
        <f>"-0.6"</f>
        <v>-0.6</v>
      </c>
      <c r="C9925" t="str">
        <f>"36"</f>
        <v>36</v>
      </c>
      <c r="D9925" t="str">
        <f>"Hemp Is Here"</f>
        <v>Hemp Is Here</v>
      </c>
    </row>
    <row r="9926" spans="1:4" x14ac:dyDescent="0.2">
      <c r="A9926" t="str">
        <f>"9925"</f>
        <v>9925</v>
      </c>
      <c r="B9926" t="str">
        <f>"-0.41"</f>
        <v>-0.41</v>
      </c>
      <c r="C9926" t="str">
        <f>"29"</f>
        <v>29</v>
      </c>
      <c r="D9926" t="str">
        <f>"Free Reign II"</f>
        <v>Free Reign II</v>
      </c>
    </row>
    <row r="9927" spans="1:4" x14ac:dyDescent="0.2">
      <c r="A9927" t="str">
        <f>"9926"</f>
        <v>9926</v>
      </c>
      <c r="B9927" t="str">
        <f>"0.03"</f>
        <v>0.03</v>
      </c>
      <c r="C9927" t="str">
        <f>"25"</f>
        <v>25</v>
      </c>
      <c r="D9927" t="str">
        <f>"The False Alarms"</f>
        <v>The False Alarms</v>
      </c>
    </row>
    <row r="9928" spans="1:4" x14ac:dyDescent="0.2">
      <c r="A9928" t="str">
        <f>"9927"</f>
        <v>9927</v>
      </c>
      <c r="B9928" t="str">
        <f>"0.66"</f>
        <v>0.66</v>
      </c>
      <c r="C9928" t="str">
        <f>"36"</f>
        <v>36</v>
      </c>
      <c r="D9928" t="str">
        <f>"Sock it to Me"</f>
        <v>Sock it to Me</v>
      </c>
    </row>
    <row r="9929" spans="1:4" x14ac:dyDescent="0.2">
      <c r="A9929" t="str">
        <f>"9928"</f>
        <v>9928</v>
      </c>
      <c r="B9929" t="str">
        <f>"-0.04"</f>
        <v>-0.04</v>
      </c>
      <c r="C9929" t="str">
        <f>"26"</f>
        <v>26</v>
      </c>
      <c r="D9929" t="str">
        <f>"Child Ballads"</f>
        <v>Child Ballads</v>
      </c>
    </row>
    <row r="9930" spans="1:4" x14ac:dyDescent="0.2">
      <c r="A9930" t="str">
        <f>"9929"</f>
        <v>9929</v>
      </c>
      <c r="B9930" t="str">
        <f>"-0.41"</f>
        <v>-0.41</v>
      </c>
      <c r="C9930" t="str">
        <f>"31"</f>
        <v>31</v>
      </c>
      <c r="D9930" t="str">
        <f>"Known Flood"</f>
        <v>Known Flood</v>
      </c>
    </row>
    <row r="9931" spans="1:4" x14ac:dyDescent="0.2">
      <c r="A9931" t="str">
        <f>"9930"</f>
        <v>9930</v>
      </c>
      <c r="B9931" t="str">
        <f>"-1.01"</f>
        <v>-1.01</v>
      </c>
      <c r="C9931" t="str">
        <f>"27"</f>
        <v>27</v>
      </c>
      <c r="D9931" t="str">
        <f>"Spring Breakers OST"</f>
        <v>Spring Breakers OST</v>
      </c>
    </row>
    <row r="9932" spans="1:4" x14ac:dyDescent="0.2">
      <c r="A9932" t="str">
        <f>"9931"</f>
        <v>9931</v>
      </c>
      <c r="B9932" t="str">
        <f>"-0.22"</f>
        <v>-0.22</v>
      </c>
      <c r="C9932" t="str">
        <f>"27"</f>
        <v>27</v>
      </c>
      <c r="D9932" t="str">
        <f>"All My Relations"</f>
        <v>All My Relations</v>
      </c>
    </row>
    <row r="9933" spans="1:4" x14ac:dyDescent="0.2">
      <c r="A9933" t="str">
        <f>"9932"</f>
        <v>9932</v>
      </c>
      <c r="B9933" t="str">
        <f>"0.42"</f>
        <v>0.42</v>
      </c>
      <c r="C9933" t="str">
        <f>"28"</f>
        <v>28</v>
      </c>
      <c r="D9933" t="str">
        <f>"Invisible Life"</f>
        <v>Invisible Life</v>
      </c>
    </row>
    <row r="9934" spans="1:4" x14ac:dyDescent="0.2">
      <c r="A9934" t="str">
        <f>"9933"</f>
        <v>9933</v>
      </c>
      <c r="B9934" t="str">
        <f>"0.49"</f>
        <v>0.49</v>
      </c>
      <c r="C9934" t="str">
        <f>"28"</f>
        <v>28</v>
      </c>
      <c r="D9934" t="str">
        <f>"The Plague of a Coming Age"</f>
        <v>The Plague of a Coming Age</v>
      </c>
    </row>
    <row r="9935" spans="1:4" x14ac:dyDescent="0.2">
      <c r="A9935" t="str">
        <f>"9934"</f>
        <v>9934</v>
      </c>
      <c r="B9935" t="str">
        <f>"-0.32"</f>
        <v>-0.32</v>
      </c>
      <c r="C9935" t="str">
        <f>"59"</f>
        <v>59</v>
      </c>
      <c r="D9935" t="str">
        <f>"Who's That Man: A Tribute to Conny Plank"</f>
        <v>Who's That Man: A Tribute to Conny Plank</v>
      </c>
    </row>
    <row r="9936" spans="1:4" x14ac:dyDescent="0.2">
      <c r="A9936" t="str">
        <f>"9935"</f>
        <v>9935</v>
      </c>
      <c r="B9936" t="str">
        <f>"-0.19"</f>
        <v>-0.19</v>
      </c>
      <c r="C9936" t="str">
        <f>"29"</f>
        <v>29</v>
      </c>
      <c r="D9936" t="str">
        <f>"Sound City: Real to Reel OST"</f>
        <v>Sound City: Real to Reel OST</v>
      </c>
    </row>
    <row r="9937" spans="1:4" x14ac:dyDescent="0.2">
      <c r="A9937" t="str">
        <f>"9936"</f>
        <v>9936</v>
      </c>
      <c r="B9937" t="str">
        <f>"0.35"</f>
        <v>0.35</v>
      </c>
      <c r="C9937" t="str">
        <f>"22"</f>
        <v>22</v>
      </c>
      <c r="D9937" t="str">
        <f>"Adrian Younge Presents the Delfonics"</f>
        <v>Adrian Younge Presents the Delfonics</v>
      </c>
    </row>
    <row r="9938" spans="1:4" x14ac:dyDescent="0.2">
      <c r="A9938" t="str">
        <f>"9937"</f>
        <v>9937</v>
      </c>
      <c r="B9938" t="str">
        <f>"-0.05"</f>
        <v>-0.05</v>
      </c>
      <c r="C9938" t="str">
        <f>"36"</f>
        <v>36</v>
      </c>
      <c r="D9938" t="str">
        <f>"The G... The Growth &amp; Development"</f>
        <v>The G... The Growth &amp; Development</v>
      </c>
    </row>
    <row r="9939" spans="1:4" x14ac:dyDescent="0.2">
      <c r="A9939" t="str">
        <f>"9938"</f>
        <v>9938</v>
      </c>
      <c r="B9939" t="str">
        <f>"-0.28"</f>
        <v>-0.28</v>
      </c>
      <c r="C9939" t="str">
        <f>"35"</f>
        <v>35</v>
      </c>
      <c r="D9939" t="str">
        <f>"The Deserters"</f>
        <v>The Deserters</v>
      </c>
    </row>
    <row r="9940" spans="1:4" x14ac:dyDescent="0.2">
      <c r="A9940" t="str">
        <f>"9939"</f>
        <v>9939</v>
      </c>
      <c r="B9940" t="str">
        <f>"0.08"</f>
        <v>0.08</v>
      </c>
      <c r="C9940" t="str">
        <f>"36"</f>
        <v>36</v>
      </c>
      <c r="D9940" t="str">
        <f>"Sleeper"</f>
        <v>Sleeper</v>
      </c>
    </row>
    <row r="9941" spans="1:4" x14ac:dyDescent="0.2">
      <c r="A9941" t="str">
        <f>"9940"</f>
        <v>9940</v>
      </c>
      <c r="B9941" t="str">
        <f>"1.13"</f>
        <v>1.13</v>
      </c>
      <c r="C9941" t="str">
        <f>"34"</f>
        <v>34</v>
      </c>
      <c r="D9941" t="str">
        <f>"Mala"</f>
        <v>Mala</v>
      </c>
    </row>
    <row r="9942" spans="1:4" x14ac:dyDescent="0.2">
      <c r="A9942" t="str">
        <f>"9941"</f>
        <v>9941</v>
      </c>
      <c r="B9942" t="str">
        <f>"0.2"</f>
        <v>0.2</v>
      </c>
      <c r="C9942" t="str">
        <f>"33"</f>
        <v>33</v>
      </c>
      <c r="D9942" t="str">
        <f>"Honky Tonk"</f>
        <v>Honky Tonk</v>
      </c>
    </row>
    <row r="9943" spans="1:4" x14ac:dyDescent="0.2">
      <c r="A9943" t="str">
        <f>"9942"</f>
        <v>9942</v>
      </c>
      <c r="B9943" t="str">
        <f>"1"</f>
        <v>1</v>
      </c>
      <c r="C9943" t="str">
        <f>"26"</f>
        <v>26</v>
      </c>
      <c r="D9943" t="str">
        <f>"Grand Quarters"</f>
        <v>Grand Quarters</v>
      </c>
    </row>
    <row r="9944" spans="1:4" x14ac:dyDescent="0.2">
      <c r="A9944" t="str">
        <f>"9943"</f>
        <v>9943</v>
      </c>
      <c r="B9944" t="str">
        <f>"-0.61"</f>
        <v>-0.61</v>
      </c>
      <c r="C9944" t="str">
        <f>"26"</f>
        <v>26</v>
      </c>
      <c r="D9944" t="str">
        <f>"Caustic View EP"</f>
        <v>Caustic View EP</v>
      </c>
    </row>
    <row r="9945" spans="1:4" x14ac:dyDescent="0.2">
      <c r="A9945" t="str">
        <f>"9944"</f>
        <v>9944</v>
      </c>
      <c r="B9945" t="str">
        <f>"0.09"</f>
        <v>0.09</v>
      </c>
      <c r="C9945" t="str">
        <f>"31"</f>
        <v>31</v>
      </c>
      <c r="D9945" t="str">
        <f>"Concrete Sustain"</f>
        <v>Concrete Sustain</v>
      </c>
    </row>
    <row r="9946" spans="1:4" x14ac:dyDescent="0.2">
      <c r="A9946" t="str">
        <f>"9945"</f>
        <v>9945</v>
      </c>
      <c r="B9946" t="str">
        <f>"0"</f>
        <v>0</v>
      </c>
      <c r="C9946" t="str">
        <f>"89"</f>
        <v>89</v>
      </c>
      <c r="D9946" t="str">
        <f>"The Next Day"</f>
        <v>The Next Day</v>
      </c>
    </row>
    <row r="9947" spans="1:4" x14ac:dyDescent="0.2">
      <c r="A9947" t="str">
        <f>"9946"</f>
        <v>9946</v>
      </c>
      <c r="B9947" t="str">
        <f>"0.08"</f>
        <v>0.08</v>
      </c>
      <c r="C9947" t="str">
        <f>"25"</f>
        <v>25</v>
      </c>
      <c r="D9947" t="str">
        <f>"Krieg und Frieden (Music for Theatre)"</f>
        <v>Krieg und Frieden (Music for Theatre)</v>
      </c>
    </row>
    <row r="9948" spans="1:4" x14ac:dyDescent="0.2">
      <c r="A9948" t="str">
        <f>"9947"</f>
        <v>9947</v>
      </c>
      <c r="B9948" t="str">
        <f>"0.26"</f>
        <v>0.26</v>
      </c>
      <c r="C9948" t="str">
        <f>"27"</f>
        <v>27</v>
      </c>
      <c r="D9948" t="str">
        <f>"Between Places"</f>
        <v>Between Places</v>
      </c>
    </row>
    <row r="9949" spans="1:4" x14ac:dyDescent="0.2">
      <c r="A9949" t="str">
        <f>"9948"</f>
        <v>9948</v>
      </c>
      <c r="B9949" t="str">
        <f>"-0.38"</f>
        <v>-0.38</v>
      </c>
      <c r="C9949" t="str">
        <f>"27"</f>
        <v>27</v>
      </c>
      <c r="D9949" t="str">
        <f>"LISm"</f>
        <v>LISm</v>
      </c>
    </row>
    <row r="9950" spans="1:4" x14ac:dyDescent="0.2">
      <c r="A9950" t="str">
        <f>"9949"</f>
        <v>9949</v>
      </c>
      <c r="B9950" t="str">
        <f>"0.42"</f>
        <v>0.42</v>
      </c>
      <c r="C9950" t="str">
        <f>"29"</f>
        <v>29</v>
      </c>
      <c r="D9950" t="str">
        <f>"Toy Love"</f>
        <v>Toy Love</v>
      </c>
    </row>
    <row r="9951" spans="1:4" x14ac:dyDescent="0.2">
      <c r="A9951" t="str">
        <f>"9950"</f>
        <v>9950</v>
      </c>
      <c r="B9951" t="str">
        <f>"0.77"</f>
        <v>0.77</v>
      </c>
      <c r="C9951" t="str">
        <f>"36"</f>
        <v>36</v>
      </c>
      <c r="D9951" t="str">
        <f>"New Moon"</f>
        <v>New Moon</v>
      </c>
    </row>
    <row r="9952" spans="1:4" x14ac:dyDescent="0.2">
      <c r="A9952" t="str">
        <f>"9951"</f>
        <v>9951</v>
      </c>
      <c r="B9952" t="str">
        <f>"-0.82"</f>
        <v>-0.82</v>
      </c>
      <c r="C9952" t="str">
        <f>"20"</f>
        <v>20</v>
      </c>
      <c r="D9952" t="str">
        <f>"Misogyny Drop Dead EP"</f>
        <v>Misogyny Drop Dead EP</v>
      </c>
    </row>
    <row r="9953" spans="1:4" x14ac:dyDescent="0.2">
      <c r="A9953" t="str">
        <f>"9952"</f>
        <v>9952</v>
      </c>
      <c r="B9953" t="str">
        <f>"-1.24"</f>
        <v>-1.24</v>
      </c>
      <c r="C9953" t="str">
        <f>"26"</f>
        <v>26</v>
      </c>
      <c r="D9953" t="str">
        <f>"Punk Authority EP"</f>
        <v>Punk Authority EP</v>
      </c>
    </row>
    <row r="9954" spans="1:4" x14ac:dyDescent="0.2">
      <c r="A9954" t="str">
        <f>"9953"</f>
        <v>9953</v>
      </c>
      <c r="B9954" t="str">
        <f>"-0.39"</f>
        <v>-0.39</v>
      </c>
      <c r="C9954" t="str">
        <f>"36"</f>
        <v>36</v>
      </c>
      <c r="D9954" t="str">
        <f>"Deathfix"</f>
        <v>Deathfix</v>
      </c>
    </row>
    <row r="9955" spans="1:4" x14ac:dyDescent="0.2">
      <c r="A9955" t="str">
        <f>"9954"</f>
        <v>9954</v>
      </c>
      <c r="B9955" t="str">
        <f>"0.91"</f>
        <v>0.91</v>
      </c>
      <c r="C9955" t="str">
        <f>"24"</f>
        <v>24</v>
      </c>
      <c r="D9955" t="str">
        <f>"Golden Grrrls"</f>
        <v>Golden Grrrls</v>
      </c>
    </row>
    <row r="9956" spans="1:4" x14ac:dyDescent="0.2">
      <c r="A9956" t="str">
        <f>"9955"</f>
        <v>9955</v>
      </c>
      <c r="B9956" t="str">
        <f>"-0.19"</f>
        <v>-0.19</v>
      </c>
      <c r="C9956" t="str">
        <f>"45"</f>
        <v>45</v>
      </c>
      <c r="D9956" t="str">
        <f>"Cerulean Salt"</f>
        <v>Cerulean Salt</v>
      </c>
    </row>
    <row r="9957" spans="1:4" x14ac:dyDescent="0.2">
      <c r="A9957" t="str">
        <f>"9956"</f>
        <v>9956</v>
      </c>
      <c r="B9957" t="str">
        <f>"0.1"</f>
        <v>0.1</v>
      </c>
      <c r="C9957" t="str">
        <f>"28"</f>
        <v>28</v>
      </c>
      <c r="D9957" t="str">
        <f>"Mowgli"</f>
        <v>Mowgli</v>
      </c>
    </row>
    <row r="9958" spans="1:4" x14ac:dyDescent="0.2">
      <c r="A9958" t="str">
        <f>"9957"</f>
        <v>9957</v>
      </c>
      <c r="B9958" t="str">
        <f>"-1.58"</f>
        <v>-1.58</v>
      </c>
      <c r="C9958" t="str">
        <f>"16"</f>
        <v>16</v>
      </c>
      <c r="D9958" t="str">
        <f>"Social Experiment 003"</f>
        <v>Social Experiment 003</v>
      </c>
    </row>
    <row r="9959" spans="1:4" x14ac:dyDescent="0.2">
      <c r="A9959" t="str">
        <f>"9958"</f>
        <v>9958</v>
      </c>
      <c r="B9959" t="str">
        <f>"-0.93"</f>
        <v>-0.93</v>
      </c>
      <c r="C9959" t="str">
        <f>"36"</f>
        <v>36</v>
      </c>
      <c r="D9959" t="str">
        <f>"Girl Talk"</f>
        <v>Girl Talk</v>
      </c>
    </row>
    <row r="9960" spans="1:4" x14ac:dyDescent="0.2">
      <c r="A9960" t="str">
        <f>"9959"</f>
        <v>9959</v>
      </c>
      <c r="B9960" t="str">
        <f>"0.43"</f>
        <v>0.43</v>
      </c>
      <c r="C9960" t="str">
        <f>"30"</f>
        <v>30</v>
      </c>
      <c r="D9960" t="str">
        <f>"Ores &amp; Minerals"</f>
        <v>Ores &amp; Minerals</v>
      </c>
    </row>
    <row r="9961" spans="1:4" x14ac:dyDescent="0.2">
      <c r="A9961" t="str">
        <f>"9960"</f>
        <v>9960</v>
      </c>
      <c r="B9961" t="str">
        <f>"-0.68"</f>
        <v>-0.68</v>
      </c>
      <c r="C9961" t="str">
        <f>"45"</f>
        <v>45</v>
      </c>
      <c r="D9961" t="str">
        <f>"Welcome Oblivion"</f>
        <v>Welcome Oblivion</v>
      </c>
    </row>
    <row r="9962" spans="1:4" x14ac:dyDescent="0.2">
      <c r="A9962" t="str">
        <f>"9961"</f>
        <v>9961</v>
      </c>
      <c r="B9962" t="str">
        <f>"0.03"</f>
        <v>0.03</v>
      </c>
      <c r="C9962" t="str">
        <f>"23"</f>
        <v>23</v>
      </c>
      <c r="D9962" t="str">
        <f>"A Love Surreal"</f>
        <v>A Love Surreal</v>
      </c>
    </row>
    <row r="9963" spans="1:4" x14ac:dyDescent="0.2">
      <c r="A9963" t="str">
        <f>"9962"</f>
        <v>9962</v>
      </c>
      <c r="B9963" t="str">
        <f>"-0.75"</f>
        <v>-0.75</v>
      </c>
      <c r="C9963" t="str">
        <f>"28"</f>
        <v>28</v>
      </c>
      <c r="D9963" t="str">
        <f>"In Dark Denim"</f>
        <v>In Dark Denim</v>
      </c>
    </row>
    <row r="9964" spans="1:4" x14ac:dyDescent="0.2">
      <c r="A9964" t="str">
        <f>"9963"</f>
        <v>9963</v>
      </c>
      <c r="B9964" t="str">
        <f>"-1.67"</f>
        <v>-1.67</v>
      </c>
      <c r="C9964" t="str">
        <f>"22"</f>
        <v>22</v>
      </c>
      <c r="D9964" t="str">
        <f>"Images Du Futur"</f>
        <v>Images Du Futur</v>
      </c>
    </row>
    <row r="9965" spans="1:4" x14ac:dyDescent="0.2">
      <c r="A9965" t="str">
        <f>"9964"</f>
        <v>9964</v>
      </c>
      <c r="B9965" t="str">
        <f>"-0.52"</f>
        <v>-0.52</v>
      </c>
      <c r="C9965" t="str">
        <f>"30"</f>
        <v>30</v>
      </c>
      <c r="D9965" t="str">
        <f>"Passages Into Deformity"</f>
        <v>Passages Into Deformity</v>
      </c>
    </row>
    <row r="9966" spans="1:4" x14ac:dyDescent="0.2">
      <c r="A9966" t="str">
        <f>"9965"</f>
        <v>9965</v>
      </c>
      <c r="B9966" t="str">
        <f>"0.33"</f>
        <v>0.33</v>
      </c>
      <c r="C9966" t="str">
        <f>"35"</f>
        <v>35</v>
      </c>
      <c r="D9966" t="str">
        <f>"Woman"</f>
        <v>Woman</v>
      </c>
    </row>
    <row r="9967" spans="1:4" x14ac:dyDescent="0.2">
      <c r="A9967" t="str">
        <f>"9966"</f>
        <v>9966</v>
      </c>
      <c r="B9967" t="str">
        <f>"-0.06"</f>
        <v>-0.06</v>
      </c>
      <c r="C9967" t="str">
        <f>"24"</f>
        <v>24</v>
      </c>
      <c r="D9967" t="str">
        <f>"Laid Out EP"</f>
        <v>Laid Out EP</v>
      </c>
    </row>
    <row r="9968" spans="1:4" x14ac:dyDescent="0.2">
      <c r="A9968" t="str">
        <f>"9967"</f>
        <v>9967</v>
      </c>
      <c r="B9968" t="str">
        <f>"-0.56"</f>
        <v>-0.56</v>
      </c>
      <c r="C9968" t="str">
        <f>"34"</f>
        <v>34</v>
      </c>
      <c r="D9968" t="str">
        <f>"The Beast in Its Tracks"</f>
        <v>The Beast in Its Tracks</v>
      </c>
    </row>
    <row r="9969" spans="1:4" x14ac:dyDescent="0.2">
      <c r="A9969" t="str">
        <f>"9968"</f>
        <v>9968</v>
      </c>
      <c r="B9969" t="str">
        <f>"-0.59"</f>
        <v>-0.59</v>
      </c>
      <c r="C9969" t="str">
        <f>"26"</f>
        <v>26</v>
      </c>
      <c r="D9969" t="str">
        <f>"Hi Beams"</f>
        <v>Hi Beams</v>
      </c>
    </row>
    <row r="9970" spans="1:4" x14ac:dyDescent="0.2">
      <c r="A9970" t="str">
        <f>"9969"</f>
        <v>9969</v>
      </c>
      <c r="B9970" t="str">
        <f>"0.65"</f>
        <v>0.65</v>
      </c>
      <c r="C9970" t="str">
        <f>"33"</f>
        <v>33</v>
      </c>
      <c r="D9970" t="str">
        <f>"Needs Continuum"</f>
        <v>Needs Continuum</v>
      </c>
    </row>
    <row r="9971" spans="1:4" x14ac:dyDescent="0.2">
      <c r="A9971" t="str">
        <f>"9970"</f>
        <v>9970</v>
      </c>
      <c r="B9971" t="str">
        <f>"-0.48"</f>
        <v>-0.48</v>
      </c>
      <c r="C9971" t="str">
        <f>"46"</f>
        <v>46</v>
      </c>
      <c r="D9971" t="str">
        <f>"Wondrous Bughouse"</f>
        <v>Wondrous Bughouse</v>
      </c>
    </row>
    <row r="9972" spans="1:4" x14ac:dyDescent="0.2">
      <c r="A9972" t="str">
        <f>"9971"</f>
        <v>9971</v>
      </c>
      <c r="B9972" t="str">
        <f>"0.88"</f>
        <v>0.88</v>
      </c>
      <c r="C9972" t="str">
        <f>"29"</f>
        <v>29</v>
      </c>
      <c r="D9972" t="str">
        <f>"Trust EP"</f>
        <v>Trust EP</v>
      </c>
    </row>
    <row r="9973" spans="1:4" x14ac:dyDescent="0.2">
      <c r="A9973" t="str">
        <f>"9972"</f>
        <v>9972</v>
      </c>
      <c r="B9973" t="str">
        <f>"0.74"</f>
        <v>0.74</v>
      </c>
      <c r="C9973" t="str">
        <f>"37"</f>
        <v>37</v>
      </c>
      <c r="D9973" t="str">
        <f>"Untogether"</f>
        <v>Untogether</v>
      </c>
    </row>
    <row r="9974" spans="1:4" x14ac:dyDescent="0.2">
      <c r="A9974" t="str">
        <f>"9973"</f>
        <v>9973</v>
      </c>
      <c r="B9974" t="str">
        <f>"-0.33"</f>
        <v>-0.33</v>
      </c>
      <c r="C9974" t="str">
        <f>"31"</f>
        <v>31</v>
      </c>
      <c r="D9974" t="str">
        <f>"Hymnal"</f>
        <v>Hymnal</v>
      </c>
    </row>
    <row r="9975" spans="1:4" x14ac:dyDescent="0.2">
      <c r="A9975" t="str">
        <f>"9974"</f>
        <v>9974</v>
      </c>
      <c r="B9975" t="str">
        <f>"1.51"</f>
        <v>1.51</v>
      </c>
      <c r="C9975" t="str">
        <f>"20"</f>
        <v>20</v>
      </c>
      <c r="D9975" t="str">
        <f>"Askel Lähempänä Saatanaa"</f>
        <v>Askel Lähempänä Saatanaa</v>
      </c>
    </row>
    <row r="9976" spans="1:4" x14ac:dyDescent="0.2">
      <c r="A9976" t="str">
        <f>"9975"</f>
        <v>9975</v>
      </c>
      <c r="B9976" t="str">
        <f>"0.7"</f>
        <v>0.7</v>
      </c>
      <c r="C9976" t="str">
        <f>"28"</f>
        <v>28</v>
      </c>
      <c r="D9976" t="str">
        <f>"Chelsea Light Moving"</f>
        <v>Chelsea Light Moving</v>
      </c>
    </row>
    <row r="9977" spans="1:4" x14ac:dyDescent="0.2">
      <c r="A9977" t="str">
        <f>"9976"</f>
        <v>9976</v>
      </c>
      <c r="B9977" t="str">
        <f>"1.17"</f>
        <v>1.17</v>
      </c>
      <c r="C9977" t="str">
        <f>"25"</f>
        <v>25</v>
      </c>
      <c r="D9977" t="str">
        <f>"Somewhere Else"</f>
        <v>Somewhere Else</v>
      </c>
    </row>
    <row r="9978" spans="1:4" x14ac:dyDescent="0.2">
      <c r="A9978" t="str">
        <f>"9977"</f>
        <v>9977</v>
      </c>
      <c r="B9978" t="str">
        <f>"1"</f>
        <v>1</v>
      </c>
      <c r="C9978" t="str">
        <f>"22"</f>
        <v>22</v>
      </c>
      <c r="D9978" t="str">
        <f>"Cyclopean EP"</f>
        <v>Cyclopean EP</v>
      </c>
    </row>
    <row r="9979" spans="1:4" x14ac:dyDescent="0.2">
      <c r="A9979" t="str">
        <f>"9978"</f>
        <v>9978</v>
      </c>
      <c r="B9979" t="str">
        <f>"0.47"</f>
        <v>0.47</v>
      </c>
      <c r="C9979" t="str">
        <f>"33"</f>
        <v>33</v>
      </c>
      <c r="D9979" t="s">
        <v>308</v>
      </c>
    </row>
    <row r="9980" spans="1:4" x14ac:dyDescent="0.2">
      <c r="A9980" t="str">
        <f>"9979"</f>
        <v>9979</v>
      </c>
      <c r="B9980" t="str">
        <f>"-0.23"</f>
        <v>-0.23</v>
      </c>
      <c r="C9980" t="str">
        <f>"25"</f>
        <v>25</v>
      </c>
      <c r="D9980" t="str">
        <f>"Die zauberhafte Welt der Anderen"</f>
        <v>Die zauberhafte Welt der Anderen</v>
      </c>
    </row>
    <row r="9981" spans="1:4" x14ac:dyDescent="0.2">
      <c r="A9981" t="str">
        <f>"9980"</f>
        <v>9980</v>
      </c>
      <c r="B9981" t="str">
        <f>"-0.4"</f>
        <v>-0.4</v>
      </c>
      <c r="C9981" t="str">
        <f>"27"</f>
        <v>27</v>
      </c>
      <c r="D9981" t="str">
        <f>"Les Revenants"</f>
        <v>Les Revenants</v>
      </c>
    </row>
    <row r="9982" spans="1:4" x14ac:dyDescent="0.2">
      <c r="A9982" t="str">
        <f>"9981"</f>
        <v>9981</v>
      </c>
      <c r="B9982" t="str">
        <f>"-0.53"</f>
        <v>-0.53</v>
      </c>
      <c r="C9982" t="str">
        <f>"34"</f>
        <v>34</v>
      </c>
      <c r="D9982" t="str">
        <f>"The Luca Brasi Story"</f>
        <v>The Luca Brasi Story</v>
      </c>
    </row>
    <row r="9983" spans="1:4" x14ac:dyDescent="0.2">
      <c r="A9983" t="str">
        <f>"9982"</f>
        <v>9982</v>
      </c>
      <c r="B9983" t="str">
        <f>"0.48"</f>
        <v>0.48</v>
      </c>
      <c r="C9983" t="str">
        <f>"34"</f>
        <v>34</v>
      </c>
      <c r="D9983" t="str">
        <f>"Hello EP"</f>
        <v>Hello EP</v>
      </c>
    </row>
    <row r="9984" spans="1:4" x14ac:dyDescent="0.2">
      <c r="A9984" t="str">
        <f>"9983"</f>
        <v>9983</v>
      </c>
      <c r="B9984" t="str">
        <f>"0.86"</f>
        <v>0.86</v>
      </c>
      <c r="C9984" t="str">
        <f>"21"</f>
        <v>21</v>
      </c>
      <c r="D9984" t="str">
        <f>"Homosapien"</f>
        <v>Homosapien</v>
      </c>
    </row>
    <row r="9985" spans="1:4" x14ac:dyDescent="0.2">
      <c r="A9985" t="str">
        <f>"9984"</f>
        <v>9984</v>
      </c>
      <c r="B9985" t="str">
        <f>"0.51"</f>
        <v>0.51</v>
      </c>
      <c r="C9985" t="str">
        <f>"25"</f>
        <v>25</v>
      </c>
      <c r="D9985" t="str">
        <f>"Privilege"</f>
        <v>Privilege</v>
      </c>
    </row>
    <row r="9986" spans="1:4" x14ac:dyDescent="0.2">
      <c r="A9986" t="str">
        <f>"9985"</f>
        <v>9985</v>
      </c>
      <c r="B9986" t="str">
        <f>"-0.78"</f>
        <v>-0.78</v>
      </c>
      <c r="C9986" t="str">
        <f>"30"</f>
        <v>30</v>
      </c>
      <c r="D9986" t="str">
        <f>"Lesser Evil"</f>
        <v>Lesser Evil</v>
      </c>
    </row>
    <row r="9987" spans="1:4" x14ac:dyDescent="0.2">
      <c r="A9987" t="str">
        <f>"9986"</f>
        <v>9986</v>
      </c>
      <c r="B9987" t="str">
        <f>"-0.8"</f>
        <v>-0.8</v>
      </c>
      <c r="C9987" t="str">
        <f>"17"</f>
        <v>17</v>
      </c>
      <c r="D9987" t="str">
        <f>"Outrun"</f>
        <v>Outrun</v>
      </c>
    </row>
    <row r="9988" spans="1:4" x14ac:dyDescent="0.2">
      <c r="A9988" t="str">
        <f>"9987"</f>
        <v>9987</v>
      </c>
      <c r="B9988" t="str">
        <f>"0.08"</f>
        <v>0.08</v>
      </c>
      <c r="C9988" t="str">
        <f>"50"</f>
        <v>50</v>
      </c>
      <c r="D9988" t="str">
        <f>"The Complete Recorded Works in Chronological Order Volume 1"</f>
        <v>The Complete Recorded Works in Chronological Order Volume 1</v>
      </c>
    </row>
    <row r="9989" spans="1:4" x14ac:dyDescent="0.2">
      <c r="A9989" t="str">
        <f>"9988"</f>
        <v>9988</v>
      </c>
      <c r="B9989" t="str">
        <f>"-0.43"</f>
        <v>-0.43</v>
      </c>
      <c r="C9989" t="str">
        <f>"36"</f>
        <v>36</v>
      </c>
      <c r="D9989" t="str">
        <f>"An A.merican D.ream"</f>
        <v>An A.merican D.ream</v>
      </c>
    </row>
    <row r="9990" spans="1:4" x14ac:dyDescent="0.2">
      <c r="A9990" t="str">
        <f>"9989"</f>
        <v>9989</v>
      </c>
      <c r="B9990" t="str">
        <f>"-0.62"</f>
        <v>-0.62</v>
      </c>
      <c r="C9990" t="str">
        <f>"32"</f>
        <v>32</v>
      </c>
      <c r="D9990" t="str">
        <f>"Heliosphere"</f>
        <v>Heliosphere</v>
      </c>
    </row>
    <row r="9991" spans="1:4" x14ac:dyDescent="0.2">
      <c r="A9991" t="str">
        <f>"9990"</f>
        <v>9990</v>
      </c>
      <c r="B9991" t="str">
        <f>"-0.54"</f>
        <v>-0.54</v>
      </c>
      <c r="C9991" t="str">
        <f>"40"</f>
        <v>40</v>
      </c>
      <c r="D9991" t="str">
        <f>"Anxiety"</f>
        <v>Anxiety</v>
      </c>
    </row>
    <row r="9992" spans="1:4" x14ac:dyDescent="0.2">
      <c r="A9992" t="str">
        <f>"9991"</f>
        <v>9991</v>
      </c>
      <c r="B9992" t="str">
        <f>"0.26"</f>
        <v>0.26</v>
      </c>
      <c r="C9992" t="str">
        <f>"28"</f>
        <v>28</v>
      </c>
      <c r="D9992" t="str">
        <f>"Through the Window"</f>
        <v>Through the Window</v>
      </c>
    </row>
    <row r="9993" spans="1:4" x14ac:dyDescent="0.2">
      <c r="A9993" t="str">
        <f>"9992"</f>
        <v>9992</v>
      </c>
      <c r="B9993" t="str">
        <f>"-0.63"</f>
        <v>-0.63</v>
      </c>
      <c r="C9993" t="str">
        <f>"27"</f>
        <v>27</v>
      </c>
      <c r="D9993" t="str">
        <f>"Optica"</f>
        <v>Optica</v>
      </c>
    </row>
    <row r="9994" spans="1:4" x14ac:dyDescent="0.2">
      <c r="A9994" t="str">
        <f>"9993"</f>
        <v>9993</v>
      </c>
      <c r="B9994" t="str">
        <f>"-0.2"</f>
        <v>-0.2</v>
      </c>
      <c r="C9994" t="str">
        <f>"19"</f>
        <v>19</v>
      </c>
      <c r="D9994" t="str">
        <f>"Total Folklore"</f>
        <v>Total Folklore</v>
      </c>
    </row>
    <row r="9995" spans="1:4" x14ac:dyDescent="0.2">
      <c r="A9995" t="str">
        <f>"9994"</f>
        <v>9994</v>
      </c>
      <c r="B9995" t="str">
        <f>"-0.51"</f>
        <v>-0.51</v>
      </c>
      <c r="C9995" t="str">
        <f>"33"</f>
        <v>33</v>
      </c>
      <c r="D9995" t="str">
        <f>"Void"</f>
        <v>Void</v>
      </c>
    </row>
    <row r="9996" spans="1:4" x14ac:dyDescent="0.2">
      <c r="A9996" t="str">
        <f>"9995"</f>
        <v>9995</v>
      </c>
      <c r="B9996" t="str">
        <f>"-1.24"</f>
        <v>-1.24</v>
      </c>
      <c r="C9996" t="str">
        <f>"30"</f>
        <v>30</v>
      </c>
      <c r="D9996" t="str">
        <f>"AMOK"</f>
        <v>AMOK</v>
      </c>
    </row>
    <row r="9997" spans="1:4" x14ac:dyDescent="0.2">
      <c r="A9997" t="str">
        <f>"9996"</f>
        <v>9996</v>
      </c>
      <c r="B9997" t="str">
        <f>"0.18"</f>
        <v>0.18</v>
      </c>
      <c r="C9997" t="str">
        <f>"37"</f>
        <v>37</v>
      </c>
      <c r="D9997" t="str">
        <f>"Miracle Temple"</f>
        <v>Miracle Temple</v>
      </c>
    </row>
    <row r="9998" spans="1:4" x14ac:dyDescent="0.2">
      <c r="A9998" t="str">
        <f>"9997"</f>
        <v>9997</v>
      </c>
      <c r="B9998" t="str">
        <f>"-0.44"</f>
        <v>-0.44</v>
      </c>
      <c r="C9998" t="str">
        <f>"30"</f>
        <v>30</v>
      </c>
      <c r="D9998" t="str">
        <f>"New Jet City"</f>
        <v>New Jet City</v>
      </c>
    </row>
    <row r="9999" spans="1:4" x14ac:dyDescent="0.2">
      <c r="A9999" t="str">
        <f>"9998"</f>
        <v>9998</v>
      </c>
      <c r="B9999" t="str">
        <f>"0.26"</f>
        <v>0.26</v>
      </c>
      <c r="C9999" t="str">
        <f>"41"</f>
        <v>41</v>
      </c>
      <c r="D9999" t="str">
        <f>"The Underground Resistance"</f>
        <v>The Underground Resistance</v>
      </c>
    </row>
    <row r="10000" spans="1:4" x14ac:dyDescent="0.2">
      <c r="A10000" t="str">
        <f>"9999"</f>
        <v>9999</v>
      </c>
      <c r="B10000" t="str">
        <f>"0.48"</f>
        <v>0.48</v>
      </c>
      <c r="C10000" t="str">
        <f>"20"</f>
        <v>20</v>
      </c>
      <c r="D10000" t="str">
        <f>"Velvet Changes"</f>
        <v>Velvet Changes</v>
      </c>
    </row>
    <row r="10001" spans="1:4" x14ac:dyDescent="0.2">
      <c r="A10001" t="str">
        <f>"10000"</f>
        <v>10000</v>
      </c>
      <c r="B10001" t="str">
        <f>"-0.21"</f>
        <v>-0.21</v>
      </c>
      <c r="C10001" t="str">
        <f>"36"</f>
        <v>36</v>
      </c>
      <c r="D10001" t="str">
        <f>"Jamie Lidell"</f>
        <v>Jamie Lidell</v>
      </c>
    </row>
    <row r="10002" spans="1:4" x14ac:dyDescent="0.2">
      <c r="A10002" t="str">
        <f>"10001"</f>
        <v>10001</v>
      </c>
      <c r="B10002" t="str">
        <f>"-0.03"</f>
        <v>-0.03</v>
      </c>
      <c r="C10002" t="str">
        <f>"29"</f>
        <v>29</v>
      </c>
      <c r="D10002" t="str">
        <f>"The Marriage of True Minds"</f>
        <v>The Marriage of True Minds</v>
      </c>
    </row>
    <row r="10003" spans="1:4" x14ac:dyDescent="0.2">
      <c r="A10003" t="str">
        <f>"10002"</f>
        <v>10002</v>
      </c>
      <c r="B10003" t="str">
        <f>"0.69"</f>
        <v>0.69</v>
      </c>
      <c r="C10003" t="str">
        <f>"25"</f>
        <v>25</v>
      </c>
      <c r="D10003" t="str">
        <f>"Flume"</f>
        <v>Flume</v>
      </c>
    </row>
    <row r="10004" spans="1:4" x14ac:dyDescent="0.2">
      <c r="A10004" t="str">
        <f>"10003"</f>
        <v>10003</v>
      </c>
      <c r="B10004" t="str">
        <f>"-0.17"</f>
        <v>-0.17</v>
      </c>
      <c r="C10004" t="str">
        <f>"39"</f>
        <v>39</v>
      </c>
      <c r="D10004" t="str">
        <f>"Saal"</f>
        <v>Saal</v>
      </c>
    </row>
    <row r="10005" spans="1:4" x14ac:dyDescent="0.2">
      <c r="A10005" t="str">
        <f>"10004"</f>
        <v>10004</v>
      </c>
      <c r="B10005" t="str">
        <f>"1.11"</f>
        <v>1.11</v>
      </c>
      <c r="C10005" t="str">
        <f>"31"</f>
        <v>31</v>
      </c>
      <c r="D10005" t="str">
        <f>"Rough Carpenters"</f>
        <v>Rough Carpenters</v>
      </c>
    </row>
    <row r="10006" spans="1:4" x14ac:dyDescent="0.2">
      <c r="A10006" t="str">
        <f>"10005"</f>
        <v>10005</v>
      </c>
      <c r="B10006" t="str">
        <f>"0.61"</f>
        <v>0.61</v>
      </c>
      <c r="C10006" t="str">
        <f>"37"</f>
        <v>37</v>
      </c>
      <c r="D10006" t="str">
        <f>"For Professional Use Only"</f>
        <v>For Professional Use Only</v>
      </c>
    </row>
    <row r="10007" spans="1:4" x14ac:dyDescent="0.2">
      <c r="A10007" t="str">
        <f>"10006"</f>
        <v>10006</v>
      </c>
      <c r="B10007" t="str">
        <f>"-0.87"</f>
        <v>-0.87</v>
      </c>
      <c r="C10007" t="str">
        <f>"30"</f>
        <v>30</v>
      </c>
      <c r="D10007" t="str">
        <f>"Vexovoid"</f>
        <v>Vexovoid</v>
      </c>
    </row>
    <row r="10008" spans="1:4" x14ac:dyDescent="0.2">
      <c r="A10008" t="str">
        <f>"10007"</f>
        <v>10007</v>
      </c>
      <c r="B10008" t="str">
        <f>"-0.44"</f>
        <v>-0.44</v>
      </c>
      <c r="C10008" t="str">
        <f>"29"</f>
        <v>29</v>
      </c>
      <c r="D10008" t="str">
        <f>"DuFlocka Rant 2"</f>
        <v>DuFlocka Rant 2</v>
      </c>
    </row>
    <row r="10009" spans="1:4" x14ac:dyDescent="0.2">
      <c r="A10009" t="str">
        <f>"10008"</f>
        <v>10008</v>
      </c>
      <c r="B10009" t="str">
        <f>"0.52"</f>
        <v>0.52</v>
      </c>
      <c r="C10009" t="str">
        <f>"23"</f>
        <v>23</v>
      </c>
      <c r="D10009" t="str">
        <f>"House of Woo"</f>
        <v>House of Woo</v>
      </c>
    </row>
    <row r="10010" spans="1:4" x14ac:dyDescent="0.2">
      <c r="A10010" t="str">
        <f>"10009"</f>
        <v>10009</v>
      </c>
      <c r="B10010" t="str">
        <f>"-0.15"</f>
        <v>-0.15</v>
      </c>
      <c r="C10010" t="str">
        <f>"29"</f>
        <v>29</v>
      </c>
      <c r="D10010" t="str">
        <f>"The Best of the Howling Hex"</f>
        <v>The Best of the Howling Hex</v>
      </c>
    </row>
    <row r="10011" spans="1:4" x14ac:dyDescent="0.2">
      <c r="A10011" t="str">
        <f>"10010"</f>
        <v>10010</v>
      </c>
      <c r="B10011" t="str">
        <f>"1.33"</f>
        <v>1.33</v>
      </c>
      <c r="C10011" t="str">
        <f>"38"</f>
        <v>38</v>
      </c>
      <c r="D10011" t="str">
        <f>"The Messenger"</f>
        <v>The Messenger</v>
      </c>
    </row>
    <row r="10012" spans="1:4" x14ac:dyDescent="0.2">
      <c r="A10012" t="str">
        <f>"10011"</f>
        <v>10011</v>
      </c>
      <c r="B10012" t="str">
        <f>"0.44"</f>
        <v>0.44</v>
      </c>
      <c r="C10012" t="str">
        <f>"39"</f>
        <v>39</v>
      </c>
      <c r="D10012" t="str">
        <f>"What the Brothers Sang"</f>
        <v>What the Brothers Sang</v>
      </c>
    </row>
    <row r="10013" spans="1:4" x14ac:dyDescent="0.2">
      <c r="A10013" t="str">
        <f>"10012"</f>
        <v>10012</v>
      </c>
      <c r="B10013" t="str">
        <f>"-0.57"</f>
        <v>-0.57</v>
      </c>
      <c r="C10013" t="str">
        <f>"29"</f>
        <v>29</v>
      </c>
      <c r="D10013" t="str">
        <f>"Wrath of Caine"</f>
        <v>Wrath of Caine</v>
      </c>
    </row>
    <row r="10014" spans="1:4" x14ac:dyDescent="0.2">
      <c r="A10014" t="str">
        <f>"10013"</f>
        <v>10013</v>
      </c>
      <c r="B10014" t="str">
        <f>"0.71"</f>
        <v>0.71</v>
      </c>
      <c r="C10014" t="str">
        <f>"27"</f>
        <v>27</v>
      </c>
      <c r="D10014" t="str">
        <f>"III"</f>
        <v>III</v>
      </c>
    </row>
    <row r="10015" spans="1:4" x14ac:dyDescent="0.2">
      <c r="A10015" t="str">
        <f>"10014"</f>
        <v>10014</v>
      </c>
      <c r="B10015" t="str">
        <f>"-0.22"</f>
        <v>-0.22</v>
      </c>
      <c r="C10015" t="str">
        <f>"25"</f>
        <v>25</v>
      </c>
      <c r="D10015" t="str">
        <f>"Island Universe"</f>
        <v>Island Universe</v>
      </c>
    </row>
    <row r="10016" spans="1:4" x14ac:dyDescent="0.2">
      <c r="A10016" t="str">
        <f>"10015"</f>
        <v>10015</v>
      </c>
      <c r="B10016" t="str">
        <f>"-0.21"</f>
        <v>-0.21</v>
      </c>
      <c r="C10016" t="str">
        <f>"45"</f>
        <v>45</v>
      </c>
      <c r="D10016" t="str">
        <f>"Exai"</f>
        <v>Exai</v>
      </c>
    </row>
    <row r="10017" spans="1:4" x14ac:dyDescent="0.2">
      <c r="A10017" t="str">
        <f>"10016"</f>
        <v>10016</v>
      </c>
      <c r="B10017" t="str">
        <f>"0.57"</f>
        <v>0.57</v>
      </c>
      <c r="C10017" t="str">
        <f>"48"</f>
        <v>48</v>
      </c>
      <c r="D10017" t="str">
        <f>"Like Rats"</f>
        <v>Like Rats</v>
      </c>
    </row>
    <row r="10018" spans="1:4" x14ac:dyDescent="0.2">
      <c r="A10018" t="str">
        <f>"10017"</f>
        <v>10017</v>
      </c>
      <c r="B10018" t="str">
        <f>"1.04"</f>
        <v>1.04</v>
      </c>
      <c r="C10018" t="str">
        <f>"18"</f>
        <v>18</v>
      </c>
      <c r="D10018" t="str">
        <f>"no world"</f>
        <v>no world</v>
      </c>
    </row>
    <row r="10019" spans="1:4" x14ac:dyDescent="0.2">
      <c r="A10019" t="str">
        <f>"10018"</f>
        <v>10018</v>
      </c>
      <c r="B10019" t="str">
        <f>"0.24"</f>
        <v>0.24</v>
      </c>
      <c r="C10019" t="str">
        <f>"25"</f>
        <v>25</v>
      </c>
      <c r="D10019" t="str">
        <f>"One Track Mind"</f>
        <v>One Track Mind</v>
      </c>
    </row>
    <row r="10020" spans="1:4" x14ac:dyDescent="0.2">
      <c r="A10020" t="str">
        <f>"10019"</f>
        <v>10019</v>
      </c>
      <c r="B10020" t="str">
        <f>"0.94"</f>
        <v>0.94</v>
      </c>
      <c r="C10020" t="str">
        <f>"29"</f>
        <v>29</v>
      </c>
      <c r="D10020" t="str">
        <f>"Vol. 5"</f>
        <v>Vol. 5</v>
      </c>
    </row>
    <row r="10021" spans="1:4" x14ac:dyDescent="0.2">
      <c r="A10021" t="str">
        <f>"10020"</f>
        <v>10020</v>
      </c>
      <c r="B10021" t="str">
        <f>"0.88"</f>
        <v>0.88</v>
      </c>
      <c r="C10021" t="str">
        <f>"39"</f>
        <v>39</v>
      </c>
      <c r="D10021" t="str">
        <f>"You're Nothing"</f>
        <v>You're Nothing</v>
      </c>
    </row>
    <row r="10022" spans="1:4" x14ac:dyDescent="0.2">
      <c r="A10022" t="str">
        <f>"10021"</f>
        <v>10021</v>
      </c>
      <c r="B10022" t="str">
        <f>"-0.6"</f>
        <v>-0.6</v>
      </c>
      <c r="C10022" t="str">
        <f>"34"</f>
        <v>34</v>
      </c>
      <c r="D10022" t="str">
        <f>"Clash the Truth"</f>
        <v>Clash the Truth</v>
      </c>
    </row>
    <row r="10023" spans="1:4" x14ac:dyDescent="0.2">
      <c r="A10023" t="str">
        <f>"10022"</f>
        <v>10022</v>
      </c>
      <c r="B10023" t="str">
        <f>"0.75"</f>
        <v>0.75</v>
      </c>
      <c r="C10023" t="str">
        <f>"20"</f>
        <v>20</v>
      </c>
      <c r="D10023" t="str">
        <f>"Moon B"</f>
        <v>Moon B</v>
      </c>
    </row>
    <row r="10024" spans="1:4" x14ac:dyDescent="0.2">
      <c r="A10024" t="str">
        <f>"10023"</f>
        <v>10023</v>
      </c>
      <c r="B10024" t="str">
        <f>"0.6"</f>
        <v>0.6</v>
      </c>
      <c r="C10024" t="str">
        <f>"21"</f>
        <v>21</v>
      </c>
      <c r="D10024" t="str">
        <f>"Long Island"</f>
        <v>Long Island</v>
      </c>
    </row>
    <row r="10025" spans="1:4" x14ac:dyDescent="0.2">
      <c r="A10025" t="str">
        <f>"10024"</f>
        <v>10024</v>
      </c>
      <c r="B10025" t="str">
        <f>"0.43"</f>
        <v>0.43</v>
      </c>
      <c r="C10025" t="str">
        <f>"30"</f>
        <v>30</v>
      </c>
      <c r="D10025" t="str">
        <f>"Miracle Mile"</f>
        <v>Miracle Mile</v>
      </c>
    </row>
    <row r="10026" spans="1:4" x14ac:dyDescent="0.2">
      <c r="A10026" t="str">
        <f>"10025"</f>
        <v>10025</v>
      </c>
      <c r="B10026" t="str">
        <f>"-0.08"</f>
        <v>-0.08</v>
      </c>
      <c r="C10026" t="str">
        <f>"35"</f>
        <v>35</v>
      </c>
      <c r="D10026" t="str">
        <f>"Push the Sky Away"</f>
        <v>Push the Sky Away</v>
      </c>
    </row>
    <row r="10027" spans="1:4" x14ac:dyDescent="0.2">
      <c r="A10027" t="str">
        <f>"10026"</f>
        <v>10026</v>
      </c>
      <c r="B10027" t="str">
        <f>"-0.21"</f>
        <v>-0.21</v>
      </c>
      <c r="C10027" t="str">
        <f>"28"</f>
        <v>28</v>
      </c>
      <c r="D10027" t="str">
        <f>"Chalk Tape"</f>
        <v>Chalk Tape</v>
      </c>
    </row>
    <row r="10028" spans="1:4" x14ac:dyDescent="0.2">
      <c r="A10028" t="str">
        <f>"10027"</f>
        <v>10027</v>
      </c>
      <c r="B10028" t="str">
        <f>"0.82"</f>
        <v>0.82</v>
      </c>
      <c r="C10028" t="str">
        <f>"37"</f>
        <v>37</v>
      </c>
      <c r="D10028" t="str">
        <f>"Lauschen"</f>
        <v>Lauschen</v>
      </c>
    </row>
    <row r="10029" spans="1:4" x14ac:dyDescent="0.2">
      <c r="A10029" t="str">
        <f>"10028"</f>
        <v>10028</v>
      </c>
      <c r="B10029" t="str">
        <f>"0.13"</f>
        <v>0.13</v>
      </c>
      <c r="C10029" t="str">
        <f>"25"</f>
        <v>25</v>
      </c>
      <c r="D10029" t="str">
        <f>"Companion"</f>
        <v>Companion</v>
      </c>
    </row>
    <row r="10030" spans="1:4" x14ac:dyDescent="0.2">
      <c r="A10030" t="str">
        <f>"10029"</f>
        <v>10029</v>
      </c>
      <c r="B10030" t="str">
        <f>"-0.49"</f>
        <v>-0.49</v>
      </c>
      <c r="C10030" t="str">
        <f>"29"</f>
        <v>29</v>
      </c>
      <c r="D10030" t="str">
        <f>"Songs for Imaginative People"</f>
        <v>Songs for Imaginative People</v>
      </c>
    </row>
    <row r="10031" spans="1:4" x14ac:dyDescent="0.2">
      <c r="A10031" t="str">
        <f>"10030"</f>
        <v>10030</v>
      </c>
      <c r="B10031" t="str">
        <f>"-0.22"</f>
        <v>-0.22</v>
      </c>
      <c r="C10031" t="str">
        <f>"37"</f>
        <v>37</v>
      </c>
      <c r="D10031" t="str">
        <f>"19"</f>
        <v>19</v>
      </c>
    </row>
    <row r="10032" spans="1:4" x14ac:dyDescent="0.2">
      <c r="A10032" t="str">
        <f>"10031"</f>
        <v>10031</v>
      </c>
      <c r="B10032" t="str">
        <f>"-0.94"</f>
        <v>-0.94</v>
      </c>
      <c r="C10032" t="str">
        <f>"33"</f>
        <v>33</v>
      </c>
      <c r="D10032" t="str">
        <f>"Everybody on My Dick Like They Supposed to Be"</f>
        <v>Everybody on My Dick Like They Supposed to Be</v>
      </c>
    </row>
    <row r="10033" spans="1:4" x14ac:dyDescent="0.2">
      <c r="A10033" t="str">
        <f>"10032"</f>
        <v>10032</v>
      </c>
      <c r="B10033" t="str">
        <f>"0.04"</f>
        <v>0.04</v>
      </c>
      <c r="C10033" t="str">
        <f>"17"</f>
        <v>17</v>
      </c>
      <c r="D10033" t="str">
        <f>"Odd Furniture EP"</f>
        <v>Odd Furniture EP</v>
      </c>
    </row>
    <row r="10034" spans="1:4" x14ac:dyDescent="0.2">
      <c r="A10034" t="str">
        <f>"10033"</f>
        <v>10033</v>
      </c>
      <c r="B10034" t="str">
        <f>"-0.16"</f>
        <v>-0.16</v>
      </c>
      <c r="C10034" t="str">
        <f>"36"</f>
        <v>36</v>
      </c>
      <c r="D10034" t="str">
        <f>"Spectral Park"</f>
        <v>Spectral Park</v>
      </c>
    </row>
    <row r="10035" spans="1:4" x14ac:dyDescent="0.2">
      <c r="A10035" t="str">
        <f>"10034"</f>
        <v>10034</v>
      </c>
      <c r="B10035" t="str">
        <f>"1.14"</f>
        <v>1.14</v>
      </c>
      <c r="C10035" t="str">
        <f>"28"</f>
        <v>28</v>
      </c>
      <c r="D10035" t="str">
        <f>"Dreaming in Key"</f>
        <v>Dreaming in Key</v>
      </c>
    </row>
    <row r="10036" spans="1:4" x14ac:dyDescent="0.2">
      <c r="A10036" t="str">
        <f>"10035"</f>
        <v>10035</v>
      </c>
      <c r="B10036" t="str">
        <f>"1.33"</f>
        <v>1.33</v>
      </c>
      <c r="C10036" t="str">
        <f>"24"</f>
        <v>24</v>
      </c>
      <c r="D10036" t="str">
        <f>"Night Slugs: Allstars Volume 2"</f>
        <v>Night Slugs: Allstars Volume 2</v>
      </c>
    </row>
    <row r="10037" spans="1:4" x14ac:dyDescent="0.2">
      <c r="A10037" t="str">
        <f>"10036"</f>
        <v>10036</v>
      </c>
      <c r="B10037" t="str">
        <f>"-0.16"</f>
        <v>-0.16</v>
      </c>
      <c r="C10037" t="str">
        <f>"42"</f>
        <v>42</v>
      </c>
      <c r="D10037" t="str">
        <f>"No Elephants"</f>
        <v>No Elephants</v>
      </c>
    </row>
    <row r="10038" spans="1:4" x14ac:dyDescent="0.2">
      <c r="A10038" t="str">
        <f>"10037"</f>
        <v>10037</v>
      </c>
      <c r="B10038" t="str">
        <f>"-0.05"</f>
        <v>-0.05</v>
      </c>
      <c r="C10038" t="str">
        <f>"24"</f>
        <v>24</v>
      </c>
      <c r="D10038" t="str">
        <f>"Round 3: The Knockout"</f>
        <v>Round 3: The Knockout</v>
      </c>
    </row>
    <row r="10039" spans="1:4" x14ac:dyDescent="0.2">
      <c r="A10039" t="str">
        <f>"10038"</f>
        <v>10038</v>
      </c>
      <c r="B10039" t="str">
        <f>"0.81"</f>
        <v>0.81</v>
      </c>
      <c r="C10039" t="str">
        <f>"29"</f>
        <v>29</v>
      </c>
      <c r="D10039" t="str">
        <f>"All My Love in Half Light"</f>
        <v>All My Love in Half Light</v>
      </c>
    </row>
    <row r="10040" spans="1:4" x14ac:dyDescent="0.2">
      <c r="A10040" t="str">
        <f>"10039"</f>
        <v>10039</v>
      </c>
      <c r="B10040" t="str">
        <f>"1.14"</f>
        <v>1.14</v>
      </c>
      <c r="C10040" t="str">
        <f>"23"</f>
        <v>23</v>
      </c>
      <c r="D10040" t="str">
        <f>"Cool Cocoon"</f>
        <v>Cool Cocoon</v>
      </c>
    </row>
    <row r="10041" spans="1:4" x14ac:dyDescent="0.2">
      <c r="A10041" t="str">
        <f>"10040"</f>
        <v>10040</v>
      </c>
      <c r="B10041" t="str">
        <f>"0.09"</f>
        <v>0.09</v>
      </c>
      <c r="C10041" t="str">
        <f>"31"</f>
        <v>31</v>
      </c>
      <c r="D10041" t="str">
        <f>"Holy Fire"</f>
        <v>Holy Fire</v>
      </c>
    </row>
    <row r="10042" spans="1:4" x14ac:dyDescent="0.2">
      <c r="A10042" t="str">
        <f>"10041"</f>
        <v>10041</v>
      </c>
      <c r="B10042" t="str">
        <f>"0.52"</f>
        <v>0.52</v>
      </c>
      <c r="C10042" t="str">
        <f>"32"</f>
        <v>32</v>
      </c>
      <c r="D10042" t="str">
        <f>"Indigoism"</f>
        <v>Indigoism</v>
      </c>
    </row>
    <row r="10043" spans="1:4" x14ac:dyDescent="0.2">
      <c r="A10043" t="str">
        <f>"10042"</f>
        <v>10042</v>
      </c>
      <c r="B10043" t="str">
        <f>"0.15"</f>
        <v>0.15</v>
      </c>
      <c r="C10043" t="str">
        <f>"34"</f>
        <v>34</v>
      </c>
      <c r="D10043" t="str">
        <f>"Waiting for Something to Happen"</f>
        <v>Waiting for Something to Happen</v>
      </c>
    </row>
    <row r="10044" spans="1:4" x14ac:dyDescent="0.2">
      <c r="A10044" t="str">
        <f>"10043"</f>
        <v>10043</v>
      </c>
      <c r="B10044" t="str">
        <f>"-0.14"</f>
        <v>-0.14</v>
      </c>
      <c r="C10044" t="str">
        <f>"30"</f>
        <v>30</v>
      </c>
      <c r="D10044" t="str">
        <f>"The Sundown Song"</f>
        <v>The Sundown Song</v>
      </c>
    </row>
    <row r="10045" spans="1:4" x14ac:dyDescent="0.2">
      <c r="A10045" t="str">
        <f>"10044"</f>
        <v>10044</v>
      </c>
      <c r="B10045" t="str">
        <f>"-0.05"</f>
        <v>-0.05</v>
      </c>
      <c r="C10045" t="str">
        <f>"29"</f>
        <v>29</v>
      </c>
      <c r="D10045" t="str">
        <f>"Confrontations"</f>
        <v>Confrontations</v>
      </c>
    </row>
    <row r="10046" spans="1:4" x14ac:dyDescent="0.2">
      <c r="A10046" t="str">
        <f>"10045"</f>
        <v>10045</v>
      </c>
      <c r="B10046" t="str">
        <f>"-0.19"</f>
        <v>-0.19</v>
      </c>
      <c r="C10046" t="str">
        <f>"58"</f>
        <v>58</v>
      </c>
      <c r="D10046" t="str">
        <f>"Honeys"</f>
        <v>Honeys</v>
      </c>
    </row>
    <row r="10047" spans="1:4" x14ac:dyDescent="0.2">
      <c r="A10047" t="str">
        <f>"10046"</f>
        <v>10046</v>
      </c>
      <c r="B10047" t="str">
        <f>"-0.13"</f>
        <v>-0.13</v>
      </c>
      <c r="C10047" t="str">
        <f>"31"</f>
        <v>31</v>
      </c>
      <c r="D10047" t="str">
        <f>"A Long Way to Fall"</f>
        <v>A Long Way to Fall</v>
      </c>
    </row>
    <row r="10048" spans="1:4" x14ac:dyDescent="0.2">
      <c r="A10048" t="str">
        <f>"10047"</f>
        <v>10047</v>
      </c>
      <c r="B10048" t="str">
        <f>"0.71"</f>
        <v>0.71</v>
      </c>
      <c r="C10048" t="str">
        <f>"18"</f>
        <v>18</v>
      </c>
      <c r="D10048" t="str">
        <f>"No Beginning No End"</f>
        <v>No Beginning No End</v>
      </c>
    </row>
    <row r="10049" spans="1:4" x14ac:dyDescent="0.2">
      <c r="A10049" t="str">
        <f>"10048"</f>
        <v>10048</v>
      </c>
      <c r="B10049" t="str">
        <f>"-0.26"</f>
        <v>-0.26</v>
      </c>
      <c r="C10049" t="str">
        <f>"40"</f>
        <v>40</v>
      </c>
      <c r="D10049" t="str">
        <f>"II"</f>
        <v>II</v>
      </c>
    </row>
    <row r="10050" spans="1:4" x14ac:dyDescent="0.2">
      <c r="A10050" t="str">
        <f>"10049"</f>
        <v>10049</v>
      </c>
      <c r="B10050" t="str">
        <f>"0.14"</f>
        <v>0.14</v>
      </c>
      <c r="C10050" t="str">
        <f>"49"</f>
        <v>49</v>
      </c>
      <c r="D10050" t="str">
        <f>"Vertikal"</f>
        <v>Vertikal</v>
      </c>
    </row>
    <row r="10051" spans="1:4" x14ac:dyDescent="0.2">
      <c r="A10051" t="str">
        <f>"10050"</f>
        <v>10050</v>
      </c>
      <c r="B10051" t="str">
        <f>"0.68"</f>
        <v>0.68</v>
      </c>
      <c r="C10051" t="str">
        <f>"104"</f>
        <v>104</v>
      </c>
      <c r="D10051" t="str">
        <f>"Rumours"</f>
        <v>Rumours</v>
      </c>
    </row>
    <row r="10052" spans="1:4" x14ac:dyDescent="0.2">
      <c r="A10052" t="str">
        <f>"10051"</f>
        <v>10051</v>
      </c>
      <c r="B10052" t="str">
        <f>"1.64"</f>
        <v>1.64</v>
      </c>
      <c r="C10052" t="str">
        <f>"21"</f>
        <v>21</v>
      </c>
      <c r="D10052" t="str">
        <f>"News From Nowhere"</f>
        <v>News From Nowhere</v>
      </c>
    </row>
    <row r="10053" spans="1:4" x14ac:dyDescent="0.2">
      <c r="A10053" t="str">
        <f>"10052"</f>
        <v>10052</v>
      </c>
      <c r="B10053" t="str">
        <f>"0.13"</f>
        <v>0.13</v>
      </c>
      <c r="C10053" t="str">
        <f>"22"</f>
        <v>22</v>
      </c>
      <c r="D10053" t="str">
        <f>"Fly Zone"</f>
        <v>Fly Zone</v>
      </c>
    </row>
    <row r="10054" spans="1:4" x14ac:dyDescent="0.2">
      <c r="A10054" t="str">
        <f>"10053"</f>
        <v>10053</v>
      </c>
      <c r="B10054" t="str">
        <f>"-0.19"</f>
        <v>-0.19</v>
      </c>
      <c r="C10054" t="str">
        <f>"45"</f>
        <v>45</v>
      </c>
      <c r="D10054" t="str">
        <f>"Us Alone"</f>
        <v>Us Alone</v>
      </c>
    </row>
    <row r="10055" spans="1:4" x14ac:dyDescent="0.2">
      <c r="A10055" t="str">
        <f>"10054"</f>
        <v>10054</v>
      </c>
      <c r="B10055" t="str">
        <f>"0.98"</f>
        <v>0.98</v>
      </c>
      <c r="C10055" t="str">
        <f>"21"</f>
        <v>21</v>
      </c>
      <c r="D10055" t="str">
        <f>"Got Me So EP"</f>
        <v>Got Me So EP</v>
      </c>
    </row>
    <row r="10056" spans="1:4" x14ac:dyDescent="0.2">
      <c r="A10056" t="str">
        <f>"10055"</f>
        <v>10055</v>
      </c>
      <c r="B10056" t="str">
        <f>"-0.59"</f>
        <v>-0.59</v>
      </c>
      <c r="C10056" t="str">
        <f>"41"</f>
        <v>41</v>
      </c>
      <c r="D10056" t="str">
        <f>"Pedestrian Verse"</f>
        <v>Pedestrian Verse</v>
      </c>
    </row>
    <row r="10057" spans="1:4" x14ac:dyDescent="0.2">
      <c r="A10057" t="str">
        <f>"10056"</f>
        <v>10056</v>
      </c>
      <c r="B10057" t="str">
        <f>"0.48"</f>
        <v>0.48</v>
      </c>
      <c r="C10057" t="str">
        <f>"30"</f>
        <v>30</v>
      </c>
      <c r="D10057" t="str">
        <f>"The Jazz Age"</f>
        <v>The Jazz Age</v>
      </c>
    </row>
    <row r="10058" spans="1:4" x14ac:dyDescent="0.2">
      <c r="A10058" t="str">
        <f>"10057"</f>
        <v>10057</v>
      </c>
      <c r="B10058" t="str">
        <f>"-1.45"</f>
        <v>-1.45</v>
      </c>
      <c r="C10058" t="str">
        <f>"21"</f>
        <v>21</v>
      </c>
      <c r="D10058" t="str">
        <f>"The Eulogy"</f>
        <v>The Eulogy</v>
      </c>
    </row>
    <row r="10059" spans="1:4" x14ac:dyDescent="0.2">
      <c r="A10059" t="str">
        <f>"10058"</f>
        <v>10058</v>
      </c>
      <c r="B10059" t="str">
        <f>"-0.11"</f>
        <v>-0.11</v>
      </c>
      <c r="C10059" t="str">
        <f>"42"</f>
        <v>42</v>
      </c>
      <c r="D10059" t="str">
        <f>"Cabinet of Curiosities"</f>
        <v>Cabinet of Curiosities</v>
      </c>
    </row>
    <row r="10060" spans="1:4" x14ac:dyDescent="0.2">
      <c r="A10060" t="str">
        <f>"10059"</f>
        <v>10059</v>
      </c>
      <c r="B10060" t="str">
        <f>"0.51"</f>
        <v>0.51</v>
      </c>
      <c r="C10060" t="str">
        <f>"43"</f>
        <v>43</v>
      </c>
      <c r="D10060" t="str">
        <f>"LAST"</f>
        <v>LAST</v>
      </c>
    </row>
    <row r="10061" spans="1:4" x14ac:dyDescent="0.2">
      <c r="A10061" t="str">
        <f>"10060"</f>
        <v>10060</v>
      </c>
      <c r="B10061" t="str">
        <f>"-0.03"</f>
        <v>-0.03</v>
      </c>
      <c r="C10061" t="str">
        <f>"84"</f>
        <v>84</v>
      </c>
      <c r="D10061" t="str">
        <f>"mbv"</f>
        <v>mbv</v>
      </c>
    </row>
    <row r="10062" spans="1:4" x14ac:dyDescent="0.2">
      <c r="A10062" t="str">
        <f>"10061"</f>
        <v>10061</v>
      </c>
      <c r="B10062" t="str">
        <f>"0.1"</f>
        <v>0.1</v>
      </c>
      <c r="C10062" t="str">
        <f>"35"</f>
        <v>35</v>
      </c>
      <c r="D10062" t="str">
        <f>"Stones Throw &amp; Leaving Records: Dual Form"</f>
        <v>Stones Throw &amp; Leaving Records: Dual Form</v>
      </c>
    </row>
    <row r="10063" spans="1:4" x14ac:dyDescent="0.2">
      <c r="A10063" t="str">
        <f>"10062"</f>
        <v>10062</v>
      </c>
      <c r="B10063" t="str">
        <f>"-0.12"</f>
        <v>-0.12</v>
      </c>
      <c r="C10063" t="str">
        <f>"52"</f>
        <v>52</v>
      </c>
      <c r="D10063" t="str">
        <f>"Country Sleep"</f>
        <v>Country Sleep</v>
      </c>
    </row>
    <row r="10064" spans="1:4" x14ac:dyDescent="0.2">
      <c r="A10064" t="str">
        <f>"10063"</f>
        <v>10063</v>
      </c>
      <c r="B10064" t="str">
        <f>"0.16"</f>
        <v>0.16</v>
      </c>
      <c r="C10064" t="str">
        <f>"34"</f>
        <v>34</v>
      </c>
      <c r="D10064" t="str">
        <f>"Wraetlic"</f>
        <v>Wraetlic</v>
      </c>
    </row>
    <row r="10065" spans="1:4" x14ac:dyDescent="0.2">
      <c r="A10065" t="str">
        <f>"10064"</f>
        <v>10064</v>
      </c>
      <c r="B10065" t="str">
        <f>"0.18"</f>
        <v>0.18</v>
      </c>
      <c r="C10065" t="str">
        <f>"34"</f>
        <v>34</v>
      </c>
      <c r="D10065" t="str">
        <f>"Sugarglider"</f>
        <v>Sugarglider</v>
      </c>
    </row>
    <row r="10066" spans="1:4" x14ac:dyDescent="0.2">
      <c r="A10066" t="str">
        <f>"10065"</f>
        <v>10065</v>
      </c>
      <c r="B10066" t="str">
        <f>"0.1"</f>
        <v>0.1</v>
      </c>
      <c r="C10066" t="str">
        <f>"37"</f>
        <v>37</v>
      </c>
      <c r="D10066" t="str">
        <f>"II"</f>
        <v>II</v>
      </c>
    </row>
    <row r="10067" spans="1:4" x14ac:dyDescent="0.2">
      <c r="A10067" t="str">
        <f>"10066"</f>
        <v>10066</v>
      </c>
      <c r="B10067" t="str">
        <f>"-0.68"</f>
        <v>-0.68</v>
      </c>
      <c r="C10067" t="str">
        <f>"33"</f>
        <v>33</v>
      </c>
      <c r="D10067" t="str">
        <f>"Silver Cloud EP"</f>
        <v>Silver Cloud EP</v>
      </c>
    </row>
    <row r="10068" spans="1:4" x14ac:dyDescent="0.2">
      <c r="A10068" t="str">
        <f>"10067"</f>
        <v>10067</v>
      </c>
      <c r="B10068" t="str">
        <f>"0.61"</f>
        <v>0.61</v>
      </c>
      <c r="C10068" t="str">
        <f>"17"</f>
        <v>17</v>
      </c>
      <c r="D10068" t="str">
        <f>"Out of View"</f>
        <v>Out of View</v>
      </c>
    </row>
    <row r="10069" spans="1:4" x14ac:dyDescent="0.2">
      <c r="A10069" t="str">
        <f>"10068"</f>
        <v>10068</v>
      </c>
      <c r="B10069" t="str">
        <f>"1.54"</f>
        <v>1.54</v>
      </c>
      <c r="C10069" t="str">
        <f>"32"</f>
        <v>32</v>
      </c>
      <c r="D10069" t="str">
        <f>"Artist Proof"</f>
        <v>Artist Proof</v>
      </c>
    </row>
    <row r="10070" spans="1:4" x14ac:dyDescent="0.2">
      <c r="A10070" t="str">
        <f>"10069"</f>
        <v>10069</v>
      </c>
      <c r="B10070" t="str">
        <f>"0.23"</f>
        <v>0.23</v>
      </c>
      <c r="C10070" t="str">
        <f>"25"</f>
        <v>25</v>
      </c>
      <c r="D10070" t="str">
        <f>"100 Records Vol. 3"</f>
        <v>100 Records Vol. 3</v>
      </c>
    </row>
    <row r="10071" spans="1:4" x14ac:dyDescent="0.2">
      <c r="A10071" t="str">
        <f>"10070"</f>
        <v>10070</v>
      </c>
      <c r="B10071" t="str">
        <f>"0.97"</f>
        <v>0.97</v>
      </c>
      <c r="C10071" t="str">
        <f>"47"</f>
        <v>47</v>
      </c>
      <c r="D10071" t="str">
        <f>"Regions of Light and Sound of God"</f>
        <v>Regions of Light and Sound of God</v>
      </c>
    </row>
    <row r="10072" spans="1:4" x14ac:dyDescent="0.2">
      <c r="A10072" t="str">
        <f>"10071"</f>
        <v>10071</v>
      </c>
      <c r="B10072" t="str">
        <f>"0.38"</f>
        <v>0.38</v>
      </c>
      <c r="C10072" t="str">
        <f>"37"</f>
        <v>37</v>
      </c>
      <c r="D10072" t="str">
        <f>"We the Common"</f>
        <v>We the Common</v>
      </c>
    </row>
    <row r="10073" spans="1:4" x14ac:dyDescent="0.2">
      <c r="A10073" t="str">
        <f>"10072"</f>
        <v>10072</v>
      </c>
      <c r="B10073" t="str">
        <f>"-0.23"</f>
        <v>-0.23</v>
      </c>
      <c r="C10073" t="str">
        <f>"46"</f>
        <v>46</v>
      </c>
      <c r="D10073" t="str">
        <f>"Oddfellows"</f>
        <v>Oddfellows</v>
      </c>
    </row>
    <row r="10074" spans="1:4" x14ac:dyDescent="0.2">
      <c r="A10074" t="str">
        <f>"10073"</f>
        <v>10073</v>
      </c>
      <c r="B10074" t="str">
        <f>"-0.22"</f>
        <v>-0.22</v>
      </c>
      <c r="C10074" t="str">
        <f>"24"</f>
        <v>24</v>
      </c>
      <c r="D10074" t="str">
        <f>"In Guards We Trust"</f>
        <v>In Guards We Trust</v>
      </c>
    </row>
    <row r="10075" spans="1:4" x14ac:dyDescent="0.2">
      <c r="A10075" t="str">
        <f>"10074"</f>
        <v>10074</v>
      </c>
      <c r="B10075" t="str">
        <f>"-1.99"</f>
        <v>-1.99</v>
      </c>
      <c r="C10075" t="str">
        <f>"24"</f>
        <v>24</v>
      </c>
      <c r="D10075" t="str">
        <f>"Baphometic Chaosium"</f>
        <v>Baphometic Chaosium</v>
      </c>
    </row>
    <row r="10076" spans="1:4" x14ac:dyDescent="0.2">
      <c r="A10076" t="str">
        <f>"10075"</f>
        <v>10075</v>
      </c>
      <c r="B10076" t="str">
        <f>"0.17"</f>
        <v>0.17</v>
      </c>
      <c r="C10076" t="str">
        <f>"36"</f>
        <v>36</v>
      </c>
      <c r="D10076" t="str">
        <f>"The Man Who Died in His Boat"</f>
        <v>The Man Who Died in His Boat</v>
      </c>
    </row>
    <row r="10077" spans="1:4" x14ac:dyDescent="0.2">
      <c r="A10077" t="str">
        <f>"10076"</f>
        <v>10076</v>
      </c>
      <c r="B10077" t="str">
        <f>"0.04"</f>
        <v>0.04</v>
      </c>
      <c r="C10077" t="str">
        <f>"19"</f>
        <v>19</v>
      </c>
      <c r="D10077" t="str">
        <f>"0181"</f>
        <v>0181</v>
      </c>
    </row>
    <row r="10078" spans="1:4" x14ac:dyDescent="0.2">
      <c r="A10078" t="str">
        <f>"10077"</f>
        <v>10077</v>
      </c>
      <c r="B10078" t="str">
        <f>"0.13"</f>
        <v>0.13</v>
      </c>
      <c r="C10078" t="str">
        <f>"36"</f>
        <v>36</v>
      </c>
      <c r="D10078" t="str">
        <f>"No Thrills"</f>
        <v>No Thrills</v>
      </c>
    </row>
    <row r="10079" spans="1:4" x14ac:dyDescent="0.2">
      <c r="A10079" t="str">
        <f>"10078"</f>
        <v>10078</v>
      </c>
      <c r="B10079" t="str">
        <f>"-0.45"</f>
        <v>-0.45</v>
      </c>
      <c r="C10079" t="str">
        <f>"29"</f>
        <v>29</v>
      </c>
      <c r="D10079" t="str">
        <f>"Slime Flu 3"</f>
        <v>Slime Flu 3</v>
      </c>
    </row>
    <row r="10080" spans="1:4" x14ac:dyDescent="0.2">
      <c r="A10080" t="str">
        <f>"10079"</f>
        <v>10079</v>
      </c>
      <c r="B10080" t="str">
        <f>"0.58"</f>
        <v>0.58</v>
      </c>
      <c r="C10080" t="str">
        <f>"22"</f>
        <v>22</v>
      </c>
      <c r="D10080" t="str">
        <f>"Cold War"</f>
        <v>Cold War</v>
      </c>
    </row>
    <row r="10081" spans="1:4" x14ac:dyDescent="0.2">
      <c r="A10081" t="str">
        <f>"10080"</f>
        <v>10080</v>
      </c>
      <c r="B10081" t="str">
        <f>"0.33"</f>
        <v>0.33</v>
      </c>
      <c r="C10081" t="str">
        <f>"62"</f>
        <v>62</v>
      </c>
      <c r="D10081" t="s">
        <v>309</v>
      </c>
    </row>
    <row r="10082" spans="1:4" x14ac:dyDescent="0.2">
      <c r="A10082" t="str">
        <f>"10081"</f>
        <v>10081</v>
      </c>
      <c r="B10082" t="str">
        <f>"1.18"</f>
        <v>1.18</v>
      </c>
      <c r="C10082" t="str">
        <f>"27"</f>
        <v>27</v>
      </c>
      <c r="D10082" t="str">
        <f>"The House at Sea"</f>
        <v>The House at Sea</v>
      </c>
    </row>
    <row r="10083" spans="1:4" x14ac:dyDescent="0.2">
      <c r="A10083" t="str">
        <f>"10082"</f>
        <v>10082</v>
      </c>
      <c r="B10083" t="str">
        <f>"-0.32"</f>
        <v>-0.32</v>
      </c>
      <c r="C10083" t="str">
        <f>"27"</f>
        <v>27</v>
      </c>
      <c r="D10083" t="str">
        <f>"Somewhere Else"</f>
        <v>Somewhere Else</v>
      </c>
    </row>
    <row r="10084" spans="1:4" x14ac:dyDescent="0.2">
      <c r="A10084" t="str">
        <f>"10083"</f>
        <v>10083</v>
      </c>
      <c r="B10084" t="str">
        <f>"1.15"</f>
        <v>1.15</v>
      </c>
      <c r="C10084" t="str">
        <f>"27"</f>
        <v>27</v>
      </c>
      <c r="D10084" t="str">
        <f>"Adam Green &amp; Binki Shapiro"</f>
        <v>Adam Green &amp; Binki Shapiro</v>
      </c>
    </row>
    <row r="10085" spans="1:4" x14ac:dyDescent="0.2">
      <c r="A10085" t="str">
        <f>"10084"</f>
        <v>10084</v>
      </c>
      <c r="B10085" t="str">
        <f>"-0.43"</f>
        <v>-0.43</v>
      </c>
      <c r="C10085" t="str">
        <f>"33"</f>
        <v>33</v>
      </c>
      <c r="D10085" t="str">
        <f>"Elliphant EP"</f>
        <v>Elliphant EP</v>
      </c>
    </row>
    <row r="10086" spans="1:4" x14ac:dyDescent="0.2">
      <c r="A10086" t="str">
        <f>"10085"</f>
        <v>10085</v>
      </c>
      <c r="B10086" t="str">
        <f>"-0.73"</f>
        <v>-0.73</v>
      </c>
      <c r="C10086" t="str">
        <f>"81"</f>
        <v>81</v>
      </c>
      <c r="D10086" t="str">
        <f>"Broken English: Deluxe Edition"</f>
        <v>Broken English: Deluxe Edition</v>
      </c>
    </row>
    <row r="10087" spans="1:4" x14ac:dyDescent="0.2">
      <c r="A10087" t="str">
        <f>"10086"</f>
        <v>10086</v>
      </c>
      <c r="B10087" t="str">
        <f>"-0.13"</f>
        <v>-0.13</v>
      </c>
      <c r="C10087" t="str">
        <f>"25"</f>
        <v>25</v>
      </c>
      <c r="D10087" t="str">
        <f>"Down by the Racetrack EP"</f>
        <v>Down by the Racetrack EP</v>
      </c>
    </row>
    <row r="10088" spans="1:4" x14ac:dyDescent="0.2">
      <c r="A10088" t="str">
        <f>"10087"</f>
        <v>10087</v>
      </c>
      <c r="B10088" t="str">
        <f>"0.49"</f>
        <v>0.49</v>
      </c>
      <c r="C10088" t="str">
        <f>"27"</f>
        <v>27</v>
      </c>
      <c r="D10088" t="str">
        <f>"A Breathtaking Trip to That Otherside"</f>
        <v>A Breathtaking Trip to That Otherside</v>
      </c>
    </row>
    <row r="10089" spans="1:4" x14ac:dyDescent="0.2">
      <c r="A10089" t="str">
        <f>"10088"</f>
        <v>10088</v>
      </c>
      <c r="B10089" t="str">
        <f>"0.03"</f>
        <v>0.03</v>
      </c>
      <c r="C10089" t="str">
        <f>"21"</f>
        <v>21</v>
      </c>
      <c r="D10089" t="str">
        <f>"Tastes the Broom"</f>
        <v>Tastes the Broom</v>
      </c>
    </row>
    <row r="10090" spans="1:4" x14ac:dyDescent="0.2">
      <c r="A10090" t="str">
        <f>"10089"</f>
        <v>10089</v>
      </c>
      <c r="B10090" t="str">
        <f>"-0.39"</f>
        <v>-0.39</v>
      </c>
      <c r="C10090" t="str">
        <f>"31"</f>
        <v>31</v>
      </c>
      <c r="D10090" t="str">
        <f>"Soft Opening"</f>
        <v>Soft Opening</v>
      </c>
    </row>
    <row r="10091" spans="1:4" x14ac:dyDescent="0.2">
      <c r="A10091" t="str">
        <f>"10090"</f>
        <v>10090</v>
      </c>
      <c r="B10091" t="str">
        <f>"0.9"</f>
        <v>0.9</v>
      </c>
      <c r="C10091" t="str">
        <f>"28"</f>
        <v>28</v>
      </c>
      <c r="D10091" t="str">
        <f>"The Flower Lane"</f>
        <v>The Flower Lane</v>
      </c>
    </row>
    <row r="10092" spans="1:4" x14ac:dyDescent="0.2">
      <c r="A10092" t="str">
        <f>"10091"</f>
        <v>10091</v>
      </c>
      <c r="B10092" t="str">
        <f>"-0.47"</f>
        <v>-0.47</v>
      </c>
      <c r="C10092" t="str">
        <f>"26"</f>
        <v>26</v>
      </c>
      <c r="D10092" t="str">
        <f>"Lost Jewlry"</f>
        <v>Lost Jewlry</v>
      </c>
    </row>
    <row r="10093" spans="1:4" x14ac:dyDescent="0.2">
      <c r="A10093" t="str">
        <f>"10092"</f>
        <v>10092</v>
      </c>
      <c r="B10093" t="str">
        <f>"0.19"</f>
        <v>0.19</v>
      </c>
      <c r="C10093" t="str">
        <f>"32"</f>
        <v>32</v>
      </c>
      <c r="D10093" t="str">
        <f>"General Dome"</f>
        <v>General Dome</v>
      </c>
    </row>
    <row r="10094" spans="1:4" x14ac:dyDescent="0.2">
      <c r="A10094" t="str">
        <f>"10093"</f>
        <v>10093</v>
      </c>
      <c r="B10094" t="str">
        <f>"0.5"</f>
        <v>0.5</v>
      </c>
      <c r="C10094" t="str">
        <f>"35"</f>
        <v>35</v>
      </c>
      <c r="D10094" t="str">
        <f>"La Busta Gialla"</f>
        <v>La Busta Gialla</v>
      </c>
    </row>
    <row r="10095" spans="1:4" x14ac:dyDescent="0.2">
      <c r="A10095" t="str">
        <f>"10094"</f>
        <v>10094</v>
      </c>
      <c r="B10095" t="str">
        <f>"0.36"</f>
        <v>0.36</v>
      </c>
      <c r="C10095" t="str">
        <f>"32"</f>
        <v>32</v>
      </c>
      <c r="D10095" t="str">
        <f>"Send a Prayer EP"</f>
        <v>Send a Prayer EP</v>
      </c>
    </row>
    <row r="10096" spans="1:4" x14ac:dyDescent="0.2">
      <c r="A10096" t="str">
        <f>"10095"</f>
        <v>10095</v>
      </c>
      <c r="B10096" t="str">
        <f>"0.22"</f>
        <v>0.22</v>
      </c>
      <c r="C10096" t="str">
        <f>"39"</f>
        <v>39</v>
      </c>
      <c r="D10096" t="str">
        <f>"Hummingbird"</f>
        <v>Hummingbird</v>
      </c>
    </row>
    <row r="10097" spans="1:4" x14ac:dyDescent="0.2">
      <c r="A10097" t="str">
        <f>"10096"</f>
        <v>10096</v>
      </c>
      <c r="B10097" t="str">
        <f>"0.31"</f>
        <v>0.31</v>
      </c>
      <c r="C10097" t="str">
        <f>"40"</f>
        <v>40</v>
      </c>
      <c r="D10097" t="str">
        <f>"Heartthrob"</f>
        <v>Heartthrob</v>
      </c>
    </row>
    <row r="10098" spans="1:4" x14ac:dyDescent="0.2">
      <c r="A10098" t="str">
        <f>"10097"</f>
        <v>10097</v>
      </c>
      <c r="B10098" t="str">
        <f>"-1.46"</f>
        <v>-1.46</v>
      </c>
      <c r="C10098" t="str">
        <f>"36"</f>
        <v>36</v>
      </c>
      <c r="D10098" t="str">
        <f>"D.A.I.S.Y. Rage EP"</f>
        <v>D.A.I.S.Y. Rage EP</v>
      </c>
    </row>
    <row r="10099" spans="1:4" x14ac:dyDescent="0.2">
      <c r="A10099" t="str">
        <f>"10098"</f>
        <v>10098</v>
      </c>
      <c r="B10099" t="str">
        <f>"0.26"</f>
        <v>0.26</v>
      </c>
      <c r="C10099" t="str">
        <f>"29"</f>
        <v>29</v>
      </c>
      <c r="D10099" t="str">
        <f>"Eight"</f>
        <v>Eight</v>
      </c>
    </row>
    <row r="10100" spans="1:4" x14ac:dyDescent="0.2">
      <c r="A10100" t="str">
        <f>"10099"</f>
        <v>10099</v>
      </c>
      <c r="B10100" t="str">
        <f>"0.77"</f>
        <v>0.77</v>
      </c>
      <c r="C10100" t="str">
        <f>"33"</f>
        <v>33</v>
      </c>
      <c r="D10100" t="str">
        <f>"Pillowfight"</f>
        <v>Pillowfight</v>
      </c>
    </row>
    <row r="10101" spans="1:4" x14ac:dyDescent="0.2">
      <c r="A10101" t="str">
        <f>"10100"</f>
        <v>10100</v>
      </c>
      <c r="B10101" t="str">
        <f>"-0.07"</f>
        <v>-0.07</v>
      </c>
      <c r="C10101" t="str">
        <f>"39"</f>
        <v>39</v>
      </c>
      <c r="D10101" t="str">
        <f>"F.B.G."</f>
        <v>F.B.G.</v>
      </c>
    </row>
    <row r="10102" spans="1:4" x14ac:dyDescent="0.2">
      <c r="A10102" t="str">
        <f>"10101"</f>
        <v>10101</v>
      </c>
      <c r="B10102" t="str">
        <f>"-1.08"</f>
        <v>-1.08</v>
      </c>
      <c r="C10102" t="str">
        <f>"26"</f>
        <v>26</v>
      </c>
      <c r="D10102" t="str">
        <f>"FIDLAR"</f>
        <v>FIDLAR</v>
      </c>
    </row>
    <row r="10103" spans="1:4" x14ac:dyDescent="0.2">
      <c r="A10103" t="str">
        <f>"10102"</f>
        <v>10102</v>
      </c>
      <c r="B10103" t="str">
        <f>"0.44"</f>
        <v>0.44</v>
      </c>
      <c r="C10103" t="str">
        <f>"41"</f>
        <v>41</v>
      </c>
      <c r="D10103" t="str">
        <f>"Home"</f>
        <v>Home</v>
      </c>
    </row>
    <row r="10104" spans="1:4" x14ac:dyDescent="0.2">
      <c r="A10104" t="str">
        <f>"10103"</f>
        <v>10103</v>
      </c>
      <c r="B10104" t="str">
        <f>"0.88"</f>
        <v>0.88</v>
      </c>
      <c r="C10104" t="str">
        <f>"25"</f>
        <v>25</v>
      </c>
      <c r="D10104" t="str">
        <f>"The Flower of Life"</f>
        <v>The Flower of Life</v>
      </c>
    </row>
    <row r="10105" spans="1:4" x14ac:dyDescent="0.2">
      <c r="A10105" t="str">
        <f>"10104"</f>
        <v>10104</v>
      </c>
      <c r="B10105" t="str">
        <f>"-0.67"</f>
        <v>-0.67</v>
      </c>
      <c r="C10105" t="str">
        <f>"37"</f>
        <v>37</v>
      </c>
      <c r="D10105" t="str">
        <f>"Repeat"</f>
        <v>Repeat</v>
      </c>
    </row>
    <row r="10106" spans="1:4" x14ac:dyDescent="0.2">
      <c r="A10106" t="str">
        <f>"10105"</f>
        <v>10105</v>
      </c>
      <c r="B10106" t="str">
        <f>"0.73"</f>
        <v>0.73</v>
      </c>
      <c r="C10106" t="str">
        <f>"29"</f>
        <v>29</v>
      </c>
      <c r="D10106" t="str">
        <f>"Wolf's Law"</f>
        <v>Wolf's Law</v>
      </c>
    </row>
    <row r="10107" spans="1:4" x14ac:dyDescent="0.2">
      <c r="A10107" t="str">
        <f>"10106"</f>
        <v>10106</v>
      </c>
      <c r="B10107" t="str">
        <f>"-0.9"</f>
        <v>-0.9</v>
      </c>
      <c r="C10107" t="str">
        <f>"53"</f>
        <v>53</v>
      </c>
      <c r="D10107" t="str">
        <f>"Torres"</f>
        <v>Torres</v>
      </c>
    </row>
    <row r="10108" spans="1:4" x14ac:dyDescent="0.2">
      <c r="A10108" t="str">
        <f>"10107"</f>
        <v>10107</v>
      </c>
      <c r="B10108" t="str">
        <f>"0.24"</f>
        <v>0.24</v>
      </c>
      <c r="C10108" t="str">
        <f>"39"</f>
        <v>39</v>
      </c>
      <c r="D10108" t="str">
        <f>"Candela"</f>
        <v>Candela</v>
      </c>
    </row>
    <row r="10109" spans="1:4" x14ac:dyDescent="0.2">
      <c r="A10109" t="str">
        <f>"10108"</f>
        <v>10108</v>
      </c>
      <c r="B10109" t="str">
        <f>"0.84"</f>
        <v>0.84</v>
      </c>
      <c r="C10109" t="str">
        <f>"36"</f>
        <v>36</v>
      </c>
      <c r="D10109" t="str">
        <f>"Hardcourage"</f>
        <v>Hardcourage</v>
      </c>
    </row>
    <row r="10110" spans="1:4" x14ac:dyDescent="0.2">
      <c r="A10110" t="str">
        <f>"10109"</f>
        <v>10109</v>
      </c>
      <c r="B10110" t="str">
        <f>"0.11"</f>
        <v>0.11</v>
      </c>
      <c r="C10110" t="str">
        <f>"29"</f>
        <v>29</v>
      </c>
      <c r="D10110" t="str">
        <f>"Burnt Up On Re-Entry"</f>
        <v>Burnt Up On Re-Entry</v>
      </c>
    </row>
    <row r="10111" spans="1:4" x14ac:dyDescent="0.2">
      <c r="A10111" t="str">
        <f>"10110"</f>
        <v>10110</v>
      </c>
      <c r="B10111" t="str">
        <f>"-0.81"</f>
        <v>-0.81</v>
      </c>
      <c r="C10111" t="str">
        <f>"144"</f>
        <v>144</v>
      </c>
      <c r="D10111" t="str">
        <f>"Illmatic"</f>
        <v>Illmatic</v>
      </c>
    </row>
    <row r="10112" spans="1:4" x14ac:dyDescent="0.2">
      <c r="A10112" t="str">
        <f>"10111"</f>
        <v>10111</v>
      </c>
      <c r="B10112" t="str">
        <f>"-0.06"</f>
        <v>-0.06</v>
      </c>
      <c r="C10112" t="str">
        <f>"37"</f>
        <v>37</v>
      </c>
      <c r="D10112" t="str">
        <f>"Christopher"</f>
        <v>Christopher</v>
      </c>
    </row>
    <row r="10113" spans="1:4" x14ac:dyDescent="0.2">
      <c r="A10113" t="str">
        <f>"10112"</f>
        <v>10112</v>
      </c>
      <c r="B10113" t="str">
        <f>"0.33"</f>
        <v>0.33</v>
      </c>
      <c r="C10113" t="str">
        <f>"39"</f>
        <v>39</v>
      </c>
      <c r="D10113" t="str">
        <f>"Goldenheart"</f>
        <v>Goldenheart</v>
      </c>
    </row>
    <row r="10114" spans="1:4" x14ac:dyDescent="0.2">
      <c r="A10114" t="str">
        <f>"10113"</f>
        <v>10113</v>
      </c>
      <c r="B10114" t="str">
        <f>"-1.1"</f>
        <v>-1.1</v>
      </c>
      <c r="C10114" t="str">
        <f>"22"</f>
        <v>22</v>
      </c>
      <c r="D10114" t="str">
        <f>"B.M.W. EP"</f>
        <v>B.M.W. EP</v>
      </c>
    </row>
    <row r="10115" spans="1:4" x14ac:dyDescent="0.2">
      <c r="A10115" t="str">
        <f>"10114"</f>
        <v>10114</v>
      </c>
      <c r="B10115" t="str">
        <f>"0.02"</f>
        <v>0.02</v>
      </c>
      <c r="C10115" t="str">
        <f>"28"</f>
        <v>28</v>
      </c>
      <c r="D10115" t="str">
        <f>"Fabriclive 67"</f>
        <v>Fabriclive 67</v>
      </c>
    </row>
    <row r="10116" spans="1:4" x14ac:dyDescent="0.2">
      <c r="A10116" t="str">
        <f>"10115"</f>
        <v>10115</v>
      </c>
      <c r="B10116" t="str">
        <f>"0.51"</f>
        <v>0.51</v>
      </c>
      <c r="C10116" t="str">
        <f>"33"</f>
        <v>33</v>
      </c>
      <c r="D10116" t="str">
        <f>"We Are the 21st Century Ambassadors of Peace &amp; Magic"</f>
        <v>We Are the 21st Century Ambassadors of Peace &amp; Magic</v>
      </c>
    </row>
    <row r="10117" spans="1:4" x14ac:dyDescent="0.2">
      <c r="A10117" t="str">
        <f>"10116"</f>
        <v>10116</v>
      </c>
      <c r="B10117" t="str">
        <f>"0.38"</f>
        <v>0.38</v>
      </c>
      <c r="C10117" t="str">
        <f>"22"</f>
        <v>22</v>
      </c>
      <c r="D10117" t="str">
        <f>"Sometimes Good Weather Follows Bad People"</f>
        <v>Sometimes Good Weather Follows Bad People</v>
      </c>
    </row>
    <row r="10118" spans="1:4" x14ac:dyDescent="0.2">
      <c r="A10118" t="str">
        <f>"10117"</f>
        <v>10117</v>
      </c>
      <c r="B10118" t="str">
        <f>"0.22"</f>
        <v>0.22</v>
      </c>
      <c r="C10118" t="str">
        <f>"19"</f>
        <v>19</v>
      </c>
      <c r="D10118" t="str">
        <f>"True Hallucinations"</f>
        <v>True Hallucinations</v>
      </c>
    </row>
    <row r="10119" spans="1:4" x14ac:dyDescent="0.2">
      <c r="A10119" t="str">
        <f>"10118"</f>
        <v>10118</v>
      </c>
      <c r="B10119" t="str">
        <f>"-0.09"</f>
        <v>-0.09</v>
      </c>
      <c r="C10119" t="str">
        <f>"31"</f>
        <v>31</v>
      </c>
      <c r="D10119" t="str">
        <f>"Yeah Right"</f>
        <v>Yeah Right</v>
      </c>
    </row>
    <row r="10120" spans="1:4" x14ac:dyDescent="0.2">
      <c r="A10120" t="str">
        <f>"10119"</f>
        <v>10119</v>
      </c>
      <c r="B10120" t="str">
        <f>"-0.9"</f>
        <v>-0.9</v>
      </c>
      <c r="C10120" t="str">
        <f>"20"</f>
        <v>20</v>
      </c>
      <c r="D10120" t="str">
        <f>"Wash the Sins Not Only the Face"</f>
        <v>Wash the Sins Not Only the Face</v>
      </c>
    </row>
    <row r="10121" spans="1:4" x14ac:dyDescent="0.2">
      <c r="A10121" t="str">
        <f>"10120"</f>
        <v>10120</v>
      </c>
      <c r="B10121" t="str">
        <f>"-0.23"</f>
        <v>-0.23</v>
      </c>
      <c r="C10121" t="str">
        <f>"46"</f>
        <v>46</v>
      </c>
      <c r="D10121" t="str">
        <f>"Anything In Return"</f>
        <v>Anything In Return</v>
      </c>
    </row>
    <row r="10122" spans="1:4" x14ac:dyDescent="0.2">
      <c r="A10122" t="str">
        <f>"10121"</f>
        <v>10121</v>
      </c>
      <c r="B10122" t="str">
        <f>"-0.15"</f>
        <v>-0.15</v>
      </c>
      <c r="C10122" t="str">
        <f>"46"</f>
        <v>46</v>
      </c>
      <c r="D10122" t="str">
        <f>"Centralia"</f>
        <v>Centralia</v>
      </c>
    </row>
    <row r="10123" spans="1:4" x14ac:dyDescent="0.2">
      <c r="A10123" t="str">
        <f>"10122"</f>
        <v>10122</v>
      </c>
      <c r="B10123" t="str">
        <f>"-0.43"</f>
        <v>-0.43</v>
      </c>
      <c r="C10123" t="str">
        <f>"24"</f>
        <v>24</v>
      </c>
      <c r="D10123" t="str">
        <f>"Beta Love"</f>
        <v>Beta Love</v>
      </c>
    </row>
    <row r="10124" spans="1:4" x14ac:dyDescent="0.2">
      <c r="A10124" t="str">
        <f>"10123"</f>
        <v>10123</v>
      </c>
      <c r="B10124" t="str">
        <f>"0.95"</f>
        <v>0.95</v>
      </c>
      <c r="C10124" t="str">
        <f>"32"</f>
        <v>32</v>
      </c>
      <c r="D10124" t="str">
        <f>"Oak Island"</f>
        <v>Oak Island</v>
      </c>
    </row>
    <row r="10125" spans="1:4" x14ac:dyDescent="0.2">
      <c r="A10125" t="str">
        <f>"10124"</f>
        <v>10124</v>
      </c>
      <c r="B10125" t="str">
        <f>"-0.17"</f>
        <v>-0.17</v>
      </c>
      <c r="C10125" t="str">
        <f>"33"</f>
        <v>33</v>
      </c>
      <c r="D10125" t="s">
        <v>310</v>
      </c>
    </row>
    <row r="10126" spans="1:4" x14ac:dyDescent="0.2">
      <c r="A10126" t="str">
        <f>"10125"</f>
        <v>10125</v>
      </c>
      <c r="B10126" t="str">
        <f>"-0.6"</f>
        <v>-0.6</v>
      </c>
      <c r="C10126" t="str">
        <f>"20"</f>
        <v>20</v>
      </c>
      <c r="D10126" t="str">
        <f>"Live"</f>
        <v>Live</v>
      </c>
    </row>
    <row r="10127" spans="1:4" x14ac:dyDescent="0.2">
      <c r="A10127" t="str">
        <f>"10126"</f>
        <v>10126</v>
      </c>
      <c r="B10127" t="str">
        <f>"0.06"</f>
        <v>0.06</v>
      </c>
      <c r="C10127" t="str">
        <f>"43"</f>
        <v>43</v>
      </c>
      <c r="D10127" t="str">
        <f>"The Traditional Fools"</f>
        <v>The Traditional Fools</v>
      </c>
    </row>
    <row r="10128" spans="1:4" x14ac:dyDescent="0.2">
      <c r="A10128" t="str">
        <f>"10127"</f>
        <v>10127</v>
      </c>
      <c r="B10128" t="str">
        <f>"0.62"</f>
        <v>0.62</v>
      </c>
      <c r="C10128" t="str">
        <f>"19"</f>
        <v>19</v>
      </c>
      <c r="D10128" t="str">
        <f>"Folarin"</f>
        <v>Folarin</v>
      </c>
    </row>
    <row r="10129" spans="1:4" x14ac:dyDescent="0.2">
      <c r="A10129" t="str">
        <f>"10128"</f>
        <v>10128</v>
      </c>
      <c r="B10129" t="str">
        <f>"-0.78"</f>
        <v>-0.78</v>
      </c>
      <c r="C10129" t="str">
        <f>"24"</f>
        <v>24</v>
      </c>
      <c r="D10129" t="str">
        <f>"Reasons to Live"</f>
        <v>Reasons to Live</v>
      </c>
    </row>
    <row r="10130" spans="1:4" x14ac:dyDescent="0.2">
      <c r="A10130" t="str">
        <f>"10129"</f>
        <v>10129</v>
      </c>
      <c r="B10130" t="str">
        <f>"-0.95"</f>
        <v>-0.95</v>
      </c>
      <c r="C10130" t="str">
        <f>"25"</f>
        <v>25</v>
      </c>
      <c r="D10130" t="str">
        <f>"A Wonder Working Stone"</f>
        <v>A Wonder Working Stone</v>
      </c>
    </row>
    <row r="10131" spans="1:4" x14ac:dyDescent="0.2">
      <c r="A10131" t="str">
        <f>"10130"</f>
        <v>10130</v>
      </c>
      <c r="B10131" t="str">
        <f>"-0.32"</f>
        <v>-0.32</v>
      </c>
      <c r="C10131" t="str">
        <f>"31"</f>
        <v>31</v>
      </c>
      <c r="D10131" t="str">
        <f>"Lost Sirens"</f>
        <v>Lost Sirens</v>
      </c>
    </row>
    <row r="10132" spans="1:4" x14ac:dyDescent="0.2">
      <c r="A10132" t="str">
        <f>"10131"</f>
        <v>10131</v>
      </c>
      <c r="B10132" t="str">
        <f>"0.63"</f>
        <v>0.63</v>
      </c>
      <c r="C10132" t="str">
        <f>"29"</f>
        <v>29</v>
      </c>
      <c r="D10132" t="str">
        <f>"La Costa Perdida"</f>
        <v>La Costa Perdida</v>
      </c>
    </row>
    <row r="10133" spans="1:4" x14ac:dyDescent="0.2">
      <c r="A10133" t="str">
        <f>"10132"</f>
        <v>10132</v>
      </c>
      <c r="B10133" t="str">
        <f>"0.03"</f>
        <v>0.03</v>
      </c>
      <c r="C10133" t="str">
        <f>"30"</f>
        <v>30</v>
      </c>
      <c r="D10133" t="str">
        <f>"Almanac"</f>
        <v>Almanac</v>
      </c>
    </row>
    <row r="10134" spans="1:4" x14ac:dyDescent="0.2">
      <c r="A10134" t="str">
        <f>"10133"</f>
        <v>10133</v>
      </c>
      <c r="B10134" t="str">
        <f>"-0.42"</f>
        <v>-0.42</v>
      </c>
      <c r="C10134" t="str">
        <f>"39"</f>
        <v>39</v>
      </c>
      <c r="D10134" t="str">
        <f>"Brokeback and the Black Rock"</f>
        <v>Brokeback and the Black Rock</v>
      </c>
    </row>
    <row r="10135" spans="1:4" x14ac:dyDescent="0.2">
      <c r="A10135" t="str">
        <f>"10134"</f>
        <v>10134</v>
      </c>
      <c r="B10135" t="str">
        <f>"-0.48"</f>
        <v>-0.48</v>
      </c>
      <c r="C10135" t="str">
        <f>"36"</f>
        <v>36</v>
      </c>
      <c r="D10135" t="str">
        <f>"Arc"</f>
        <v>Arc</v>
      </c>
    </row>
    <row r="10136" spans="1:4" x14ac:dyDescent="0.2">
      <c r="A10136" t="str">
        <f>"10135"</f>
        <v>10135</v>
      </c>
      <c r="B10136" t="str">
        <f>"0.33"</f>
        <v>0.33</v>
      </c>
      <c r="C10136" t="str">
        <f>"44"</f>
        <v>44</v>
      </c>
      <c r="D10136" t="str">
        <f>"Donuts (45 Box Set)"</f>
        <v>Donuts (45 Box Set)</v>
      </c>
    </row>
    <row r="10137" spans="1:4" x14ac:dyDescent="0.2">
      <c r="A10137" t="str">
        <f>"10136"</f>
        <v>10136</v>
      </c>
      <c r="B10137" t="str">
        <f>"-0.93"</f>
        <v>-0.93</v>
      </c>
      <c r="C10137" t="str">
        <f>"40"</f>
        <v>40</v>
      </c>
      <c r="D10137" t="str">
        <f>"California X"</f>
        <v>California X</v>
      </c>
    </row>
    <row r="10138" spans="1:4" x14ac:dyDescent="0.2">
      <c r="A10138" t="str">
        <f>"10137"</f>
        <v>10137</v>
      </c>
      <c r="B10138" t="str">
        <f>"0.64"</f>
        <v>0.64</v>
      </c>
      <c r="C10138" t="str">
        <f>"35"</f>
        <v>35</v>
      </c>
      <c r="D10138" t="str">
        <f>"Love Sign"</f>
        <v>Love Sign</v>
      </c>
    </row>
    <row r="10139" spans="1:4" x14ac:dyDescent="0.2">
      <c r="A10139" t="str">
        <f>"10138"</f>
        <v>10138</v>
      </c>
      <c r="B10139" t="str">
        <f>"0.8"</f>
        <v>0.8</v>
      </c>
      <c r="C10139" t="str">
        <f>"25"</f>
        <v>25</v>
      </c>
      <c r="D10139" t="str">
        <f>"Millionaire Dreamzzz"</f>
        <v>Millionaire Dreamzzz</v>
      </c>
    </row>
    <row r="10140" spans="1:4" x14ac:dyDescent="0.2">
      <c r="A10140" t="str">
        <f>"10139"</f>
        <v>10139</v>
      </c>
      <c r="B10140" t="str">
        <f>"-0.72"</f>
        <v>-0.72</v>
      </c>
      <c r="C10140" t="str">
        <f>"25"</f>
        <v>25</v>
      </c>
      <c r="D10140" t="str">
        <f>"Out of Touch In The Wild"</f>
        <v>Out of Touch In The Wild</v>
      </c>
    </row>
    <row r="10141" spans="1:4" x14ac:dyDescent="0.2">
      <c r="A10141" t="str">
        <f>"10140"</f>
        <v>10140</v>
      </c>
      <c r="B10141" t="str">
        <f>"-0.1"</f>
        <v>-0.1</v>
      </c>
      <c r="C10141" t="str">
        <f>"26"</f>
        <v>26</v>
      </c>
      <c r="D10141" t="str">
        <f>"Lysandre"</f>
        <v>Lysandre</v>
      </c>
    </row>
    <row r="10142" spans="1:4" x14ac:dyDescent="0.2">
      <c r="A10142" t="str">
        <f>"10141"</f>
        <v>10141</v>
      </c>
      <c r="B10142" t="str">
        <f>"0.3"</f>
        <v>0.3</v>
      </c>
      <c r="C10142" t="str">
        <f>"32"</f>
        <v>32</v>
      </c>
      <c r="D10142" t="str">
        <f>"3"</f>
        <v>3</v>
      </c>
    </row>
    <row r="10143" spans="1:4" x14ac:dyDescent="0.2">
      <c r="A10143" t="str">
        <f>"10142"</f>
        <v>10142</v>
      </c>
      <c r="B10143" t="str">
        <f>"0.21"</f>
        <v>0.21</v>
      </c>
      <c r="C10143" t="str">
        <f>"21"</f>
        <v>21</v>
      </c>
      <c r="D10143" t="str">
        <f>"It's Tha World"</f>
        <v>It's Tha World</v>
      </c>
    </row>
    <row r="10144" spans="1:4" x14ac:dyDescent="0.2">
      <c r="A10144" t="str">
        <f>"10143"</f>
        <v>10143</v>
      </c>
      <c r="B10144" t="str">
        <f>"0.55"</f>
        <v>0.55</v>
      </c>
      <c r="C10144" t="str">
        <f>"22"</f>
        <v>22</v>
      </c>
      <c r="D10144" t="str">
        <f>"Mystical Weapons"</f>
        <v>Mystical Weapons</v>
      </c>
    </row>
    <row r="10145" spans="1:4" x14ac:dyDescent="0.2">
      <c r="A10145" t="str">
        <f>"10144"</f>
        <v>10144</v>
      </c>
      <c r="B10145" t="str">
        <f>"-0.54"</f>
        <v>-0.54</v>
      </c>
      <c r="C10145" t="str">
        <f>"21"</f>
        <v>21</v>
      </c>
      <c r="D10145" t="str">
        <f>"Coming Out of the Fog"</f>
        <v>Coming Out of the Fog</v>
      </c>
    </row>
    <row r="10146" spans="1:4" x14ac:dyDescent="0.2">
      <c r="A10146" t="str">
        <f>"10145"</f>
        <v>10145</v>
      </c>
      <c r="B10146" t="str">
        <f>"0.16"</f>
        <v>0.16</v>
      </c>
      <c r="C10146" t="str">
        <f>"31"</f>
        <v>31</v>
      </c>
      <c r="D10146" t="str">
        <f>"Fade"</f>
        <v>Fade</v>
      </c>
    </row>
    <row r="10147" spans="1:4" x14ac:dyDescent="0.2">
      <c r="A10147" t="str">
        <f>"10146"</f>
        <v>10146</v>
      </c>
      <c r="B10147" t="str">
        <f>"-0.43"</f>
        <v>-0.43</v>
      </c>
      <c r="C10147" t="str">
        <f>"29"</f>
        <v>29</v>
      </c>
      <c r="D10147" t="str">
        <f>"Light Up Gold"</f>
        <v>Light Up Gold</v>
      </c>
    </row>
    <row r="10148" spans="1:4" x14ac:dyDescent="0.2">
      <c r="A10148" t="str">
        <f>"10147"</f>
        <v>10147</v>
      </c>
      <c r="B10148" t="str">
        <f>"0.96"</f>
        <v>0.96</v>
      </c>
      <c r="C10148" t="str">
        <f>"70"</f>
        <v>70</v>
      </c>
      <c r="D10148" t="str">
        <f>"The Jazz Workshop Concerts 1964–65"</f>
        <v>The Jazz Workshop Concerts 1964–65</v>
      </c>
    </row>
    <row r="10149" spans="1:4" x14ac:dyDescent="0.2">
      <c r="A10149" t="str">
        <f>"10148"</f>
        <v>10148</v>
      </c>
      <c r="B10149" t="str">
        <f>"0.06"</f>
        <v>0.06</v>
      </c>
      <c r="C10149" t="str">
        <f>"29"</f>
        <v>29</v>
      </c>
      <c r="D10149" t="str">
        <f>"LP"</f>
        <v>LP</v>
      </c>
    </row>
    <row r="10150" spans="1:4" x14ac:dyDescent="0.2">
      <c r="A10150" t="str">
        <f>"10149"</f>
        <v>10149</v>
      </c>
      <c r="B10150" t="str">
        <f>"0.51"</f>
        <v>0.51</v>
      </c>
      <c r="C10150" t="str">
        <f>"15"</f>
        <v>15</v>
      </c>
      <c r="D10150" t="str">
        <f>"Persistent Malaise"</f>
        <v>Persistent Malaise</v>
      </c>
    </row>
    <row r="10151" spans="1:4" x14ac:dyDescent="0.2">
      <c r="A10151" t="str">
        <f>"10150"</f>
        <v>10150</v>
      </c>
      <c r="B10151" t="str">
        <f>"1.38"</f>
        <v>1.38</v>
      </c>
      <c r="C10151" t="str">
        <f>"19"</f>
        <v>19</v>
      </c>
      <c r="D10151" t="str">
        <f>"In Focus?"</f>
        <v>In Focus?</v>
      </c>
    </row>
    <row r="10152" spans="1:4" x14ac:dyDescent="0.2">
      <c r="A10152" t="str">
        <f>"10151"</f>
        <v>10151</v>
      </c>
      <c r="B10152" t="str">
        <f>"0.49"</f>
        <v>0.49</v>
      </c>
      <c r="C10152" t="str">
        <f>"24"</f>
        <v>24</v>
      </c>
      <c r="D10152" t="str">
        <f>"{Awayland}"</f>
        <v>{Awayland}</v>
      </c>
    </row>
    <row r="10153" spans="1:4" x14ac:dyDescent="0.2">
      <c r="A10153" t="str">
        <f>"10152"</f>
        <v>10152</v>
      </c>
      <c r="B10153" t="str">
        <f>"0.74"</f>
        <v>0.74</v>
      </c>
      <c r="C10153" t="str">
        <f>"41"</f>
        <v>41</v>
      </c>
      <c r="D10153" t="str">
        <f>"Mandatory Brunch Meetings"</f>
        <v>Mandatory Brunch Meetings</v>
      </c>
    </row>
    <row r="10154" spans="1:4" x14ac:dyDescent="0.2">
      <c r="A10154" t="str">
        <f>"10153"</f>
        <v>10153</v>
      </c>
      <c r="B10154" t="str">
        <f>"-0.23"</f>
        <v>-0.23</v>
      </c>
      <c r="C10154" t="str">
        <f>"36"</f>
        <v>36</v>
      </c>
      <c r="D10154" t="str">
        <f>"Rifts"</f>
        <v>Rifts</v>
      </c>
    </row>
    <row r="10155" spans="1:4" x14ac:dyDescent="0.2">
      <c r="A10155" t="str">
        <f>"10154"</f>
        <v>10154</v>
      </c>
      <c r="B10155" t="str">
        <f>"0.56"</f>
        <v>0.56</v>
      </c>
      <c r="C10155" t="str">
        <f>"25"</f>
        <v>25</v>
      </c>
      <c r="D10155" t="str">
        <f>"Icon Give Life"</f>
        <v>Icon Give Life</v>
      </c>
    </row>
    <row r="10156" spans="1:4" x14ac:dyDescent="0.2">
      <c r="A10156" t="str">
        <f>"10155"</f>
        <v>10155</v>
      </c>
      <c r="B10156" t="str">
        <f>"0.04"</f>
        <v>0.04</v>
      </c>
      <c r="C10156" t="str">
        <f>"46"</f>
        <v>46</v>
      </c>
      <c r="D10156" t="str">
        <f>"Selling My Soul"</f>
        <v>Selling My Soul</v>
      </c>
    </row>
    <row r="10157" spans="1:4" x14ac:dyDescent="0.2">
      <c r="A10157" t="str">
        <f>"10156"</f>
        <v>10156</v>
      </c>
      <c r="B10157" t="str">
        <f>"-1.34"</f>
        <v>-1.34</v>
      </c>
      <c r="C10157" t="str">
        <f>"36"</f>
        <v>36</v>
      </c>
      <c r="D10157" t="str">
        <f>"Opus 2"</f>
        <v>Opus 2</v>
      </c>
    </row>
    <row r="10158" spans="1:4" x14ac:dyDescent="0.2">
      <c r="A10158" t="str">
        <f>"10157"</f>
        <v>10157</v>
      </c>
      <c r="B10158" t="str">
        <f>"-0.25"</f>
        <v>-0.25</v>
      </c>
      <c r="C10158" t="str">
        <f>"16"</f>
        <v>16</v>
      </c>
      <c r="D10158" t="str">
        <f>"Return of the Savage"</f>
        <v>Return of the Savage</v>
      </c>
    </row>
    <row r="10159" spans="1:4" x14ac:dyDescent="0.2">
      <c r="A10159" t="str">
        <f>"10158"</f>
        <v>10158</v>
      </c>
      <c r="B10159" t="str">
        <f>"0.35"</f>
        <v>0.35</v>
      </c>
      <c r="C10159" t="str">
        <f>"33"</f>
        <v>33</v>
      </c>
      <c r="D10159" t="str">
        <f>"The Ballasted Orchestra"</f>
        <v>The Ballasted Orchestra</v>
      </c>
    </row>
    <row r="10160" spans="1:4" x14ac:dyDescent="0.2">
      <c r="A10160" t="str">
        <f>"10159"</f>
        <v>10159</v>
      </c>
      <c r="B10160" t="str">
        <f>"1.29"</f>
        <v>1.29</v>
      </c>
      <c r="C10160" t="str">
        <f>"22"</f>
        <v>22</v>
      </c>
      <c r="D10160" t="str">
        <f>"Tales From Beyond the Tone Arm"</f>
        <v>Tales From Beyond the Tone Arm</v>
      </c>
    </row>
    <row r="10161" spans="1:4" x14ac:dyDescent="0.2">
      <c r="A10161" t="str">
        <f>"10160"</f>
        <v>10160</v>
      </c>
      <c r="B10161" t="str">
        <f>"0.56"</f>
        <v>0.56</v>
      </c>
      <c r="C10161" t="str">
        <f>"36"</f>
        <v>36</v>
      </c>
      <c r="D10161" t="str">
        <f>"Out of It and Into It"</f>
        <v>Out of It and Into It</v>
      </c>
    </row>
    <row r="10162" spans="1:4" x14ac:dyDescent="0.2">
      <c r="A10162" t="str">
        <f>"10161"</f>
        <v>10161</v>
      </c>
      <c r="B10162" t="str">
        <f>"-0.65"</f>
        <v>-0.65</v>
      </c>
      <c r="C10162" t="str">
        <f>"25"</f>
        <v>25</v>
      </c>
      <c r="D10162" t="s">
        <v>311</v>
      </c>
    </row>
    <row r="10163" spans="1:4" x14ac:dyDescent="0.2">
      <c r="A10163" t="str">
        <f>"10162"</f>
        <v>10162</v>
      </c>
      <c r="B10163" t="str">
        <f>"-0.1"</f>
        <v>-0.1</v>
      </c>
      <c r="C10163" t="str">
        <f>"28"</f>
        <v>28</v>
      </c>
      <c r="D10163" t="str">
        <f>"The Island Come True"</f>
        <v>The Island Come True</v>
      </c>
    </row>
    <row r="10164" spans="1:4" x14ac:dyDescent="0.2">
      <c r="A10164" t="str">
        <f>"10163"</f>
        <v>10163</v>
      </c>
      <c r="B10164" t="str">
        <f>"-0.39"</f>
        <v>-0.39</v>
      </c>
      <c r="C10164" t="str">
        <f>"47"</f>
        <v>47</v>
      </c>
      <c r="D10164" t="str">
        <f>"Bivouac"</f>
        <v>Bivouac</v>
      </c>
    </row>
    <row r="10165" spans="1:4" x14ac:dyDescent="0.2">
      <c r="A10165" t="str">
        <f>"10164"</f>
        <v>10164</v>
      </c>
      <c r="B10165" t="str">
        <f>"0.96"</f>
        <v>0.96</v>
      </c>
      <c r="C10165" t="str">
        <f>"33"</f>
        <v>33</v>
      </c>
      <c r="D10165" t="str">
        <f>"Elements of Light"</f>
        <v>Elements of Light</v>
      </c>
    </row>
    <row r="10166" spans="1:4" x14ac:dyDescent="0.2">
      <c r="A10166" t="str">
        <f>"10165"</f>
        <v>10165</v>
      </c>
      <c r="B10166" t="str">
        <f>"0.07"</f>
        <v>0.07</v>
      </c>
      <c r="C10166" t="str">
        <f>"35"</f>
        <v>35</v>
      </c>
      <c r="D10166" t="str">
        <f>"PEEP: The aPROcalypse"</f>
        <v>PEEP: The aPROcalypse</v>
      </c>
    </row>
    <row r="10167" spans="1:4" x14ac:dyDescent="0.2">
      <c r="A10167" t="str">
        <f>"10166"</f>
        <v>10166</v>
      </c>
      <c r="B10167" t="str">
        <f>"0.16"</f>
        <v>0.16</v>
      </c>
      <c r="C10167" t="str">
        <f>"30"</f>
        <v>30</v>
      </c>
      <c r="D10167" t="str">
        <f>"Loyal"</f>
        <v>Loyal</v>
      </c>
    </row>
    <row r="10168" spans="1:4" x14ac:dyDescent="0.2">
      <c r="A10168" t="str">
        <f>"10167"</f>
        <v>10167</v>
      </c>
      <c r="B10168" t="str">
        <f>"-0.2"</f>
        <v>-0.2</v>
      </c>
      <c r="C10168" t="str">
        <f>"25"</f>
        <v>25</v>
      </c>
      <c r="D10168" t="str">
        <f>"Container Ships"</f>
        <v>Container Ships</v>
      </c>
    </row>
    <row r="10169" spans="1:4" x14ac:dyDescent="0.2">
      <c r="A10169" t="str">
        <f>"10168"</f>
        <v>10168</v>
      </c>
      <c r="B10169" t="str">
        <f>"-1.05"</f>
        <v>-1.05</v>
      </c>
      <c r="C10169" t="str">
        <f>"36"</f>
        <v>36</v>
      </c>
      <c r="D10169" t="str">
        <f>"Trouble Man: Heavy Is the Head"</f>
        <v>Trouble Man: Heavy Is the Head</v>
      </c>
    </row>
    <row r="10170" spans="1:4" x14ac:dyDescent="0.2">
      <c r="A10170" t="str">
        <f>"10169"</f>
        <v>10169</v>
      </c>
      <c r="B10170" t="str">
        <f>"0.7"</f>
        <v>0.7</v>
      </c>
      <c r="C10170" t="str">
        <f>"47"</f>
        <v>47</v>
      </c>
      <c r="D10170" t="str">
        <f>"Blood Oaths of the New Blues"</f>
        <v>Blood Oaths of the New Blues</v>
      </c>
    </row>
    <row r="10171" spans="1:4" x14ac:dyDescent="0.2">
      <c r="A10171" t="str">
        <f>"10170"</f>
        <v>10170</v>
      </c>
      <c r="B10171" t="str">
        <f>"-0.83"</f>
        <v>-0.83</v>
      </c>
      <c r="C10171" t="str">
        <f>"37"</f>
        <v>37</v>
      </c>
      <c r="D10171" t="str">
        <f>"Stones"</f>
        <v>Stones</v>
      </c>
    </row>
    <row r="10172" spans="1:4" x14ac:dyDescent="0.2">
      <c r="A10172" t="str">
        <f>"10171"</f>
        <v>10171</v>
      </c>
      <c r="B10172" t="str">
        <f>"1.22"</f>
        <v>1.22</v>
      </c>
      <c r="C10172" t="str">
        <f>"33"</f>
        <v>33</v>
      </c>
      <c r="D10172" t="str">
        <f>"L.I.E.S. Presents: American Noise"</f>
        <v>L.I.E.S. Presents: American Noise</v>
      </c>
    </row>
    <row r="10173" spans="1:4" x14ac:dyDescent="0.2">
      <c r="A10173" t="str">
        <f>"10172"</f>
        <v>10172</v>
      </c>
      <c r="B10173" t="str">
        <f>"1.08"</f>
        <v>1.08</v>
      </c>
      <c r="C10173" t="str">
        <f>"22"</f>
        <v>22</v>
      </c>
      <c r="D10173" t="str">
        <f>"Everything Touching"</f>
        <v>Everything Touching</v>
      </c>
    </row>
    <row r="10174" spans="1:4" x14ac:dyDescent="0.2">
      <c r="A10174" t="str">
        <f>"10173"</f>
        <v>10173</v>
      </c>
      <c r="B10174" t="str">
        <f>"0.16"</f>
        <v>0.16</v>
      </c>
      <c r="C10174" t="str">
        <f>"42"</f>
        <v>42</v>
      </c>
      <c r="D10174" t="str">
        <f>"Django Unchained OST"</f>
        <v>Django Unchained OST</v>
      </c>
    </row>
    <row r="10175" spans="1:4" x14ac:dyDescent="0.2">
      <c r="A10175" t="str">
        <f>"10174"</f>
        <v>10174</v>
      </c>
      <c r="B10175" t="str">
        <f>"0.16"</f>
        <v>0.16</v>
      </c>
      <c r="C10175" t="str">
        <f>"50"</f>
        <v>50</v>
      </c>
      <c r="D10175" t="str">
        <f>"L.A.M.F.: Definitive Edition"</f>
        <v>L.A.M.F.: Definitive Edition</v>
      </c>
    </row>
    <row r="10176" spans="1:4" x14ac:dyDescent="0.2">
      <c r="A10176" t="str">
        <f>"10175"</f>
        <v>10175</v>
      </c>
      <c r="B10176" t="str">
        <f>"0.95"</f>
        <v>0.95</v>
      </c>
      <c r="C10176" t="str">
        <f>"30"</f>
        <v>30</v>
      </c>
      <c r="D10176" t="str">
        <f>"Music from the Film Hey Badfinger"</f>
        <v>Music from the Film Hey Badfinger</v>
      </c>
    </row>
    <row r="10177" spans="1:4" x14ac:dyDescent="0.2">
      <c r="A10177" t="str">
        <f>"10176"</f>
        <v>10176</v>
      </c>
      <c r="B10177" t="str">
        <f>"0.63"</f>
        <v>0.63</v>
      </c>
      <c r="C10177" t="str">
        <f>"30"</f>
        <v>30</v>
      </c>
      <c r="D10177" t="str">
        <f>"Billow Observatory"</f>
        <v>Billow Observatory</v>
      </c>
    </row>
    <row r="10178" spans="1:4" x14ac:dyDescent="0.2">
      <c r="A10178" t="str">
        <f>"10177"</f>
        <v>10177</v>
      </c>
      <c r="B10178" t="str">
        <f>"-0.02"</f>
        <v>-0.02</v>
      </c>
      <c r="C10178" t="str">
        <f>"30"</f>
        <v>30</v>
      </c>
      <c r="D10178" t="str">
        <f>"Persuasive Barrier"</f>
        <v>Persuasive Barrier</v>
      </c>
    </row>
    <row r="10179" spans="1:4" x14ac:dyDescent="0.2">
      <c r="A10179" t="str">
        <f>"10178"</f>
        <v>10178</v>
      </c>
      <c r="B10179" t="str">
        <f>"0.33"</f>
        <v>0.33</v>
      </c>
      <c r="C10179" t="str">
        <f>"32"</f>
        <v>32</v>
      </c>
      <c r="D10179" t="str">
        <f>"Truant / Rough Sleeper"</f>
        <v>Truant / Rough Sleeper</v>
      </c>
    </row>
    <row r="10180" spans="1:4" x14ac:dyDescent="0.2">
      <c r="A10180" t="str">
        <f>"10179"</f>
        <v>10179</v>
      </c>
      <c r="B10180" t="str">
        <f>"-0.27"</f>
        <v>-0.27</v>
      </c>
      <c r="C10180" t="str">
        <f>"33"</f>
        <v>33</v>
      </c>
      <c r="D10180" t="str">
        <f>"Chimerization"</f>
        <v>Chimerization</v>
      </c>
    </row>
    <row r="10181" spans="1:4" x14ac:dyDescent="0.2">
      <c r="A10181" t="str">
        <f>"10180"</f>
        <v>10180</v>
      </c>
      <c r="B10181" t="str">
        <f>"-0.09"</f>
        <v>-0.09</v>
      </c>
      <c r="C10181" t="str">
        <f>"22"</f>
        <v>22</v>
      </c>
      <c r="D10181" t="str">
        <f>"Tropical Psychedelics"</f>
        <v>Tropical Psychedelics</v>
      </c>
    </row>
    <row r="10182" spans="1:4" x14ac:dyDescent="0.2">
      <c r="A10182" t="str">
        <f>"10181"</f>
        <v>10181</v>
      </c>
      <c r="B10182" t="str">
        <f>"-0.12"</f>
        <v>-0.12</v>
      </c>
      <c r="C10182" t="str">
        <f>"52"</f>
        <v>52</v>
      </c>
      <c r="D10182" t="str">
        <f>"Duality"</f>
        <v>Duality</v>
      </c>
    </row>
    <row r="10183" spans="1:4" x14ac:dyDescent="0.2">
      <c r="A10183" t="str">
        <f>"10182"</f>
        <v>10182</v>
      </c>
      <c r="B10183" t="str">
        <f>"-0.7"</f>
        <v>-0.7</v>
      </c>
      <c r="C10183" t="str">
        <f>"18"</f>
        <v>18</v>
      </c>
      <c r="D10183" t="str">
        <f>"Silent Congas"</f>
        <v>Silent Congas</v>
      </c>
    </row>
    <row r="10184" spans="1:4" x14ac:dyDescent="0.2">
      <c r="A10184" t="str">
        <f>"10183"</f>
        <v>10183</v>
      </c>
      <c r="B10184" t="str">
        <f>"0.51"</f>
        <v>0.51</v>
      </c>
      <c r="C10184" t="str">
        <f>"29"</f>
        <v>29</v>
      </c>
      <c r="D10184" t="str">
        <f>"Man Chest Hair"</f>
        <v>Man Chest Hair</v>
      </c>
    </row>
    <row r="10185" spans="1:4" x14ac:dyDescent="0.2">
      <c r="A10185" t="str">
        <f>"10184"</f>
        <v>10184</v>
      </c>
      <c r="B10185" t="str">
        <f>"-0.53"</f>
        <v>-0.53</v>
      </c>
      <c r="C10185" t="str">
        <f>"30"</f>
        <v>30</v>
      </c>
      <c r="D10185" t="str">
        <f>"Berberian Sound Studio: Original Motion Picture Soundtrack"</f>
        <v>Berberian Sound Studio: Original Motion Picture Soundtrack</v>
      </c>
    </row>
    <row r="10186" spans="1:4" x14ac:dyDescent="0.2">
      <c r="A10186" t="str">
        <f>"10185"</f>
        <v>10185</v>
      </c>
      <c r="B10186" t="str">
        <f>"1.41"</f>
        <v>1.41</v>
      </c>
      <c r="C10186" t="str">
        <f>"35"</f>
        <v>35</v>
      </c>
      <c r="D10186" t="str">
        <f>"Bodily Functions"</f>
        <v>Bodily Functions</v>
      </c>
    </row>
    <row r="10187" spans="1:4" x14ac:dyDescent="0.2">
      <c r="A10187" t="str">
        <f>"10186"</f>
        <v>10186</v>
      </c>
      <c r="B10187" t="str">
        <f>"0.71"</f>
        <v>0.71</v>
      </c>
      <c r="C10187" t="str">
        <f>"24"</f>
        <v>24</v>
      </c>
      <c r="D10187" t="str">
        <f>"Whiteout EP"</f>
        <v>Whiteout EP</v>
      </c>
    </row>
    <row r="10188" spans="1:4" x14ac:dyDescent="0.2">
      <c r="A10188" t="str">
        <f>"10187"</f>
        <v>10187</v>
      </c>
      <c r="B10188" t="str">
        <f>"-0.78"</f>
        <v>-0.78</v>
      </c>
      <c r="C10188" t="str">
        <f>"28"</f>
        <v>28</v>
      </c>
      <c r="D10188" t="str">
        <f>"Drilluminati"</f>
        <v>Drilluminati</v>
      </c>
    </row>
    <row r="10189" spans="1:4" x14ac:dyDescent="0.2">
      <c r="A10189" t="str">
        <f>"10188"</f>
        <v>10188</v>
      </c>
      <c r="B10189" t="str">
        <f>"-0.56"</f>
        <v>-0.56</v>
      </c>
      <c r="C10189" t="str">
        <f>"26"</f>
        <v>26</v>
      </c>
      <c r="D10189" t="str">
        <f>"Vanquish in Vengeance"</f>
        <v>Vanquish in Vengeance</v>
      </c>
    </row>
    <row r="10190" spans="1:4" x14ac:dyDescent="0.2">
      <c r="A10190" t="str">
        <f>"10189"</f>
        <v>10189</v>
      </c>
      <c r="B10190" t="str">
        <f>"-0.68"</f>
        <v>-0.68</v>
      </c>
      <c r="C10190" t="str">
        <f>"41"</f>
        <v>41</v>
      </c>
      <c r="D10190" t="str">
        <f>"LongLiveA$AP"</f>
        <v>LongLiveA$AP</v>
      </c>
    </row>
    <row r="10191" spans="1:4" x14ac:dyDescent="0.2">
      <c r="A10191" t="str">
        <f>"10190"</f>
        <v>10190</v>
      </c>
      <c r="B10191" t="str">
        <f>"-1.07"</f>
        <v>-1.07</v>
      </c>
      <c r="C10191" t="str">
        <f>"32"</f>
        <v>32</v>
      </c>
      <c r="D10191" t="str">
        <f>"Loosies"</f>
        <v>Loosies</v>
      </c>
    </row>
    <row r="10192" spans="1:4" x14ac:dyDescent="0.2">
      <c r="A10192" t="str">
        <f>"10191"</f>
        <v>10191</v>
      </c>
      <c r="B10192" t="str">
        <f>"0.26"</f>
        <v>0.26</v>
      </c>
      <c r="C10192" t="str">
        <f>"31"</f>
        <v>31</v>
      </c>
      <c r="D10192" t="str">
        <f>"Nayim From The Halfway Line"</f>
        <v>Nayim From The Halfway Line</v>
      </c>
    </row>
    <row r="10193" spans="1:4" x14ac:dyDescent="0.2">
      <c r="A10193" t="str">
        <f>"10192"</f>
        <v>10192</v>
      </c>
      <c r="B10193" t="str">
        <f>"0.84"</f>
        <v>0.84</v>
      </c>
      <c r="C10193" t="str">
        <f>"33"</f>
        <v>33</v>
      </c>
      <c r="D10193" t="str">
        <f>"The Paranormal Soul"</f>
        <v>The Paranormal Soul</v>
      </c>
    </row>
    <row r="10194" spans="1:4" x14ac:dyDescent="0.2">
      <c r="A10194" t="str">
        <f>"10193"</f>
        <v>10193</v>
      </c>
      <c r="B10194" t="str">
        <f>"-0.59"</f>
        <v>-0.59</v>
      </c>
      <c r="C10194" t="str">
        <f>"29"</f>
        <v>29</v>
      </c>
      <c r="D10194" t="str">
        <f>"Finding Comfort in Overwhelming Negativity"</f>
        <v>Finding Comfort in Overwhelming Negativity</v>
      </c>
    </row>
    <row r="10195" spans="1:4" x14ac:dyDescent="0.2">
      <c r="A10195" t="str">
        <f>"10194"</f>
        <v>10194</v>
      </c>
      <c r="B10195" t="str">
        <f>"-0.6"</f>
        <v>-0.6</v>
      </c>
      <c r="C10195" t="str">
        <f>"43"</f>
        <v>43</v>
      </c>
      <c r="D10195" t="str">
        <f>"Finally Rich"</f>
        <v>Finally Rich</v>
      </c>
    </row>
    <row r="10196" spans="1:4" x14ac:dyDescent="0.2">
      <c r="A10196" t="str">
        <f>"10195"</f>
        <v>10195</v>
      </c>
      <c r="B10196" t="str">
        <f>"1.13"</f>
        <v>1.13</v>
      </c>
      <c r="C10196" t="str">
        <f>"22"</f>
        <v>22</v>
      </c>
      <c r="D10196" t="str">
        <f>"Tuna Melt EP"</f>
        <v>Tuna Melt EP</v>
      </c>
    </row>
    <row r="10197" spans="1:4" x14ac:dyDescent="0.2">
      <c r="A10197" t="str">
        <f>"10196"</f>
        <v>10196</v>
      </c>
      <c r="B10197" t="str">
        <f>"-0.46"</f>
        <v>-0.46</v>
      </c>
      <c r="C10197" t="str">
        <f>"32"</f>
        <v>32</v>
      </c>
      <c r="D10197" t="str">
        <f>"Orbits"</f>
        <v>Orbits</v>
      </c>
    </row>
    <row r="10198" spans="1:4" x14ac:dyDescent="0.2">
      <c r="A10198" t="str">
        <f>"10197"</f>
        <v>10197</v>
      </c>
      <c r="B10198" t="str">
        <f>"-0.46"</f>
        <v>-0.46</v>
      </c>
      <c r="C10198" t="str">
        <f>"35"</f>
        <v>35</v>
      </c>
      <c r="D10198" t="str">
        <f>"Living With Ghosts"</f>
        <v>Living With Ghosts</v>
      </c>
    </row>
    <row r="10199" spans="1:4" x14ac:dyDescent="0.2">
      <c r="A10199" t="str">
        <f>"10198"</f>
        <v>10198</v>
      </c>
      <c r="B10199" t="str">
        <f>"-0.41"</f>
        <v>-0.41</v>
      </c>
      <c r="C10199" t="str">
        <f>"23"</f>
        <v>23</v>
      </c>
      <c r="D10199" t="str">
        <f>"Taco Leg"</f>
        <v>Taco Leg</v>
      </c>
    </row>
    <row r="10200" spans="1:4" x14ac:dyDescent="0.2">
      <c r="A10200" t="str">
        <f>"10199"</f>
        <v>10199</v>
      </c>
      <c r="B10200" t="str">
        <f>"-0.06"</f>
        <v>-0.06</v>
      </c>
      <c r="C10200" t="str">
        <f>"30"</f>
        <v>30</v>
      </c>
      <c r="D10200" t="str">
        <f>"O.N.I.F.C."</f>
        <v>O.N.I.F.C.</v>
      </c>
    </row>
    <row r="10201" spans="1:4" x14ac:dyDescent="0.2">
      <c r="A10201" t="str">
        <f>"10200"</f>
        <v>10200</v>
      </c>
      <c r="B10201" t="str">
        <f>"0.05"</f>
        <v>0.05</v>
      </c>
      <c r="C10201" t="str">
        <f>"30"</f>
        <v>30</v>
      </c>
      <c r="D10201" t="str">
        <f>"Danger EP"</f>
        <v>Danger EP</v>
      </c>
    </row>
    <row r="10202" spans="1:4" x14ac:dyDescent="0.2">
      <c r="A10202" t="str">
        <f>"10201"</f>
        <v>10201</v>
      </c>
      <c r="B10202" t="str">
        <f>"-0.54"</f>
        <v>-0.54</v>
      </c>
      <c r="C10202" t="str">
        <f>"31"</f>
        <v>31</v>
      </c>
      <c r="D10202" t="str">
        <f>"Straight Like That 3"</f>
        <v>Straight Like That 3</v>
      </c>
    </row>
    <row r="10203" spans="1:4" x14ac:dyDescent="0.2">
      <c r="A10203" t="str">
        <f>"10202"</f>
        <v>10202</v>
      </c>
      <c r="B10203" t="str">
        <f>"-0.33"</f>
        <v>-0.33</v>
      </c>
      <c r="C10203" t="str">
        <f>"26"</f>
        <v>26</v>
      </c>
      <c r="D10203" t="str">
        <f>"Damned Revolutions"</f>
        <v>Damned Revolutions</v>
      </c>
    </row>
    <row r="10204" spans="1:4" x14ac:dyDescent="0.2">
      <c r="A10204" t="str">
        <f>"10203"</f>
        <v>10203</v>
      </c>
      <c r="B10204" t="str">
        <f>"-0.85"</f>
        <v>-0.85</v>
      </c>
      <c r="C10204" t="str">
        <f>"38"</f>
        <v>38</v>
      </c>
      <c r="D10204" t="str">
        <f>"Longing"</f>
        <v>Longing</v>
      </c>
    </row>
    <row r="10205" spans="1:4" x14ac:dyDescent="0.2">
      <c r="A10205" t="str">
        <f>"10204"</f>
        <v>10204</v>
      </c>
      <c r="B10205" t="str">
        <f>"0.19"</f>
        <v>0.19</v>
      </c>
      <c r="C10205" t="str">
        <f>"136"</f>
        <v>136</v>
      </c>
      <c r="D10205" t="str">
        <f>"Voodoo"</f>
        <v>Voodoo</v>
      </c>
    </row>
    <row r="10206" spans="1:4" x14ac:dyDescent="0.2">
      <c r="A10206" t="str">
        <f>"10205"</f>
        <v>10205</v>
      </c>
      <c r="B10206" t="str">
        <f>"-0.3"</f>
        <v>-0.3</v>
      </c>
      <c r="C10206" t="str">
        <f>"42"</f>
        <v>42</v>
      </c>
      <c r="D10206" t="str">
        <f>"Worship is the Cleansing of the Imagination"</f>
        <v>Worship is the Cleansing of the Imagination</v>
      </c>
    </row>
    <row r="10207" spans="1:4" x14ac:dyDescent="0.2">
      <c r="A10207" t="str">
        <f>"10206"</f>
        <v>10206</v>
      </c>
      <c r="B10207" t="str">
        <f>"-0.82"</f>
        <v>-0.82</v>
      </c>
      <c r="C10207" t="str">
        <f>"31"</f>
        <v>31</v>
      </c>
      <c r="D10207" t="str">
        <f>"Jesus Piece"</f>
        <v>Jesus Piece</v>
      </c>
    </row>
    <row r="10208" spans="1:4" x14ac:dyDescent="0.2">
      <c r="A10208" t="str">
        <f>"10207"</f>
        <v>10207</v>
      </c>
      <c r="B10208" t="str">
        <f>"0.25"</f>
        <v>0.25</v>
      </c>
      <c r="C10208" t="str">
        <f>"26"</f>
        <v>26</v>
      </c>
      <c r="D10208" t="str">
        <f>"Wish"</f>
        <v>Wish</v>
      </c>
    </row>
    <row r="10209" spans="1:4" x14ac:dyDescent="0.2">
      <c r="A10209" t="str">
        <f>"10208"</f>
        <v>10208</v>
      </c>
      <c r="B10209" t="str">
        <f>"-1.15"</f>
        <v>-1.15</v>
      </c>
      <c r="C10209" t="str">
        <f>"28"</f>
        <v>28</v>
      </c>
      <c r="D10209" t="str">
        <f>"The Narcissist II"</f>
        <v>The Narcissist II</v>
      </c>
    </row>
    <row r="10210" spans="1:4" x14ac:dyDescent="0.2">
      <c r="A10210" t="str">
        <f>"10209"</f>
        <v>10209</v>
      </c>
      <c r="B10210" t="str">
        <f>"-0.39"</f>
        <v>-0.39</v>
      </c>
      <c r="C10210" t="str">
        <f>"35"</f>
        <v>35</v>
      </c>
      <c r="D10210" t="str">
        <f>"Bastards"</f>
        <v>Bastards</v>
      </c>
    </row>
    <row r="10211" spans="1:4" x14ac:dyDescent="0.2">
      <c r="A10211" t="str">
        <f>"10210"</f>
        <v>10210</v>
      </c>
      <c r="B10211" t="str">
        <f>"1.11"</f>
        <v>1.11</v>
      </c>
      <c r="C10211" t="str">
        <f>"21"</f>
        <v>21</v>
      </c>
      <c r="D10211" t="str">
        <f>"At The BBC"</f>
        <v>At The BBC</v>
      </c>
    </row>
    <row r="10212" spans="1:4" x14ac:dyDescent="0.2">
      <c r="A10212" t="str">
        <f>"10211"</f>
        <v>10211</v>
      </c>
      <c r="B10212" t="str">
        <f>"-0.09"</f>
        <v>-0.09</v>
      </c>
      <c r="C10212" t="str">
        <f>"31"</f>
        <v>31</v>
      </c>
      <c r="D10212" t="str">
        <f>"Life Ain't No Joke"</f>
        <v>Life Ain't No Joke</v>
      </c>
    </row>
    <row r="10213" spans="1:4" x14ac:dyDescent="0.2">
      <c r="A10213" t="str">
        <f>"10212"</f>
        <v>10212</v>
      </c>
      <c r="B10213" t="str">
        <f>"0.53"</f>
        <v>0.53</v>
      </c>
      <c r="C10213" t="str">
        <f>"25"</f>
        <v>25</v>
      </c>
      <c r="D10213" t="str">
        <f>"Wild Songs"</f>
        <v>Wild Songs</v>
      </c>
    </row>
    <row r="10214" spans="1:4" x14ac:dyDescent="0.2">
      <c r="A10214" t="str">
        <f>"10213"</f>
        <v>10213</v>
      </c>
      <c r="B10214" t="str">
        <f>"-0.85"</f>
        <v>-0.85</v>
      </c>
      <c r="C10214" t="str">
        <f>"34"</f>
        <v>34</v>
      </c>
      <c r="D10214" t="str">
        <f>"Real Colors of the Physical World"</f>
        <v>Real Colors of the Physical World</v>
      </c>
    </row>
    <row r="10215" spans="1:4" x14ac:dyDescent="0.2">
      <c r="A10215" t="str">
        <f>"10214"</f>
        <v>10214</v>
      </c>
      <c r="B10215" t="str">
        <f>"-0.48"</f>
        <v>-0.48</v>
      </c>
      <c r="C10215" t="str">
        <f>"34"</f>
        <v>34</v>
      </c>
      <c r="D10215" t="str">
        <f>"Vicious Lies and Dangerous Rumors"</f>
        <v>Vicious Lies and Dangerous Rumors</v>
      </c>
    </row>
    <row r="10216" spans="1:4" x14ac:dyDescent="0.2">
      <c r="A10216" t="str">
        <f>"10215"</f>
        <v>10215</v>
      </c>
      <c r="B10216" t="str">
        <f>"1.16"</f>
        <v>1.16</v>
      </c>
      <c r="C10216" t="str">
        <f>"15"</f>
        <v>15</v>
      </c>
      <c r="D10216" t="str">
        <f>"Lucifer in Dub"</f>
        <v>Lucifer in Dub</v>
      </c>
    </row>
    <row r="10217" spans="1:4" x14ac:dyDescent="0.2">
      <c r="A10217" t="str">
        <f>"10216"</f>
        <v>10216</v>
      </c>
      <c r="B10217" t="str">
        <f>"-0.08"</f>
        <v>-0.08</v>
      </c>
      <c r="C10217" t="str">
        <f>"30"</f>
        <v>30</v>
      </c>
      <c r="D10217" t="str">
        <f>"The Mystery of Heaven"</f>
        <v>The Mystery of Heaven</v>
      </c>
    </row>
    <row r="10218" spans="1:4" x14ac:dyDescent="0.2">
      <c r="A10218" t="str">
        <f>"10217"</f>
        <v>10217</v>
      </c>
      <c r="B10218" t="str">
        <f>"1.58"</f>
        <v>1.58</v>
      </c>
      <c r="C10218" t="str">
        <f>"20"</f>
        <v>20</v>
      </c>
      <c r="D10218" t="str">
        <f>"Love Deluxe"</f>
        <v>Love Deluxe</v>
      </c>
    </row>
    <row r="10219" spans="1:4" x14ac:dyDescent="0.2">
      <c r="A10219" t="str">
        <f>"10218"</f>
        <v>10218</v>
      </c>
      <c r="B10219" t="str">
        <f>"1.87"</f>
        <v>1.87</v>
      </c>
      <c r="C10219" t="str">
        <f>"36"</f>
        <v>36</v>
      </c>
      <c r="D10219" t="str">
        <f>"Ten"</f>
        <v>Ten</v>
      </c>
    </row>
    <row r="10220" spans="1:4" x14ac:dyDescent="0.2">
      <c r="A10220" t="str">
        <f>"10219"</f>
        <v>10219</v>
      </c>
      <c r="B10220" t="str">
        <f>"-0.05"</f>
        <v>-0.05</v>
      </c>
      <c r="C10220" t="str">
        <f>"33"</f>
        <v>33</v>
      </c>
      <c r="D10220" t="str">
        <f>"Prison to Prison EP"</f>
        <v>Prison to Prison EP</v>
      </c>
    </row>
    <row r="10221" spans="1:4" x14ac:dyDescent="0.2">
      <c r="A10221" t="str">
        <f>"10220"</f>
        <v>10220</v>
      </c>
      <c r="B10221" t="str">
        <f>"-0.52"</f>
        <v>-0.52</v>
      </c>
      <c r="C10221" t="str">
        <f>"31"</f>
        <v>31</v>
      </c>
      <c r="D10221" t="str">
        <f>"Grace/Confusion"</f>
        <v>Grace/Confusion</v>
      </c>
    </row>
    <row r="10222" spans="1:4" x14ac:dyDescent="0.2">
      <c r="A10222" t="str">
        <f>"10221"</f>
        <v>10221</v>
      </c>
      <c r="B10222" t="str">
        <f>"1.03"</f>
        <v>1.03</v>
      </c>
      <c r="C10222" t="str">
        <f>"40"</f>
        <v>40</v>
      </c>
      <c r="D10222" t="str">
        <f>"Casino Classics"</f>
        <v>Casino Classics</v>
      </c>
    </row>
    <row r="10223" spans="1:4" x14ac:dyDescent="0.2">
      <c r="A10223" t="str">
        <f>"10222"</f>
        <v>10222</v>
      </c>
      <c r="B10223" t="str">
        <f>"0.69"</f>
        <v>0.69</v>
      </c>
      <c r="C10223" t="str">
        <f>"44"</f>
        <v>44</v>
      </c>
      <c r="D10223" t="str">
        <f>"Turns Turns Turns EP"</f>
        <v>Turns Turns Turns EP</v>
      </c>
    </row>
    <row r="10224" spans="1:4" x14ac:dyDescent="0.2">
      <c r="A10224" t="str">
        <f>"10223"</f>
        <v>10223</v>
      </c>
      <c r="B10224" t="str">
        <f>"0.3"</f>
        <v>0.3</v>
      </c>
      <c r="C10224" t="str">
        <f>"28"</f>
        <v>28</v>
      </c>
      <c r="D10224" t="str">
        <f>"Stubborn Heart"</f>
        <v>Stubborn Heart</v>
      </c>
    </row>
    <row r="10225" spans="1:4" x14ac:dyDescent="0.2">
      <c r="A10225" t="str">
        <f>"10224"</f>
        <v>10224</v>
      </c>
      <c r="B10225" t="str">
        <f>"-0.69"</f>
        <v>-0.69</v>
      </c>
      <c r="C10225" t="str">
        <f>"44"</f>
        <v>44</v>
      </c>
      <c r="D10225" t="str">
        <f>"Satanic Blood"</f>
        <v>Satanic Blood</v>
      </c>
    </row>
    <row r="10226" spans="1:4" x14ac:dyDescent="0.2">
      <c r="A10226" t="str">
        <f>"10225"</f>
        <v>10225</v>
      </c>
      <c r="B10226" t="str">
        <f>"-0.05"</f>
        <v>-0.05</v>
      </c>
      <c r="C10226" t="str">
        <f>"89"</f>
        <v>89</v>
      </c>
      <c r="D10226" t="str">
        <f>"Mellon Collie and the Infinite Sadness"</f>
        <v>Mellon Collie and the Infinite Sadness</v>
      </c>
    </row>
    <row r="10227" spans="1:4" x14ac:dyDescent="0.2">
      <c r="A10227" t="str">
        <f>"10226"</f>
        <v>10226</v>
      </c>
      <c r="B10227" t="str">
        <f>"-0.3"</f>
        <v>-0.3</v>
      </c>
      <c r="C10227" t="str">
        <f>"46"</f>
        <v>46</v>
      </c>
      <c r="D10227" t="str">
        <f>"Demos"</f>
        <v>Demos</v>
      </c>
    </row>
    <row r="10228" spans="1:4" x14ac:dyDescent="0.2">
      <c r="A10228" t="str">
        <f>"10227"</f>
        <v>10227</v>
      </c>
      <c r="B10228" t="str">
        <f>"0.69"</f>
        <v>0.69</v>
      </c>
      <c r="C10228" t="str">
        <f>"23"</f>
        <v>23</v>
      </c>
      <c r="D10228" t="str">
        <f>"Tiga Non Stop"</f>
        <v>Tiga Non Stop</v>
      </c>
    </row>
    <row r="10229" spans="1:4" x14ac:dyDescent="0.2">
      <c r="A10229" t="str">
        <f>"10228"</f>
        <v>10228</v>
      </c>
      <c r="B10229" t="str">
        <f>"-0.59"</f>
        <v>-0.59</v>
      </c>
      <c r="C10229" t="str">
        <f>"21"</f>
        <v>21</v>
      </c>
      <c r="D10229" t="str">
        <f>"Roomful of Teeth"</f>
        <v>Roomful of Teeth</v>
      </c>
    </row>
    <row r="10230" spans="1:4" x14ac:dyDescent="0.2">
      <c r="A10230" t="str">
        <f>"10229"</f>
        <v>10229</v>
      </c>
      <c r="B10230" t="str">
        <f>"0.08"</f>
        <v>0.08</v>
      </c>
      <c r="C10230" t="str">
        <f>"21"</f>
        <v>21</v>
      </c>
      <c r="D10230" t="str">
        <f>"Greatest of Deceivers"</f>
        <v>Greatest of Deceivers</v>
      </c>
    </row>
    <row r="10231" spans="1:4" x14ac:dyDescent="0.2">
      <c r="A10231" t="str">
        <f>"10230"</f>
        <v>10230</v>
      </c>
      <c r="B10231" t="str">
        <f>"0"</f>
        <v>0</v>
      </c>
      <c r="C10231" t="str">
        <f>"38"</f>
        <v>38</v>
      </c>
      <c r="D10231" t="str">
        <f>"Turn on the Bright Lights: The Tenth Anniversary Edition"</f>
        <v>Turn on the Bright Lights: The Tenth Anniversary Edition</v>
      </c>
    </row>
    <row r="10232" spans="1:4" x14ac:dyDescent="0.2">
      <c r="A10232" t="str">
        <f>"10231"</f>
        <v>10231</v>
      </c>
      <c r="B10232" t="str">
        <f>"0.36"</f>
        <v>0.36</v>
      </c>
      <c r="C10232" t="str">
        <f>"38"</f>
        <v>38</v>
      </c>
      <c r="D10232" t="str">
        <f>"Girl on Fire"</f>
        <v>Girl on Fire</v>
      </c>
    </row>
    <row r="10233" spans="1:4" x14ac:dyDescent="0.2">
      <c r="A10233" t="str">
        <f>"10232"</f>
        <v>10232</v>
      </c>
      <c r="B10233" t="str">
        <f>"-0.06"</f>
        <v>-0.06</v>
      </c>
      <c r="C10233" t="str">
        <f>"41"</f>
        <v>41</v>
      </c>
      <c r="D10233" t="str">
        <f>"Wu-Block"</f>
        <v>Wu-Block</v>
      </c>
    </row>
    <row r="10234" spans="1:4" x14ac:dyDescent="0.2">
      <c r="A10234" t="str">
        <f>"10233"</f>
        <v>10233</v>
      </c>
      <c r="B10234" t="str">
        <f>"-0.98"</f>
        <v>-0.98</v>
      </c>
      <c r="C10234" t="str">
        <f>"28"</f>
        <v>28</v>
      </c>
      <c r="D10234" t="str">
        <f>"Night Has a Thousand Screams"</f>
        <v>Night Has a Thousand Screams</v>
      </c>
    </row>
    <row r="10235" spans="1:4" x14ac:dyDescent="0.2">
      <c r="A10235" t="str">
        <f>"10234"</f>
        <v>10234</v>
      </c>
      <c r="B10235" t="str">
        <f>"-0.53"</f>
        <v>-0.53</v>
      </c>
      <c r="C10235" t="str">
        <f>"24"</f>
        <v>24</v>
      </c>
      <c r="D10235" t="str">
        <f>"...And Don't Deliver Us From Evil"</f>
        <v>...And Don't Deliver Us From Evil</v>
      </c>
    </row>
    <row r="10236" spans="1:4" x14ac:dyDescent="0.2">
      <c r="A10236" t="str">
        <f>"10235"</f>
        <v>10235</v>
      </c>
      <c r="B10236" t="str">
        <f>"-0.02"</f>
        <v>-0.02</v>
      </c>
      <c r="C10236" t="str">
        <f>"44"</f>
        <v>44</v>
      </c>
      <c r="D10236" t="str">
        <f>"Bish Bosch"</f>
        <v>Bish Bosch</v>
      </c>
    </row>
    <row r="10237" spans="1:4" x14ac:dyDescent="0.2">
      <c r="A10237" t="str">
        <f>"10236"</f>
        <v>10236</v>
      </c>
      <c r="B10237" t="str">
        <f>"0"</f>
        <v>0</v>
      </c>
      <c r="C10237" t="str">
        <f>"21"</f>
        <v>21</v>
      </c>
      <c r="D10237" t="str">
        <f>"Super Ultra"</f>
        <v>Super Ultra</v>
      </c>
    </row>
    <row r="10238" spans="1:4" x14ac:dyDescent="0.2">
      <c r="A10238" t="str">
        <f>"10237"</f>
        <v>10237</v>
      </c>
      <c r="B10238" t="str">
        <f>"-0.08"</f>
        <v>-0.08</v>
      </c>
      <c r="C10238" t="str">
        <f>"29"</f>
        <v>29</v>
      </c>
      <c r="D10238" t="str">
        <f>"Black Mamba"</f>
        <v>Black Mamba</v>
      </c>
    </row>
    <row r="10239" spans="1:4" x14ac:dyDescent="0.2">
      <c r="A10239" t="str">
        <f>"10238"</f>
        <v>10238</v>
      </c>
      <c r="B10239" t="str">
        <f>"-0.79"</f>
        <v>-0.79</v>
      </c>
      <c r="C10239" t="str">
        <f>"33"</f>
        <v>33</v>
      </c>
      <c r="D10239" t="str">
        <f>"On Triple Beams"</f>
        <v>On Triple Beams</v>
      </c>
    </row>
    <row r="10240" spans="1:4" x14ac:dyDescent="0.2">
      <c r="A10240" t="str">
        <f>"10239"</f>
        <v>10239</v>
      </c>
      <c r="B10240" t="str">
        <f>"-1.08"</f>
        <v>-1.08</v>
      </c>
      <c r="C10240" t="str">
        <f>"39"</f>
        <v>39</v>
      </c>
      <c r="D10240" t="str">
        <f>"Widowmaker"</f>
        <v>Widowmaker</v>
      </c>
    </row>
    <row r="10241" spans="1:4" x14ac:dyDescent="0.2">
      <c r="A10241" t="str">
        <f>"10240"</f>
        <v>10240</v>
      </c>
      <c r="B10241" t="str">
        <f>"-0.02"</f>
        <v>-0.02</v>
      </c>
      <c r="C10241" t="str">
        <f>"35"</f>
        <v>35</v>
      </c>
      <c r="D10241" t="str">
        <f>"Blue Lines"</f>
        <v>Blue Lines</v>
      </c>
    </row>
    <row r="10242" spans="1:4" x14ac:dyDescent="0.2">
      <c r="A10242" t="str">
        <f>"10241"</f>
        <v>10241</v>
      </c>
      <c r="B10242" t="str">
        <f>"0.63"</f>
        <v>0.63</v>
      </c>
      <c r="C10242" t="str">
        <f>"34"</f>
        <v>34</v>
      </c>
      <c r="D10242" t="str">
        <f>"Instrumental Tourist"</f>
        <v>Instrumental Tourist</v>
      </c>
    </row>
    <row r="10243" spans="1:4" x14ac:dyDescent="0.2">
      <c r="A10243" t="str">
        <f>"10242"</f>
        <v>10242</v>
      </c>
      <c r="B10243" t="str">
        <f>"0.95"</f>
        <v>0.95</v>
      </c>
      <c r="C10243" t="str">
        <f>"24"</f>
        <v>24</v>
      </c>
      <c r="D10243" t="s">
        <v>312</v>
      </c>
    </row>
    <row r="10244" spans="1:4" x14ac:dyDescent="0.2">
      <c r="A10244" t="str">
        <f>"10243"</f>
        <v>10243</v>
      </c>
      <c r="B10244" t="str">
        <f>"0.14"</f>
        <v>0.14</v>
      </c>
      <c r="C10244" t="str">
        <f>"24"</f>
        <v>24</v>
      </c>
      <c r="D10244" t="str">
        <f>"The Crystal Ark"</f>
        <v>The Crystal Ark</v>
      </c>
    </row>
    <row r="10245" spans="1:4" x14ac:dyDescent="0.2">
      <c r="A10245" t="str">
        <f>"10244"</f>
        <v>10244</v>
      </c>
      <c r="B10245" t="str">
        <f>"1.32"</f>
        <v>1.32</v>
      </c>
      <c r="C10245" t="str">
        <f>"30"</f>
        <v>30</v>
      </c>
      <c r="D10245" t="str">
        <f>"The Allah-Las"</f>
        <v>The Allah-Las</v>
      </c>
    </row>
    <row r="10246" spans="1:4" x14ac:dyDescent="0.2">
      <c r="A10246" t="str">
        <f>"10245"</f>
        <v>10245</v>
      </c>
      <c r="B10246" t="str">
        <f>"-0.25"</f>
        <v>-0.25</v>
      </c>
      <c r="C10246" t="str">
        <f>"52"</f>
        <v>52</v>
      </c>
      <c r="D10246" t="str">
        <f>"Desertshore/The Final Report"</f>
        <v>Desertshore/The Final Report</v>
      </c>
    </row>
    <row r="10247" spans="1:4" x14ac:dyDescent="0.2">
      <c r="A10247" t="str">
        <f>"10246"</f>
        <v>10246</v>
      </c>
      <c r="B10247" t="str">
        <f>"-0.38"</f>
        <v>-0.38</v>
      </c>
      <c r="C10247" t="str">
        <f>"50"</f>
        <v>50</v>
      </c>
      <c r="D10247" t="str">
        <f>"Mac &amp; Cheese 3"</f>
        <v>Mac &amp; Cheese 3</v>
      </c>
    </row>
    <row r="10248" spans="1:4" x14ac:dyDescent="0.2">
      <c r="A10248" t="str">
        <f>"10247"</f>
        <v>10247</v>
      </c>
      <c r="B10248" t="str">
        <f>"0.6"</f>
        <v>0.6</v>
      </c>
      <c r="C10248" t="str">
        <f>"29"</f>
        <v>29</v>
      </c>
      <c r="D10248" t="str">
        <f>"Drones"</f>
        <v>Drones</v>
      </c>
    </row>
    <row r="10249" spans="1:4" x14ac:dyDescent="0.2">
      <c r="A10249" t="str">
        <f>"10248"</f>
        <v>10248</v>
      </c>
      <c r="B10249" t="str">
        <f>"-0.25"</f>
        <v>-0.25</v>
      </c>
      <c r="C10249" t="str">
        <f>"25"</f>
        <v>25</v>
      </c>
      <c r="D10249" t="str">
        <f>"Dagdrøm"</f>
        <v>Dagdrøm</v>
      </c>
    </row>
    <row r="10250" spans="1:4" x14ac:dyDescent="0.2">
      <c r="A10250" t="str">
        <f>"10249"</f>
        <v>10249</v>
      </c>
      <c r="B10250" t="str">
        <f>"-0.29"</f>
        <v>-0.29</v>
      </c>
      <c r="C10250" t="str">
        <f>"30"</f>
        <v>30</v>
      </c>
      <c r="D10250" t="str">
        <f>"Hemlock Recordings: Chapter One"</f>
        <v>Hemlock Recordings: Chapter One</v>
      </c>
    </row>
    <row r="10251" spans="1:4" x14ac:dyDescent="0.2">
      <c r="A10251" t="str">
        <f>"10250"</f>
        <v>10250</v>
      </c>
      <c r="B10251" t="str">
        <f>"-0.71"</f>
        <v>-0.71</v>
      </c>
      <c r="C10251" t="str">
        <f>"56"</f>
        <v>56</v>
      </c>
      <c r="D10251" t="str">
        <f>"Bikini Kill EP"</f>
        <v>Bikini Kill EP</v>
      </c>
    </row>
    <row r="10252" spans="1:4" x14ac:dyDescent="0.2">
      <c r="A10252" t="str">
        <f>"10251"</f>
        <v>10251</v>
      </c>
      <c r="B10252" t="str">
        <f>"-0.1"</f>
        <v>-0.1</v>
      </c>
      <c r="C10252" t="str">
        <f>"41"</f>
        <v>41</v>
      </c>
      <c r="D10252" t="str">
        <f>"Into the Future"</f>
        <v>Into the Future</v>
      </c>
    </row>
    <row r="10253" spans="1:4" x14ac:dyDescent="0.2">
      <c r="A10253" t="str">
        <f>"10252"</f>
        <v>10252</v>
      </c>
      <c r="B10253" t="str">
        <f>"0.94"</f>
        <v>0.94</v>
      </c>
      <c r="C10253" t="str">
        <f>"25"</f>
        <v>25</v>
      </c>
      <c r="D10253" t="str">
        <f>"Liquid EP"</f>
        <v>Liquid EP</v>
      </c>
    </row>
    <row r="10254" spans="1:4" x14ac:dyDescent="0.2">
      <c r="A10254" t="str">
        <f>"10253"</f>
        <v>10253</v>
      </c>
      <c r="B10254" t="str">
        <f>"-0.21"</f>
        <v>-0.21</v>
      </c>
      <c r="C10254" t="str">
        <f>"32"</f>
        <v>32</v>
      </c>
      <c r="D10254" t="str">
        <f>"Mirror Maru"</f>
        <v>Mirror Maru</v>
      </c>
    </row>
    <row r="10255" spans="1:4" x14ac:dyDescent="0.2">
      <c r="A10255" t="str">
        <f>"10254"</f>
        <v>10254</v>
      </c>
      <c r="B10255" t="str">
        <f>"0.9"</f>
        <v>0.9</v>
      </c>
      <c r="C10255" t="str">
        <f>"18"</f>
        <v>18</v>
      </c>
      <c r="D10255" t="str">
        <f>"Ex-Cult"</f>
        <v>Ex-Cult</v>
      </c>
    </row>
    <row r="10256" spans="1:4" x14ac:dyDescent="0.2">
      <c r="A10256" t="str">
        <f>"10255"</f>
        <v>10255</v>
      </c>
      <c r="B10256" t="str">
        <f>"0.6"</f>
        <v>0.6</v>
      </c>
      <c r="C10256" t="str">
        <f>"35"</f>
        <v>35</v>
      </c>
      <c r="D10256" t="str">
        <f>"True"</f>
        <v>True</v>
      </c>
    </row>
    <row r="10257" spans="1:4" x14ac:dyDescent="0.2">
      <c r="A10257" t="str">
        <f>"10256"</f>
        <v>10256</v>
      </c>
      <c r="B10257" t="str">
        <f>"0.52"</f>
        <v>0.52</v>
      </c>
      <c r="C10257" t="str">
        <f>"21"</f>
        <v>21</v>
      </c>
      <c r="D10257" t="str">
        <f>"A Wrenched Virile Lore"</f>
        <v>A Wrenched Virile Lore</v>
      </c>
    </row>
    <row r="10258" spans="1:4" x14ac:dyDescent="0.2">
      <c r="A10258" t="str">
        <f>"10257"</f>
        <v>10257</v>
      </c>
      <c r="B10258" t="str">
        <f>"-0.37"</f>
        <v>-0.37</v>
      </c>
      <c r="C10258" t="str">
        <f>"30"</f>
        <v>30</v>
      </c>
      <c r="D10258" t="str">
        <f>"The History Channel"</f>
        <v>The History Channel</v>
      </c>
    </row>
    <row r="10259" spans="1:4" x14ac:dyDescent="0.2">
      <c r="A10259" t="str">
        <f>"10258"</f>
        <v>10258</v>
      </c>
      <c r="B10259" t="str">
        <f>"0.44"</f>
        <v>0.44</v>
      </c>
      <c r="C10259" t="str">
        <f>"32"</f>
        <v>32</v>
      </c>
      <c r="D10259" t="str">
        <f>"Sushi"</f>
        <v>Sushi</v>
      </c>
    </row>
    <row r="10260" spans="1:4" x14ac:dyDescent="0.2">
      <c r="A10260" t="str">
        <f>"10259"</f>
        <v>10259</v>
      </c>
      <c r="B10260" t="str">
        <f>"0.14"</f>
        <v>0.14</v>
      </c>
      <c r="C10260" t="str">
        <f>"33"</f>
        <v>33</v>
      </c>
      <c r="D10260" t="str">
        <f>"More for the Masses"</f>
        <v>More for the Masses</v>
      </c>
    </row>
    <row r="10261" spans="1:4" x14ac:dyDescent="0.2">
      <c r="A10261" t="str">
        <f>"10260"</f>
        <v>10260</v>
      </c>
      <c r="B10261" t="str">
        <f>"-0.71"</f>
        <v>-0.71</v>
      </c>
      <c r="C10261" t="str">
        <f>"46"</f>
        <v>46</v>
      </c>
      <c r="D10261" t="str">
        <f>"Unapologetic"</f>
        <v>Unapologetic</v>
      </c>
    </row>
    <row r="10262" spans="1:4" x14ac:dyDescent="0.2">
      <c r="A10262" t="str">
        <f>"10261"</f>
        <v>10261</v>
      </c>
      <c r="B10262" t="str">
        <f>"0.58"</f>
        <v>0.58</v>
      </c>
      <c r="C10262" t="str">
        <f>"35"</f>
        <v>35</v>
      </c>
      <c r="D10262" t="str">
        <f>"Black Pleasure"</f>
        <v>Black Pleasure</v>
      </c>
    </row>
    <row r="10263" spans="1:4" x14ac:dyDescent="0.2">
      <c r="A10263" t="str">
        <f>"10262"</f>
        <v>10262</v>
      </c>
      <c r="B10263" t="str">
        <f>"-0.21"</f>
        <v>-0.21</v>
      </c>
      <c r="C10263" t="str">
        <f>"35"</f>
        <v>35</v>
      </c>
      <c r="D10263" t="str">
        <f>"Jummy"</f>
        <v>Jummy</v>
      </c>
    </row>
    <row r="10264" spans="1:4" x14ac:dyDescent="0.2">
      <c r="A10264" t="str">
        <f>"10263"</f>
        <v>10263</v>
      </c>
      <c r="B10264" t="str">
        <f>"1.23"</f>
        <v>1.23</v>
      </c>
      <c r="C10264" t="str">
        <f>"28"</f>
        <v>28</v>
      </c>
      <c r="D10264" t="str">
        <f>"A World Out Of Time"</f>
        <v>A World Out Of Time</v>
      </c>
    </row>
    <row r="10265" spans="1:4" x14ac:dyDescent="0.2">
      <c r="A10265" t="str">
        <f>"10264"</f>
        <v>10264</v>
      </c>
      <c r="B10265" t="str">
        <f>"-0.53"</f>
        <v>-0.53</v>
      </c>
      <c r="C10265" t="str">
        <f>"21"</f>
        <v>21</v>
      </c>
      <c r="D10265" t="str">
        <f>"Suffocating in the Swarm of Crane"</f>
        <v>Suffocating in the Swarm of Crane</v>
      </c>
    </row>
    <row r="10266" spans="1:4" x14ac:dyDescent="0.2">
      <c r="A10266" t="str">
        <f>"10265"</f>
        <v>10265</v>
      </c>
      <c r="B10266" t="str">
        <f>"-0.49"</f>
        <v>-0.49</v>
      </c>
      <c r="C10266" t="str">
        <f>"22"</f>
        <v>22</v>
      </c>
      <c r="D10266" t="str">
        <f>"Chocomel Daze (Live 1987)"</f>
        <v>Chocomel Daze (Live 1987)</v>
      </c>
    </row>
    <row r="10267" spans="1:4" x14ac:dyDescent="0.2">
      <c r="A10267" t="str">
        <f>"10266"</f>
        <v>10266</v>
      </c>
      <c r="B10267" t="str">
        <f>"0.46"</f>
        <v>0.46</v>
      </c>
      <c r="C10267" t="str">
        <f>"43"</f>
        <v>43</v>
      </c>
      <c r="D10267" t="str">
        <f>"Reloaded"</f>
        <v>Reloaded</v>
      </c>
    </row>
    <row r="10268" spans="1:4" x14ac:dyDescent="0.2">
      <c r="A10268" t="str">
        <f>"10267"</f>
        <v>10267</v>
      </c>
      <c r="B10268" t="str">
        <f>"-0.04"</f>
        <v>-0.04</v>
      </c>
      <c r="C10268" t="str">
        <f>"29"</f>
        <v>29</v>
      </c>
      <c r="D10268" t="str">
        <f>"Wiki93 EP"</f>
        <v>Wiki93 EP</v>
      </c>
    </row>
    <row r="10269" spans="1:4" x14ac:dyDescent="0.2">
      <c r="A10269" t="str">
        <f>"10268"</f>
        <v>10268</v>
      </c>
      <c r="B10269" t="str">
        <f>"-1.87"</f>
        <v>-1.87</v>
      </c>
      <c r="C10269" t="str">
        <f>"27"</f>
        <v>27</v>
      </c>
      <c r="D10269" t="str">
        <f>"Quarter Turns Over a Living Line"</f>
        <v>Quarter Turns Over a Living Line</v>
      </c>
    </row>
    <row r="10270" spans="1:4" x14ac:dyDescent="0.2">
      <c r="A10270" t="str">
        <f>"10269"</f>
        <v>10269</v>
      </c>
      <c r="B10270" t="str">
        <f>"-0.32"</f>
        <v>-0.32</v>
      </c>
      <c r="C10270" t="str">
        <f>"28"</f>
        <v>28</v>
      </c>
      <c r="D10270" t="str">
        <f>"OFF/ON"</f>
        <v>OFF/ON</v>
      </c>
    </row>
    <row r="10271" spans="1:4" x14ac:dyDescent="0.2">
      <c r="A10271" t="str">
        <f>"10270"</f>
        <v>10270</v>
      </c>
      <c r="B10271" t="str">
        <f>"-0.51"</f>
        <v>-0.51</v>
      </c>
      <c r="C10271" t="str">
        <f>"44"</f>
        <v>44</v>
      </c>
      <c r="D10271" t="str">
        <f>"The Velvet Underground &amp; Nico 45th Anniversary [Super Deluxe]"</f>
        <v>The Velvet Underground &amp; Nico 45th Anniversary [Super Deluxe]</v>
      </c>
    </row>
    <row r="10272" spans="1:4" x14ac:dyDescent="0.2">
      <c r="A10272" t="str">
        <f>"10271"</f>
        <v>10271</v>
      </c>
      <c r="B10272" t="str">
        <f>"0.56"</f>
        <v>0.56</v>
      </c>
      <c r="C10272" t="str">
        <f>"48"</f>
        <v>48</v>
      </c>
      <c r="D10272" t="str">
        <f>"Movement"</f>
        <v>Movement</v>
      </c>
    </row>
    <row r="10273" spans="1:4" x14ac:dyDescent="0.2">
      <c r="A10273" t="str">
        <f>"10272"</f>
        <v>10272</v>
      </c>
      <c r="B10273" t="str">
        <f>"-0.92"</f>
        <v>-0.92</v>
      </c>
      <c r="C10273" t="str">
        <f>"42"</f>
        <v>42</v>
      </c>
      <c r="D10273" t="str">
        <f>"Wild Water Kingdom"</f>
        <v>Wild Water Kingdom</v>
      </c>
    </row>
    <row r="10274" spans="1:4" x14ac:dyDescent="0.2">
      <c r="A10274" t="str">
        <f>"10273"</f>
        <v>10273</v>
      </c>
      <c r="B10274" t="str">
        <f>"0.76"</f>
        <v>0.76</v>
      </c>
      <c r="C10274" t="str">
        <f>"29"</f>
        <v>29</v>
      </c>
      <c r="D10274" t="str">
        <f>"Jessica Pratt"</f>
        <v>Jessica Pratt</v>
      </c>
    </row>
    <row r="10275" spans="1:4" x14ac:dyDescent="0.2">
      <c r="A10275" t="str">
        <f>"10274"</f>
        <v>10274</v>
      </c>
      <c r="B10275" t="str">
        <f>"-1.25"</f>
        <v>-1.25</v>
      </c>
      <c r="C10275" t="str">
        <f>"35"</f>
        <v>35</v>
      </c>
      <c r="D10275" t="str">
        <f>"We Don't Even Live Here"</f>
        <v>We Don't Even Live Here</v>
      </c>
    </row>
    <row r="10276" spans="1:4" x14ac:dyDescent="0.2">
      <c r="A10276" t="str">
        <f>"10275"</f>
        <v>10275</v>
      </c>
      <c r="B10276" t="str">
        <f>"-0.4"</f>
        <v>-0.4</v>
      </c>
      <c r="C10276" t="str">
        <f>"82"</f>
        <v>82</v>
      </c>
      <c r="D10276" t="str">
        <f>"The Disintegration Loops"</f>
        <v>The Disintegration Loops</v>
      </c>
    </row>
    <row r="10277" spans="1:4" x14ac:dyDescent="0.2">
      <c r="A10277" t="str">
        <f>"10276"</f>
        <v>10276</v>
      </c>
      <c r="B10277" t="str">
        <f>"0.8"</f>
        <v>0.8</v>
      </c>
      <c r="C10277" t="str">
        <f>"34"</f>
        <v>34</v>
      </c>
      <c r="D10277" t="str">
        <f>"Rare Chandeliers"</f>
        <v>Rare Chandeliers</v>
      </c>
    </row>
    <row r="10278" spans="1:4" x14ac:dyDescent="0.2">
      <c r="A10278" t="str">
        <f>"10277"</f>
        <v>10277</v>
      </c>
      <c r="B10278" t="str">
        <f>"-0.44"</f>
        <v>-0.44</v>
      </c>
      <c r="C10278" t="str">
        <f>"37"</f>
        <v>37</v>
      </c>
      <c r="D10278" t="str">
        <f>"The Odds"</f>
        <v>The Odds</v>
      </c>
    </row>
    <row r="10279" spans="1:4" x14ac:dyDescent="0.2">
      <c r="A10279" t="str">
        <f>"10278"</f>
        <v>10278</v>
      </c>
      <c r="B10279" t="str">
        <f>"0.2"</f>
        <v>0.2</v>
      </c>
      <c r="C10279" t="str">
        <f>"32"</f>
        <v>32</v>
      </c>
      <c r="D10279" t="str">
        <f>"Pale Fire"</f>
        <v>Pale Fire</v>
      </c>
    </row>
    <row r="10280" spans="1:4" x14ac:dyDescent="0.2">
      <c r="A10280" t="str">
        <f>"10279"</f>
        <v>10279</v>
      </c>
      <c r="B10280" t="str">
        <f>"0.27"</f>
        <v>0.27</v>
      </c>
      <c r="C10280" t="str">
        <f>"31"</f>
        <v>31</v>
      </c>
      <c r="D10280" t="str">
        <f>"Sequitur"</f>
        <v>Sequitur</v>
      </c>
    </row>
    <row r="10281" spans="1:4" x14ac:dyDescent="0.2">
      <c r="A10281" t="str">
        <f>"10280"</f>
        <v>10280</v>
      </c>
      <c r="B10281" t="str">
        <f>"0.09"</f>
        <v>0.09</v>
      </c>
      <c r="C10281" t="str">
        <f>"26"</f>
        <v>26</v>
      </c>
      <c r="D10281" t="str">
        <f>"King Animal"</f>
        <v>King Animal</v>
      </c>
    </row>
    <row r="10282" spans="1:4" x14ac:dyDescent="0.2">
      <c r="A10282" t="str">
        <f>"10281"</f>
        <v>10281</v>
      </c>
      <c r="B10282" t="str">
        <f>"-0.35"</f>
        <v>-0.35</v>
      </c>
      <c r="C10282" t="str">
        <f>"23"</f>
        <v>23</v>
      </c>
      <c r="D10282" t="str">
        <f>"Cosmic Angel: The Illuminati Prince/ss"</f>
        <v>Cosmic Angel: The Illuminati Prince/ss</v>
      </c>
    </row>
    <row r="10283" spans="1:4" x14ac:dyDescent="0.2">
      <c r="A10283" t="str">
        <f>"10282"</f>
        <v>10282</v>
      </c>
      <c r="B10283" t="str">
        <f>"0.15"</f>
        <v>0.15</v>
      </c>
      <c r="C10283" t="str">
        <f>"33"</f>
        <v>33</v>
      </c>
      <c r="D10283" t="str">
        <f>"Relief"</f>
        <v>Relief</v>
      </c>
    </row>
    <row r="10284" spans="1:4" x14ac:dyDescent="0.2">
      <c r="A10284" t="str">
        <f>"10283"</f>
        <v>10283</v>
      </c>
      <c r="B10284" t="str">
        <f>"0.32"</f>
        <v>0.32</v>
      </c>
      <c r="C10284" t="str">
        <f>"27"</f>
        <v>27</v>
      </c>
      <c r="D10284" t="str">
        <f>"Growing Seeds"</f>
        <v>Growing Seeds</v>
      </c>
    </row>
    <row r="10285" spans="1:4" x14ac:dyDescent="0.2">
      <c r="A10285" t="str">
        <f>"10284"</f>
        <v>10284</v>
      </c>
      <c r="B10285" t="str">
        <f>"0.74"</f>
        <v>0.74</v>
      </c>
      <c r="C10285" t="str">
        <f>"25"</f>
        <v>25</v>
      </c>
      <c r="D10285" t="str">
        <f>"Go Easy"</f>
        <v>Go Easy</v>
      </c>
    </row>
    <row r="10286" spans="1:4" x14ac:dyDescent="0.2">
      <c r="A10286" t="str">
        <f>"10285"</f>
        <v>10285</v>
      </c>
      <c r="B10286" t="str">
        <f>"0.76"</f>
        <v>0.76</v>
      </c>
      <c r="C10286" t="str">
        <f>"20"</f>
        <v>20</v>
      </c>
      <c r="D10286" t="str">
        <f>"An Omen EP"</f>
        <v>An Omen EP</v>
      </c>
    </row>
    <row r="10287" spans="1:4" x14ac:dyDescent="0.2">
      <c r="A10287" t="str">
        <f>"10286"</f>
        <v>10286</v>
      </c>
      <c r="B10287" t="str">
        <f>"0.76"</f>
        <v>0.76</v>
      </c>
      <c r="C10287" t="str">
        <f>"42"</f>
        <v>42</v>
      </c>
      <c r="D10287" t="str">
        <f>"Temporal"</f>
        <v>Temporal</v>
      </c>
    </row>
    <row r="10288" spans="1:4" x14ac:dyDescent="0.2">
      <c r="A10288" t="str">
        <f>"10287"</f>
        <v>10287</v>
      </c>
      <c r="B10288" t="str">
        <f>"-0.63"</f>
        <v>-0.63</v>
      </c>
      <c r="C10288" t="str">
        <f>"46"</f>
        <v>46</v>
      </c>
      <c r="D10288" t="str">
        <f>"Our House on the Hill"</f>
        <v>Our House on the Hill</v>
      </c>
    </row>
    <row r="10289" spans="1:4" x14ac:dyDescent="0.2">
      <c r="A10289" t="str">
        <f>"10288"</f>
        <v>10288</v>
      </c>
      <c r="B10289" t="str">
        <f>"-0.29"</f>
        <v>-0.29</v>
      </c>
      <c r="C10289" t="str">
        <f>"43"</f>
        <v>43</v>
      </c>
      <c r="D10289" t="str">
        <f>"Diamond In The Ruff"</f>
        <v>Diamond In The Ruff</v>
      </c>
    </row>
    <row r="10290" spans="1:4" x14ac:dyDescent="0.2">
      <c r="A10290" t="str">
        <f>"10289"</f>
        <v>10289</v>
      </c>
      <c r="B10290" t="str">
        <f>"0.11"</f>
        <v>0.11</v>
      </c>
      <c r="C10290" t="str">
        <f>"36"</f>
        <v>36</v>
      </c>
      <c r="D10290" t="str">
        <f>"Lonely at the Top"</f>
        <v>Lonely at the Top</v>
      </c>
    </row>
    <row r="10291" spans="1:4" x14ac:dyDescent="0.2">
      <c r="A10291" t="str">
        <f>"10290"</f>
        <v>10290</v>
      </c>
      <c r="B10291" t="str">
        <f>"-0.35"</f>
        <v>-0.35</v>
      </c>
      <c r="C10291" t="str">
        <f>"88"</f>
        <v>88</v>
      </c>
      <c r="D10291" t="str">
        <f>"Silver &amp; Gold"</f>
        <v>Silver &amp; Gold</v>
      </c>
    </row>
    <row r="10292" spans="1:4" x14ac:dyDescent="0.2">
      <c r="A10292" t="str">
        <f>"10291"</f>
        <v>10291</v>
      </c>
      <c r="B10292" t="str">
        <f>"0.35"</f>
        <v>0.35</v>
      </c>
      <c r="C10292" t="str">
        <f>"29"</f>
        <v>29</v>
      </c>
      <c r="D10292" t="str">
        <f>"A List of the Burning Mountains"</f>
        <v>A List of the Burning Mountains</v>
      </c>
    </row>
    <row r="10293" spans="1:4" x14ac:dyDescent="0.2">
      <c r="A10293" t="str">
        <f>"10292"</f>
        <v>10292</v>
      </c>
      <c r="B10293" t="str">
        <f>"-1"</f>
        <v>-1</v>
      </c>
      <c r="C10293" t="str">
        <f>"15"</f>
        <v>15</v>
      </c>
      <c r="D10293" t="str">
        <f>"Put Your Sad Down EP"</f>
        <v>Put Your Sad Down EP</v>
      </c>
    </row>
    <row r="10294" spans="1:4" x14ac:dyDescent="0.2">
      <c r="A10294" t="str">
        <f>"10293"</f>
        <v>10293</v>
      </c>
      <c r="B10294" t="str">
        <f>"0.74"</f>
        <v>0.74</v>
      </c>
      <c r="C10294" t="str">
        <f>"35"</f>
        <v>35</v>
      </c>
      <c r="D10294" t="str">
        <f>"The MOEna Lisa"</f>
        <v>The MOEna Lisa</v>
      </c>
    </row>
    <row r="10295" spans="1:4" x14ac:dyDescent="0.2">
      <c r="A10295" t="str">
        <f>"10294"</f>
        <v>10294</v>
      </c>
      <c r="B10295" t="str">
        <f>"0.13"</f>
        <v>0.13</v>
      </c>
      <c r="C10295" t="str">
        <f>"23"</f>
        <v>23</v>
      </c>
      <c r="D10295" t="str">
        <f>"Nebula Dance"</f>
        <v>Nebula Dance</v>
      </c>
    </row>
    <row r="10296" spans="1:4" x14ac:dyDescent="0.2">
      <c r="A10296" t="str">
        <f>"10295"</f>
        <v>10295</v>
      </c>
      <c r="B10296" t="str">
        <f>"0.05"</f>
        <v>0.05</v>
      </c>
      <c r="C10296" t="str">
        <f>"69"</f>
        <v>69</v>
      </c>
      <c r="D10296" t="str">
        <f>"Trilogy"</f>
        <v>Trilogy</v>
      </c>
    </row>
    <row r="10297" spans="1:4" x14ac:dyDescent="0.2">
      <c r="A10297" t="str">
        <f>"10296"</f>
        <v>10296</v>
      </c>
      <c r="B10297" t="str">
        <f>"0.48"</f>
        <v>0.48</v>
      </c>
      <c r="C10297" t="str">
        <f>"31"</f>
        <v>31</v>
      </c>
      <c r="D10297" t="str">
        <f>"Mark Kozelek: On Tour: A Documentary - The Soundtrack"</f>
        <v>Mark Kozelek: On Tour: A Documentary - The Soundtrack</v>
      </c>
    </row>
    <row r="10298" spans="1:4" x14ac:dyDescent="0.2">
      <c r="A10298" t="str">
        <f>"10297"</f>
        <v>10297</v>
      </c>
      <c r="B10298" t="str">
        <f>"-0.96"</f>
        <v>-0.96</v>
      </c>
      <c r="C10298" t="str">
        <f>"17"</f>
        <v>17</v>
      </c>
      <c r="D10298" t="str">
        <f>"Dream On"</f>
        <v>Dream On</v>
      </c>
    </row>
    <row r="10299" spans="1:4" x14ac:dyDescent="0.2">
      <c r="A10299" t="str">
        <f>"10298"</f>
        <v>10298</v>
      </c>
      <c r="B10299" t="str">
        <f>"-0.59"</f>
        <v>-0.59</v>
      </c>
      <c r="C10299" t="str">
        <f>"31"</f>
        <v>31</v>
      </c>
      <c r="D10299" t="str">
        <f>"Power and Passion"</f>
        <v>Power and Passion</v>
      </c>
    </row>
    <row r="10300" spans="1:4" x14ac:dyDescent="0.2">
      <c r="A10300" t="str">
        <f>"10299"</f>
        <v>10299</v>
      </c>
      <c r="B10300" t="str">
        <f>"0.07"</f>
        <v>0.07</v>
      </c>
      <c r="C10300" t="str">
        <f>"23"</f>
        <v>23</v>
      </c>
      <c r="D10300" t="str">
        <f>"Pro Style EP"</f>
        <v>Pro Style EP</v>
      </c>
    </row>
    <row r="10301" spans="1:4" x14ac:dyDescent="0.2">
      <c r="A10301" t="str">
        <f>"10300"</f>
        <v>10300</v>
      </c>
      <c r="B10301" t="str">
        <f>"-0.45"</f>
        <v>-0.45</v>
      </c>
      <c r="C10301" t="str">
        <f>"33"</f>
        <v>33</v>
      </c>
      <c r="D10301" t="str">
        <f>"(III)"</f>
        <v>(III)</v>
      </c>
    </row>
    <row r="10302" spans="1:4" x14ac:dyDescent="0.2">
      <c r="A10302" t="str">
        <f>"10301"</f>
        <v>10301</v>
      </c>
      <c r="B10302" t="str">
        <f>"0.86"</f>
        <v>0.86</v>
      </c>
      <c r="C10302" t="str">
        <f>"32"</f>
        <v>32</v>
      </c>
      <c r="D10302" t="str">
        <f>"The Bears for Lunch"</f>
        <v>The Bears for Lunch</v>
      </c>
    </row>
    <row r="10303" spans="1:4" x14ac:dyDescent="0.2">
      <c r="A10303" t="str">
        <f>"10302"</f>
        <v>10302</v>
      </c>
      <c r="B10303" t="str">
        <f>"0.39"</f>
        <v>0.39</v>
      </c>
      <c r="C10303" t="str">
        <f>"30"</f>
        <v>30</v>
      </c>
      <c r="D10303" t="str">
        <f>"At the Down-turned Jagged Rim of the Sky"</f>
        <v>At the Down-turned Jagged Rim of the Sky</v>
      </c>
    </row>
    <row r="10304" spans="1:4" x14ac:dyDescent="0.2">
      <c r="A10304" t="str">
        <f>"10303"</f>
        <v>10303</v>
      </c>
      <c r="B10304" t="str">
        <f>"0.05"</f>
        <v>0.05</v>
      </c>
      <c r="C10304" t="str">
        <f>"23"</f>
        <v>23</v>
      </c>
      <c r="D10304" t="str">
        <f>"Mad Music"</f>
        <v>Mad Music</v>
      </c>
    </row>
    <row r="10305" spans="1:4" x14ac:dyDescent="0.2">
      <c r="A10305" t="str">
        <f>"10304"</f>
        <v>10304</v>
      </c>
      <c r="B10305" t="str">
        <f>"0.03"</f>
        <v>0.03</v>
      </c>
      <c r="C10305" t="str">
        <f>"50"</f>
        <v>50</v>
      </c>
      <c r="D10305" t="s">
        <v>313</v>
      </c>
    </row>
    <row r="10306" spans="1:4" x14ac:dyDescent="0.2">
      <c r="A10306" t="str">
        <f>"10305"</f>
        <v>10305</v>
      </c>
      <c r="B10306" t="str">
        <f>"0.54"</f>
        <v>0.54</v>
      </c>
      <c r="C10306" t="str">
        <f>"145"</f>
        <v>145</v>
      </c>
      <c r="D10306" t="str">
        <f>"The Studio Albums 1968-1979"</f>
        <v>The Studio Albums 1968-1979</v>
      </c>
    </row>
    <row r="10307" spans="1:4" x14ac:dyDescent="0.2">
      <c r="A10307" t="str">
        <f>"10306"</f>
        <v>10306</v>
      </c>
      <c r="B10307" t="str">
        <f>"-0.26"</f>
        <v>-0.26</v>
      </c>
      <c r="C10307" t="str">
        <f>"22"</f>
        <v>22</v>
      </c>
      <c r="D10307" t="str">
        <f>"Top 10 Hits of the End of the World"</f>
        <v>Top 10 Hits of the End of the World</v>
      </c>
    </row>
    <row r="10308" spans="1:4" x14ac:dyDescent="0.2">
      <c r="A10308" t="str">
        <f>"10307"</f>
        <v>10307</v>
      </c>
      <c r="B10308" t="str">
        <f>"-0.04"</f>
        <v>-0.04</v>
      </c>
      <c r="C10308" t="str">
        <f>"24"</f>
        <v>24</v>
      </c>
      <c r="D10308" t="str">
        <f>"Lights Out"</f>
        <v>Lights Out</v>
      </c>
    </row>
    <row r="10309" spans="1:4" x14ac:dyDescent="0.2">
      <c r="A10309" t="str">
        <f>"10308"</f>
        <v>10308</v>
      </c>
      <c r="B10309" t="str">
        <f>"-0.36"</f>
        <v>-0.36</v>
      </c>
      <c r="C10309" t="str">
        <f>"37"</f>
        <v>37</v>
      </c>
      <c r="D10309" t="str">
        <f>"Information Age"</f>
        <v>Information Age</v>
      </c>
    </row>
    <row r="10310" spans="1:4" x14ac:dyDescent="0.2">
      <c r="A10310" t="str">
        <f>"10309"</f>
        <v>10309</v>
      </c>
      <c r="B10310" t="str">
        <f>"0.63"</f>
        <v>0.63</v>
      </c>
      <c r="C10310" t="str">
        <f>"31"</f>
        <v>31</v>
      </c>
      <c r="D10310" t="str">
        <f>"Alone Together"</f>
        <v>Alone Together</v>
      </c>
    </row>
    <row r="10311" spans="1:4" x14ac:dyDescent="0.2">
      <c r="A10311" t="str">
        <f>"10310"</f>
        <v>10310</v>
      </c>
      <c r="B10311" t="str">
        <f>"-0.62"</f>
        <v>-0.62</v>
      </c>
      <c r="C10311" t="str">
        <f>"43"</f>
        <v>43</v>
      </c>
      <c r="D10311" t="str">
        <f>"The Man With the Iron Fists OST"</f>
        <v>The Man With the Iron Fists OST</v>
      </c>
    </row>
    <row r="10312" spans="1:4" x14ac:dyDescent="0.2">
      <c r="A10312" t="str">
        <f>"10311"</f>
        <v>10311</v>
      </c>
      <c r="B10312" t="str">
        <f>"0.98"</f>
        <v>0.98</v>
      </c>
      <c r="C10312" t="str">
        <f>"19"</f>
        <v>19</v>
      </c>
      <c r="D10312" t="str">
        <f>"Smalhans"</f>
        <v>Smalhans</v>
      </c>
    </row>
    <row r="10313" spans="1:4" x14ac:dyDescent="0.2">
      <c r="A10313" t="str">
        <f>"10312"</f>
        <v>10312</v>
      </c>
      <c r="B10313" t="str">
        <f>"-1.26"</f>
        <v>-1.26</v>
      </c>
      <c r="C10313" t="str">
        <f>"36"</f>
        <v>36</v>
      </c>
      <c r="D10313" t="str">
        <f>"Ark"</f>
        <v>Ark</v>
      </c>
    </row>
    <row r="10314" spans="1:4" x14ac:dyDescent="0.2">
      <c r="A10314" t="str">
        <f>"10313"</f>
        <v>10313</v>
      </c>
      <c r="B10314" t="str">
        <f>"1.21"</f>
        <v>1.21</v>
      </c>
      <c r="C10314" t="str">
        <f>"34"</f>
        <v>34</v>
      </c>
      <c r="D10314" t="str">
        <f>"Release"</f>
        <v>Release</v>
      </c>
    </row>
    <row r="10315" spans="1:4" x14ac:dyDescent="0.2">
      <c r="A10315" t="str">
        <f>"10314"</f>
        <v>10314</v>
      </c>
      <c r="B10315" t="str">
        <f>"-0.75"</f>
        <v>-0.75</v>
      </c>
      <c r="C10315" t="str">
        <f>"30"</f>
        <v>30</v>
      </c>
      <c r="D10315" t="str">
        <f>"Vanitas"</f>
        <v>Vanitas</v>
      </c>
    </row>
    <row r="10316" spans="1:4" x14ac:dyDescent="0.2">
      <c r="A10316" t="str">
        <f>"10315"</f>
        <v>10315</v>
      </c>
      <c r="B10316" t="str">
        <f>"-0.03"</f>
        <v>-0.03</v>
      </c>
      <c r="C10316" t="str">
        <f>"24"</f>
        <v>24</v>
      </c>
      <c r="D10316" t="str">
        <f>"Free Reign"</f>
        <v>Free Reign</v>
      </c>
    </row>
    <row r="10317" spans="1:4" x14ac:dyDescent="0.2">
      <c r="A10317" t="str">
        <f>"10316"</f>
        <v>10316</v>
      </c>
      <c r="B10317" t="str">
        <f>"-0.29"</f>
        <v>-0.29</v>
      </c>
      <c r="C10317" t="str">
        <f>"23"</f>
        <v>23</v>
      </c>
      <c r="D10317" t="str">
        <f>"Trap God"</f>
        <v>Trap God</v>
      </c>
    </row>
    <row r="10318" spans="1:4" x14ac:dyDescent="0.2">
      <c r="A10318" t="str">
        <f>"10317"</f>
        <v>10317</v>
      </c>
      <c r="B10318" t="str">
        <f>"0.14"</f>
        <v>0.14</v>
      </c>
      <c r="C10318" t="str">
        <f>"27"</f>
        <v>27</v>
      </c>
      <c r="D10318" t="str">
        <f>"Rave Age"</f>
        <v>Rave Age</v>
      </c>
    </row>
    <row r="10319" spans="1:4" x14ac:dyDescent="0.2">
      <c r="A10319" t="str">
        <f>"10318"</f>
        <v>10318</v>
      </c>
      <c r="B10319" t="str">
        <f>"0.02"</f>
        <v>0.02</v>
      </c>
      <c r="C10319" t="str">
        <f>"41"</f>
        <v>41</v>
      </c>
      <c r="D10319" t="str">
        <f>"The Vermilion Border"</f>
        <v>The Vermilion Border</v>
      </c>
    </row>
    <row r="10320" spans="1:4" x14ac:dyDescent="0.2">
      <c r="A10320" t="str">
        <f>"10319"</f>
        <v>10319</v>
      </c>
      <c r="B10320" t="str">
        <f>"-0.2"</f>
        <v>-0.2</v>
      </c>
      <c r="C10320" t="str">
        <f>"21"</f>
        <v>21</v>
      </c>
      <c r="D10320" t="str">
        <f>"Desert Strike EP"</f>
        <v>Desert Strike EP</v>
      </c>
    </row>
    <row r="10321" spans="1:4" x14ac:dyDescent="0.2">
      <c r="A10321" t="str">
        <f>"10320"</f>
        <v>10320</v>
      </c>
      <c r="B10321" t="str">
        <f>"0.59"</f>
        <v>0.59</v>
      </c>
      <c r="C10321" t="str">
        <f>"38"</f>
        <v>38</v>
      </c>
      <c r="D10321" t="str">
        <f>"Lux"</f>
        <v>Lux</v>
      </c>
    </row>
    <row r="10322" spans="1:4" x14ac:dyDescent="0.2">
      <c r="A10322" t="str">
        <f>"10321"</f>
        <v>10321</v>
      </c>
      <c r="B10322" t="str">
        <f>"-0.11"</f>
        <v>-0.11</v>
      </c>
      <c r="C10322" t="str">
        <f>"22"</f>
        <v>22</v>
      </c>
      <c r="D10322" t="str">
        <f>"WOW"</f>
        <v>WOW</v>
      </c>
    </row>
    <row r="10323" spans="1:4" x14ac:dyDescent="0.2">
      <c r="A10323" t="str">
        <f>"10322"</f>
        <v>10322</v>
      </c>
      <c r="B10323" t="str">
        <f>"-0.88"</f>
        <v>-0.88</v>
      </c>
      <c r="C10323" t="str">
        <f>"38"</f>
        <v>38</v>
      </c>
      <c r="D10323" t="str">
        <f>"Too Late (Box Set)"</f>
        <v>Too Late (Box Set)</v>
      </c>
    </row>
    <row r="10324" spans="1:4" x14ac:dyDescent="0.2">
      <c r="A10324" t="str">
        <f>"10323"</f>
        <v>10323</v>
      </c>
      <c r="B10324" t="str">
        <f>"0.33"</f>
        <v>0.33</v>
      </c>
      <c r="C10324" t="str">
        <f>"21"</f>
        <v>21</v>
      </c>
      <c r="D10324" t="str">
        <f>"Black Prince Fury"</f>
        <v>Black Prince Fury</v>
      </c>
    </row>
    <row r="10325" spans="1:4" x14ac:dyDescent="0.2">
      <c r="A10325" t="str">
        <f>"10324"</f>
        <v>10324</v>
      </c>
      <c r="B10325" t="str">
        <f>"-0.93"</f>
        <v>-0.93</v>
      </c>
      <c r="C10325" t="str">
        <f>"35"</f>
        <v>35</v>
      </c>
      <c r="D10325" t="str">
        <f>"Red Horse"</f>
        <v>Red Horse</v>
      </c>
    </row>
    <row r="10326" spans="1:4" x14ac:dyDescent="0.2">
      <c r="A10326" t="str">
        <f>"10325"</f>
        <v>10325</v>
      </c>
      <c r="B10326" t="str">
        <f>"-1.04"</f>
        <v>-1.04</v>
      </c>
      <c r="C10326" t="str">
        <f>"30"</f>
        <v>30</v>
      </c>
      <c r="D10326" t="str">
        <f>"About To Die EP"</f>
        <v>About To Die EP</v>
      </c>
    </row>
    <row r="10327" spans="1:4" x14ac:dyDescent="0.2">
      <c r="A10327" t="str">
        <f>"10326"</f>
        <v>10326</v>
      </c>
      <c r="B10327" t="str">
        <f>"0.3"</f>
        <v>0.3</v>
      </c>
      <c r="C10327" t="str">
        <f>"27"</f>
        <v>27</v>
      </c>
      <c r="D10327" t="str">
        <f>"Just to Feel Anything"</f>
        <v>Just to Feel Anything</v>
      </c>
    </row>
    <row r="10328" spans="1:4" x14ac:dyDescent="0.2">
      <c r="A10328" t="str">
        <f>"10327"</f>
        <v>10327</v>
      </c>
      <c r="B10328" t="str">
        <f>"-0.57"</f>
        <v>-0.57</v>
      </c>
      <c r="C10328" t="str">
        <f>"27"</f>
        <v>27</v>
      </c>
      <c r="D10328" t="str">
        <f>"Burning Daylight"</f>
        <v>Burning Daylight</v>
      </c>
    </row>
    <row r="10329" spans="1:4" x14ac:dyDescent="0.2">
      <c r="A10329" t="str">
        <f>"10328"</f>
        <v>10328</v>
      </c>
      <c r="B10329" t="str">
        <f>"0.68"</f>
        <v>0.68</v>
      </c>
      <c r="C10329" t="str">
        <f>"27"</f>
        <v>27</v>
      </c>
      <c r="D10329" t="str">
        <f>"Behind the Mirror"</f>
        <v>Behind the Mirror</v>
      </c>
    </row>
    <row r="10330" spans="1:4" x14ac:dyDescent="0.2">
      <c r="A10330" t="str">
        <f>"10329"</f>
        <v>10329</v>
      </c>
      <c r="B10330" t="str">
        <f>"-0.63"</f>
        <v>-0.63</v>
      </c>
      <c r="C10330" t="str">
        <f>"25"</f>
        <v>25</v>
      </c>
      <c r="D10330" t="str">
        <f>"Lovelessness"</f>
        <v>Lovelessness</v>
      </c>
    </row>
    <row r="10331" spans="1:4" x14ac:dyDescent="0.2">
      <c r="A10331" t="str">
        <f>"10330"</f>
        <v>10330</v>
      </c>
      <c r="B10331" t="str">
        <f>"0.07"</f>
        <v>0.07</v>
      </c>
      <c r="C10331" t="str">
        <f>"49"</f>
        <v>49</v>
      </c>
      <c r="D10331" t="str">
        <f>"Classick"</f>
        <v>Classick</v>
      </c>
    </row>
    <row r="10332" spans="1:4" x14ac:dyDescent="0.2">
      <c r="A10332" t="str">
        <f>"10331"</f>
        <v>10331</v>
      </c>
      <c r="B10332" t="str">
        <f>"-0.75"</f>
        <v>-0.75</v>
      </c>
      <c r="C10332" t="str">
        <f>"29"</f>
        <v>29</v>
      </c>
      <c r="D10332" t="str">
        <f>"Zeros"</f>
        <v>Zeros</v>
      </c>
    </row>
    <row r="10333" spans="1:4" x14ac:dyDescent="0.2">
      <c r="A10333" t="str">
        <f>"10332"</f>
        <v>10332</v>
      </c>
      <c r="B10333" t="str">
        <f>"0.59"</f>
        <v>0.59</v>
      </c>
      <c r="C10333" t="str">
        <f>"41"</f>
        <v>41</v>
      </c>
      <c r="D10333" t="str">
        <f>"La-Di-Da Recordings"</f>
        <v>La-Di-Da Recordings</v>
      </c>
    </row>
    <row r="10334" spans="1:4" x14ac:dyDescent="0.2">
      <c r="A10334" t="str">
        <f>"10333"</f>
        <v>10333</v>
      </c>
      <c r="B10334" t="str">
        <f>"-1.01"</f>
        <v>-1.01</v>
      </c>
      <c r="C10334" t="str">
        <f>"40"</f>
        <v>40</v>
      </c>
      <c r="D10334" t="str">
        <f>"Ritual of Passing"</f>
        <v>Ritual of Passing</v>
      </c>
    </row>
    <row r="10335" spans="1:4" x14ac:dyDescent="0.2">
      <c r="A10335" t="str">
        <f>"10334"</f>
        <v>10334</v>
      </c>
      <c r="B10335" t="str">
        <f>"-0.18"</f>
        <v>-0.18</v>
      </c>
      <c r="C10335" t="str">
        <f>"22"</f>
        <v>22</v>
      </c>
      <c r="D10335" t="str">
        <f>"People Get Ready"</f>
        <v>People Get Ready</v>
      </c>
    </row>
    <row r="10336" spans="1:4" x14ac:dyDescent="0.2">
      <c r="A10336" t="str">
        <f>"10335"</f>
        <v>10335</v>
      </c>
      <c r="B10336" t="str">
        <f>"0.68"</f>
        <v>0.68</v>
      </c>
      <c r="C10336" t="str">
        <f>"22"</f>
        <v>22</v>
      </c>
      <c r="D10336" t="str">
        <f>"Hands of Glory"</f>
        <v>Hands of Glory</v>
      </c>
    </row>
    <row r="10337" spans="1:4" x14ac:dyDescent="0.2">
      <c r="A10337" t="str">
        <f>"10336"</f>
        <v>10336</v>
      </c>
      <c r="B10337" t="str">
        <f>"-0.91"</f>
        <v>-0.91</v>
      </c>
      <c r="C10337" t="str">
        <f>"26"</f>
        <v>26</v>
      </c>
      <c r="D10337" t="str">
        <f>"Sorry to Bother You"</f>
        <v>Sorry to Bother You</v>
      </c>
    </row>
    <row r="10338" spans="1:4" x14ac:dyDescent="0.2">
      <c r="A10338" t="str">
        <f>"10337"</f>
        <v>10337</v>
      </c>
      <c r="B10338" t="str">
        <f>"-1.22"</f>
        <v>-1.22</v>
      </c>
      <c r="C10338" t="str">
        <f>"30"</f>
        <v>30</v>
      </c>
      <c r="D10338" t="str">
        <f>"Come Home to Mama"</f>
        <v>Come Home to Mama</v>
      </c>
    </row>
    <row r="10339" spans="1:4" x14ac:dyDescent="0.2">
      <c r="A10339" t="str">
        <f>"10338"</f>
        <v>10338</v>
      </c>
      <c r="B10339" t="str">
        <f>"0.95"</f>
        <v>0.95</v>
      </c>
      <c r="C10339" t="str">
        <f>"27"</f>
        <v>27</v>
      </c>
      <c r="D10339" t="str">
        <f>"Tinsel and Lights"</f>
        <v>Tinsel and Lights</v>
      </c>
    </row>
    <row r="10340" spans="1:4" x14ac:dyDescent="0.2">
      <c r="A10340" t="str">
        <f>"10339"</f>
        <v>10339</v>
      </c>
      <c r="B10340" t="str">
        <f>"-0.4"</f>
        <v>-0.4</v>
      </c>
      <c r="C10340" t="str">
        <f>"30"</f>
        <v>30</v>
      </c>
      <c r="D10340" t="str">
        <f>"Order of Noise"</f>
        <v>Order of Noise</v>
      </c>
    </row>
    <row r="10341" spans="1:4" x14ac:dyDescent="0.2">
      <c r="A10341" t="str">
        <f>"10340"</f>
        <v>10340</v>
      </c>
      <c r="B10341" t="str">
        <f>"0.24"</f>
        <v>0.24</v>
      </c>
      <c r="C10341" t="str">
        <f>"27"</f>
        <v>27</v>
      </c>
      <c r="D10341" t="str">
        <f>"2"</f>
        <v>2</v>
      </c>
    </row>
    <row r="10342" spans="1:4" x14ac:dyDescent="0.2">
      <c r="A10342" t="str">
        <f>"10341"</f>
        <v>10341</v>
      </c>
      <c r="B10342" t="str">
        <f>"-0.44"</f>
        <v>-0.44</v>
      </c>
      <c r="C10342" t="str">
        <f>"35"</f>
        <v>35</v>
      </c>
      <c r="D10342" t="str">
        <f>"Dreams and Nightmares"</f>
        <v>Dreams and Nightmares</v>
      </c>
    </row>
    <row r="10343" spans="1:4" x14ac:dyDescent="0.2">
      <c r="A10343" t="str">
        <f>"10342"</f>
        <v>10342</v>
      </c>
      <c r="B10343" t="str">
        <f>"-0.15"</f>
        <v>-0.15</v>
      </c>
      <c r="C10343" t="str">
        <f>"23"</f>
        <v>23</v>
      </c>
      <c r="D10343" t="str">
        <f>"Mantasy"</f>
        <v>Mantasy</v>
      </c>
    </row>
    <row r="10344" spans="1:4" x14ac:dyDescent="0.2">
      <c r="A10344" t="str">
        <f>"10343"</f>
        <v>10343</v>
      </c>
      <c r="B10344" t="str">
        <f>"0.75"</f>
        <v>0.75</v>
      </c>
      <c r="C10344" t="str">
        <f>"31"</f>
        <v>31</v>
      </c>
      <c r="D10344" t="str">
        <f>"Good Don't Sleep"</f>
        <v>Good Don't Sleep</v>
      </c>
    </row>
    <row r="10345" spans="1:4" x14ac:dyDescent="0.2">
      <c r="A10345" t="str">
        <f>"10344"</f>
        <v>10344</v>
      </c>
      <c r="B10345" t="str">
        <f>"1.43"</f>
        <v>1.43</v>
      </c>
      <c r="C10345" t="str">
        <f>"23"</f>
        <v>23</v>
      </c>
      <c r="D10345" t="str">
        <f>"Eternal Champ"</f>
        <v>Eternal Champ</v>
      </c>
    </row>
    <row r="10346" spans="1:4" x14ac:dyDescent="0.2">
      <c r="A10346" t="str">
        <f>"10345"</f>
        <v>10345</v>
      </c>
      <c r="B10346" t="str">
        <f>"-0.34"</f>
        <v>-0.34</v>
      </c>
      <c r="C10346" t="str">
        <f>"29"</f>
        <v>29</v>
      </c>
      <c r="D10346" t="str">
        <f>"Psychedelic Pill"</f>
        <v>Psychedelic Pill</v>
      </c>
    </row>
    <row r="10347" spans="1:4" x14ac:dyDescent="0.2">
      <c r="A10347" t="str">
        <f>"10346"</f>
        <v>10346</v>
      </c>
      <c r="B10347" t="str">
        <f>"0.06"</f>
        <v>0.06</v>
      </c>
      <c r="C10347" t="str">
        <f>"35"</f>
        <v>35</v>
      </c>
      <c r="D10347" t="str">
        <f>"Bossalinis &amp; Fooliyones"</f>
        <v>Bossalinis &amp; Fooliyones</v>
      </c>
    </row>
    <row r="10348" spans="1:4" x14ac:dyDescent="0.2">
      <c r="A10348" t="str">
        <f>"10347"</f>
        <v>10347</v>
      </c>
      <c r="B10348" t="str">
        <f>"-0.5"</f>
        <v>-0.5</v>
      </c>
      <c r="C10348" t="str">
        <f>"25"</f>
        <v>25</v>
      </c>
      <c r="D10348" t="str">
        <f>"Prins Thomas 2"</f>
        <v>Prins Thomas 2</v>
      </c>
    </row>
    <row r="10349" spans="1:4" x14ac:dyDescent="0.2">
      <c r="A10349" t="str">
        <f>"10348"</f>
        <v>10348</v>
      </c>
      <c r="B10349" t="str">
        <f>"0.91"</f>
        <v>0.91</v>
      </c>
      <c r="C10349" t="str">
        <f>"27"</f>
        <v>27</v>
      </c>
      <c r="D10349" t="str">
        <f>"Landing on a Hundred"</f>
        <v>Landing on a Hundred</v>
      </c>
    </row>
    <row r="10350" spans="1:4" x14ac:dyDescent="0.2">
      <c r="A10350" t="str">
        <f>"10349"</f>
        <v>10349</v>
      </c>
      <c r="B10350" t="str">
        <f>"0.25"</f>
        <v>0.25</v>
      </c>
      <c r="C10350" t="str">
        <f>"24"</f>
        <v>24</v>
      </c>
      <c r="D10350" t="str">
        <f>"Explore"</f>
        <v>Explore</v>
      </c>
    </row>
    <row r="10351" spans="1:4" x14ac:dyDescent="0.2">
      <c r="A10351" t="str">
        <f>"10350"</f>
        <v>10350</v>
      </c>
      <c r="B10351" t="str">
        <f>"0.56"</f>
        <v>0.56</v>
      </c>
      <c r="C10351" t="str">
        <f>"46"</f>
        <v>46</v>
      </c>
      <c r="D10351" t="str">
        <f>"Luxury Problems"</f>
        <v>Luxury Problems</v>
      </c>
    </row>
    <row r="10352" spans="1:4" x14ac:dyDescent="0.2">
      <c r="A10352" t="str">
        <f>"10351"</f>
        <v>10351</v>
      </c>
      <c r="B10352" t="str">
        <f>"0.13"</f>
        <v>0.13</v>
      </c>
      <c r="C10352" t="str">
        <f>"48"</f>
        <v>48</v>
      </c>
      <c r="D10352" t="str">
        <f>"Honor Found In Decay"</f>
        <v>Honor Found In Decay</v>
      </c>
    </row>
    <row r="10353" spans="1:4" x14ac:dyDescent="0.2">
      <c r="A10353" t="str">
        <f>"10352"</f>
        <v>10352</v>
      </c>
      <c r="B10353" t="str">
        <f>"-0.98"</f>
        <v>-0.98</v>
      </c>
      <c r="C10353" t="str">
        <f>"54"</f>
        <v>54</v>
      </c>
      <c r="D10353" t="str">
        <f>"Matricidal Sons of Bitches"</f>
        <v>Matricidal Sons of Bitches</v>
      </c>
    </row>
    <row r="10354" spans="1:4" x14ac:dyDescent="0.2">
      <c r="A10354" t="str">
        <f>"10353"</f>
        <v>10353</v>
      </c>
      <c r="B10354" t="str">
        <f>"-0.66"</f>
        <v>-0.66</v>
      </c>
      <c r="C10354" t="str">
        <f>"29"</f>
        <v>29</v>
      </c>
      <c r="D10354" t="str">
        <f>"Young Hunger"</f>
        <v>Young Hunger</v>
      </c>
    </row>
    <row r="10355" spans="1:4" x14ac:dyDescent="0.2">
      <c r="A10355" t="str">
        <f>"10354"</f>
        <v>10354</v>
      </c>
      <c r="B10355" t="str">
        <f>"0.1"</f>
        <v>0.1</v>
      </c>
      <c r="C10355" t="str">
        <f>"42"</f>
        <v>42</v>
      </c>
      <c r="D10355" t="str">
        <f>"Free Dimensional"</f>
        <v>Free Dimensional</v>
      </c>
    </row>
    <row r="10356" spans="1:4" x14ac:dyDescent="0.2">
      <c r="A10356" t="str">
        <f>"10355"</f>
        <v>10355</v>
      </c>
      <c r="B10356" t="str">
        <f>"-0.17"</f>
        <v>-0.17</v>
      </c>
      <c r="C10356" t="str">
        <f>"39"</f>
        <v>39</v>
      </c>
      <c r="D10356" t="str">
        <f>"Banks"</f>
        <v>Banks</v>
      </c>
    </row>
    <row r="10357" spans="1:4" x14ac:dyDescent="0.2">
      <c r="A10357" t="str">
        <f>"10356"</f>
        <v>10356</v>
      </c>
      <c r="B10357" t="str">
        <f>"-1.22"</f>
        <v>-1.22</v>
      </c>
      <c r="C10357" t="str">
        <f>"55"</f>
        <v>55</v>
      </c>
      <c r="D10357" t="str">
        <f>"Cobra Juicy"</f>
        <v>Cobra Juicy</v>
      </c>
    </row>
    <row r="10358" spans="1:4" x14ac:dyDescent="0.2">
      <c r="A10358" t="str">
        <f>"10357"</f>
        <v>10357</v>
      </c>
      <c r="B10358" t="str">
        <f>"0.78"</f>
        <v>0.78</v>
      </c>
      <c r="C10358" t="str">
        <f>"44"</f>
        <v>44</v>
      </c>
      <c r="D10358" t="str">
        <f>"World Music"</f>
        <v>World Music</v>
      </c>
    </row>
    <row r="10359" spans="1:4" x14ac:dyDescent="0.2">
      <c r="A10359" t="str">
        <f>"10358"</f>
        <v>10358</v>
      </c>
      <c r="B10359" t="str">
        <f>"-0.47"</f>
        <v>-0.47</v>
      </c>
      <c r="C10359" t="str">
        <f>"32"</f>
        <v>32</v>
      </c>
      <c r="D10359" t="str">
        <f>"Connected"</f>
        <v>Connected</v>
      </c>
    </row>
    <row r="10360" spans="1:4" x14ac:dyDescent="0.2">
      <c r="A10360" t="str">
        <f>"10359"</f>
        <v>10359</v>
      </c>
      <c r="B10360" t="str">
        <f>"-0.58"</f>
        <v>-0.58</v>
      </c>
      <c r="C10360" t="str">
        <f>"29"</f>
        <v>29</v>
      </c>
      <c r="D10360" t="str">
        <f>"Animator"</f>
        <v>Animator</v>
      </c>
    </row>
    <row r="10361" spans="1:4" x14ac:dyDescent="0.2">
      <c r="A10361" t="str">
        <f>"10360"</f>
        <v>10360</v>
      </c>
      <c r="B10361" t="str">
        <f>"-0.91"</f>
        <v>-0.91</v>
      </c>
      <c r="C10361" t="str">
        <f>"24"</f>
        <v>24</v>
      </c>
      <c r="D10361" t="str">
        <f>"Lost Songs"</f>
        <v>Lost Songs</v>
      </c>
    </row>
    <row r="10362" spans="1:4" x14ac:dyDescent="0.2">
      <c r="A10362" t="str">
        <f>"10361"</f>
        <v>10361</v>
      </c>
      <c r="B10362" t="str">
        <f>"-0.46"</f>
        <v>-0.46</v>
      </c>
      <c r="C10362" t="str">
        <f>"22"</f>
        <v>22</v>
      </c>
      <c r="D10362" t="str">
        <f>"Lightning"</f>
        <v>Lightning</v>
      </c>
    </row>
    <row r="10363" spans="1:4" x14ac:dyDescent="0.2">
      <c r="A10363" t="str">
        <f>"10362"</f>
        <v>10362</v>
      </c>
      <c r="B10363" t="str">
        <f>"-0.87"</f>
        <v>-0.87</v>
      </c>
      <c r="C10363" t="str">
        <f>"30"</f>
        <v>30</v>
      </c>
      <c r="D10363" t="str">
        <f>"Little Sleepwalker"</f>
        <v>Little Sleepwalker</v>
      </c>
    </row>
    <row r="10364" spans="1:4" x14ac:dyDescent="0.2">
      <c r="A10364" t="str">
        <f>"10363"</f>
        <v>10363</v>
      </c>
      <c r="B10364" t="str">
        <f>"-0.35"</f>
        <v>-0.35</v>
      </c>
      <c r="C10364" t="str">
        <f>"27"</f>
        <v>27</v>
      </c>
      <c r="D10364" t="str">
        <f>"Who Needs Who"</f>
        <v>Who Needs Who</v>
      </c>
    </row>
    <row r="10365" spans="1:4" x14ac:dyDescent="0.2">
      <c r="A10365" t="str">
        <f>"10364"</f>
        <v>10364</v>
      </c>
      <c r="B10365" t="str">
        <f>"-1.2"</f>
        <v>-1.2</v>
      </c>
      <c r="C10365" t="str">
        <f>"21"</f>
        <v>21</v>
      </c>
      <c r="D10365" t="str">
        <f>"Agnus Dei"</f>
        <v>Agnus Dei</v>
      </c>
    </row>
    <row r="10366" spans="1:4" x14ac:dyDescent="0.2">
      <c r="A10366" t="str">
        <f>"10365"</f>
        <v>10365</v>
      </c>
      <c r="B10366" t="str">
        <f>"-0.35"</f>
        <v>-0.35</v>
      </c>
      <c r="C10366" t="str">
        <f>"36"</f>
        <v>36</v>
      </c>
      <c r="D10366" t="str">
        <f>"Local Business"</f>
        <v>Local Business</v>
      </c>
    </row>
    <row r="10367" spans="1:4" x14ac:dyDescent="0.2">
      <c r="A10367" t="str">
        <f>"10366"</f>
        <v>10366</v>
      </c>
      <c r="B10367" t="str">
        <f>"1.19"</f>
        <v>1.19</v>
      </c>
      <c r="C10367" t="str">
        <f>"31"</f>
        <v>31</v>
      </c>
      <c r="D10367" t="str">
        <f>"The Expanding Universe"</f>
        <v>The Expanding Universe</v>
      </c>
    </row>
    <row r="10368" spans="1:4" x14ac:dyDescent="0.2">
      <c r="A10368" t="str">
        <f>"10367"</f>
        <v>10367</v>
      </c>
      <c r="B10368" t="str">
        <f>"0.36"</f>
        <v>0.36</v>
      </c>
      <c r="C10368" t="str">
        <f>"47"</f>
        <v>47</v>
      </c>
      <c r="D10368" t="str">
        <f>"Halcyon"</f>
        <v>Halcyon</v>
      </c>
    </row>
    <row r="10369" spans="1:4" x14ac:dyDescent="0.2">
      <c r="A10369" t="str">
        <f>"10368"</f>
        <v>10368</v>
      </c>
      <c r="B10369" t="str">
        <f>"0.18"</f>
        <v>0.18</v>
      </c>
      <c r="C10369" t="str">
        <f>"33"</f>
        <v>33</v>
      </c>
      <c r="D10369" t="str">
        <f>"So Many Days"</f>
        <v>So Many Days</v>
      </c>
    </row>
    <row r="10370" spans="1:4" x14ac:dyDescent="0.2">
      <c r="A10370" t="str">
        <f>"10369"</f>
        <v>10369</v>
      </c>
      <c r="B10370" t="str">
        <f>"-0.26"</f>
        <v>-0.26</v>
      </c>
      <c r="C10370" t="str">
        <f>"42"</f>
        <v>42</v>
      </c>
      <c r="D10370" t="str">
        <f>"Beyul"</f>
        <v>Beyul</v>
      </c>
    </row>
    <row r="10371" spans="1:4" x14ac:dyDescent="0.2">
      <c r="A10371" t="str">
        <f>"10370"</f>
        <v>10370</v>
      </c>
      <c r="B10371" t="str">
        <f>"-0.06"</f>
        <v>-0.06</v>
      </c>
      <c r="C10371" t="str">
        <f>"60"</f>
        <v>60</v>
      </c>
      <c r="D10371" t="s">
        <v>314</v>
      </c>
    </row>
    <row r="10372" spans="1:4" x14ac:dyDescent="0.2">
      <c r="A10372" t="str">
        <f>"10371"</f>
        <v>10371</v>
      </c>
      <c r="B10372" t="str">
        <f>"0.94"</f>
        <v>0.94</v>
      </c>
      <c r="C10372" t="str">
        <f>"33"</f>
        <v>33</v>
      </c>
      <c r="D10372" t="str">
        <f>"Peter Buck"</f>
        <v>Peter Buck</v>
      </c>
    </row>
    <row r="10373" spans="1:4" x14ac:dyDescent="0.2">
      <c r="A10373" t="str">
        <f>"10372"</f>
        <v>10372</v>
      </c>
      <c r="B10373" t="str">
        <f>"0.12"</f>
        <v>0.12</v>
      </c>
      <c r="C10373" t="str">
        <f>"25"</f>
        <v>25</v>
      </c>
      <c r="D10373" t="str">
        <f>"Mars"</f>
        <v>Mars</v>
      </c>
    </row>
    <row r="10374" spans="1:4" x14ac:dyDescent="0.2">
      <c r="A10374" t="str">
        <f>"10373"</f>
        <v>10373</v>
      </c>
      <c r="B10374" t="str">
        <f>"0.93"</f>
        <v>0.93</v>
      </c>
      <c r="C10374" t="str">
        <f>"36"</f>
        <v>36</v>
      </c>
      <c r="D10374" t="str">
        <f>"GEM"</f>
        <v>GEM</v>
      </c>
    </row>
    <row r="10375" spans="1:4" x14ac:dyDescent="0.2">
      <c r="A10375" t="str">
        <f>"10374"</f>
        <v>10374</v>
      </c>
      <c r="B10375" t="str">
        <f>"-0.47"</f>
        <v>-0.47</v>
      </c>
      <c r="C10375" t="str">
        <f>"32"</f>
        <v>32</v>
      </c>
      <c r="D10375" t="str">
        <f>"I Begin"</f>
        <v>I Begin</v>
      </c>
    </row>
    <row r="10376" spans="1:4" x14ac:dyDescent="0.2">
      <c r="A10376" t="str">
        <f>"10375"</f>
        <v>10375</v>
      </c>
      <c r="B10376" t="str">
        <f>"1.08"</f>
        <v>1.08</v>
      </c>
      <c r="C10376" t="str">
        <f>"43"</f>
        <v>43</v>
      </c>
      <c r="D10376" t="str">
        <f>"The Haunted Man"</f>
        <v>The Haunted Man</v>
      </c>
    </row>
    <row r="10377" spans="1:4" x14ac:dyDescent="0.2">
      <c r="A10377" t="str">
        <f>"10376"</f>
        <v>10376</v>
      </c>
      <c r="B10377" t="str">
        <f>"0.16"</f>
        <v>0.16</v>
      </c>
      <c r="C10377" t="str">
        <f>"23"</f>
        <v>23</v>
      </c>
      <c r="D10377" t="str">
        <f>"DJ-Kicks"</f>
        <v>DJ-Kicks</v>
      </c>
    </row>
    <row r="10378" spans="1:4" x14ac:dyDescent="0.2">
      <c r="A10378" t="str">
        <f>"10377"</f>
        <v>10377</v>
      </c>
      <c r="B10378" t="str">
        <f>"-0.63"</f>
        <v>-0.63</v>
      </c>
      <c r="C10378" t="str">
        <f>"42"</f>
        <v>42</v>
      </c>
      <c r="D10378" t="str">
        <f>"Book Burner"</f>
        <v>Book Burner</v>
      </c>
    </row>
    <row r="10379" spans="1:4" x14ac:dyDescent="0.2">
      <c r="A10379" t="str">
        <f>"10378"</f>
        <v>10378</v>
      </c>
      <c r="B10379" t="str">
        <f>"0.25"</f>
        <v>0.25</v>
      </c>
      <c r="C10379" t="str">
        <f>"28"</f>
        <v>28</v>
      </c>
      <c r="D10379" t="str">
        <f>"Sunshine"</f>
        <v>Sunshine</v>
      </c>
    </row>
    <row r="10380" spans="1:4" x14ac:dyDescent="0.2">
      <c r="A10380" t="str">
        <f>"10379"</f>
        <v>10379</v>
      </c>
      <c r="B10380" t="str">
        <f>"-0.65"</f>
        <v>-0.65</v>
      </c>
      <c r="C10380" t="str">
        <f>"39"</f>
        <v>39</v>
      </c>
      <c r="D10380" t="str">
        <f>"Ornamented Walls"</f>
        <v>Ornamented Walls</v>
      </c>
    </row>
    <row r="10381" spans="1:4" x14ac:dyDescent="0.2">
      <c r="A10381" t="str">
        <f>"10380"</f>
        <v>10380</v>
      </c>
      <c r="B10381" t="str">
        <f>"-0.45"</f>
        <v>-0.45</v>
      </c>
      <c r="C10381" t="str">
        <f>"41"</f>
        <v>41</v>
      </c>
      <c r="D10381" t="str">
        <f>"Ghost EP"</f>
        <v>Ghost EP</v>
      </c>
    </row>
    <row r="10382" spans="1:4" x14ac:dyDescent="0.2">
      <c r="A10382" t="str">
        <f>"10381"</f>
        <v>10381</v>
      </c>
      <c r="B10382" t="str">
        <f>"0.44"</f>
        <v>0.44</v>
      </c>
      <c r="C10382" t="str">
        <f>"22"</f>
        <v>22</v>
      </c>
      <c r="D10382" t="str">
        <f>"Autumn Bird Songs"</f>
        <v>Autumn Bird Songs</v>
      </c>
    </row>
    <row r="10383" spans="1:4" x14ac:dyDescent="0.2">
      <c r="A10383" t="str">
        <f>"10382"</f>
        <v>10382</v>
      </c>
      <c r="B10383" t="str">
        <f>"0.28"</f>
        <v>0.28</v>
      </c>
      <c r="C10383" t="str">
        <f>"26"</f>
        <v>26</v>
      </c>
      <c r="D10383" t="str">
        <f>"Negroes on Ice"</f>
        <v>Negroes on Ice</v>
      </c>
    </row>
    <row r="10384" spans="1:4" x14ac:dyDescent="0.2">
      <c r="A10384" t="str">
        <f>"10383"</f>
        <v>10383</v>
      </c>
      <c r="B10384" t="str">
        <f>"-0.56"</f>
        <v>-0.56</v>
      </c>
      <c r="C10384" t="str">
        <f>"36"</f>
        <v>36</v>
      </c>
      <c r="D10384" t="str">
        <f>"Over &amp; Over EP"</f>
        <v>Over &amp; Over EP</v>
      </c>
    </row>
    <row r="10385" spans="1:4" x14ac:dyDescent="0.2">
      <c r="A10385" t="str">
        <f>"10384"</f>
        <v>10384</v>
      </c>
      <c r="B10385" t="str">
        <f>"0.74"</f>
        <v>0.74</v>
      </c>
      <c r="C10385" t="str">
        <f>"15"</f>
        <v>15</v>
      </c>
      <c r="D10385" t="str">
        <f>"Furniture"</f>
        <v>Furniture</v>
      </c>
    </row>
    <row r="10386" spans="1:4" x14ac:dyDescent="0.2">
      <c r="A10386" t="str">
        <f>"10385"</f>
        <v>10385</v>
      </c>
      <c r="B10386" t="str">
        <f>"-0.06"</f>
        <v>-0.06</v>
      </c>
      <c r="C10386" t="str">
        <f>"52"</f>
        <v>52</v>
      </c>
      <c r="D10386" t="str">
        <f>"Rework: Philip Glass Remixed"</f>
        <v>Rework: Philip Glass Remixed</v>
      </c>
    </row>
    <row r="10387" spans="1:4" x14ac:dyDescent="0.2">
      <c r="A10387" t="str">
        <f>"10386"</f>
        <v>10386</v>
      </c>
      <c r="B10387" t="str">
        <f>"-0.22"</f>
        <v>-0.22</v>
      </c>
      <c r="C10387" t="str">
        <f>"33"</f>
        <v>33</v>
      </c>
      <c r="D10387" t="str">
        <f>"Cee Lo's Magic Moment"</f>
        <v>Cee Lo's Magic Moment</v>
      </c>
    </row>
    <row r="10388" spans="1:4" x14ac:dyDescent="0.2">
      <c r="A10388" t="str">
        <f>"10387"</f>
        <v>10387</v>
      </c>
      <c r="B10388" t="str">
        <f>"-0.63"</f>
        <v>-0.63</v>
      </c>
      <c r="C10388" t="str">
        <f>"36"</f>
        <v>36</v>
      </c>
      <c r="D10388" t="str">
        <f>"Dept. of Disappearance"</f>
        <v>Dept. of Disappearance</v>
      </c>
    </row>
    <row r="10389" spans="1:4" x14ac:dyDescent="0.2">
      <c r="A10389" t="str">
        <f>"10388"</f>
        <v>10388</v>
      </c>
      <c r="B10389" t="str">
        <f>"-0.37"</f>
        <v>-0.37</v>
      </c>
      <c r="C10389" t="str">
        <f>"23"</f>
        <v>23</v>
      </c>
      <c r="D10389" t="str">
        <f>"The Feeling"</f>
        <v>The Feeling</v>
      </c>
    </row>
    <row r="10390" spans="1:4" x14ac:dyDescent="0.2">
      <c r="A10390" t="str">
        <f>"10389"</f>
        <v>10389</v>
      </c>
      <c r="B10390" t="str">
        <f>"-0.22"</f>
        <v>-0.22</v>
      </c>
      <c r="C10390" t="str">
        <f>"29"</f>
        <v>29</v>
      </c>
      <c r="D10390" t="str">
        <f>"Zodiac EP"</f>
        <v>Zodiac EP</v>
      </c>
    </row>
    <row r="10391" spans="1:4" x14ac:dyDescent="0.2">
      <c r="A10391" t="str">
        <f>"10390"</f>
        <v>10390</v>
      </c>
      <c r="B10391" t="str">
        <f>"-0.46"</f>
        <v>-0.46</v>
      </c>
      <c r="C10391" t="str">
        <f>"33"</f>
        <v>33</v>
      </c>
      <c r="D10391" t="str">
        <f>"Information Retrieved"</f>
        <v>Information Retrieved</v>
      </c>
    </row>
    <row r="10392" spans="1:4" x14ac:dyDescent="0.2">
      <c r="A10392" t="str">
        <f>"10391"</f>
        <v>10391</v>
      </c>
      <c r="B10392" t="str">
        <f>"1.03"</f>
        <v>1.03</v>
      </c>
      <c r="C10392" t="str">
        <f>"41"</f>
        <v>41</v>
      </c>
      <c r="D10392" t="str">
        <f>"The Iconic EP"</f>
        <v>The Iconic EP</v>
      </c>
    </row>
    <row r="10393" spans="1:4" x14ac:dyDescent="0.2">
      <c r="A10393" t="str">
        <f>"10392"</f>
        <v>10392</v>
      </c>
      <c r="B10393" t="str">
        <f>"-0.21"</f>
        <v>-0.21</v>
      </c>
      <c r="C10393" t="str">
        <f>"32"</f>
        <v>32</v>
      </c>
      <c r="D10393" t="str">
        <f>"Tragicomedies"</f>
        <v>Tragicomedies</v>
      </c>
    </row>
    <row r="10394" spans="1:4" x14ac:dyDescent="0.2">
      <c r="A10394" t="str">
        <f>"10393"</f>
        <v>10393</v>
      </c>
      <c r="B10394" t="str">
        <f>"-0.16"</f>
        <v>-0.16</v>
      </c>
      <c r="C10394" t="str">
        <f>"25"</f>
        <v>25</v>
      </c>
      <c r="D10394" t="str">
        <f>"Unknown Rooms: A Collection of Acoustic Songs"</f>
        <v>Unknown Rooms: A Collection of Acoustic Songs</v>
      </c>
    </row>
    <row r="10395" spans="1:4" x14ac:dyDescent="0.2">
      <c r="A10395" t="str">
        <f>"10394"</f>
        <v>10394</v>
      </c>
      <c r="B10395" t="str">
        <f>"0.43"</f>
        <v>0.43</v>
      </c>
      <c r="C10395" t="str">
        <f>"11"</f>
        <v>11</v>
      </c>
      <c r="D10395" t="str">
        <f>"Untogether"</f>
        <v>Untogether</v>
      </c>
    </row>
    <row r="10396" spans="1:4" x14ac:dyDescent="0.2">
      <c r="A10396" t="str">
        <f>"10395"</f>
        <v>10395</v>
      </c>
      <c r="B10396" t="str">
        <f>"-0.98"</f>
        <v>-0.98</v>
      </c>
      <c r="C10396" t="str">
        <f>"29"</f>
        <v>29</v>
      </c>
      <c r="D10396" t="str">
        <f>"Jiaolong"</f>
        <v>Jiaolong</v>
      </c>
    </row>
    <row r="10397" spans="1:4" x14ac:dyDescent="0.2">
      <c r="A10397" t="str">
        <f>"10396"</f>
        <v>10396</v>
      </c>
      <c r="B10397" t="str">
        <f>"0.4"</f>
        <v>0.4</v>
      </c>
      <c r="C10397" t="str">
        <f>"21"</f>
        <v>21</v>
      </c>
      <c r="D10397" t="str">
        <f>"Daughter of Cloud"</f>
        <v>Daughter of Cloud</v>
      </c>
    </row>
    <row r="10398" spans="1:4" x14ac:dyDescent="0.2">
      <c r="A10398" t="str">
        <f>"10397"</f>
        <v>10397</v>
      </c>
      <c r="B10398" t="str">
        <f>"-0.1"</f>
        <v>-0.1</v>
      </c>
      <c r="C10398" t="str">
        <f>"31"</f>
        <v>31</v>
      </c>
      <c r="D10398" t="str">
        <f>"Tender New Signs"</f>
        <v>Tender New Signs</v>
      </c>
    </row>
    <row r="10399" spans="1:4" x14ac:dyDescent="0.2">
      <c r="A10399" t="str">
        <f>"10398"</f>
        <v>10398</v>
      </c>
      <c r="B10399" t="str">
        <f>"0.23"</f>
        <v>0.23</v>
      </c>
      <c r="C10399" t="str">
        <f>"22"</f>
        <v>22</v>
      </c>
      <c r="D10399" t="str">
        <f>"Stunt Rhythms"</f>
        <v>Stunt Rhythms</v>
      </c>
    </row>
    <row r="10400" spans="1:4" x14ac:dyDescent="0.2">
      <c r="A10400" t="str">
        <f>"10399"</f>
        <v>10399</v>
      </c>
      <c r="B10400" t="str">
        <f>"-0.17"</f>
        <v>-0.17</v>
      </c>
      <c r="C10400" t="str">
        <f>"40"</f>
        <v>40</v>
      </c>
      <c r="D10400" t="str">
        <f>"System Preferences"</f>
        <v>System Preferences</v>
      </c>
    </row>
    <row r="10401" spans="1:4" x14ac:dyDescent="0.2">
      <c r="A10401" t="str">
        <f>"10400"</f>
        <v>10400</v>
      </c>
      <c r="B10401" t="str">
        <f>"-0.36"</f>
        <v>-0.36</v>
      </c>
      <c r="C10401" t="str">
        <f>"60"</f>
        <v>60</v>
      </c>
      <c r="D10401" t="str">
        <f>"Allelujah! Don't Bend! Ascend!"</f>
        <v>Allelujah! Don't Bend! Ascend!</v>
      </c>
    </row>
    <row r="10402" spans="1:4" x14ac:dyDescent="0.2">
      <c r="A10402" t="str">
        <f>"10401"</f>
        <v>10401</v>
      </c>
      <c r="B10402" t="str">
        <f>"0.1"</f>
        <v>0.1</v>
      </c>
      <c r="C10402" t="str">
        <f>"39"</f>
        <v>39</v>
      </c>
      <c r="D10402" t="str">
        <f>"Former Lives"</f>
        <v>Former Lives</v>
      </c>
    </row>
    <row r="10403" spans="1:4" x14ac:dyDescent="0.2">
      <c r="A10403" t="str">
        <f>"10402"</f>
        <v>10402</v>
      </c>
      <c r="B10403" t="str">
        <f>"-0.45"</f>
        <v>-0.45</v>
      </c>
      <c r="C10403" t="str">
        <f>"30"</f>
        <v>30</v>
      </c>
      <c r="D10403" t="str">
        <f>"The Ganzfeld EP"</f>
        <v>The Ganzfeld EP</v>
      </c>
    </row>
    <row r="10404" spans="1:4" x14ac:dyDescent="0.2">
      <c r="A10404" t="str">
        <f>"10403"</f>
        <v>10403</v>
      </c>
      <c r="B10404" t="str">
        <f>"0.5"</f>
        <v>0.5</v>
      </c>
      <c r="C10404" t="str">
        <f>"33"</f>
        <v>33</v>
      </c>
      <c r="D10404" t="str">
        <f>"Ralph Lauren Reefa"</f>
        <v>Ralph Lauren Reefa</v>
      </c>
    </row>
    <row r="10405" spans="1:4" x14ac:dyDescent="0.2">
      <c r="A10405" t="str">
        <f>"10404"</f>
        <v>10404</v>
      </c>
      <c r="B10405" t="str">
        <f>"0.05"</f>
        <v>0.05</v>
      </c>
      <c r="C10405" t="str">
        <f>"36"</f>
        <v>36</v>
      </c>
      <c r="D10405" t="str">
        <f>"w^w^^w^w"</f>
        <v>w^w^^w^w</v>
      </c>
    </row>
    <row r="10406" spans="1:4" x14ac:dyDescent="0.2">
      <c r="A10406" t="str">
        <f>"10405"</f>
        <v>10405</v>
      </c>
      <c r="B10406" t="str">
        <f>"0.32"</f>
        <v>0.32</v>
      </c>
      <c r="C10406" t="str">
        <f>"50"</f>
        <v>50</v>
      </c>
      <c r="D10406" t="str">
        <f>"All We Love We Leave Behind"</f>
        <v>All We Love We Leave Behind</v>
      </c>
    </row>
    <row r="10407" spans="1:4" x14ac:dyDescent="0.2">
      <c r="A10407" t="str">
        <f>"10406"</f>
        <v>10406</v>
      </c>
      <c r="B10407" t="str">
        <f>"-0.05"</f>
        <v>-0.05</v>
      </c>
      <c r="C10407" t="str">
        <f>"33"</f>
        <v>33</v>
      </c>
      <c r="D10407" t="str">
        <f>"Numbers"</f>
        <v>Numbers</v>
      </c>
    </row>
    <row r="10408" spans="1:4" x14ac:dyDescent="0.2">
      <c r="A10408" t="str">
        <f>"10407"</f>
        <v>10407</v>
      </c>
      <c r="B10408" t="str">
        <f>"0.05"</f>
        <v>0.05</v>
      </c>
      <c r="C10408" t="str">
        <f>"32"</f>
        <v>32</v>
      </c>
      <c r="D10408" t="str">
        <f>"Ye Are Gods"</f>
        <v>Ye Are Gods</v>
      </c>
    </row>
    <row r="10409" spans="1:4" x14ac:dyDescent="0.2">
      <c r="A10409" t="str">
        <f>"10408"</f>
        <v>10408</v>
      </c>
      <c r="B10409" t="str">
        <f>"1.11"</f>
        <v>1.11</v>
      </c>
      <c r="C10409" t="str">
        <f>"42"</f>
        <v>42</v>
      </c>
      <c r="D10409" t="str">
        <f>"I Love Grime"</f>
        <v>I Love Grime</v>
      </c>
    </row>
    <row r="10410" spans="1:4" x14ac:dyDescent="0.2">
      <c r="A10410" t="str">
        <f>"10409"</f>
        <v>10409</v>
      </c>
      <c r="B10410" t="str">
        <f>"-0.19"</f>
        <v>-0.19</v>
      </c>
      <c r="C10410" t="str">
        <f>"30"</f>
        <v>30</v>
      </c>
      <c r="D10410" t="str">
        <f>"No Can Do"</f>
        <v>No Can Do</v>
      </c>
    </row>
    <row r="10411" spans="1:4" x14ac:dyDescent="0.2">
      <c r="A10411" t="str">
        <f>"10410"</f>
        <v>10410</v>
      </c>
      <c r="B10411" t="str">
        <f>"-1.02"</f>
        <v>-1.02</v>
      </c>
      <c r="C10411" t="str">
        <f>"24"</f>
        <v>24</v>
      </c>
      <c r="D10411" t="str">
        <f>"119"</f>
        <v>119</v>
      </c>
    </row>
    <row r="10412" spans="1:4" x14ac:dyDescent="0.2">
      <c r="A10412" t="str">
        <f>"10411"</f>
        <v>10411</v>
      </c>
      <c r="B10412" t="str">
        <f>"0.21"</f>
        <v>0.21</v>
      </c>
      <c r="C10412" t="str">
        <f>"28"</f>
        <v>28</v>
      </c>
      <c r="D10412" t="str">
        <f>"Accelerator"</f>
        <v>Accelerator</v>
      </c>
    </row>
    <row r="10413" spans="1:4" x14ac:dyDescent="0.2">
      <c r="A10413" t="str">
        <f>"10412"</f>
        <v>10412</v>
      </c>
      <c r="B10413" t="str">
        <f>"-0.32"</f>
        <v>-0.32</v>
      </c>
      <c r="C10413" t="str">
        <f>"34"</f>
        <v>34</v>
      </c>
      <c r="D10413" t="str">
        <f>"Commercial Music"</f>
        <v>Commercial Music</v>
      </c>
    </row>
    <row r="10414" spans="1:4" x14ac:dyDescent="0.2">
      <c r="A10414" t="str">
        <f>"10413"</f>
        <v>10413</v>
      </c>
      <c r="B10414" t="str">
        <f>"-0.56"</f>
        <v>-0.56</v>
      </c>
      <c r="C10414" t="str">
        <f>"23"</f>
        <v>23</v>
      </c>
      <c r="D10414" t="str">
        <f>"Colored Emotions"</f>
        <v>Colored Emotions</v>
      </c>
    </row>
    <row r="10415" spans="1:4" x14ac:dyDescent="0.2">
      <c r="A10415" t="str">
        <f>"10414"</f>
        <v>10414</v>
      </c>
      <c r="B10415" t="str">
        <f>"-0.03"</f>
        <v>-0.03</v>
      </c>
      <c r="C10415" t="str">
        <f>"27"</f>
        <v>27</v>
      </c>
      <c r="D10415" t="str">
        <f>"The Killer"</f>
        <v>The Killer</v>
      </c>
    </row>
    <row r="10416" spans="1:4" x14ac:dyDescent="0.2">
      <c r="A10416" t="str">
        <f>"10415"</f>
        <v>10415</v>
      </c>
      <c r="B10416" t="str">
        <f>"-1.05"</f>
        <v>-1.05</v>
      </c>
      <c r="C10416" t="str">
        <f>"22"</f>
        <v>22</v>
      </c>
      <c r="D10416" t="str">
        <f>"Metz"</f>
        <v>Metz</v>
      </c>
    </row>
    <row r="10417" spans="1:4" x14ac:dyDescent="0.2">
      <c r="A10417" t="str">
        <f>"10416"</f>
        <v>10416</v>
      </c>
      <c r="B10417" t="str">
        <f>"-0.04"</f>
        <v>-0.04</v>
      </c>
      <c r="C10417" t="str">
        <f>"35"</f>
        <v>35</v>
      </c>
      <c r="D10417" t="str">
        <f>"Shut Down the Streets"</f>
        <v>Shut Down the Streets</v>
      </c>
    </row>
    <row r="10418" spans="1:4" x14ac:dyDescent="0.2">
      <c r="A10418" t="str">
        <f>"10417"</f>
        <v>10417</v>
      </c>
      <c r="B10418" t="str">
        <f>"-0.94"</f>
        <v>-0.94</v>
      </c>
      <c r="C10418" t="str">
        <f>"41"</f>
        <v>41</v>
      </c>
      <c r="D10418" t="str">
        <f>"Cokefloat!"</f>
        <v>Cokefloat!</v>
      </c>
    </row>
    <row r="10419" spans="1:4" x14ac:dyDescent="0.2">
      <c r="A10419" t="str">
        <f>"10418"</f>
        <v>10418</v>
      </c>
      <c r="B10419" t="str">
        <f>"0.69"</f>
        <v>0.69</v>
      </c>
      <c r="C10419" t="str">
        <f>"23"</f>
        <v>23</v>
      </c>
      <c r="D10419" t="str">
        <f>"Rinse Presents: Royal-T"</f>
        <v>Rinse Presents: Royal-T</v>
      </c>
    </row>
    <row r="10420" spans="1:4" x14ac:dyDescent="0.2">
      <c r="A10420" t="str">
        <f>"10419"</f>
        <v>10419</v>
      </c>
      <c r="B10420" t="str">
        <f>"0.54"</f>
        <v>0.54</v>
      </c>
      <c r="C10420" t="str">
        <f>"25"</f>
        <v>25</v>
      </c>
      <c r="D10420" t="str">
        <f>"Elemental Themes"</f>
        <v>Elemental Themes</v>
      </c>
    </row>
    <row r="10421" spans="1:4" x14ac:dyDescent="0.2">
      <c r="A10421" t="str">
        <f>"10420"</f>
        <v>10420</v>
      </c>
      <c r="B10421" t="str">
        <f>"0.73"</f>
        <v>0.73</v>
      </c>
      <c r="C10421" t="str">
        <f>"41"</f>
        <v>41</v>
      </c>
      <c r="D10421" t="str">
        <f>"Twins"</f>
        <v>Twins</v>
      </c>
    </row>
    <row r="10422" spans="1:4" x14ac:dyDescent="0.2">
      <c r="A10422" t="str">
        <f>"10421"</f>
        <v>10421</v>
      </c>
      <c r="B10422" t="str">
        <f>"-0.9"</f>
        <v>-0.9</v>
      </c>
      <c r="C10422" t="str">
        <f>"65"</f>
        <v>65</v>
      </c>
      <c r="D10422" t="s">
        <v>315</v>
      </c>
    </row>
    <row r="10423" spans="1:4" x14ac:dyDescent="0.2">
      <c r="A10423" t="str">
        <f>"10422"</f>
        <v>10422</v>
      </c>
      <c r="B10423" t="str">
        <f>"0.88"</f>
        <v>0.88</v>
      </c>
      <c r="C10423" t="str">
        <f>"40"</f>
        <v>40</v>
      </c>
      <c r="D10423" t="str">
        <f>"Lonesome Dreams"</f>
        <v>Lonesome Dreams</v>
      </c>
    </row>
    <row r="10424" spans="1:4" x14ac:dyDescent="0.2">
      <c r="A10424" t="str">
        <f>"10423"</f>
        <v>10423</v>
      </c>
      <c r="B10424" t="str">
        <f>"-0.23"</f>
        <v>-0.23</v>
      </c>
      <c r="C10424" t="str">
        <f>"32"</f>
        <v>32</v>
      </c>
      <c r="D10424" t="str">
        <f>"Embers and Revelations"</f>
        <v>Embers and Revelations</v>
      </c>
    </row>
    <row r="10425" spans="1:4" x14ac:dyDescent="0.2">
      <c r="A10425" t="str">
        <f>"10424"</f>
        <v>10424</v>
      </c>
      <c r="B10425" t="str">
        <f>"0.75"</f>
        <v>0.75</v>
      </c>
      <c r="C10425" t="str">
        <f>"29"</f>
        <v>29</v>
      </c>
      <c r="D10425" t="str">
        <f>"Assimilating the Shadow"</f>
        <v>Assimilating the Shadow</v>
      </c>
    </row>
    <row r="10426" spans="1:4" x14ac:dyDescent="0.2">
      <c r="A10426" t="str">
        <f>"10425"</f>
        <v>10425</v>
      </c>
      <c r="B10426" t="str">
        <f>"0.77"</f>
        <v>0.77</v>
      </c>
      <c r="C10426" t="str">
        <f>"50"</f>
        <v>50</v>
      </c>
      <c r="D10426" t="str">
        <f>"Lonerism"</f>
        <v>Lonerism</v>
      </c>
    </row>
    <row r="10427" spans="1:4" x14ac:dyDescent="0.2">
      <c r="A10427" t="str">
        <f>"10426"</f>
        <v>10426</v>
      </c>
      <c r="B10427" t="str">
        <f>"-1.31"</f>
        <v>-1.31</v>
      </c>
      <c r="C10427" t="str">
        <f>"27"</f>
        <v>27</v>
      </c>
      <c r="D10427" t="str">
        <f>"Shifty Adventures in Nookie Wood"</f>
        <v>Shifty Adventures in Nookie Wood</v>
      </c>
    </row>
    <row r="10428" spans="1:4" x14ac:dyDescent="0.2">
      <c r="A10428" t="str">
        <f>"10427"</f>
        <v>10427</v>
      </c>
      <c r="B10428" t="str">
        <f>"0.47"</f>
        <v>0.47</v>
      </c>
      <c r="C10428" t="str">
        <f>"43"</f>
        <v>43</v>
      </c>
      <c r="D10428" t="str">
        <f>"First of a Living Breed"</f>
        <v>First of a Living Breed</v>
      </c>
    </row>
    <row r="10429" spans="1:4" x14ac:dyDescent="0.2">
      <c r="A10429" t="str">
        <f>"10428"</f>
        <v>10428</v>
      </c>
      <c r="B10429" t="str">
        <f>"1.45"</f>
        <v>1.45</v>
      </c>
      <c r="C10429" t="str">
        <f>"23"</f>
        <v>23</v>
      </c>
      <c r="D10429" t="str">
        <f>"Maserati VII"</f>
        <v>Maserati VII</v>
      </c>
    </row>
    <row r="10430" spans="1:4" x14ac:dyDescent="0.2">
      <c r="A10430" t="str">
        <f>"10429"</f>
        <v>10429</v>
      </c>
      <c r="B10430" t="str">
        <f>"1.8"</f>
        <v>1.8</v>
      </c>
      <c r="C10430" t="str">
        <f>"35"</f>
        <v>35</v>
      </c>
      <c r="D10430" t="str">
        <f>"It's Cosy Inside"</f>
        <v>It's Cosy Inside</v>
      </c>
    </row>
    <row r="10431" spans="1:4" x14ac:dyDescent="0.2">
      <c r="A10431" t="str">
        <f>"10430"</f>
        <v>10430</v>
      </c>
      <c r="B10431" t="str">
        <f>"-1.13"</f>
        <v>-1.13</v>
      </c>
      <c r="C10431" t="str">
        <f>"60"</f>
        <v>60</v>
      </c>
      <c r="D10431" t="str">
        <f>"NO LOVE DEEP WEB"</f>
        <v>NO LOVE DEEP WEB</v>
      </c>
    </row>
    <row r="10432" spans="1:4" x14ac:dyDescent="0.2">
      <c r="A10432" t="str">
        <f>"10431"</f>
        <v>10431</v>
      </c>
      <c r="B10432" t="str">
        <f>"0.98"</f>
        <v>0.98</v>
      </c>
      <c r="C10432" t="str">
        <f>"27"</f>
        <v>27</v>
      </c>
      <c r="D10432" t="str">
        <f>"Other Worlds"</f>
        <v>Other Worlds</v>
      </c>
    </row>
    <row r="10433" spans="1:4" x14ac:dyDescent="0.2">
      <c r="A10433" t="str">
        <f>"10432"</f>
        <v>10432</v>
      </c>
      <c r="B10433" t="str">
        <f>"0.49"</f>
        <v>0.49</v>
      </c>
      <c r="C10433" t="str">
        <f>"37"</f>
        <v>37</v>
      </c>
      <c r="D10433" t="str">
        <f>"Music Is Painting in the Air"</f>
        <v>Music Is Painting in the Air</v>
      </c>
    </row>
    <row r="10434" spans="1:4" x14ac:dyDescent="0.2">
      <c r="A10434" t="str">
        <f>"10433"</f>
        <v>10433</v>
      </c>
      <c r="B10434" t="str">
        <f>"-0.78"</f>
        <v>-0.78</v>
      </c>
      <c r="C10434" t="str">
        <f>"38"</f>
        <v>38</v>
      </c>
      <c r="D10434" t="str">
        <f>"Candy Bar Creep Show"</f>
        <v>Candy Bar Creep Show</v>
      </c>
    </row>
    <row r="10435" spans="1:4" x14ac:dyDescent="0.2">
      <c r="A10435" t="str">
        <f>"10434"</f>
        <v>10434</v>
      </c>
      <c r="B10435" t="str">
        <f>"0.25"</f>
        <v>0.25</v>
      </c>
      <c r="C10435" t="str">
        <f>"22"</f>
        <v>22</v>
      </c>
      <c r="D10435" t="str">
        <f>"Formerly Extinct"</f>
        <v>Formerly Extinct</v>
      </c>
    </row>
    <row r="10436" spans="1:4" x14ac:dyDescent="0.2">
      <c r="A10436" t="str">
        <f>"10435"</f>
        <v>10435</v>
      </c>
      <c r="B10436" t="str">
        <f>"0.74"</f>
        <v>0.74</v>
      </c>
      <c r="C10436" t="str">
        <f>"46"</f>
        <v>46</v>
      </c>
      <c r="D10436" t="str">
        <f>"Kaleidoscope Dream"</f>
        <v>Kaleidoscope Dream</v>
      </c>
    </row>
    <row r="10437" spans="1:4" x14ac:dyDescent="0.2">
      <c r="A10437" t="str">
        <f>"10436"</f>
        <v>10436</v>
      </c>
      <c r="B10437" t="str">
        <f>"-0.24"</f>
        <v>-0.24</v>
      </c>
      <c r="C10437" t="str">
        <f>"44"</f>
        <v>44</v>
      </c>
      <c r="D10437" t="str">
        <f>"Baby Face Killa"</f>
        <v>Baby Face Killa</v>
      </c>
    </row>
    <row r="10438" spans="1:4" x14ac:dyDescent="0.2">
      <c r="A10438" t="str">
        <f>"10437"</f>
        <v>10437</v>
      </c>
      <c r="B10438" t="str">
        <f>"-0.43"</f>
        <v>-0.43</v>
      </c>
      <c r="C10438" t="str">
        <f>"26"</f>
        <v>26</v>
      </c>
      <c r="D10438" t="str">
        <f>"Alight in Ashes"</f>
        <v>Alight in Ashes</v>
      </c>
    </row>
    <row r="10439" spans="1:4" x14ac:dyDescent="0.2">
      <c r="A10439" t="str">
        <f>"10438"</f>
        <v>10438</v>
      </c>
      <c r="B10439" t="str">
        <f>"0.04"</f>
        <v>0.04</v>
      </c>
      <c r="C10439" t="str">
        <f>"32"</f>
        <v>32</v>
      </c>
      <c r="D10439" t="str">
        <f>"Space Zone"</f>
        <v>Space Zone</v>
      </c>
    </row>
    <row r="10440" spans="1:4" x14ac:dyDescent="0.2">
      <c r="A10440" t="str">
        <f>"10439"</f>
        <v>10439</v>
      </c>
      <c r="B10440" t="str">
        <f>"0.54"</f>
        <v>0.54</v>
      </c>
      <c r="C10440" t="str">
        <f>"20"</f>
        <v>20</v>
      </c>
      <c r="D10440" t="str">
        <f>"Falling"</f>
        <v>Falling</v>
      </c>
    </row>
    <row r="10441" spans="1:4" x14ac:dyDescent="0.2">
      <c r="A10441" t="str">
        <f>"10440"</f>
        <v>10440</v>
      </c>
      <c r="B10441" t="str">
        <f>"-0.54"</f>
        <v>-0.54</v>
      </c>
      <c r="C10441" t="str">
        <f>"30"</f>
        <v>30</v>
      </c>
      <c r="D10441" t="str">
        <f>"Ultraísta"</f>
        <v>Ultraísta</v>
      </c>
    </row>
    <row r="10442" spans="1:4" x14ac:dyDescent="0.2">
      <c r="A10442" t="str">
        <f>"10441"</f>
        <v>10441</v>
      </c>
      <c r="B10442" t="str">
        <f>"1"</f>
        <v>1</v>
      </c>
      <c r="C10442" t="str">
        <f>"35"</f>
        <v>35</v>
      </c>
      <c r="D10442" t="str">
        <f>"Sugaring Season"</f>
        <v>Sugaring Season</v>
      </c>
    </row>
    <row r="10443" spans="1:4" x14ac:dyDescent="0.2">
      <c r="A10443" t="str">
        <f>"10442"</f>
        <v>10442</v>
      </c>
      <c r="B10443" t="str">
        <f>"0.95"</f>
        <v>0.95</v>
      </c>
      <c r="C10443" t="str">
        <f>"45"</f>
        <v>45</v>
      </c>
      <c r="D10443" t="str">
        <f>"Soft Fall"</f>
        <v>Soft Fall</v>
      </c>
    </row>
    <row r="10444" spans="1:4" x14ac:dyDescent="0.2">
      <c r="A10444" t="str">
        <f>"10443"</f>
        <v>10443</v>
      </c>
      <c r="B10444" t="str">
        <f>"0.48"</f>
        <v>0.48</v>
      </c>
      <c r="C10444" t="str">
        <f>"32"</f>
        <v>32</v>
      </c>
      <c r="D10444" t="str">
        <f>"Circles"</f>
        <v>Circles</v>
      </c>
    </row>
    <row r="10445" spans="1:4" x14ac:dyDescent="0.2">
      <c r="A10445" t="str">
        <f>"10444"</f>
        <v>10444</v>
      </c>
      <c r="B10445" t="str">
        <f>"-0.4"</f>
        <v>-0.4</v>
      </c>
      <c r="C10445" t="str">
        <f>"26"</f>
        <v>26</v>
      </c>
      <c r="D10445" t="str">
        <f>"Vent"</f>
        <v>Vent</v>
      </c>
    </row>
    <row r="10446" spans="1:4" x14ac:dyDescent="0.2">
      <c r="A10446" t="str">
        <f>"10445"</f>
        <v>10445</v>
      </c>
      <c r="B10446" t="str">
        <f>"-0.09"</f>
        <v>-0.09</v>
      </c>
      <c r="C10446" t="str">
        <f>"38"</f>
        <v>38</v>
      </c>
      <c r="D10446" t="str">
        <f>"Transcendental Youth"</f>
        <v>Transcendental Youth</v>
      </c>
    </row>
    <row r="10447" spans="1:4" x14ac:dyDescent="0.2">
      <c r="A10447" t="str">
        <f>"10446"</f>
        <v>10446</v>
      </c>
      <c r="B10447" t="str">
        <f>"-0.68"</f>
        <v>-0.68</v>
      </c>
      <c r="C10447" t="str">
        <f>"60"</f>
        <v>60</v>
      </c>
      <c r="D10447" t="str">
        <f>"The 2nd Law"</f>
        <v>The 2nd Law</v>
      </c>
    </row>
    <row r="10448" spans="1:4" x14ac:dyDescent="0.2">
      <c r="A10448" t="str">
        <f>"10447"</f>
        <v>10447</v>
      </c>
      <c r="B10448" t="str">
        <f>"0.92"</f>
        <v>0.92</v>
      </c>
      <c r="C10448" t="str">
        <f>"27"</f>
        <v>27</v>
      </c>
      <c r="D10448" t="str">
        <f>"Play..."</f>
        <v>Play...</v>
      </c>
    </row>
    <row r="10449" spans="1:4" x14ac:dyDescent="0.2">
      <c r="A10449" t="str">
        <f>"10448"</f>
        <v>10448</v>
      </c>
      <c r="B10449" t="str">
        <f>"-0.18"</f>
        <v>-0.18</v>
      </c>
      <c r="C10449" t="str">
        <f>"24"</f>
        <v>24</v>
      </c>
      <c r="D10449" t="str">
        <f>"The Dark Crawler"</f>
        <v>The Dark Crawler</v>
      </c>
    </row>
    <row r="10450" spans="1:4" x14ac:dyDescent="0.2">
      <c r="A10450" t="str">
        <f>"10449"</f>
        <v>10449</v>
      </c>
      <c r="B10450" t="str">
        <f>"-0.73"</f>
        <v>-0.73</v>
      </c>
      <c r="C10450" t="str">
        <f>"35"</f>
        <v>35</v>
      </c>
      <c r="D10450" t="str">
        <f>"FEAT"</f>
        <v>FEAT</v>
      </c>
    </row>
    <row r="10451" spans="1:4" x14ac:dyDescent="0.2">
      <c r="A10451" t="str">
        <f>"10450"</f>
        <v>10450</v>
      </c>
      <c r="B10451" t="str">
        <f>"1.21"</f>
        <v>1.21</v>
      </c>
      <c r="C10451" t="str">
        <f>"46"</f>
        <v>46</v>
      </c>
      <c r="D10451" t="str">
        <f>"Until the Quiet Comes"</f>
        <v>Until the Quiet Comes</v>
      </c>
    </row>
    <row r="10452" spans="1:4" x14ac:dyDescent="0.2">
      <c r="A10452" t="str">
        <f>"10451"</f>
        <v>10451</v>
      </c>
      <c r="B10452" t="str">
        <f>"0.65"</f>
        <v>0.65</v>
      </c>
      <c r="C10452" t="str">
        <f>"54"</f>
        <v>54</v>
      </c>
      <c r="D10452" t="str">
        <f>"Sundark and Riverlight"</f>
        <v>Sundark and Riverlight</v>
      </c>
    </row>
    <row r="10453" spans="1:4" x14ac:dyDescent="0.2">
      <c r="A10453" t="str">
        <f>"10452"</f>
        <v>10452</v>
      </c>
      <c r="B10453" t="str">
        <f>"0.02"</f>
        <v>0.02</v>
      </c>
      <c r="C10453" t="str">
        <f>"34"</f>
        <v>34</v>
      </c>
      <c r="D10453" t="str">
        <f>"Don't Be a Stranger"</f>
        <v>Don't Be a Stranger</v>
      </c>
    </row>
    <row r="10454" spans="1:4" x14ac:dyDescent="0.2">
      <c r="A10454" t="str">
        <f>"10453"</f>
        <v>10453</v>
      </c>
      <c r="B10454" t="str">
        <f>"-0.52"</f>
        <v>-0.52</v>
      </c>
      <c r="C10454" t="str">
        <f>"35"</f>
        <v>35</v>
      </c>
      <c r="D10454" t="str">
        <f>"Heavy Mood"</f>
        <v>Heavy Mood</v>
      </c>
    </row>
    <row r="10455" spans="1:4" x14ac:dyDescent="0.2">
      <c r="A10455" t="str">
        <f>"10454"</f>
        <v>10454</v>
      </c>
      <c r="B10455" t="str">
        <f>"-0.26"</f>
        <v>-0.26</v>
      </c>
      <c r="C10455" t="str">
        <f>"27"</f>
        <v>27</v>
      </c>
      <c r="D10455" t="str">
        <f>"The Weird Weeds"</f>
        <v>The Weird Weeds</v>
      </c>
    </row>
    <row r="10456" spans="1:4" x14ac:dyDescent="0.2">
      <c r="A10456" t="str">
        <f>"10455"</f>
        <v>10455</v>
      </c>
      <c r="B10456" t="str">
        <f>"-0.64"</f>
        <v>-0.64</v>
      </c>
      <c r="C10456" t="str">
        <f>"25"</f>
        <v>25</v>
      </c>
      <c r="D10456" t="str">
        <f>"YOKOKIMTHURSTON"</f>
        <v>YOKOKIMTHURSTON</v>
      </c>
    </row>
    <row r="10457" spans="1:4" x14ac:dyDescent="0.2">
      <c r="A10457" t="str">
        <f>"10456"</f>
        <v>10456</v>
      </c>
      <c r="B10457" t="str">
        <f>"0.01"</f>
        <v>0.01</v>
      </c>
      <c r="C10457" t="str">
        <f>"51"</f>
        <v>51</v>
      </c>
      <c r="D10457" t="str">
        <f>"777: Cosmosophy"</f>
        <v>777: Cosmosophy</v>
      </c>
    </row>
    <row r="10458" spans="1:4" x14ac:dyDescent="0.2">
      <c r="A10458" t="str">
        <f>"10457"</f>
        <v>10457</v>
      </c>
      <c r="B10458" t="str">
        <f>"0.88"</f>
        <v>0.88</v>
      </c>
      <c r="C10458" t="str">
        <f>"37"</f>
        <v>37</v>
      </c>
      <c r="D10458" t="str">
        <f>"An Awesome Wave"</f>
        <v>An Awesome Wave</v>
      </c>
    </row>
    <row r="10459" spans="1:4" x14ac:dyDescent="0.2">
      <c r="A10459" t="str">
        <f>"10458"</f>
        <v>10458</v>
      </c>
      <c r="B10459" t="str">
        <f>"0.82"</f>
        <v>0.82</v>
      </c>
      <c r="C10459" t="str">
        <f>"32"</f>
        <v>32</v>
      </c>
      <c r="D10459" t="str">
        <f>"Look a Little Closer"</f>
        <v>Look a Little Closer</v>
      </c>
    </row>
    <row r="10460" spans="1:4" x14ac:dyDescent="0.2">
      <c r="A10460" t="str">
        <f>"10459"</f>
        <v>10459</v>
      </c>
      <c r="B10460" t="str">
        <f>"0.17"</f>
        <v>0.17</v>
      </c>
      <c r="C10460" t="str">
        <f>"29"</f>
        <v>29</v>
      </c>
      <c r="D10460" t="str">
        <f>"Architecture of Loss"</f>
        <v>Architecture of Loss</v>
      </c>
    </row>
    <row r="10461" spans="1:4" x14ac:dyDescent="0.2">
      <c r="A10461" t="str">
        <f>"10460"</f>
        <v>10460</v>
      </c>
      <c r="B10461" t="str">
        <f>"-0.44"</f>
        <v>-0.44</v>
      </c>
      <c r="C10461" t="str">
        <f>"35"</f>
        <v>35</v>
      </c>
      <c r="D10461" t="str">
        <f>"Food &amp; Liquor II: The Great American Rap Album Pt. 1"</f>
        <v>Food &amp; Liquor II: The Great American Rap Album Pt. 1</v>
      </c>
    </row>
    <row r="10462" spans="1:4" x14ac:dyDescent="0.2">
      <c r="A10462" t="str">
        <f>"10461"</f>
        <v>10461</v>
      </c>
      <c r="B10462" t="str">
        <f>"0.17"</f>
        <v>0.17</v>
      </c>
      <c r="C10462" t="str">
        <f>"28"</f>
        <v>28</v>
      </c>
      <c r="D10462" t="str">
        <f>"State Hospital EP"</f>
        <v>State Hospital EP</v>
      </c>
    </row>
    <row r="10463" spans="1:4" x14ac:dyDescent="0.2">
      <c r="A10463" t="str">
        <f>"10462"</f>
        <v>10462</v>
      </c>
      <c r="B10463" t="str">
        <f>"-1.16"</f>
        <v>-1.16</v>
      </c>
      <c r="C10463" t="str">
        <f>"54"</f>
        <v>54</v>
      </c>
      <c r="D10463" t="str">
        <f>"Sundowning"</f>
        <v>Sundowning</v>
      </c>
    </row>
    <row r="10464" spans="1:4" x14ac:dyDescent="0.2">
      <c r="A10464" t="str">
        <f>"10463"</f>
        <v>10463</v>
      </c>
      <c r="B10464" t="str">
        <f>"-0.09"</f>
        <v>-0.09</v>
      </c>
      <c r="C10464" t="str">
        <f>"29"</f>
        <v>29</v>
      </c>
      <c r="D10464" t="str">
        <f>"Deer Creek Canyon"</f>
        <v>Deer Creek Canyon</v>
      </c>
    </row>
    <row r="10465" spans="1:4" x14ac:dyDescent="0.2">
      <c r="A10465" t="str">
        <f>"10464"</f>
        <v>10464</v>
      </c>
      <c r="B10465" t="str">
        <f>"-0.96"</f>
        <v>-0.96</v>
      </c>
      <c r="C10465" t="str">
        <f>"35"</f>
        <v>35</v>
      </c>
      <c r="D10465" t="str">
        <f>"Occult Rock"</f>
        <v>Occult Rock</v>
      </c>
    </row>
    <row r="10466" spans="1:4" x14ac:dyDescent="0.2">
      <c r="A10466" t="str">
        <f>"10465"</f>
        <v>10465</v>
      </c>
      <c r="B10466" t="str">
        <f>"-0.61"</f>
        <v>-0.61</v>
      </c>
      <c r="C10466" t="str">
        <f>"22"</f>
        <v>22</v>
      </c>
      <c r="D10466" t="str">
        <f>"Oblivion Hunter EP"</f>
        <v>Oblivion Hunter EP</v>
      </c>
    </row>
    <row r="10467" spans="1:4" x14ac:dyDescent="0.2">
      <c r="A10467" t="str">
        <f>"10466"</f>
        <v>10466</v>
      </c>
      <c r="B10467" t="str">
        <f>"-1.62"</f>
        <v>-1.62</v>
      </c>
      <c r="C10467" t="str">
        <f>"39"</f>
        <v>39</v>
      </c>
      <c r="D10467" t="str">
        <f>"Effigies of Evil"</f>
        <v>Effigies of Evil</v>
      </c>
    </row>
    <row r="10468" spans="1:4" x14ac:dyDescent="0.2">
      <c r="A10468" t="str">
        <f>"10467"</f>
        <v>10467</v>
      </c>
      <c r="B10468" t="str">
        <f>"0.24"</f>
        <v>0.24</v>
      </c>
      <c r="C10468" t="str">
        <f>"54"</f>
        <v>54</v>
      </c>
      <c r="D10468" t="str">
        <f>"Shields"</f>
        <v>Shields</v>
      </c>
    </row>
    <row r="10469" spans="1:4" x14ac:dyDescent="0.2">
      <c r="A10469" t="str">
        <f>"10468"</f>
        <v>10468</v>
      </c>
      <c r="B10469" t="str">
        <f>"-0.46"</f>
        <v>-0.46</v>
      </c>
      <c r="C10469" t="str">
        <f>"38"</f>
        <v>38</v>
      </c>
      <c r="D10469" t="str">
        <f>"Kill My Blues"</f>
        <v>Kill My Blues</v>
      </c>
    </row>
    <row r="10470" spans="1:4" x14ac:dyDescent="0.2">
      <c r="A10470" t="str">
        <f>"10469"</f>
        <v>10469</v>
      </c>
      <c r="B10470" t="str">
        <f>"0.3"</f>
        <v>0.3</v>
      </c>
      <c r="C10470" t="str">
        <f>"35"</f>
        <v>35</v>
      </c>
      <c r="D10470" t="str">
        <f>"The Inner Treaty"</f>
        <v>The Inner Treaty</v>
      </c>
    </row>
    <row r="10471" spans="1:4" x14ac:dyDescent="0.2">
      <c r="A10471" t="str">
        <f>"10470"</f>
        <v>10470</v>
      </c>
      <c r="B10471" t="str">
        <f>"0.05"</f>
        <v>0.05</v>
      </c>
      <c r="C10471" t="str">
        <f>"19"</f>
        <v>19</v>
      </c>
      <c r="D10471" t="str">
        <f>"Salute Me or Shoot Me 4: Banned From America"</f>
        <v>Salute Me or Shoot Me 4: Banned From America</v>
      </c>
    </row>
    <row r="10472" spans="1:4" x14ac:dyDescent="0.2">
      <c r="A10472" t="str">
        <f>"10471"</f>
        <v>10471</v>
      </c>
      <c r="B10472" t="str">
        <f>"-0.94"</f>
        <v>-0.94</v>
      </c>
      <c r="C10472" t="str">
        <f>"28"</f>
        <v>28</v>
      </c>
      <c r="D10472" t="str">
        <f>"Music For Reliquary House / In 1980 I Was a Blue Square"</f>
        <v>Music For Reliquary House / In 1980 I Was a Blue Square</v>
      </c>
    </row>
    <row r="10473" spans="1:4" x14ac:dyDescent="0.2">
      <c r="A10473" t="str">
        <f>"10472"</f>
        <v>10472</v>
      </c>
      <c r="B10473" t="str">
        <f>"0.42"</f>
        <v>0.42</v>
      </c>
      <c r="C10473" t="str">
        <f>"31"</f>
        <v>31</v>
      </c>
      <c r="D10473" t="str">
        <f>"Overgrown Path"</f>
        <v>Overgrown Path</v>
      </c>
    </row>
    <row r="10474" spans="1:4" x14ac:dyDescent="0.2">
      <c r="A10474" t="str">
        <f>"10473"</f>
        <v>10473</v>
      </c>
      <c r="B10474" t="str">
        <f>"-0.52"</f>
        <v>-0.52</v>
      </c>
      <c r="C10474" t="str">
        <f>"24"</f>
        <v>24</v>
      </c>
      <c r="D10474" t="str">
        <f>"Techno Primitivism"</f>
        <v>Techno Primitivism</v>
      </c>
    </row>
    <row r="10475" spans="1:4" x14ac:dyDescent="0.2">
      <c r="A10475" t="str">
        <f>"10474"</f>
        <v>10474</v>
      </c>
      <c r="B10475" t="str">
        <f>"0.78"</f>
        <v>0.78</v>
      </c>
      <c r="C10475" t="str">
        <f>"49"</f>
        <v>49</v>
      </c>
      <c r="D10475" t="str">
        <f>"Document"</f>
        <v>Document</v>
      </c>
    </row>
    <row r="10476" spans="1:4" x14ac:dyDescent="0.2">
      <c r="A10476" t="str">
        <f>"10475"</f>
        <v>10475</v>
      </c>
      <c r="B10476" t="str">
        <f>"0.16"</f>
        <v>0.16</v>
      </c>
      <c r="C10476" t="str">
        <f>"26"</f>
        <v>26</v>
      </c>
      <c r="D10476" t="str">
        <f>"Elysium"</f>
        <v>Elysium</v>
      </c>
    </row>
    <row r="10477" spans="1:4" x14ac:dyDescent="0.2">
      <c r="A10477" t="str">
        <f>"10476"</f>
        <v>10476</v>
      </c>
      <c r="B10477" t="str">
        <f>"0.78"</f>
        <v>0.78</v>
      </c>
      <c r="C10477" t="str">
        <f>"25"</f>
        <v>25</v>
      </c>
      <c r="D10477" t="str">
        <f>"Melody's Echo Chamber"</f>
        <v>Melody's Echo Chamber</v>
      </c>
    </row>
    <row r="10478" spans="1:4" x14ac:dyDescent="0.2">
      <c r="A10478" t="str">
        <f>"10477"</f>
        <v>10477</v>
      </c>
      <c r="B10478" t="str">
        <f>"0.78"</f>
        <v>0.78</v>
      </c>
      <c r="C10478" t="str">
        <f>"34"</f>
        <v>34</v>
      </c>
      <c r="D10478" t="str">
        <f>"Tempest"</f>
        <v>Tempest</v>
      </c>
    </row>
    <row r="10479" spans="1:4" x14ac:dyDescent="0.2">
      <c r="A10479" t="str">
        <f>"10478"</f>
        <v>10478</v>
      </c>
      <c r="B10479" t="str">
        <f>"0.85"</f>
        <v>0.85</v>
      </c>
      <c r="C10479" t="str">
        <f>"29"</f>
        <v>29</v>
      </c>
      <c r="D10479" t="str">
        <f>"Motor Nighttime World 3"</f>
        <v>Motor Nighttime World 3</v>
      </c>
    </row>
    <row r="10480" spans="1:4" x14ac:dyDescent="0.2">
      <c r="A10480" t="str">
        <f>"10479"</f>
        <v>10479</v>
      </c>
      <c r="B10480" t="str">
        <f>"0.65"</f>
        <v>0.65</v>
      </c>
      <c r="C10480" t="str">
        <f>"35"</f>
        <v>35</v>
      </c>
      <c r="D10480" t="str">
        <f>"End of Daze EP"</f>
        <v>End of Daze EP</v>
      </c>
    </row>
    <row r="10481" spans="1:4" x14ac:dyDescent="0.2">
      <c r="A10481" t="str">
        <f>"10480"</f>
        <v>10480</v>
      </c>
      <c r="B10481" t="str">
        <f>"-0.26"</f>
        <v>-0.26</v>
      </c>
      <c r="C10481" t="str">
        <f>"55"</f>
        <v>55</v>
      </c>
      <c r="D10481" t="str">
        <f>"Dependent and Happy"</f>
        <v>Dependent and Happy</v>
      </c>
    </row>
    <row r="10482" spans="1:4" x14ac:dyDescent="0.2">
      <c r="A10482" t="str">
        <f>"10481"</f>
        <v>10481</v>
      </c>
      <c r="B10482" t="str">
        <f>"0.19"</f>
        <v>0.19</v>
      </c>
      <c r="C10482" t="str">
        <f>"41"</f>
        <v>41</v>
      </c>
      <c r="D10482" t="str">
        <f>"Mala in Cuba"</f>
        <v>Mala in Cuba</v>
      </c>
    </row>
    <row r="10483" spans="1:4" x14ac:dyDescent="0.2">
      <c r="A10483" t="str">
        <f>"10482"</f>
        <v>10482</v>
      </c>
      <c r="B10483" t="str">
        <f>"0.55"</f>
        <v>0.55</v>
      </c>
      <c r="C10483" t="str">
        <f>"41"</f>
        <v>41</v>
      </c>
      <c r="D10483" t="str">
        <f>"RIITIIR"</f>
        <v>RIITIIR</v>
      </c>
    </row>
    <row r="10484" spans="1:4" x14ac:dyDescent="0.2">
      <c r="A10484" t="str">
        <f>"10483"</f>
        <v>10483</v>
      </c>
      <c r="B10484" t="str">
        <f>"0.24"</f>
        <v>0.24</v>
      </c>
      <c r="C10484" t="str">
        <f>"30"</f>
        <v>30</v>
      </c>
      <c r="D10484" t="str">
        <f>"Strapped"</f>
        <v>Strapped</v>
      </c>
    </row>
    <row r="10485" spans="1:4" x14ac:dyDescent="0.2">
      <c r="A10485" t="str">
        <f>"10484"</f>
        <v>10484</v>
      </c>
      <c r="B10485" t="str">
        <f>"0.8"</f>
        <v>0.8</v>
      </c>
      <c r="C10485" t="str">
        <f>"43"</f>
        <v>43</v>
      </c>
      <c r="D10485" t="str">
        <f>"I Bet on Sky"</f>
        <v>I Bet on Sky</v>
      </c>
    </row>
    <row r="10486" spans="1:4" x14ac:dyDescent="0.2">
      <c r="A10486" t="str">
        <f>"10485"</f>
        <v>10485</v>
      </c>
      <c r="B10486" t="str">
        <f>"-0.76"</f>
        <v>-0.76</v>
      </c>
      <c r="C10486" t="str">
        <f>"34"</f>
        <v>34</v>
      </c>
      <c r="D10486" t="str">
        <f>"Somethin 'Bout Kreay"</f>
        <v>Somethin 'Bout Kreay</v>
      </c>
    </row>
    <row r="10487" spans="1:4" x14ac:dyDescent="0.2">
      <c r="A10487" t="str">
        <f>"10486"</f>
        <v>10486</v>
      </c>
      <c r="B10487" t="str">
        <f>"0.59"</f>
        <v>0.59</v>
      </c>
      <c r="C10487" t="str">
        <f>"34"</f>
        <v>34</v>
      </c>
      <c r="D10487" t="str">
        <f>"Incorruptible Heart"</f>
        <v>Incorruptible Heart</v>
      </c>
    </row>
    <row r="10488" spans="1:4" x14ac:dyDescent="0.2">
      <c r="A10488" t="str">
        <f>"10487"</f>
        <v>10487</v>
      </c>
      <c r="B10488" t="str">
        <f>"0.06"</f>
        <v>0.06</v>
      </c>
      <c r="C10488" t="str">
        <f>"29"</f>
        <v>29</v>
      </c>
      <c r="D10488" t="str">
        <f>"Piramida"</f>
        <v>Piramida</v>
      </c>
    </row>
    <row r="10489" spans="1:4" x14ac:dyDescent="0.2">
      <c r="A10489" t="str">
        <f>"10488"</f>
        <v>10488</v>
      </c>
      <c r="B10489" t="str">
        <f>"0.19"</f>
        <v>0.19</v>
      </c>
      <c r="C10489" t="str">
        <f>"34"</f>
        <v>34</v>
      </c>
      <c r="D10489" t="str">
        <f>"Function Falls"</f>
        <v>Function Falls</v>
      </c>
    </row>
    <row r="10490" spans="1:4" x14ac:dyDescent="0.2">
      <c r="A10490" t="str">
        <f>"10489"</f>
        <v>10489</v>
      </c>
      <c r="B10490" t="str">
        <f>"-0.45"</f>
        <v>-0.45</v>
      </c>
      <c r="C10490" t="str">
        <f>"50"</f>
        <v>50</v>
      </c>
      <c r="D10490" t="str">
        <f>"Total Loss"</f>
        <v>Total Loss</v>
      </c>
    </row>
    <row r="10491" spans="1:4" x14ac:dyDescent="0.2">
      <c r="A10491" t="str">
        <f>"10490"</f>
        <v>10490</v>
      </c>
      <c r="B10491" t="str">
        <f>"0.53"</f>
        <v>0.53</v>
      </c>
      <c r="C10491" t="str">
        <f>"60"</f>
        <v>60</v>
      </c>
      <c r="D10491" t="str">
        <f>"Kin"</f>
        <v>Kin</v>
      </c>
    </row>
    <row r="10492" spans="1:4" x14ac:dyDescent="0.2">
      <c r="A10492" t="str">
        <f>"10491"</f>
        <v>10491</v>
      </c>
      <c r="B10492" t="str">
        <f>"-0.17"</f>
        <v>-0.17</v>
      </c>
      <c r="C10492" t="str">
        <f>"26"</f>
        <v>26</v>
      </c>
      <c r="D10492" t="str">
        <f>"Meat and Bone"</f>
        <v>Meat and Bone</v>
      </c>
    </row>
    <row r="10493" spans="1:4" x14ac:dyDescent="0.2">
      <c r="A10493" t="str">
        <f>"10492"</f>
        <v>10492</v>
      </c>
      <c r="B10493" t="str">
        <f>"-0.51"</f>
        <v>-0.51</v>
      </c>
      <c r="C10493" t="str">
        <f>"31"</f>
        <v>31</v>
      </c>
      <c r="D10493" t="str">
        <f>"The Sound of The Life of The Mind"</f>
        <v>The Sound of The Life of The Mind</v>
      </c>
    </row>
    <row r="10494" spans="1:4" x14ac:dyDescent="0.2">
      <c r="A10494" t="str">
        <f>"10493"</f>
        <v>10493</v>
      </c>
      <c r="B10494" t="str">
        <f>"0.9"</f>
        <v>0.9</v>
      </c>
      <c r="C10494" t="str">
        <f>"25"</f>
        <v>25</v>
      </c>
      <c r="D10494" t="str">
        <f>"The Threnody of Triumph"</f>
        <v>The Threnody of Triumph</v>
      </c>
    </row>
    <row r="10495" spans="1:4" x14ac:dyDescent="0.2">
      <c r="A10495" t="str">
        <f>"10494"</f>
        <v>10494</v>
      </c>
      <c r="B10495" t="str">
        <f>"-0.4"</f>
        <v>-0.4</v>
      </c>
      <c r="C10495" t="str">
        <f>"37"</f>
        <v>37</v>
      </c>
      <c r="D10495" t="str">
        <f>"Mirage Rock"</f>
        <v>Mirage Rock</v>
      </c>
    </row>
    <row r="10496" spans="1:4" x14ac:dyDescent="0.2">
      <c r="A10496" t="str">
        <f>"10495"</f>
        <v>10495</v>
      </c>
      <c r="B10496" t="str">
        <f>"-0.14"</f>
        <v>-0.14</v>
      </c>
      <c r="C10496" t="str">
        <f>"26"</f>
        <v>26</v>
      </c>
      <c r="D10496" t="str">
        <f>"Breakthrough"</f>
        <v>Breakthrough</v>
      </c>
    </row>
    <row r="10497" spans="1:4" x14ac:dyDescent="0.2">
      <c r="A10497" t="str">
        <f>"10496"</f>
        <v>10496</v>
      </c>
      <c r="B10497" t="str">
        <f>"-0.44"</f>
        <v>-0.44</v>
      </c>
      <c r="C10497" t="str">
        <f>"32"</f>
        <v>32</v>
      </c>
      <c r="D10497" t="str">
        <f>"Mourning in America and Dreaming in Color"</f>
        <v>Mourning in America and Dreaming in Color</v>
      </c>
    </row>
    <row r="10498" spans="1:4" x14ac:dyDescent="0.2">
      <c r="A10498" t="str">
        <f>"10497"</f>
        <v>10497</v>
      </c>
      <c r="B10498" t="str">
        <f>"0.06"</f>
        <v>0.06</v>
      </c>
      <c r="C10498" t="str">
        <f>"39"</f>
        <v>39</v>
      </c>
      <c r="D10498" t="str">
        <f>"Look to the Sky"</f>
        <v>Look to the Sky</v>
      </c>
    </row>
    <row r="10499" spans="1:4" x14ac:dyDescent="0.2">
      <c r="A10499" t="str">
        <f>"10498"</f>
        <v>10498</v>
      </c>
      <c r="B10499" t="str">
        <f>"0.45"</f>
        <v>0.45</v>
      </c>
      <c r="C10499" t="str">
        <f>"34"</f>
        <v>34</v>
      </c>
      <c r="D10499" t="str">
        <f>"Sic Alps"</f>
        <v>Sic Alps</v>
      </c>
    </row>
    <row r="10500" spans="1:4" x14ac:dyDescent="0.2">
      <c r="A10500" t="str">
        <f>"10499"</f>
        <v>10499</v>
      </c>
      <c r="B10500" t="str">
        <f>"-1.15"</f>
        <v>-1.15</v>
      </c>
      <c r="C10500" t="str">
        <f>"51"</f>
        <v>51</v>
      </c>
      <c r="D10500" t="str">
        <f>"Cruel Summer"</f>
        <v>Cruel Summer</v>
      </c>
    </row>
    <row r="10501" spans="1:4" x14ac:dyDescent="0.2">
      <c r="A10501" t="str">
        <f>"10500"</f>
        <v>10500</v>
      </c>
      <c r="B10501" t="str">
        <f>"1.19"</f>
        <v>1.19</v>
      </c>
      <c r="C10501" t="str">
        <f>"30"</f>
        <v>30</v>
      </c>
      <c r="D10501" t="str">
        <f>"Bend Beyond"</f>
        <v>Bend Beyond</v>
      </c>
    </row>
    <row r="10502" spans="1:4" x14ac:dyDescent="0.2">
      <c r="A10502" t="str">
        <f>"10501"</f>
        <v>10501</v>
      </c>
      <c r="B10502" t="str">
        <f>"1.55"</f>
        <v>1.55</v>
      </c>
      <c r="C10502" t="str">
        <f>"19"</f>
        <v>19</v>
      </c>
      <c r="D10502" t="str">
        <f>"Runner"</f>
        <v>Runner</v>
      </c>
    </row>
    <row r="10503" spans="1:4" x14ac:dyDescent="0.2">
      <c r="A10503" t="str">
        <f>"10502"</f>
        <v>10502</v>
      </c>
      <c r="B10503" t="str">
        <f>"-0.47"</f>
        <v>-0.47</v>
      </c>
      <c r="C10503" t="str">
        <f>"24"</f>
        <v>24</v>
      </c>
      <c r="D10503" t="str">
        <f>"601 &amp; Snort"</f>
        <v>601 &amp; Snort</v>
      </c>
    </row>
    <row r="10504" spans="1:4" x14ac:dyDescent="0.2">
      <c r="A10504" t="str">
        <f>"10503"</f>
        <v>10503</v>
      </c>
      <c r="B10504" t="str">
        <f>"1.19"</f>
        <v>1.19</v>
      </c>
      <c r="C10504" t="str">
        <f>"22"</f>
        <v>22</v>
      </c>
      <c r="D10504" t="str">
        <f>"Ascent"</f>
        <v>Ascent</v>
      </c>
    </row>
    <row r="10505" spans="1:4" x14ac:dyDescent="0.2">
      <c r="A10505" t="str">
        <f>"10504"</f>
        <v>10504</v>
      </c>
      <c r="B10505" t="str">
        <f>"0.1"</f>
        <v>0.1</v>
      </c>
      <c r="C10505" t="str">
        <f>"32"</f>
        <v>32</v>
      </c>
      <c r="D10505" t="str">
        <f>"Algiers"</f>
        <v>Algiers</v>
      </c>
    </row>
    <row r="10506" spans="1:4" x14ac:dyDescent="0.2">
      <c r="A10506" t="str">
        <f>"10505"</f>
        <v>10505</v>
      </c>
      <c r="B10506" t="str">
        <f>"-0.27"</f>
        <v>-0.27</v>
      </c>
      <c r="C10506" t="str">
        <f>"25"</f>
        <v>25</v>
      </c>
      <c r="D10506" t="s">
        <v>316</v>
      </c>
    </row>
    <row r="10507" spans="1:4" x14ac:dyDescent="0.2">
      <c r="A10507" t="str">
        <f>"10506"</f>
        <v>10506</v>
      </c>
      <c r="B10507" t="str">
        <f>"0.58"</f>
        <v>0.58</v>
      </c>
      <c r="C10507" t="str">
        <f>"30"</f>
        <v>30</v>
      </c>
      <c r="D10507" t="str">
        <f>"Held"</f>
        <v>Held</v>
      </c>
    </row>
    <row r="10508" spans="1:4" x14ac:dyDescent="0.2">
      <c r="A10508" t="str">
        <f>"10507"</f>
        <v>10507</v>
      </c>
      <c r="B10508" t="str">
        <f>"0.83"</f>
        <v>0.83</v>
      </c>
      <c r="C10508" t="str">
        <f>"23"</f>
        <v>23</v>
      </c>
      <c r="D10508" t="str">
        <f>"Palindrome Hunches"</f>
        <v>Palindrome Hunches</v>
      </c>
    </row>
    <row r="10509" spans="1:4" x14ac:dyDescent="0.2">
      <c r="A10509" t="str">
        <f>"10508"</f>
        <v>10508</v>
      </c>
      <c r="B10509" t="str">
        <f>"-0.29"</f>
        <v>-0.29</v>
      </c>
      <c r="C10509" t="str">
        <f>"33"</f>
        <v>33</v>
      </c>
      <c r="D10509" t="str">
        <f>"No Absolutes in Human Suffering"</f>
        <v>No Absolutes in Human Suffering</v>
      </c>
    </row>
    <row r="10510" spans="1:4" x14ac:dyDescent="0.2">
      <c r="A10510" t="str">
        <f>"10509"</f>
        <v>10509</v>
      </c>
      <c r="B10510" t="str">
        <f>"0.58"</f>
        <v>0.58</v>
      </c>
      <c r="C10510" t="str">
        <f>"32"</f>
        <v>32</v>
      </c>
      <c r="D10510" t="str">
        <f>"Score: The Complete Sextet Works 2002-2007"</f>
        <v>Score: The Complete Sextet Works 2002-2007</v>
      </c>
    </row>
    <row r="10511" spans="1:4" x14ac:dyDescent="0.2">
      <c r="A10511" t="str">
        <f>"10510"</f>
        <v>10510</v>
      </c>
      <c r="B10511" t="str">
        <f>"0.19"</f>
        <v>0.19</v>
      </c>
      <c r="C10511" t="str">
        <f>"34"</f>
        <v>34</v>
      </c>
      <c r="D10511" t="str">
        <f>"Tempest"</f>
        <v>Tempest</v>
      </c>
    </row>
    <row r="10512" spans="1:4" x14ac:dyDescent="0.2">
      <c r="A10512" t="str">
        <f>"10511"</f>
        <v>10511</v>
      </c>
      <c r="B10512" t="str">
        <f>"-1.13"</f>
        <v>-1.13</v>
      </c>
      <c r="C10512" t="str">
        <f>"52"</f>
        <v>52</v>
      </c>
      <c r="D10512" t="str">
        <f>"Moms"</f>
        <v>Moms</v>
      </c>
    </row>
    <row r="10513" spans="1:4" x14ac:dyDescent="0.2">
      <c r="A10513" t="str">
        <f>"10512"</f>
        <v>10512</v>
      </c>
      <c r="B10513" t="str">
        <f>"-0.24"</f>
        <v>-0.24</v>
      </c>
      <c r="C10513" t="str">
        <f>"43"</f>
        <v>43</v>
      </c>
      <c r="D10513" t="str">
        <f>"Field Report"</f>
        <v>Field Report</v>
      </c>
    </row>
    <row r="10514" spans="1:4" x14ac:dyDescent="0.2">
      <c r="A10514" t="str">
        <f>"10513"</f>
        <v>10513</v>
      </c>
      <c r="B10514" t="str">
        <f>"-0.81"</f>
        <v>-0.81</v>
      </c>
      <c r="C10514" t="str">
        <f>"25"</f>
        <v>25</v>
      </c>
      <c r="D10514" t="str">
        <f>"Fantasm Planes"</f>
        <v>Fantasm Planes</v>
      </c>
    </row>
    <row r="10515" spans="1:4" x14ac:dyDescent="0.2">
      <c r="A10515" t="str">
        <f>"10514"</f>
        <v>10514</v>
      </c>
      <c r="B10515" t="str">
        <f>"-0.59"</f>
        <v>-0.59</v>
      </c>
      <c r="C10515" t="str">
        <f>"36"</f>
        <v>36</v>
      </c>
      <c r="D10515" t="str">
        <f>"Butter"</f>
        <v>Butter</v>
      </c>
    </row>
    <row r="10516" spans="1:4" x14ac:dyDescent="0.2">
      <c r="A10516" t="str">
        <f>"10515"</f>
        <v>10515</v>
      </c>
      <c r="B10516" t="str">
        <f>"0.59"</f>
        <v>0.59</v>
      </c>
      <c r="C10516" t="str">
        <f>"21"</f>
        <v>21</v>
      </c>
      <c r="D10516" t="str">
        <f>"Putrifiers II"</f>
        <v>Putrifiers II</v>
      </c>
    </row>
    <row r="10517" spans="1:4" x14ac:dyDescent="0.2">
      <c r="A10517" t="str">
        <f>"10516"</f>
        <v>10516</v>
      </c>
      <c r="B10517" t="str">
        <f>"0.06"</f>
        <v>0.06</v>
      </c>
      <c r="C10517" t="str">
        <f>"70"</f>
        <v>70</v>
      </c>
      <c r="D10517" t="str">
        <f>"Half Way Home"</f>
        <v>Half Way Home</v>
      </c>
    </row>
    <row r="10518" spans="1:4" x14ac:dyDescent="0.2">
      <c r="A10518" t="str">
        <f>"10517"</f>
        <v>10517</v>
      </c>
      <c r="B10518" t="str">
        <f>"-0.35"</f>
        <v>-0.35</v>
      </c>
      <c r="C10518" t="str">
        <f>"31"</f>
        <v>31</v>
      </c>
      <c r="D10518" t="str">
        <f>"Observator"</f>
        <v>Observator</v>
      </c>
    </row>
    <row r="10519" spans="1:4" x14ac:dyDescent="0.2">
      <c r="A10519" t="str">
        <f>"10518"</f>
        <v>10518</v>
      </c>
      <c r="B10519" t="str">
        <f>"0.39"</f>
        <v>0.39</v>
      </c>
      <c r="C10519" t="str">
        <f>"44"</f>
        <v>44</v>
      </c>
      <c r="D10519" t="str">
        <f>"Mary's Voice"</f>
        <v>Mary's Voice</v>
      </c>
    </row>
    <row r="10520" spans="1:4" x14ac:dyDescent="0.2">
      <c r="A10520" t="str">
        <f>"10519"</f>
        <v>10519</v>
      </c>
      <c r="B10520" t="str">
        <f>"1.25"</f>
        <v>1.25</v>
      </c>
      <c r="C10520" t="str">
        <f>"20"</f>
        <v>20</v>
      </c>
      <c r="D10520" t="str">
        <f>"The Predicting Machine"</f>
        <v>The Predicting Machine</v>
      </c>
    </row>
    <row r="10521" spans="1:4" x14ac:dyDescent="0.2">
      <c r="A10521" t="str">
        <f>"10520"</f>
        <v>10520</v>
      </c>
      <c r="B10521" t="str">
        <f>"0.48"</f>
        <v>0.48</v>
      </c>
      <c r="C10521" t="str">
        <f>"38"</f>
        <v>38</v>
      </c>
      <c r="D10521" t="str">
        <f>"Love This Giant"</f>
        <v>Love This Giant</v>
      </c>
    </row>
    <row r="10522" spans="1:4" x14ac:dyDescent="0.2">
      <c r="A10522" t="str">
        <f>"10521"</f>
        <v>10521</v>
      </c>
      <c r="B10522" t="str">
        <f>"0.69"</f>
        <v>0.69</v>
      </c>
      <c r="C10522" t="str">
        <f>"22"</f>
        <v>22</v>
      </c>
      <c r="D10522" t="str">
        <f>"Love Will Prevail"</f>
        <v>Love Will Prevail</v>
      </c>
    </row>
    <row r="10523" spans="1:4" x14ac:dyDescent="0.2">
      <c r="A10523" t="str">
        <f>"10522"</f>
        <v>10522</v>
      </c>
      <c r="B10523" t="str">
        <f>"0.78"</f>
        <v>0.78</v>
      </c>
      <c r="C10523" t="str">
        <f>"36"</f>
        <v>36</v>
      </c>
      <c r="D10523" t="str">
        <f>"Negotiations"</f>
        <v>Negotiations</v>
      </c>
    </row>
    <row r="10524" spans="1:4" x14ac:dyDescent="0.2">
      <c r="A10524" t="str">
        <f>"10523"</f>
        <v>10523</v>
      </c>
      <c r="B10524" t="str">
        <f>"0.32"</f>
        <v>0.32</v>
      </c>
      <c r="C10524" t="str">
        <f>"27"</f>
        <v>27</v>
      </c>
      <c r="D10524" t="str">
        <f>"LateNightTales"</f>
        <v>LateNightTales</v>
      </c>
    </row>
    <row r="10525" spans="1:4" x14ac:dyDescent="0.2">
      <c r="A10525" t="str">
        <f>"10524"</f>
        <v>10524</v>
      </c>
      <c r="B10525" t="str">
        <f>"-0.01"</f>
        <v>-0.01</v>
      </c>
      <c r="C10525" t="str">
        <f>"32"</f>
        <v>32</v>
      </c>
      <c r="D10525" t="str">
        <f>"Bootlegs"</f>
        <v>Bootlegs</v>
      </c>
    </row>
    <row r="10526" spans="1:4" x14ac:dyDescent="0.2">
      <c r="A10526" t="str">
        <f>"10525"</f>
        <v>10525</v>
      </c>
      <c r="B10526" t="str">
        <f>"0.94"</f>
        <v>0.94</v>
      </c>
      <c r="C10526" t="str">
        <f>"54"</f>
        <v>54</v>
      </c>
      <c r="D10526" t="str">
        <f>"Coexist"</f>
        <v>Coexist</v>
      </c>
    </row>
    <row r="10527" spans="1:4" x14ac:dyDescent="0.2">
      <c r="A10527" t="str">
        <f>"10526"</f>
        <v>10526</v>
      </c>
      <c r="B10527" t="str">
        <f>"-0.47"</f>
        <v>-0.47</v>
      </c>
      <c r="C10527" t="str">
        <f>"28"</f>
        <v>28</v>
      </c>
      <c r="D10527" t="str">
        <f>"Dedication 4"</f>
        <v>Dedication 4</v>
      </c>
    </row>
    <row r="10528" spans="1:4" x14ac:dyDescent="0.2">
      <c r="A10528" t="str">
        <f>"10527"</f>
        <v>10527</v>
      </c>
      <c r="B10528" t="str">
        <f>"0.23"</f>
        <v>0.23</v>
      </c>
      <c r="C10528" t="str">
        <f>"26"</f>
        <v>26</v>
      </c>
      <c r="D10528" t="str">
        <f>"For My Parents"</f>
        <v>For My Parents</v>
      </c>
    </row>
    <row r="10529" spans="1:4" x14ac:dyDescent="0.2">
      <c r="A10529" t="str">
        <f>"10528"</f>
        <v>10528</v>
      </c>
      <c r="B10529" t="str">
        <f>"0.18"</f>
        <v>0.18</v>
      </c>
      <c r="C10529" t="str">
        <f>"45"</f>
        <v>45</v>
      </c>
      <c r="D10529" t="str">
        <f>"The Carpenter"</f>
        <v>The Carpenter</v>
      </c>
    </row>
    <row r="10530" spans="1:4" x14ac:dyDescent="0.2">
      <c r="A10530" t="str">
        <f>"10529"</f>
        <v>10529</v>
      </c>
      <c r="B10530" t="str">
        <f>"-0.93"</f>
        <v>-0.93</v>
      </c>
      <c r="C10530" t="str">
        <f>"37"</f>
        <v>37</v>
      </c>
      <c r="D10530" t="str">
        <f>"Come of Age"</f>
        <v>Come of Age</v>
      </c>
    </row>
    <row r="10531" spans="1:4" x14ac:dyDescent="0.2">
      <c r="A10531" t="str">
        <f>"10530"</f>
        <v>10530</v>
      </c>
      <c r="B10531" t="str">
        <f>"0.75"</f>
        <v>0.75</v>
      </c>
      <c r="C10531" t="str">
        <f>"40"</f>
        <v>40</v>
      </c>
      <c r="D10531" t="str">
        <f>"I Know What Love Isn't"</f>
        <v>I Know What Love Isn't</v>
      </c>
    </row>
    <row r="10532" spans="1:4" x14ac:dyDescent="0.2">
      <c r="A10532" t="str">
        <f>"10531"</f>
        <v>10531</v>
      </c>
      <c r="B10532" t="str">
        <f>"-0.5"</f>
        <v>-0.5</v>
      </c>
      <c r="C10532" t="str">
        <f>"28"</f>
        <v>28</v>
      </c>
      <c r="D10532" t="str">
        <f>"Heat Lightning Rumbles in the Distance"</f>
        <v>Heat Lightning Rumbles in the Distance</v>
      </c>
    </row>
    <row r="10533" spans="1:4" x14ac:dyDescent="0.2">
      <c r="A10533" t="str">
        <f>"10532"</f>
        <v>10532</v>
      </c>
      <c r="B10533" t="str">
        <f>"0.53"</f>
        <v>0.53</v>
      </c>
      <c r="C10533" t="str">
        <f>"29"</f>
        <v>29</v>
      </c>
      <c r="D10533" t="str">
        <f>"Tracer"</f>
        <v>Tracer</v>
      </c>
    </row>
    <row r="10534" spans="1:4" x14ac:dyDescent="0.2">
      <c r="A10534" t="str">
        <f>"10533"</f>
        <v>10533</v>
      </c>
      <c r="B10534" t="str">
        <f>"-0.41"</f>
        <v>-0.41</v>
      </c>
      <c r="C10534" t="str">
        <f>"40"</f>
        <v>40</v>
      </c>
      <c r="D10534" t="str">
        <f>"Sebenza"</f>
        <v>Sebenza</v>
      </c>
    </row>
    <row r="10535" spans="1:4" x14ac:dyDescent="0.2">
      <c r="A10535" t="str">
        <f>"10534"</f>
        <v>10534</v>
      </c>
      <c r="B10535" t="str">
        <f>"1.08"</f>
        <v>1.08</v>
      </c>
      <c r="C10535" t="str">
        <f>"33"</f>
        <v>33</v>
      </c>
      <c r="D10535" t="str">
        <f>"Sentielle Objectif Actualite"</f>
        <v>Sentielle Objectif Actualite</v>
      </c>
    </row>
    <row r="10536" spans="1:4" x14ac:dyDescent="0.2">
      <c r="A10536" t="str">
        <f>"10535"</f>
        <v>10535</v>
      </c>
      <c r="B10536" t="str">
        <f>"-0.75"</f>
        <v>-0.75</v>
      </c>
      <c r="C10536" t="str">
        <f>"25"</f>
        <v>25</v>
      </c>
      <c r="D10536" t="str">
        <f>"Ocean Roar"</f>
        <v>Ocean Roar</v>
      </c>
    </row>
    <row r="10537" spans="1:4" x14ac:dyDescent="0.2">
      <c r="A10537" t="str">
        <f>"10536"</f>
        <v>10536</v>
      </c>
      <c r="B10537" t="str">
        <f>"0.53"</f>
        <v>0.53</v>
      </c>
      <c r="C10537" t="str">
        <f>"20"</f>
        <v>20</v>
      </c>
      <c r="D10537" t="str">
        <f>"Silver Age"</f>
        <v>Silver Age</v>
      </c>
    </row>
    <row r="10538" spans="1:4" x14ac:dyDescent="0.2">
      <c r="A10538" t="str">
        <f>"10537"</f>
        <v>10537</v>
      </c>
      <c r="B10538" t="str">
        <f>"0"</f>
        <v>0</v>
      </c>
      <c r="C10538" t="str">
        <f>"48"</f>
        <v>48</v>
      </c>
      <c r="D10538" t="str">
        <f>"Feed Me Diamonds"</f>
        <v>Feed Me Diamonds</v>
      </c>
    </row>
    <row r="10539" spans="1:4" x14ac:dyDescent="0.2">
      <c r="A10539" t="str">
        <f>"10538"</f>
        <v>10538</v>
      </c>
      <c r="B10539" t="str">
        <f>"1.16"</f>
        <v>1.16</v>
      </c>
      <c r="C10539" t="str">
        <f>"23"</f>
        <v>23</v>
      </c>
      <c r="D10539" t="str">
        <f>"Last Words"</f>
        <v>Last Words</v>
      </c>
    </row>
    <row r="10540" spans="1:4" x14ac:dyDescent="0.2">
      <c r="A10540" t="str">
        <f>"10539"</f>
        <v>10539</v>
      </c>
      <c r="B10540" t="str">
        <f>"0.13"</f>
        <v>0.13</v>
      </c>
      <c r="C10540" t="str">
        <f>"29"</f>
        <v>29</v>
      </c>
      <c r="D10540" t="str">
        <f>"In Limbo"</f>
        <v>In Limbo</v>
      </c>
    </row>
    <row r="10541" spans="1:4" x14ac:dyDescent="0.2">
      <c r="A10541" t="str">
        <f>"10540"</f>
        <v>10540</v>
      </c>
      <c r="B10541" t="str">
        <f>"-0.13"</f>
        <v>-0.13</v>
      </c>
      <c r="C10541" t="str">
        <f>"42"</f>
        <v>42</v>
      </c>
      <c r="D10541" t="str">
        <f>"Sun"</f>
        <v>Sun</v>
      </c>
    </row>
    <row r="10542" spans="1:4" x14ac:dyDescent="0.2">
      <c r="A10542" t="str">
        <f>"10541"</f>
        <v>10541</v>
      </c>
      <c r="B10542" t="str">
        <f>"-0.22"</f>
        <v>-0.22</v>
      </c>
      <c r="C10542" t="str">
        <f>"37"</f>
        <v>37</v>
      </c>
      <c r="D10542" t="str">
        <f>"Lords Never Worry"</f>
        <v>Lords Never Worry</v>
      </c>
    </row>
    <row r="10543" spans="1:4" x14ac:dyDescent="0.2">
      <c r="A10543" t="str">
        <f>"10542"</f>
        <v>10542</v>
      </c>
      <c r="B10543" t="str">
        <f>"1.24"</f>
        <v>1.24</v>
      </c>
      <c r="C10543" t="str">
        <f>"26"</f>
        <v>26</v>
      </c>
      <c r="D10543" t="str">
        <f>"Long Slow Dance"</f>
        <v>Long Slow Dance</v>
      </c>
    </row>
    <row r="10544" spans="1:4" x14ac:dyDescent="0.2">
      <c r="A10544" t="str">
        <f>"10543"</f>
        <v>10543</v>
      </c>
      <c r="B10544" t="str">
        <f>"0.69"</f>
        <v>0.69</v>
      </c>
      <c r="C10544" t="str">
        <f>"40"</f>
        <v>40</v>
      </c>
      <c r="D10544" t="str">
        <f>"The Garden of Joy and the Well of Loneliness"</f>
        <v>The Garden of Joy and the Well of Loneliness</v>
      </c>
    </row>
    <row r="10545" spans="1:4" x14ac:dyDescent="0.2">
      <c r="A10545" t="str">
        <f>"10544"</f>
        <v>10544</v>
      </c>
      <c r="B10545" t="str">
        <f>"0.79"</f>
        <v>0.79</v>
      </c>
      <c r="C10545" t="str">
        <f>"28"</f>
        <v>28</v>
      </c>
      <c r="D10545" t="str">
        <f>"Will Happiness Find Me?"</f>
        <v>Will Happiness Find Me?</v>
      </c>
    </row>
    <row r="10546" spans="1:4" x14ac:dyDescent="0.2">
      <c r="A10546" t="str">
        <f>"10545"</f>
        <v>10545</v>
      </c>
      <c r="B10546" t="str">
        <f>"0.25"</f>
        <v>0.25</v>
      </c>
      <c r="C10546" t="str">
        <f>"39"</f>
        <v>39</v>
      </c>
      <c r="D10546" t="str">
        <f>"Centipede Hz"</f>
        <v>Centipede Hz</v>
      </c>
    </row>
    <row r="10547" spans="1:4" x14ac:dyDescent="0.2">
      <c r="A10547" t="str">
        <f>"10546"</f>
        <v>10546</v>
      </c>
      <c r="B10547" t="str">
        <f>"0.55"</f>
        <v>0.55</v>
      </c>
      <c r="C10547" t="str">
        <f>"31"</f>
        <v>31</v>
      </c>
      <c r="D10547" t="str">
        <f>"Breakup Song"</f>
        <v>Breakup Song</v>
      </c>
    </row>
    <row r="10548" spans="1:4" x14ac:dyDescent="0.2">
      <c r="A10548" t="str">
        <f>"10547"</f>
        <v>10547</v>
      </c>
      <c r="B10548" t="str">
        <f>"0.36"</f>
        <v>0.36</v>
      </c>
      <c r="C10548" t="str">
        <f>"24"</f>
        <v>24</v>
      </c>
      <c r="D10548" t="str">
        <f>"The North"</f>
        <v>The North</v>
      </c>
    </row>
    <row r="10549" spans="1:4" x14ac:dyDescent="0.2">
      <c r="A10549" t="str">
        <f>"10548"</f>
        <v>10548</v>
      </c>
      <c r="B10549" t="str">
        <f>"0.03"</f>
        <v>0.03</v>
      </c>
      <c r="C10549" t="str">
        <f>"29"</f>
        <v>29</v>
      </c>
      <c r="D10549" t="str">
        <f>"The Orbserver in the Star House"</f>
        <v>The Orbserver in the Star House</v>
      </c>
    </row>
    <row r="10550" spans="1:4" x14ac:dyDescent="0.2">
      <c r="A10550" t="str">
        <f>"10549"</f>
        <v>10549</v>
      </c>
      <c r="B10550" t="str">
        <f>"-0.05"</f>
        <v>-0.05</v>
      </c>
      <c r="C10550" t="str">
        <f>"30"</f>
        <v>30</v>
      </c>
      <c r="D10550" t="str">
        <f>"The Bloom and the Blight"</f>
        <v>The Bloom and the Blight</v>
      </c>
    </row>
    <row r="10551" spans="1:4" x14ac:dyDescent="0.2">
      <c r="A10551" t="str">
        <f>"10550"</f>
        <v>10550</v>
      </c>
      <c r="B10551" t="str">
        <f>"-0.57"</f>
        <v>-0.57</v>
      </c>
      <c r="C10551" t="str">
        <f>"65"</f>
        <v>65</v>
      </c>
      <c r="D10551" t="str">
        <f>"I Get Wet"</f>
        <v>I Get Wet</v>
      </c>
    </row>
    <row r="10552" spans="1:4" x14ac:dyDescent="0.2">
      <c r="A10552" t="str">
        <f>"10551"</f>
        <v>10551</v>
      </c>
      <c r="B10552" t="str">
        <f>"0.47"</f>
        <v>0.47</v>
      </c>
      <c r="C10552" t="str">
        <f>"31"</f>
        <v>31</v>
      </c>
      <c r="D10552" t="str">
        <f>"Düde"</f>
        <v>Düde</v>
      </c>
    </row>
    <row r="10553" spans="1:4" x14ac:dyDescent="0.2">
      <c r="A10553" t="str">
        <f>"10552"</f>
        <v>10552</v>
      </c>
      <c r="B10553" t="str">
        <f>"-0.27"</f>
        <v>-0.27</v>
      </c>
      <c r="C10553" t="str">
        <f>"25"</f>
        <v>25</v>
      </c>
      <c r="D10553" t="str">
        <f>"Django Django"</f>
        <v>Django Django</v>
      </c>
    </row>
    <row r="10554" spans="1:4" x14ac:dyDescent="0.2">
      <c r="A10554" t="str">
        <f>"10553"</f>
        <v>10553</v>
      </c>
      <c r="B10554" t="str">
        <f>"-0.27"</f>
        <v>-0.27</v>
      </c>
      <c r="C10554" t="str">
        <f>"38"</f>
        <v>38</v>
      </c>
      <c r="D10554" t="str">
        <f>"Serpentine Path"</f>
        <v>Serpentine Path</v>
      </c>
    </row>
    <row r="10555" spans="1:4" x14ac:dyDescent="0.2">
      <c r="A10555" t="str">
        <f>"10554"</f>
        <v>10554</v>
      </c>
      <c r="B10555" t="str">
        <f>"-1.38"</f>
        <v>-1.38</v>
      </c>
      <c r="C10555" t="str">
        <f>"34"</f>
        <v>34</v>
      </c>
      <c r="D10555" t="str">
        <f>"Verdonkermaan"</f>
        <v>Verdonkermaan</v>
      </c>
    </row>
    <row r="10556" spans="1:4" x14ac:dyDescent="0.2">
      <c r="A10556" t="str">
        <f>"10555"</f>
        <v>10555</v>
      </c>
      <c r="B10556" t="str">
        <f>"0.28"</f>
        <v>0.28</v>
      </c>
      <c r="C10556" t="str">
        <f>"49"</f>
        <v>49</v>
      </c>
      <c r="D10556" t="str">
        <f>"America"</f>
        <v>America</v>
      </c>
    </row>
    <row r="10557" spans="1:4" x14ac:dyDescent="0.2">
      <c r="A10557" t="str">
        <f>"10556"</f>
        <v>10556</v>
      </c>
      <c r="B10557" t="str">
        <f>"-0.13"</f>
        <v>-0.13</v>
      </c>
      <c r="C10557" t="str">
        <f>"49"</f>
        <v>49</v>
      </c>
      <c r="D10557" t="str">
        <f>"Lo Fi High Fives... A Kind of Best Of..."</f>
        <v>Lo Fi High Fives... A Kind of Best Of...</v>
      </c>
    </row>
    <row r="10558" spans="1:4" x14ac:dyDescent="0.2">
      <c r="A10558" t="str">
        <f>"10557"</f>
        <v>10557</v>
      </c>
      <c r="B10558" t="str">
        <f>"-0.1"</f>
        <v>-0.1</v>
      </c>
      <c r="C10558" t="str">
        <f>"36"</f>
        <v>36</v>
      </c>
      <c r="D10558" t="str">
        <f>"Give Me My Flowers While I Can Still Smell Them"</f>
        <v>Give Me My Flowers While I Can Still Smell Them</v>
      </c>
    </row>
    <row r="10559" spans="1:4" x14ac:dyDescent="0.2">
      <c r="A10559" t="str">
        <f>"10558"</f>
        <v>10558</v>
      </c>
      <c r="B10559" t="str">
        <f>"0.36"</f>
        <v>0.36</v>
      </c>
      <c r="C10559" t="str">
        <f>"42"</f>
        <v>42</v>
      </c>
      <c r="D10559" t="str">
        <f>"Respect the Fly Shit"</f>
        <v>Respect the Fly Shit</v>
      </c>
    </row>
    <row r="10560" spans="1:4" x14ac:dyDescent="0.2">
      <c r="A10560" t="str">
        <f>"10559"</f>
        <v>10559</v>
      </c>
      <c r="B10560" t="str">
        <f>"-0.01"</f>
        <v>-0.01</v>
      </c>
      <c r="C10560" t="str">
        <f>"29"</f>
        <v>29</v>
      </c>
      <c r="D10560" t="str">
        <f>"Sagittarian Domain"</f>
        <v>Sagittarian Domain</v>
      </c>
    </row>
    <row r="10561" spans="1:4" x14ac:dyDescent="0.2">
      <c r="A10561" t="str">
        <f>"10560"</f>
        <v>10560</v>
      </c>
      <c r="B10561" t="str">
        <f>"0.88"</f>
        <v>0.88</v>
      </c>
      <c r="C10561" t="str">
        <f>"28"</f>
        <v>28</v>
      </c>
      <c r="D10561" t="str">
        <f>"Pink"</f>
        <v>Pink</v>
      </c>
    </row>
    <row r="10562" spans="1:4" x14ac:dyDescent="0.2">
      <c r="A10562" t="str">
        <f>"10561"</f>
        <v>10561</v>
      </c>
      <c r="B10562" t="str">
        <f>"-1.04"</f>
        <v>-1.04</v>
      </c>
      <c r="C10562" t="str">
        <f>"39"</f>
        <v>39</v>
      </c>
      <c r="D10562" t="str">
        <f>"Key to the Kuffs"</f>
        <v>Key to the Kuffs</v>
      </c>
    </row>
    <row r="10563" spans="1:4" x14ac:dyDescent="0.2">
      <c r="A10563" t="str">
        <f>"10562"</f>
        <v>10562</v>
      </c>
      <c r="B10563" t="str">
        <f>"1.15"</f>
        <v>1.15</v>
      </c>
      <c r="C10563" t="str">
        <f>"25"</f>
        <v>25</v>
      </c>
      <c r="D10563" t="str">
        <f>"Believe You Me"</f>
        <v>Believe You Me</v>
      </c>
    </row>
    <row r="10564" spans="1:4" x14ac:dyDescent="0.2">
      <c r="A10564" t="str">
        <f>"10563"</f>
        <v>10563</v>
      </c>
      <c r="B10564" t="str">
        <f>"1.46"</f>
        <v>1.46</v>
      </c>
      <c r="C10564" t="str">
        <f>"22"</f>
        <v>22</v>
      </c>
      <c r="D10564" t="str">
        <f>"Positive Force"</f>
        <v>Positive Force</v>
      </c>
    </row>
    <row r="10565" spans="1:4" x14ac:dyDescent="0.2">
      <c r="A10565" t="str">
        <f>"10564"</f>
        <v>10564</v>
      </c>
      <c r="B10565" t="str">
        <f>"0.55"</f>
        <v>0.55</v>
      </c>
      <c r="C10565" t="str">
        <f>"38"</f>
        <v>38</v>
      </c>
      <c r="D10565" t="str">
        <f>"One Plus One"</f>
        <v>One Plus One</v>
      </c>
    </row>
    <row r="10566" spans="1:4" x14ac:dyDescent="0.2">
      <c r="A10566" t="str">
        <f>"10565"</f>
        <v>10565</v>
      </c>
      <c r="B10566" t="str">
        <f>"1.16"</f>
        <v>1.16</v>
      </c>
      <c r="C10566" t="str">
        <f>"41"</f>
        <v>41</v>
      </c>
      <c r="D10566" t="str">
        <f>"Nocturne"</f>
        <v>Nocturne</v>
      </c>
    </row>
    <row r="10567" spans="1:4" x14ac:dyDescent="0.2">
      <c r="A10567" t="str">
        <f>"10566"</f>
        <v>10566</v>
      </c>
      <c r="B10567" t="str">
        <f>"0.16"</f>
        <v>0.16</v>
      </c>
      <c r="C10567" t="str">
        <f>"28"</f>
        <v>28</v>
      </c>
      <c r="D10567" t="str">
        <f>"Beams"</f>
        <v>Beams</v>
      </c>
    </row>
    <row r="10568" spans="1:4" x14ac:dyDescent="0.2">
      <c r="A10568" t="str">
        <f>"10567"</f>
        <v>10567</v>
      </c>
      <c r="B10568" t="str">
        <f>"0.95"</f>
        <v>0.95</v>
      </c>
      <c r="C10568" t="str">
        <f>"30"</f>
        <v>30</v>
      </c>
      <c r="D10568" t="str">
        <f>"Years Past Matter"</f>
        <v>Years Past Matter</v>
      </c>
    </row>
    <row r="10569" spans="1:4" x14ac:dyDescent="0.2">
      <c r="A10569" t="str">
        <f>"10568"</f>
        <v>10568</v>
      </c>
      <c r="B10569" t="str">
        <f>"0.09"</f>
        <v>0.09</v>
      </c>
      <c r="C10569" t="str">
        <f>"50"</f>
        <v>50</v>
      </c>
      <c r="D10569" t="str">
        <f>"Based on a T.R.U. Story"</f>
        <v>Based on a T.R.U. Story</v>
      </c>
    </row>
    <row r="10570" spans="1:4" x14ac:dyDescent="0.2">
      <c r="A10570" t="str">
        <f>"10569"</f>
        <v>10569</v>
      </c>
      <c r="B10570" t="str">
        <f>"-0.3"</f>
        <v>-0.3</v>
      </c>
      <c r="C10570" t="str">
        <f>"22"</f>
        <v>22</v>
      </c>
      <c r="D10570" t="str">
        <f>"Temporary Room"</f>
        <v>Temporary Room</v>
      </c>
    </row>
    <row r="10571" spans="1:4" x14ac:dyDescent="0.2">
      <c r="A10571" t="str">
        <f>"10570"</f>
        <v>10570</v>
      </c>
      <c r="B10571" t="str">
        <f>"-0.49"</f>
        <v>-0.49</v>
      </c>
      <c r="C10571" t="str">
        <f>"56"</f>
        <v>56</v>
      </c>
      <c r="D10571" t="str">
        <f>"The Seer"</f>
        <v>The Seer</v>
      </c>
    </row>
    <row r="10572" spans="1:4" x14ac:dyDescent="0.2">
      <c r="A10572" t="str">
        <f>"10571"</f>
        <v>10571</v>
      </c>
      <c r="B10572" t="str">
        <f>"1.1"</f>
        <v>1.1</v>
      </c>
      <c r="C10572" t="str">
        <f>"40"</f>
        <v>40</v>
      </c>
      <c r="D10572" t="str">
        <f>"A Thing Called Divine Fits"</f>
        <v>A Thing Called Divine Fits</v>
      </c>
    </row>
    <row r="10573" spans="1:4" x14ac:dyDescent="0.2">
      <c r="A10573" t="str">
        <f>"10572"</f>
        <v>10572</v>
      </c>
      <c r="B10573" t="str">
        <f>"-0.87"</f>
        <v>-0.87</v>
      </c>
      <c r="C10573" t="str">
        <f>"20"</f>
        <v>20</v>
      </c>
      <c r="D10573" t="str">
        <f>"This Time"</f>
        <v>This Time</v>
      </c>
    </row>
    <row r="10574" spans="1:4" x14ac:dyDescent="0.2">
      <c r="A10574" t="str">
        <f>"10573"</f>
        <v>10573</v>
      </c>
      <c r="B10574" t="str">
        <f>"0.29"</f>
        <v>0.29</v>
      </c>
      <c r="C10574" t="str">
        <f>"18"</f>
        <v>18</v>
      </c>
      <c r="D10574" t="str">
        <f>"Steam Days"</f>
        <v>Steam Days</v>
      </c>
    </row>
    <row r="10575" spans="1:4" x14ac:dyDescent="0.2">
      <c r="A10575" t="str">
        <f>"10574"</f>
        <v>10574</v>
      </c>
      <c r="B10575" t="str">
        <f>"-0.61"</f>
        <v>-0.61</v>
      </c>
      <c r="C10575" t="str">
        <f>"31"</f>
        <v>31</v>
      </c>
      <c r="D10575" t="str">
        <f>"Poor Moon"</f>
        <v>Poor Moon</v>
      </c>
    </row>
    <row r="10576" spans="1:4" x14ac:dyDescent="0.2">
      <c r="A10576" t="str">
        <f>"10575"</f>
        <v>10575</v>
      </c>
      <c r="B10576" t="str">
        <f>"0.08"</f>
        <v>0.08</v>
      </c>
      <c r="C10576" t="str">
        <f>"44"</f>
        <v>44</v>
      </c>
      <c r="D10576" t="str">
        <f>"Mature Themes"</f>
        <v>Mature Themes</v>
      </c>
    </row>
    <row r="10577" spans="1:4" x14ac:dyDescent="0.2">
      <c r="A10577" t="str">
        <f>"10576"</f>
        <v>10576</v>
      </c>
      <c r="B10577" t="str">
        <f>"0.42"</f>
        <v>0.42</v>
      </c>
      <c r="C10577" t="str">
        <f>"49"</f>
        <v>49</v>
      </c>
      <c r="D10577" t="str">
        <f>"Life Is People"</f>
        <v>Life Is People</v>
      </c>
    </row>
    <row r="10578" spans="1:4" x14ac:dyDescent="0.2">
      <c r="A10578" t="str">
        <f>"10577"</f>
        <v>10577</v>
      </c>
      <c r="B10578" t="str">
        <f>"-0.65"</f>
        <v>-0.65</v>
      </c>
      <c r="C10578" t="str">
        <f>"35"</f>
        <v>35</v>
      </c>
      <c r="D10578" t="str">
        <f>"Occasion For Song"</f>
        <v>Occasion For Song</v>
      </c>
    </row>
    <row r="10579" spans="1:4" x14ac:dyDescent="0.2">
      <c r="A10579" t="str">
        <f>"10578"</f>
        <v>10578</v>
      </c>
      <c r="B10579" t="str">
        <f>"0.95"</f>
        <v>0.95</v>
      </c>
      <c r="C10579" t="str">
        <f>"32"</f>
        <v>32</v>
      </c>
      <c r="D10579" t="str">
        <f>"Takin' the Time"</f>
        <v>Takin' the Time</v>
      </c>
    </row>
    <row r="10580" spans="1:4" x14ac:dyDescent="0.2">
      <c r="A10580" t="str">
        <f>"10579"</f>
        <v>10579</v>
      </c>
      <c r="B10580" t="str">
        <f>"-0.58"</f>
        <v>-0.58</v>
      </c>
      <c r="C10580" t="str">
        <f>"30"</f>
        <v>30</v>
      </c>
      <c r="D10580" t="str">
        <f>"Enjoy It While It Lasts"</f>
        <v>Enjoy It While It Lasts</v>
      </c>
    </row>
    <row r="10581" spans="1:4" x14ac:dyDescent="0.2">
      <c r="A10581" t="str">
        <f>"10580"</f>
        <v>10580</v>
      </c>
      <c r="B10581" t="str">
        <f>"0.12"</f>
        <v>0.12</v>
      </c>
      <c r="C10581" t="str">
        <f>"40"</f>
        <v>40</v>
      </c>
      <c r="D10581" t="str">
        <f>"Parklive"</f>
        <v>Parklive</v>
      </c>
    </row>
    <row r="10582" spans="1:4" x14ac:dyDescent="0.2">
      <c r="A10582" t="str">
        <f>"10581"</f>
        <v>10581</v>
      </c>
      <c r="B10582" t="str">
        <f>"0.06"</f>
        <v>0.06</v>
      </c>
      <c r="C10582" t="str">
        <f>"21"</f>
        <v>21</v>
      </c>
      <c r="D10582" t="str">
        <f>"Researching the Blues"</f>
        <v>Researching the Blues</v>
      </c>
    </row>
    <row r="10583" spans="1:4" x14ac:dyDescent="0.2">
      <c r="A10583" t="str">
        <f>"10582"</f>
        <v>10582</v>
      </c>
      <c r="B10583" t="str">
        <f>"0.42"</f>
        <v>0.42</v>
      </c>
      <c r="C10583" t="str">
        <f>"19"</f>
        <v>19</v>
      </c>
      <c r="D10583" t="str">
        <f>"Electric Hawaii"</f>
        <v>Electric Hawaii</v>
      </c>
    </row>
    <row r="10584" spans="1:4" x14ac:dyDescent="0.2">
      <c r="A10584" t="str">
        <f>"10583"</f>
        <v>10583</v>
      </c>
      <c r="B10584" t="str">
        <f>"-0.01"</f>
        <v>-0.01</v>
      </c>
      <c r="C10584" t="str">
        <f>"25"</f>
        <v>25</v>
      </c>
      <c r="D10584" t="str">
        <f>"Hasta La Muerte"</f>
        <v>Hasta La Muerte</v>
      </c>
    </row>
    <row r="10585" spans="1:4" x14ac:dyDescent="0.2">
      <c r="A10585" t="str">
        <f>"10584"</f>
        <v>10584</v>
      </c>
      <c r="B10585" t="str">
        <f>"1.02"</f>
        <v>1.02</v>
      </c>
      <c r="C10585" t="str">
        <f>"21"</f>
        <v>21</v>
      </c>
      <c r="D10585" t="str">
        <f>"How to Live With a Phantom"</f>
        <v>How to Live With a Phantom</v>
      </c>
    </row>
    <row r="10586" spans="1:4" x14ac:dyDescent="0.2">
      <c r="A10586" t="str">
        <f>"10585"</f>
        <v>10585</v>
      </c>
      <c r="B10586" t="str">
        <f>"0.43"</f>
        <v>0.43</v>
      </c>
      <c r="C10586" t="str">
        <f>"46"</f>
        <v>46</v>
      </c>
      <c r="D10586" t="str">
        <f>"Devotion"</f>
        <v>Devotion</v>
      </c>
    </row>
    <row r="10587" spans="1:4" x14ac:dyDescent="0.2">
      <c r="A10587" t="str">
        <f>"10586"</f>
        <v>10586</v>
      </c>
      <c r="B10587" t="str">
        <f>"0.65"</f>
        <v>0.65</v>
      </c>
      <c r="C10587" t="str">
        <f>"49"</f>
        <v>49</v>
      </c>
      <c r="D10587" t="str">
        <f>"Going Blank Again"</f>
        <v>Going Blank Again</v>
      </c>
    </row>
    <row r="10588" spans="1:4" x14ac:dyDescent="0.2">
      <c r="A10588" t="str">
        <f>"10587"</f>
        <v>10587</v>
      </c>
      <c r="B10588" t="str">
        <f>"0"</f>
        <v>0</v>
      </c>
      <c r="C10588" t="str">
        <f>"22"</f>
        <v>22</v>
      </c>
      <c r="D10588" t="str">
        <f>"Mungodelics"</f>
        <v>Mungodelics</v>
      </c>
    </row>
    <row r="10589" spans="1:4" x14ac:dyDescent="0.2">
      <c r="A10589" t="str">
        <f>"10588"</f>
        <v>10588</v>
      </c>
      <c r="B10589" t="str">
        <f>"0.04"</f>
        <v>0.04</v>
      </c>
      <c r="C10589" t="str">
        <f>"27"</f>
        <v>27</v>
      </c>
      <c r="D10589" t="str">
        <f>"Sounds of the Syrian Houran"</f>
        <v>Sounds of the Syrian Houran</v>
      </c>
    </row>
    <row r="10590" spans="1:4" x14ac:dyDescent="0.2">
      <c r="A10590" t="str">
        <f>"10589"</f>
        <v>10589</v>
      </c>
      <c r="B10590" t="str">
        <f>"0.13"</f>
        <v>0.13</v>
      </c>
      <c r="C10590" t="str">
        <f>"30"</f>
        <v>30</v>
      </c>
      <c r="D10590" t="str">
        <f>"Big Inner"</f>
        <v>Big Inner</v>
      </c>
    </row>
    <row r="10591" spans="1:4" x14ac:dyDescent="0.2">
      <c r="A10591" t="str">
        <f>"10590"</f>
        <v>10590</v>
      </c>
      <c r="B10591" t="str">
        <f>"-0.69"</f>
        <v>-0.69</v>
      </c>
      <c r="C10591" t="str">
        <f>"39"</f>
        <v>39</v>
      </c>
      <c r="D10591" t="str">
        <f>"Fragrant World"</f>
        <v>Fragrant World</v>
      </c>
    </row>
    <row r="10592" spans="1:4" x14ac:dyDescent="0.2">
      <c r="A10592" t="str">
        <f>"10591"</f>
        <v>10591</v>
      </c>
      <c r="B10592" t="str">
        <f>"0.13"</f>
        <v>0.13</v>
      </c>
      <c r="C10592" t="str">
        <f>"21"</f>
        <v>21</v>
      </c>
      <c r="D10592" t="str">
        <f>"Hot Cakes"</f>
        <v>Hot Cakes</v>
      </c>
    </row>
    <row r="10593" spans="1:4" x14ac:dyDescent="0.2">
      <c r="A10593" t="str">
        <f>"10592"</f>
        <v>10592</v>
      </c>
      <c r="B10593" t="str">
        <f>"-0.03"</f>
        <v>-0.03</v>
      </c>
      <c r="C10593" t="str">
        <f>"28"</f>
        <v>28</v>
      </c>
      <c r="D10593" t="str">
        <f>"Afar"</f>
        <v>Afar</v>
      </c>
    </row>
    <row r="10594" spans="1:4" x14ac:dyDescent="0.2">
      <c r="A10594" t="str">
        <f>"10593"</f>
        <v>10593</v>
      </c>
      <c r="B10594" t="str">
        <f>"0.5"</f>
        <v>0.5</v>
      </c>
      <c r="C10594" t="str">
        <f>"30"</f>
        <v>30</v>
      </c>
      <c r="D10594" t="str">
        <f>"See the World Given to a One Love Entity"</f>
        <v>See the World Given to a One Love Entity</v>
      </c>
    </row>
    <row r="10595" spans="1:4" x14ac:dyDescent="0.2">
      <c r="A10595" t="str">
        <f>"10594"</f>
        <v>10594</v>
      </c>
      <c r="B10595" t="str">
        <f>"-0.17"</f>
        <v>-0.17</v>
      </c>
      <c r="C10595" t="str">
        <f>"38"</f>
        <v>38</v>
      </c>
      <c r="D10595" t="str">
        <f>"Swearin'"</f>
        <v>Swearin'</v>
      </c>
    </row>
    <row r="10596" spans="1:4" x14ac:dyDescent="0.2">
      <c r="A10596" t="str">
        <f>"10595"</f>
        <v>10595</v>
      </c>
      <c r="B10596" t="str">
        <f>"0.67"</f>
        <v>0.67</v>
      </c>
      <c r="C10596" t="str">
        <f>"24"</f>
        <v>24</v>
      </c>
      <c r="D10596" t="str">
        <f>"Four"</f>
        <v>Four</v>
      </c>
    </row>
    <row r="10597" spans="1:4" x14ac:dyDescent="0.2">
      <c r="A10597" t="str">
        <f>"10596"</f>
        <v>10596</v>
      </c>
      <c r="B10597" t="str">
        <f>"-0.81"</f>
        <v>-0.81</v>
      </c>
      <c r="C10597" t="str">
        <f>"28"</f>
        <v>28</v>
      </c>
      <c r="D10597" t="str">
        <f>"Melodica"</f>
        <v>Melodica</v>
      </c>
    </row>
    <row r="10598" spans="1:4" x14ac:dyDescent="0.2">
      <c r="A10598" t="str">
        <f>"10597"</f>
        <v>10597</v>
      </c>
      <c r="B10598" t="str">
        <f>"-0.66"</f>
        <v>-0.66</v>
      </c>
      <c r="C10598" t="str">
        <f>"39"</f>
        <v>39</v>
      </c>
      <c r="D10598" t="str">
        <f>"Obama Basedgod"</f>
        <v>Obama Basedgod</v>
      </c>
    </row>
    <row r="10599" spans="1:4" x14ac:dyDescent="0.2">
      <c r="A10599" t="str">
        <f>"10598"</f>
        <v>10598</v>
      </c>
      <c r="B10599" t="str">
        <f>"0.25"</f>
        <v>0.25</v>
      </c>
      <c r="C10599" t="str">
        <f>"23"</f>
        <v>23</v>
      </c>
      <c r="D10599" t="str">
        <f>"Cid Rim"</f>
        <v>Cid Rim</v>
      </c>
    </row>
    <row r="10600" spans="1:4" x14ac:dyDescent="0.2">
      <c r="A10600" t="str">
        <f>"10599"</f>
        <v>10599</v>
      </c>
      <c r="B10600" t="str">
        <f>"-0.75"</f>
        <v>-0.75</v>
      </c>
      <c r="C10600" t="str">
        <f>"29"</f>
        <v>29</v>
      </c>
      <c r="D10600" t="str">
        <f>"Cold of Ages"</f>
        <v>Cold of Ages</v>
      </c>
    </row>
    <row r="10601" spans="1:4" x14ac:dyDescent="0.2">
      <c r="A10601" t="str">
        <f>"10600"</f>
        <v>10600</v>
      </c>
      <c r="B10601" t="str">
        <f>"-0.16"</f>
        <v>-0.16</v>
      </c>
      <c r="C10601" t="str">
        <f>"40"</f>
        <v>40</v>
      </c>
      <c r="D10601" t="str">
        <f>"Just Tell Me That You Want Me: Tribute to Fleetwood Mac"</f>
        <v>Just Tell Me That You Want Me: Tribute to Fleetwood Mac</v>
      </c>
    </row>
    <row r="10602" spans="1:4" x14ac:dyDescent="0.2">
      <c r="A10602" t="str">
        <f>"10601"</f>
        <v>10601</v>
      </c>
      <c r="B10602" t="str">
        <f>"-0.19"</f>
        <v>-0.19</v>
      </c>
      <c r="C10602" t="str">
        <f>"75"</f>
        <v>75</v>
      </c>
      <c r="D10602" t="str">
        <f>"All The Nations Airports"</f>
        <v>All The Nations Airports</v>
      </c>
    </row>
    <row r="10603" spans="1:4" x14ac:dyDescent="0.2">
      <c r="A10603" t="str">
        <f>"10602"</f>
        <v>10602</v>
      </c>
      <c r="B10603" t="str">
        <f>"-0.74"</f>
        <v>-0.74</v>
      </c>
      <c r="C10603" t="str">
        <f>"43"</f>
        <v>43</v>
      </c>
      <c r="D10603" t="str">
        <f>"Shake My Head"</f>
        <v>Shake My Head</v>
      </c>
    </row>
    <row r="10604" spans="1:4" x14ac:dyDescent="0.2">
      <c r="A10604" t="str">
        <f>"10603"</f>
        <v>10603</v>
      </c>
      <c r="B10604" t="str">
        <f>"0.1"</f>
        <v>0.1</v>
      </c>
      <c r="C10604" t="str">
        <f>"23"</f>
        <v>23</v>
      </c>
      <c r="D10604" t="str">
        <f>"Safe Travels"</f>
        <v>Safe Travels</v>
      </c>
    </row>
    <row r="10605" spans="1:4" x14ac:dyDescent="0.2">
      <c r="A10605" t="str">
        <f>"10604"</f>
        <v>10604</v>
      </c>
      <c r="B10605" t="str">
        <f>"0.16"</f>
        <v>0.16</v>
      </c>
      <c r="C10605" t="str">
        <f>"34"</f>
        <v>34</v>
      </c>
      <c r="D10605" t="str">
        <f>"Enterprising Sidewalks"</f>
        <v>Enterprising Sidewalks</v>
      </c>
    </row>
    <row r="10606" spans="1:4" x14ac:dyDescent="0.2">
      <c r="A10606" t="str">
        <f>"10605"</f>
        <v>10605</v>
      </c>
      <c r="B10606" t="str">
        <f>"0.57"</f>
        <v>0.57</v>
      </c>
      <c r="C10606" t="str">
        <f>"62"</f>
        <v>62</v>
      </c>
      <c r="D10606" t="str">
        <f>"The Complete Studio Records 1972-1982"</f>
        <v>The Complete Studio Records 1972-1982</v>
      </c>
    </row>
    <row r="10607" spans="1:4" x14ac:dyDescent="0.2">
      <c r="A10607" t="str">
        <f>"10606"</f>
        <v>10606</v>
      </c>
      <c r="B10607" t="str">
        <f>"0"</f>
        <v>0</v>
      </c>
      <c r="C10607" t="str">
        <f>"20"</f>
        <v>20</v>
      </c>
      <c r="D10607" t="str">
        <f>"Pink Keys"</f>
        <v>Pink Keys</v>
      </c>
    </row>
    <row r="10608" spans="1:4" x14ac:dyDescent="0.2">
      <c r="A10608" t="str">
        <f>"10607"</f>
        <v>10607</v>
      </c>
      <c r="B10608" t="str">
        <f>"-0.33"</f>
        <v>-0.33</v>
      </c>
      <c r="C10608" t="str">
        <f>"34"</f>
        <v>34</v>
      </c>
      <c r="D10608" t="str">
        <f>"Nicole and Natalie"</f>
        <v>Nicole and Natalie</v>
      </c>
    </row>
    <row r="10609" spans="1:4" x14ac:dyDescent="0.2">
      <c r="A10609" t="str">
        <f>"10608"</f>
        <v>10608</v>
      </c>
      <c r="B10609" t="str">
        <f>"0.96"</f>
        <v>0.96</v>
      </c>
      <c r="C10609" t="str">
        <f>"30"</f>
        <v>30</v>
      </c>
      <c r="D10609" t="str">
        <f>"Fabriclive 64"</f>
        <v>Fabriclive 64</v>
      </c>
    </row>
    <row r="10610" spans="1:4" x14ac:dyDescent="0.2">
      <c r="A10610" t="str">
        <f>"10609"</f>
        <v>10609</v>
      </c>
      <c r="B10610" t="str">
        <f>"0.91"</f>
        <v>0.91</v>
      </c>
      <c r="C10610" t="str">
        <f>"20"</f>
        <v>20</v>
      </c>
      <c r="D10610" t="str">
        <f>"En Yay Sah"</f>
        <v>En Yay Sah</v>
      </c>
    </row>
    <row r="10611" spans="1:4" x14ac:dyDescent="0.2">
      <c r="A10611" t="str">
        <f>"10610"</f>
        <v>10610</v>
      </c>
      <c r="B10611" t="str">
        <f>"0.79"</f>
        <v>0.79</v>
      </c>
      <c r="C10611" t="str">
        <f>"28"</f>
        <v>28</v>
      </c>
      <c r="D10611" t="str">
        <f>"Anastasis"</f>
        <v>Anastasis</v>
      </c>
    </row>
    <row r="10612" spans="1:4" x14ac:dyDescent="0.2">
      <c r="A10612" t="str">
        <f>"10611"</f>
        <v>10611</v>
      </c>
      <c r="B10612" t="str">
        <f>"0.01"</f>
        <v>0.01</v>
      </c>
      <c r="C10612" t="str">
        <f>"32"</f>
        <v>32</v>
      </c>
      <c r="D10612" t="str">
        <f>"Instinct"</f>
        <v>Instinct</v>
      </c>
    </row>
    <row r="10613" spans="1:4" x14ac:dyDescent="0.2">
      <c r="A10613" t="str">
        <f>"10612"</f>
        <v>10612</v>
      </c>
      <c r="B10613" t="str">
        <f>"-0.66"</f>
        <v>-0.66</v>
      </c>
      <c r="C10613" t="str">
        <f>"37"</f>
        <v>37</v>
      </c>
      <c r="D10613" t="str">
        <f>"Raw Money Raps"</f>
        <v>Raw Money Raps</v>
      </c>
    </row>
    <row r="10614" spans="1:4" x14ac:dyDescent="0.2">
      <c r="A10614" t="str">
        <f>"10613"</f>
        <v>10613</v>
      </c>
      <c r="B10614" t="str">
        <f>"-0.94"</f>
        <v>-0.94</v>
      </c>
      <c r="C10614" t="str">
        <f>"37"</f>
        <v>37</v>
      </c>
      <c r="D10614" t="str">
        <f>"Molecular Genetics from the Gold Standard Labs"</f>
        <v>Molecular Genetics from the Gold Standard Labs</v>
      </c>
    </row>
    <row r="10615" spans="1:4" x14ac:dyDescent="0.2">
      <c r="A10615" t="str">
        <f>"10614"</f>
        <v>10614</v>
      </c>
      <c r="B10615" t="str">
        <f>"0.28"</f>
        <v>0.28</v>
      </c>
      <c r="C10615" t="str">
        <f>"25"</f>
        <v>25</v>
      </c>
      <c r="D10615" t="str">
        <f>"Nothing Bad Will Ever Happen"</f>
        <v>Nothing Bad Will Ever Happen</v>
      </c>
    </row>
    <row r="10616" spans="1:4" x14ac:dyDescent="0.2">
      <c r="A10616" t="str">
        <f>"10615"</f>
        <v>10615</v>
      </c>
      <c r="B10616" t="str">
        <f>"-0.28"</f>
        <v>-0.28</v>
      </c>
      <c r="C10616" t="str">
        <f>"43"</f>
        <v>43</v>
      </c>
      <c r="D10616" t="str">
        <f>"Eraserhead"</f>
        <v>Eraserhead</v>
      </c>
    </row>
    <row r="10617" spans="1:4" x14ac:dyDescent="0.2">
      <c r="A10617" t="str">
        <f>"10616"</f>
        <v>10616</v>
      </c>
      <c r="B10617" t="str">
        <f>"0.64"</f>
        <v>0.64</v>
      </c>
      <c r="C10617" t="str">
        <f>"30"</f>
        <v>30</v>
      </c>
      <c r="D10617" t="str">
        <f>"II"</f>
        <v>II</v>
      </c>
    </row>
    <row r="10618" spans="1:4" x14ac:dyDescent="0.2">
      <c r="A10618" t="str">
        <f>"10617"</f>
        <v>10617</v>
      </c>
      <c r="B10618" t="str">
        <f>"-0.24"</f>
        <v>-0.24</v>
      </c>
      <c r="C10618" t="str">
        <f>"26"</f>
        <v>26</v>
      </c>
      <c r="D10618" t="str">
        <f>"Facedown EP"</f>
        <v>Facedown EP</v>
      </c>
    </row>
    <row r="10619" spans="1:4" x14ac:dyDescent="0.2">
      <c r="A10619" t="str">
        <f>"10618"</f>
        <v>10618</v>
      </c>
      <c r="B10619" t="str">
        <f>"0.41"</f>
        <v>0.41</v>
      </c>
      <c r="C10619" t="str">
        <f>"27"</f>
        <v>27</v>
      </c>
      <c r="D10619" t="str">
        <f>"Ancient Future"</f>
        <v>Ancient Future</v>
      </c>
    </row>
    <row r="10620" spans="1:4" x14ac:dyDescent="0.2">
      <c r="A10620" t="str">
        <f>"10619"</f>
        <v>10619</v>
      </c>
      <c r="B10620" t="str">
        <f>"-0.05"</f>
        <v>-0.05</v>
      </c>
      <c r="C10620" t="str">
        <f>"31"</f>
        <v>31</v>
      </c>
      <c r="D10620" t="str">
        <f>"333"</f>
        <v>333</v>
      </c>
    </row>
    <row r="10621" spans="1:4" x14ac:dyDescent="0.2">
      <c r="A10621" t="str">
        <f>"10620"</f>
        <v>10620</v>
      </c>
      <c r="B10621" t="str">
        <f>"-0.59"</f>
        <v>-0.59</v>
      </c>
      <c r="C10621" t="str">
        <f>"33"</f>
        <v>33</v>
      </c>
      <c r="D10621" t="str">
        <f>"No Idols"</f>
        <v>No Idols</v>
      </c>
    </row>
    <row r="10622" spans="1:4" x14ac:dyDescent="0.2">
      <c r="A10622" t="str">
        <f>"10621"</f>
        <v>10621</v>
      </c>
      <c r="B10622" t="str">
        <f>"-0.56"</f>
        <v>-0.56</v>
      </c>
      <c r="C10622" t="str">
        <f>"34"</f>
        <v>34</v>
      </c>
      <c r="D10622" t="str">
        <f>"Sod in the Seed"</f>
        <v>Sod in the Seed</v>
      </c>
    </row>
    <row r="10623" spans="1:4" x14ac:dyDescent="0.2">
      <c r="A10623" t="str">
        <f>"10622"</f>
        <v>10622</v>
      </c>
      <c r="B10623" t="str">
        <f>"-0.33"</f>
        <v>-0.33</v>
      </c>
      <c r="C10623" t="str">
        <f>"37"</f>
        <v>37</v>
      </c>
      <c r="D10623" t="str">
        <f>"Tesco"</f>
        <v>Tesco</v>
      </c>
    </row>
    <row r="10624" spans="1:4" x14ac:dyDescent="0.2">
      <c r="A10624" t="str">
        <f>"10623"</f>
        <v>10623</v>
      </c>
      <c r="B10624" t="str">
        <f>"0.79"</f>
        <v>0.79</v>
      </c>
      <c r="C10624" t="str">
        <f>"22"</f>
        <v>22</v>
      </c>
      <c r="D10624" t="str">
        <f>"Wavelength"</f>
        <v>Wavelength</v>
      </c>
    </row>
    <row r="10625" spans="1:4" x14ac:dyDescent="0.2">
      <c r="A10625" t="str">
        <f>"10624"</f>
        <v>10624</v>
      </c>
      <c r="B10625" t="str">
        <f>"-0.54"</f>
        <v>-0.54</v>
      </c>
      <c r="C10625" t="str">
        <f>"29"</f>
        <v>29</v>
      </c>
      <c r="D10625" t="str">
        <f>"Of Babalon"</f>
        <v>Of Babalon</v>
      </c>
    </row>
    <row r="10626" spans="1:4" x14ac:dyDescent="0.2">
      <c r="A10626" t="str">
        <f>"10625"</f>
        <v>10625</v>
      </c>
      <c r="B10626" t="str">
        <f>"0.45"</f>
        <v>0.45</v>
      </c>
      <c r="C10626" t="str">
        <f>"46"</f>
        <v>46</v>
      </c>
      <c r="D10626" t="str">
        <f>"Nocturama"</f>
        <v>Nocturama</v>
      </c>
    </row>
    <row r="10627" spans="1:4" x14ac:dyDescent="0.2">
      <c r="A10627" t="str">
        <f>"10626"</f>
        <v>10626</v>
      </c>
      <c r="B10627" t="str">
        <f>"0.15"</f>
        <v>0.15</v>
      </c>
      <c r="C10627" t="str">
        <f>"38"</f>
        <v>38</v>
      </c>
      <c r="D10627" t="str">
        <f>"Now Here's My Plan EP"</f>
        <v>Now Here's My Plan EP</v>
      </c>
    </row>
    <row r="10628" spans="1:4" x14ac:dyDescent="0.2">
      <c r="A10628" t="str">
        <f>"10627"</f>
        <v>10627</v>
      </c>
      <c r="B10628" t="str">
        <f>"0.13"</f>
        <v>0.13</v>
      </c>
      <c r="C10628" t="str">
        <f>"30"</f>
        <v>30</v>
      </c>
      <c r="D10628" t="str">
        <f>"Tourist/Sleeper"</f>
        <v>Tourist/Sleeper</v>
      </c>
    </row>
    <row r="10629" spans="1:4" x14ac:dyDescent="0.2">
      <c r="A10629" t="str">
        <f>"10628"</f>
        <v>10628</v>
      </c>
      <c r="B10629" t="str">
        <f>"-0.34"</f>
        <v>-0.34</v>
      </c>
      <c r="C10629" t="str">
        <f>"23"</f>
        <v>23</v>
      </c>
      <c r="D10629" t="str">
        <f>"Forever So"</f>
        <v>Forever So</v>
      </c>
    </row>
    <row r="10630" spans="1:4" x14ac:dyDescent="0.2">
      <c r="A10630" t="str">
        <f>"10629"</f>
        <v>10629</v>
      </c>
      <c r="B10630" t="str">
        <f>"-0.49"</f>
        <v>-0.49</v>
      </c>
      <c r="C10630" t="str">
        <f>"29"</f>
        <v>29</v>
      </c>
      <c r="D10630" t="str">
        <f>"Maps EP"</f>
        <v>Maps EP</v>
      </c>
    </row>
    <row r="10631" spans="1:4" x14ac:dyDescent="0.2">
      <c r="A10631" t="str">
        <f>"10630"</f>
        <v>10630</v>
      </c>
      <c r="B10631" t="str">
        <f>"1.03"</f>
        <v>1.03</v>
      </c>
      <c r="C10631" t="str">
        <f>"37"</f>
        <v>37</v>
      </c>
      <c r="D10631" t="str">
        <f>"Cut the World"</f>
        <v>Cut the World</v>
      </c>
    </row>
    <row r="10632" spans="1:4" x14ac:dyDescent="0.2">
      <c r="A10632" t="str">
        <f>"10631"</f>
        <v>10631</v>
      </c>
      <c r="B10632" t="str">
        <f>"-0.27"</f>
        <v>-0.27</v>
      </c>
      <c r="C10632" t="str">
        <f>"29"</f>
        <v>29</v>
      </c>
      <c r="D10632" t="str">
        <f>"Stay Calm"</f>
        <v>Stay Calm</v>
      </c>
    </row>
    <row r="10633" spans="1:4" x14ac:dyDescent="0.2">
      <c r="A10633" t="str">
        <f>"10632"</f>
        <v>10632</v>
      </c>
      <c r="B10633" t="str">
        <f>"0.98"</f>
        <v>0.98</v>
      </c>
      <c r="C10633" t="str">
        <f>"30"</f>
        <v>30</v>
      </c>
      <c r="D10633" t="str">
        <f>"I Came From Nothing 3"</f>
        <v>I Came From Nothing 3</v>
      </c>
    </row>
    <row r="10634" spans="1:4" x14ac:dyDescent="0.2">
      <c r="A10634" t="str">
        <f>"10633"</f>
        <v>10633</v>
      </c>
      <c r="B10634" t="str">
        <f>"1.21"</f>
        <v>1.21</v>
      </c>
      <c r="C10634" t="str">
        <f>"28"</f>
        <v>28</v>
      </c>
      <c r="D10634" t="str">
        <f>"Copenhagen Dreams"</f>
        <v>Copenhagen Dreams</v>
      </c>
    </row>
    <row r="10635" spans="1:4" x14ac:dyDescent="0.2">
      <c r="A10635" t="str">
        <f>"10634"</f>
        <v>10634</v>
      </c>
      <c r="B10635" t="str">
        <f>"-1.52"</f>
        <v>-1.52</v>
      </c>
      <c r="C10635" t="str">
        <f>"19"</f>
        <v>19</v>
      </c>
      <c r="D10635" t="str">
        <f>"Bubblegum Graveyard"</f>
        <v>Bubblegum Graveyard</v>
      </c>
    </row>
    <row r="10636" spans="1:4" x14ac:dyDescent="0.2">
      <c r="A10636" t="str">
        <f>"10635"</f>
        <v>10635</v>
      </c>
      <c r="B10636" t="str">
        <f>"0.47"</f>
        <v>0.47</v>
      </c>
      <c r="C10636" t="str">
        <f>"78"</f>
        <v>78</v>
      </c>
      <c r="D10636" t="str">
        <f>"A Dot in Time"</f>
        <v>A Dot in Time</v>
      </c>
    </row>
    <row r="10637" spans="1:4" x14ac:dyDescent="0.2">
      <c r="A10637" t="str">
        <f>"10636"</f>
        <v>10636</v>
      </c>
      <c r="B10637" t="str">
        <f>"-0.82"</f>
        <v>-0.82</v>
      </c>
      <c r="C10637" t="str">
        <f>"26"</f>
        <v>26</v>
      </c>
      <c r="D10637" t="str">
        <f>"AUN"</f>
        <v>AUN</v>
      </c>
    </row>
    <row r="10638" spans="1:4" x14ac:dyDescent="0.2">
      <c r="A10638" t="str">
        <f>"10637"</f>
        <v>10637</v>
      </c>
      <c r="B10638" t="str">
        <f>"-0.11"</f>
        <v>-0.11</v>
      </c>
      <c r="C10638" t="str">
        <f>"30"</f>
        <v>30</v>
      </c>
      <c r="D10638" t="str">
        <f>"Funky Was the State of Affairs"</f>
        <v>Funky Was the State of Affairs</v>
      </c>
    </row>
    <row r="10639" spans="1:4" x14ac:dyDescent="0.2">
      <c r="A10639" t="str">
        <f>"10638"</f>
        <v>10638</v>
      </c>
      <c r="B10639" t="str">
        <f>"-0.41"</f>
        <v>-0.41</v>
      </c>
      <c r="C10639" t="str">
        <f>"29"</f>
        <v>29</v>
      </c>
      <c r="D10639" t="str">
        <f>"Bricks in My Backpack 3"</f>
        <v>Bricks in My Backpack 3</v>
      </c>
    </row>
    <row r="10640" spans="1:4" x14ac:dyDescent="0.2">
      <c r="A10640" t="str">
        <f>"10639"</f>
        <v>10639</v>
      </c>
      <c r="B10640" t="str">
        <f>"-0.52"</f>
        <v>-0.52</v>
      </c>
      <c r="C10640" t="str">
        <f>"52"</f>
        <v>52</v>
      </c>
      <c r="D10640" t="str">
        <f>"Tropicalbacanal"</f>
        <v>Tropicalbacanal</v>
      </c>
    </row>
    <row r="10641" spans="1:4" x14ac:dyDescent="0.2">
      <c r="A10641" t="str">
        <f>"10640"</f>
        <v>10640</v>
      </c>
      <c r="B10641" t="str">
        <f>"0.25"</f>
        <v>0.25</v>
      </c>
      <c r="C10641" t="str">
        <f>"52"</f>
        <v>52</v>
      </c>
      <c r="D10641" t="str">
        <f>"Silencing Machine"</f>
        <v>Silencing Machine</v>
      </c>
    </row>
    <row r="10642" spans="1:4" x14ac:dyDescent="0.2">
      <c r="A10642" t="str">
        <f>"10641"</f>
        <v>10641</v>
      </c>
      <c r="B10642" t="str">
        <f>"0.17"</f>
        <v>0.17</v>
      </c>
      <c r="C10642" t="str">
        <f>"22"</f>
        <v>22</v>
      </c>
      <c r="D10642" t="str">
        <f>"Antibalas"</f>
        <v>Antibalas</v>
      </c>
    </row>
    <row r="10643" spans="1:4" x14ac:dyDescent="0.2">
      <c r="A10643" t="str">
        <f>"10642"</f>
        <v>10642</v>
      </c>
      <c r="B10643" t="str">
        <f>"1.03"</f>
        <v>1.03</v>
      </c>
      <c r="C10643" t="str">
        <f>"37"</f>
        <v>37</v>
      </c>
      <c r="D10643" t="str">
        <f>"Looping State Of Mind Remixe EP"</f>
        <v>Looping State Of Mind Remixe EP</v>
      </c>
    </row>
    <row r="10644" spans="1:4" x14ac:dyDescent="0.2">
      <c r="A10644" t="str">
        <f>"10643"</f>
        <v>10643</v>
      </c>
      <c r="B10644" t="str">
        <f>"0.21"</f>
        <v>0.21</v>
      </c>
      <c r="C10644" t="str">
        <f>"33"</f>
        <v>33</v>
      </c>
      <c r="D10644" t="str">
        <f>"Air Texture Vol. II"</f>
        <v>Air Texture Vol. II</v>
      </c>
    </row>
    <row r="10645" spans="1:4" x14ac:dyDescent="0.2">
      <c r="A10645" t="str">
        <f>"10644"</f>
        <v>10644</v>
      </c>
      <c r="B10645" t="str">
        <f>"0.39"</f>
        <v>0.39</v>
      </c>
      <c r="C10645" t="str">
        <f>"25"</f>
        <v>25</v>
      </c>
      <c r="D10645" t="str">
        <f>"Intermezzo"</f>
        <v>Intermezzo</v>
      </c>
    </row>
    <row r="10646" spans="1:4" x14ac:dyDescent="0.2">
      <c r="A10646" t="str">
        <f>"10645"</f>
        <v>10645</v>
      </c>
      <c r="B10646" t="str">
        <f>"-0.48"</f>
        <v>-0.48</v>
      </c>
      <c r="C10646" t="str">
        <f>"34"</f>
        <v>34</v>
      </c>
      <c r="D10646" t="str">
        <f>"Graceland: 25th Anniversary Edition"</f>
        <v>Graceland: 25th Anniversary Edition</v>
      </c>
    </row>
    <row r="10647" spans="1:4" x14ac:dyDescent="0.2">
      <c r="A10647" t="str">
        <f>"10646"</f>
        <v>10646</v>
      </c>
      <c r="B10647" t="str">
        <f>"0.9"</f>
        <v>0.9</v>
      </c>
      <c r="C10647" t="str">
        <f>"31"</f>
        <v>31</v>
      </c>
      <c r="D10647" t="str">
        <f>"Showtime"</f>
        <v>Showtime</v>
      </c>
    </row>
    <row r="10648" spans="1:4" x14ac:dyDescent="0.2">
      <c r="A10648" t="str">
        <f>"10647"</f>
        <v>10647</v>
      </c>
      <c r="B10648" t="str">
        <f>"-0.24"</f>
        <v>-0.24</v>
      </c>
      <c r="C10648" t="str">
        <f>"28"</f>
        <v>28</v>
      </c>
      <c r="D10648" t="str">
        <f>"Holograms"</f>
        <v>Holograms</v>
      </c>
    </row>
    <row r="10649" spans="1:4" x14ac:dyDescent="0.2">
      <c r="A10649" t="str">
        <f>"10648"</f>
        <v>10648</v>
      </c>
      <c r="B10649" t="str">
        <f>"-0.16"</f>
        <v>-0.16</v>
      </c>
      <c r="C10649" t="str">
        <f>"29"</f>
        <v>29</v>
      </c>
      <c r="D10649" t="str">
        <f>"On Jones Beach"</f>
        <v>On Jones Beach</v>
      </c>
    </row>
    <row r="10650" spans="1:4" x14ac:dyDescent="0.2">
      <c r="A10650" t="str">
        <f>"10649"</f>
        <v>10649</v>
      </c>
      <c r="B10650" t="str">
        <f>"-0.43"</f>
        <v>-0.43</v>
      </c>
      <c r="C10650" t="str">
        <f>"32"</f>
        <v>32</v>
      </c>
      <c r="D10650" t="str">
        <f>"Atra Mors"</f>
        <v>Atra Mors</v>
      </c>
    </row>
    <row r="10651" spans="1:4" x14ac:dyDescent="0.2">
      <c r="A10651" t="str">
        <f>"10650"</f>
        <v>10650</v>
      </c>
      <c r="B10651" t="str">
        <f>"-0.21"</f>
        <v>-0.21</v>
      </c>
      <c r="C10651" t="str">
        <f>"138"</f>
        <v>138</v>
      </c>
      <c r="D10651" t="str">
        <f>"Blur 21"</f>
        <v>Blur 21</v>
      </c>
    </row>
    <row r="10652" spans="1:4" x14ac:dyDescent="0.2">
      <c r="A10652" t="str">
        <f>"10651"</f>
        <v>10651</v>
      </c>
      <c r="B10652" t="str">
        <f>"-0.66"</f>
        <v>-0.66</v>
      </c>
      <c r="C10652" t="str">
        <f>"43"</f>
        <v>43</v>
      </c>
      <c r="D10652" t="str">
        <f>"C.A.R."</f>
        <v>C.A.R.</v>
      </c>
    </row>
    <row r="10653" spans="1:4" x14ac:dyDescent="0.2">
      <c r="A10653" t="str">
        <f>"10652"</f>
        <v>10652</v>
      </c>
      <c r="B10653" t="str">
        <f>"0.46"</f>
        <v>0.46</v>
      </c>
      <c r="C10653" t="str">
        <f>"33"</f>
        <v>33</v>
      </c>
      <c r="D10653" t="str">
        <f>"Early Birds"</f>
        <v>Early Birds</v>
      </c>
    </row>
    <row r="10654" spans="1:4" x14ac:dyDescent="0.2">
      <c r="A10654" t="str">
        <f>"10653"</f>
        <v>10653</v>
      </c>
      <c r="B10654" t="str">
        <f>"0.2"</f>
        <v>0.2</v>
      </c>
      <c r="C10654" t="str">
        <f>"39"</f>
        <v>39</v>
      </c>
      <c r="D10654" t="str">
        <f>"Reverence to Stone"</f>
        <v>Reverence to Stone</v>
      </c>
    </row>
    <row r="10655" spans="1:4" x14ac:dyDescent="0.2">
      <c r="A10655" t="str">
        <f>"10654"</f>
        <v>10654</v>
      </c>
      <c r="B10655" t="str">
        <f>"0.07"</f>
        <v>0.07</v>
      </c>
      <c r="C10655" t="str">
        <f>"27"</f>
        <v>27</v>
      </c>
      <c r="D10655" t="str">
        <f>"Le Trièdre fertile"</f>
        <v>Le Trièdre fertile</v>
      </c>
    </row>
    <row r="10656" spans="1:4" x14ac:dyDescent="0.2">
      <c r="A10656" t="str">
        <f>"10655"</f>
        <v>10655</v>
      </c>
      <c r="B10656" t="str">
        <f>"-0.44"</f>
        <v>-0.44</v>
      </c>
      <c r="C10656" t="str">
        <f>"40"</f>
        <v>40</v>
      </c>
      <c r="D10656" t="s">
        <v>317</v>
      </c>
    </row>
    <row r="10657" spans="1:4" x14ac:dyDescent="0.2">
      <c r="A10657" t="str">
        <f>"10656"</f>
        <v>10656</v>
      </c>
      <c r="B10657" t="str">
        <f>"0.97"</f>
        <v>0.97</v>
      </c>
      <c r="C10657" t="str">
        <f>"72"</f>
        <v>72</v>
      </c>
      <c r="D10657" t="str">
        <f>"Copper Blue"</f>
        <v>Copper Blue</v>
      </c>
    </row>
    <row r="10658" spans="1:4" x14ac:dyDescent="0.2">
      <c r="A10658" t="str">
        <f>"10657"</f>
        <v>10657</v>
      </c>
      <c r="B10658" t="str">
        <f>"0.9"</f>
        <v>0.9</v>
      </c>
      <c r="C10658" t="str">
        <f>"33"</f>
        <v>33</v>
      </c>
      <c r="D10658" t="str">
        <f>"Do You Know Who I Am?"</f>
        <v>Do You Know Who I Am?</v>
      </c>
    </row>
    <row r="10659" spans="1:4" x14ac:dyDescent="0.2">
      <c r="A10659" t="str">
        <f>"10658"</f>
        <v>10658</v>
      </c>
      <c r="B10659" t="str">
        <f>"-0.73"</f>
        <v>-0.73</v>
      </c>
      <c r="C10659" t="str">
        <f>"29"</f>
        <v>29</v>
      </c>
      <c r="D10659" t="str">
        <f>"Sorry"</f>
        <v>Sorry</v>
      </c>
    </row>
    <row r="10660" spans="1:4" x14ac:dyDescent="0.2">
      <c r="A10660" t="str">
        <f>"10659"</f>
        <v>10659</v>
      </c>
      <c r="B10660" t="str">
        <f>"-1.51"</f>
        <v>-1.51</v>
      </c>
      <c r="C10660" t="str">
        <f>"57"</f>
        <v>57</v>
      </c>
      <c r="D10660" t="s">
        <v>318</v>
      </c>
    </row>
    <row r="10661" spans="1:4" x14ac:dyDescent="0.2">
      <c r="A10661" t="str">
        <f>"10660"</f>
        <v>10660</v>
      </c>
      <c r="B10661" t="str">
        <f>"-0.22"</f>
        <v>-0.22</v>
      </c>
      <c r="C10661" t="str">
        <f>"67"</f>
        <v>67</v>
      </c>
      <c r="D10661" t="str">
        <f>"Liquid Swords: Chess Box Deluxe Edition"</f>
        <v>Liquid Swords: Chess Box Deluxe Edition</v>
      </c>
    </row>
    <row r="10662" spans="1:4" x14ac:dyDescent="0.2">
      <c r="A10662" t="str">
        <f>"10661"</f>
        <v>10661</v>
      </c>
      <c r="B10662" t="str">
        <f>"-0.57"</f>
        <v>-0.57</v>
      </c>
      <c r="C10662" t="str">
        <f>"30"</f>
        <v>30</v>
      </c>
      <c r="D10662" t="str">
        <f>"Playin' Me"</f>
        <v>Playin' Me</v>
      </c>
    </row>
    <row r="10663" spans="1:4" x14ac:dyDescent="0.2">
      <c r="A10663" t="str">
        <f>"10662"</f>
        <v>10662</v>
      </c>
      <c r="B10663" t="str">
        <f>"-0.52"</f>
        <v>-0.52</v>
      </c>
      <c r="C10663" t="str">
        <f>"38"</f>
        <v>38</v>
      </c>
      <c r="D10663" t="str">
        <f>"Advaitic Songs"</f>
        <v>Advaitic Songs</v>
      </c>
    </row>
    <row r="10664" spans="1:4" x14ac:dyDescent="0.2">
      <c r="A10664" t="str">
        <f>"10663"</f>
        <v>10663</v>
      </c>
      <c r="B10664" t="str">
        <f>"0.09"</f>
        <v>0.09</v>
      </c>
      <c r="C10664" t="str">
        <f>"29"</f>
        <v>29</v>
      </c>
      <c r="D10664" t="str">
        <f>"Cellar Door"</f>
        <v>Cellar Door</v>
      </c>
    </row>
    <row r="10665" spans="1:4" x14ac:dyDescent="0.2">
      <c r="A10665" t="str">
        <f>"10664"</f>
        <v>10664</v>
      </c>
      <c r="B10665" t="str">
        <f>"-0.66"</f>
        <v>-0.66</v>
      </c>
      <c r="C10665" t="str">
        <f>"21"</f>
        <v>21</v>
      </c>
      <c r="D10665" t="str">
        <f>"Regional Surrealism"</f>
        <v>Regional Surrealism</v>
      </c>
    </row>
    <row r="10666" spans="1:4" x14ac:dyDescent="0.2">
      <c r="A10666" t="str">
        <f>"10665"</f>
        <v>10665</v>
      </c>
      <c r="B10666" t="str">
        <f>"-0.4"</f>
        <v>-0.4</v>
      </c>
      <c r="C10666" t="str">
        <f>"44"</f>
        <v>44</v>
      </c>
      <c r="D10666" t="str">
        <f>"Undersea"</f>
        <v>Undersea</v>
      </c>
    </row>
    <row r="10667" spans="1:4" x14ac:dyDescent="0.2">
      <c r="A10667" t="str">
        <f>"10666"</f>
        <v>10666</v>
      </c>
      <c r="B10667" t="str">
        <f>"0.46"</f>
        <v>0.46</v>
      </c>
      <c r="C10667" t="str">
        <f>"42"</f>
        <v>42</v>
      </c>
      <c r="D10667" t="str">
        <f>"Reservation EP"</f>
        <v>Reservation EP</v>
      </c>
    </row>
    <row r="10668" spans="1:4" x14ac:dyDescent="0.2">
      <c r="A10668" t="str">
        <f>"10667"</f>
        <v>10667</v>
      </c>
      <c r="B10668" t="str">
        <f>"-0.7"</f>
        <v>-0.7</v>
      </c>
      <c r="C10668" t="str">
        <f>"30"</f>
        <v>30</v>
      </c>
      <c r="D10668" t="str">
        <f>"Handwritten"</f>
        <v>Handwritten</v>
      </c>
    </row>
    <row r="10669" spans="1:4" x14ac:dyDescent="0.2">
      <c r="A10669" t="str">
        <f>"10668"</f>
        <v>10668</v>
      </c>
      <c r="B10669" t="str">
        <f>"0.83"</f>
        <v>0.83</v>
      </c>
      <c r="C10669" t="str">
        <f>"43"</f>
        <v>43</v>
      </c>
      <c r="D10669" t="str">
        <f>"Rebirth"</f>
        <v>Rebirth</v>
      </c>
    </row>
    <row r="10670" spans="1:4" x14ac:dyDescent="0.2">
      <c r="A10670" t="str">
        <f>"10669"</f>
        <v>10669</v>
      </c>
      <c r="B10670" t="str">
        <f>"-0.55"</f>
        <v>-0.55</v>
      </c>
      <c r="C10670" t="str">
        <f>"27"</f>
        <v>27</v>
      </c>
      <c r="D10670" t="str">
        <f>"White Math / Polymorph"</f>
        <v>White Math / Polymorph</v>
      </c>
    </row>
    <row r="10671" spans="1:4" x14ac:dyDescent="0.2">
      <c r="A10671" t="str">
        <f>"10670"</f>
        <v>10670</v>
      </c>
      <c r="B10671" t="str">
        <f>"0.66"</f>
        <v>0.66</v>
      </c>
      <c r="C10671" t="str">
        <f>"23"</f>
        <v>23</v>
      </c>
      <c r="D10671" t="str">
        <f>"TNGHT EP"</f>
        <v>TNGHT EP</v>
      </c>
    </row>
    <row r="10672" spans="1:4" x14ac:dyDescent="0.2">
      <c r="A10672" t="str">
        <f>"10671"</f>
        <v>10671</v>
      </c>
      <c r="B10672" t="str">
        <f>"-0.56"</f>
        <v>-0.56</v>
      </c>
      <c r="C10672" t="str">
        <f>"27"</f>
        <v>27</v>
      </c>
      <c r="D10672" t="str">
        <f>"Never"</f>
        <v>Never</v>
      </c>
    </row>
    <row r="10673" spans="1:4" x14ac:dyDescent="0.2">
      <c r="A10673" t="str">
        <f>"10672"</f>
        <v>10672</v>
      </c>
      <c r="B10673" t="str">
        <f>"-0.45"</f>
        <v>-0.45</v>
      </c>
      <c r="C10673" t="str">
        <f>"32"</f>
        <v>32</v>
      </c>
      <c r="D10673" t="str">
        <f>"Correct Behavior"</f>
        <v>Correct Behavior</v>
      </c>
    </row>
    <row r="10674" spans="1:4" x14ac:dyDescent="0.2">
      <c r="A10674" t="str">
        <f>"10673"</f>
        <v>10673</v>
      </c>
      <c r="B10674" t="str">
        <f>"-0.78"</f>
        <v>-0.78</v>
      </c>
      <c r="C10674" t="str">
        <f>"27"</f>
        <v>27</v>
      </c>
      <c r="D10674" t="str">
        <f>"Jared's Lot"</f>
        <v>Jared's Lot</v>
      </c>
    </row>
    <row r="10675" spans="1:4" x14ac:dyDescent="0.2">
      <c r="A10675" t="str">
        <f>"10674"</f>
        <v>10674</v>
      </c>
      <c r="B10675" t="str">
        <f>"0.05"</f>
        <v>0.05</v>
      </c>
      <c r="C10675" t="str">
        <f>"27"</f>
        <v>27</v>
      </c>
      <c r="D10675" t="str">
        <f>"Eremita"</f>
        <v>Eremita</v>
      </c>
    </row>
    <row r="10676" spans="1:4" x14ac:dyDescent="0.2">
      <c r="A10676" t="str">
        <f>"10675"</f>
        <v>10675</v>
      </c>
      <c r="B10676" t="str">
        <f>"-0.08"</f>
        <v>-0.08</v>
      </c>
      <c r="C10676" t="str">
        <f>"43"</f>
        <v>43</v>
      </c>
      <c r="D10676" t="str">
        <f>"Shrines"</f>
        <v>Shrines</v>
      </c>
    </row>
    <row r="10677" spans="1:4" x14ac:dyDescent="0.2">
      <c r="A10677" t="str">
        <f>"10676"</f>
        <v>10676</v>
      </c>
      <c r="B10677" t="str">
        <f>"0.63"</f>
        <v>0.63</v>
      </c>
      <c r="C10677" t="str">
        <f>"33"</f>
        <v>33</v>
      </c>
      <c r="D10677" t="str">
        <f>"Major"</f>
        <v>Major</v>
      </c>
    </row>
    <row r="10678" spans="1:4" x14ac:dyDescent="0.2">
      <c r="A10678" t="str">
        <f>"10677"</f>
        <v>10677</v>
      </c>
      <c r="B10678" t="str">
        <f>"-0.24"</f>
        <v>-0.24</v>
      </c>
      <c r="C10678" t="str">
        <f>"21"</f>
        <v>21</v>
      </c>
      <c r="D10678" t="str">
        <f>"Silencio"</f>
        <v>Silencio</v>
      </c>
    </row>
    <row r="10679" spans="1:4" x14ac:dyDescent="0.2">
      <c r="A10679" t="str">
        <f>"10678"</f>
        <v>10678</v>
      </c>
      <c r="B10679" t="str">
        <f>"1.23"</f>
        <v>1.23</v>
      </c>
      <c r="C10679" t="str">
        <f>"28"</f>
        <v>28</v>
      </c>
      <c r="D10679" t="str">
        <f>"Tipped Bowls"</f>
        <v>Tipped Bowls</v>
      </c>
    </row>
    <row r="10680" spans="1:4" x14ac:dyDescent="0.2">
      <c r="A10680" t="str">
        <f>"10679"</f>
        <v>10679</v>
      </c>
      <c r="B10680" t="str">
        <f>"-1.21"</f>
        <v>-1.21</v>
      </c>
      <c r="C10680" t="str">
        <f>"20"</f>
        <v>20</v>
      </c>
      <c r="D10680" t="str">
        <f>"In Decay"</f>
        <v>In Decay</v>
      </c>
    </row>
    <row r="10681" spans="1:4" x14ac:dyDescent="0.2">
      <c r="A10681" t="str">
        <f>"10680"</f>
        <v>10680</v>
      </c>
      <c r="B10681" t="str">
        <f>"-0.85"</f>
        <v>-0.85</v>
      </c>
      <c r="C10681" t="str">
        <f>"54"</f>
        <v>54</v>
      </c>
      <c r="D10681" t="str">
        <f>"Gossamer"</f>
        <v>Gossamer</v>
      </c>
    </row>
    <row r="10682" spans="1:4" x14ac:dyDescent="0.2">
      <c r="A10682" t="str">
        <f>"10681"</f>
        <v>10681</v>
      </c>
      <c r="B10682" t="str">
        <f>"-0.48"</f>
        <v>-0.48</v>
      </c>
      <c r="C10682" t="str">
        <f>"48"</f>
        <v>48</v>
      </c>
      <c r="D10682" t="str">
        <f>"Fantasea"</f>
        <v>Fantasea</v>
      </c>
    </row>
    <row r="10683" spans="1:4" x14ac:dyDescent="0.2">
      <c r="A10683" t="str">
        <f>"10682"</f>
        <v>10682</v>
      </c>
      <c r="B10683" t="str">
        <f>"0.04"</f>
        <v>0.04</v>
      </c>
      <c r="C10683" t="str">
        <f>"30"</f>
        <v>30</v>
      </c>
      <c r="D10683" t="str">
        <f>"Take The Kids Off Broadway"</f>
        <v>Take The Kids Off Broadway</v>
      </c>
    </row>
    <row r="10684" spans="1:4" x14ac:dyDescent="0.2">
      <c r="A10684" t="str">
        <f>"10683"</f>
        <v>10683</v>
      </c>
      <c r="B10684" t="str">
        <f>"-0.93"</f>
        <v>-0.93</v>
      </c>
      <c r="C10684" t="str">
        <f>"36"</f>
        <v>36</v>
      </c>
      <c r="D10684" t="str">
        <f>"Outsider/In: The Collection"</f>
        <v>Outsider/In: The Collection</v>
      </c>
    </row>
    <row r="10685" spans="1:4" x14ac:dyDescent="0.2">
      <c r="A10685" t="str">
        <f>"10684"</f>
        <v>10684</v>
      </c>
      <c r="B10685" t="str">
        <f>"0.29"</f>
        <v>0.29</v>
      </c>
      <c r="C10685" t="str">
        <f>"44"</f>
        <v>44</v>
      </c>
      <c r="D10685" t="str">
        <f>"Country Funk 1969-1975"</f>
        <v>Country Funk 1969-1975</v>
      </c>
    </row>
    <row r="10686" spans="1:4" x14ac:dyDescent="0.2">
      <c r="A10686" t="str">
        <f>"10685"</f>
        <v>10685</v>
      </c>
      <c r="B10686" t="str">
        <f>"0.21"</f>
        <v>0.21</v>
      </c>
      <c r="C10686" t="str">
        <f>"36"</f>
        <v>36</v>
      </c>
      <c r="D10686" t="str">
        <f>"Life Is Good"</f>
        <v>Life Is Good</v>
      </c>
    </row>
    <row r="10687" spans="1:4" x14ac:dyDescent="0.2">
      <c r="A10687" t="str">
        <f>"10686"</f>
        <v>10686</v>
      </c>
      <c r="B10687" t="str">
        <f>"-0.28"</f>
        <v>-0.28</v>
      </c>
      <c r="C10687" t="str">
        <f>"59"</f>
        <v>59</v>
      </c>
      <c r="D10687" t="str">
        <f>"A Collection of Rarities and Previously Unreleased Material"</f>
        <v>A Collection of Rarities and Previously Unreleased Material</v>
      </c>
    </row>
    <row r="10688" spans="1:4" x14ac:dyDescent="0.2">
      <c r="A10688" t="str">
        <f>"10687"</f>
        <v>10687</v>
      </c>
      <c r="B10688" t="str">
        <f>"-1.21"</f>
        <v>-1.21</v>
      </c>
      <c r="C10688" t="str">
        <f>"34"</f>
        <v>34</v>
      </c>
      <c r="D10688" t="str">
        <f>"Grace &amp; Lies"</f>
        <v>Grace &amp; Lies</v>
      </c>
    </row>
    <row r="10689" spans="1:4" x14ac:dyDescent="0.2">
      <c r="A10689" t="str">
        <f>"10688"</f>
        <v>10688</v>
      </c>
      <c r="B10689" t="str">
        <f>"0.38"</f>
        <v>0.38</v>
      </c>
      <c r="C10689" t="str">
        <f>"22"</f>
        <v>22</v>
      </c>
      <c r="D10689" t="str">
        <f>"Exo"</f>
        <v>Exo</v>
      </c>
    </row>
    <row r="10690" spans="1:4" x14ac:dyDescent="0.2">
      <c r="A10690" t="str">
        <f>"10689"</f>
        <v>10689</v>
      </c>
      <c r="B10690" t="str">
        <f>"-0.38"</f>
        <v>-0.38</v>
      </c>
      <c r="C10690" t="str">
        <f>"36"</f>
        <v>36</v>
      </c>
      <c r="D10690" t="str">
        <f>"Icky Blossoms"</f>
        <v>Icky Blossoms</v>
      </c>
    </row>
    <row r="10691" spans="1:4" x14ac:dyDescent="0.2">
      <c r="A10691" t="str">
        <f>"10690"</f>
        <v>10690</v>
      </c>
      <c r="B10691" t="str">
        <f>"0.4"</f>
        <v>0.4</v>
      </c>
      <c r="C10691" t="str">
        <f>"61"</f>
        <v>61</v>
      </c>
      <c r="D10691" t="str">
        <f>"Pisces Iscariot"</f>
        <v>Pisces Iscariot</v>
      </c>
    </row>
    <row r="10692" spans="1:4" x14ac:dyDescent="0.2">
      <c r="A10692" t="str">
        <f>"10691"</f>
        <v>10691</v>
      </c>
      <c r="B10692" t="str">
        <f>"0.64"</f>
        <v>0.64</v>
      </c>
      <c r="C10692" t="str">
        <f>"31"</f>
        <v>31</v>
      </c>
      <c r="D10692" t="str">
        <f>"MTMTMK"</f>
        <v>MTMTMK</v>
      </c>
    </row>
    <row r="10693" spans="1:4" x14ac:dyDescent="0.2">
      <c r="A10693" t="str">
        <f>"10692"</f>
        <v>10692</v>
      </c>
      <c r="B10693" t="str">
        <f>"1.07"</f>
        <v>1.07</v>
      </c>
      <c r="C10693" t="str">
        <f>"19"</f>
        <v>19</v>
      </c>
      <c r="D10693" t="str">
        <f>"Erika Spring EP"</f>
        <v>Erika Spring EP</v>
      </c>
    </row>
    <row r="10694" spans="1:4" x14ac:dyDescent="0.2">
      <c r="A10694" t="str">
        <f>"10693"</f>
        <v>10693</v>
      </c>
      <c r="B10694" t="str">
        <f>"0.3"</f>
        <v>0.3</v>
      </c>
      <c r="C10694" t="str">
        <f>"28"</f>
        <v>28</v>
      </c>
      <c r="D10694" t="str">
        <f>"Pacific Standard Time"</f>
        <v>Pacific Standard Time</v>
      </c>
    </row>
    <row r="10695" spans="1:4" x14ac:dyDescent="0.2">
      <c r="A10695" t="str">
        <f>"10694"</f>
        <v>10694</v>
      </c>
      <c r="B10695" t="str">
        <f>"-0.5"</f>
        <v>-0.5</v>
      </c>
      <c r="C10695" t="str">
        <f>"30"</f>
        <v>30</v>
      </c>
      <c r="D10695" t="str">
        <f>"Strange Passion: Explorations in Irish Post Punk 1980-83"</f>
        <v>Strange Passion: Explorations in Irish Post Punk 1980-83</v>
      </c>
    </row>
    <row r="10696" spans="1:4" x14ac:dyDescent="0.2">
      <c r="A10696" t="str">
        <f>"10695"</f>
        <v>10695</v>
      </c>
      <c r="B10696" t="str">
        <f>"0.78"</f>
        <v>0.78</v>
      </c>
      <c r="C10696" t="str">
        <f>"66"</f>
        <v>66</v>
      </c>
      <c r="D10696" t="str">
        <f>"Yellow &amp; Green"</f>
        <v>Yellow &amp; Green</v>
      </c>
    </row>
    <row r="10697" spans="1:4" x14ac:dyDescent="0.2">
      <c r="A10697" t="str">
        <f>"10696"</f>
        <v>10696</v>
      </c>
      <c r="B10697" t="str">
        <f>"0.02"</f>
        <v>0.02</v>
      </c>
      <c r="C10697" t="str">
        <f>"60"</f>
        <v>60</v>
      </c>
      <c r="D10697" t="str">
        <f>"Woody at 100: The Woody Guthrie Centennial Collection"</f>
        <v>Woody at 100: The Woody Guthrie Centennial Collection</v>
      </c>
    </row>
    <row r="10698" spans="1:4" x14ac:dyDescent="0.2">
      <c r="A10698" t="str">
        <f>"10697"</f>
        <v>10697</v>
      </c>
      <c r="B10698" t="str">
        <f>"0.08"</f>
        <v>0.08</v>
      </c>
      <c r="C10698" t="str">
        <f>"17"</f>
        <v>17</v>
      </c>
      <c r="D10698" t="str">
        <f>"Hypnotic Nights"</f>
        <v>Hypnotic Nights</v>
      </c>
    </row>
    <row r="10699" spans="1:4" x14ac:dyDescent="0.2">
      <c r="A10699" t="str">
        <f>"10698"</f>
        <v>10698</v>
      </c>
      <c r="B10699" t="str">
        <f>"-0.25"</f>
        <v>-0.25</v>
      </c>
      <c r="C10699" t="str">
        <f>"25"</f>
        <v>25</v>
      </c>
      <c r="D10699" t="str">
        <f>"I Make Lists EP"</f>
        <v>I Make Lists EP</v>
      </c>
    </row>
    <row r="10700" spans="1:4" x14ac:dyDescent="0.2">
      <c r="A10700" t="str">
        <f>"10699"</f>
        <v>10699</v>
      </c>
      <c r="B10700" t="str">
        <f>"0.38"</f>
        <v>0.38</v>
      </c>
      <c r="C10700" t="str">
        <f>"27"</f>
        <v>27</v>
      </c>
      <c r="D10700" t="str">
        <f>"Idea of Happiness"</f>
        <v>Idea of Happiness</v>
      </c>
    </row>
    <row r="10701" spans="1:4" x14ac:dyDescent="0.2">
      <c r="A10701" t="str">
        <f>"10700"</f>
        <v>10700</v>
      </c>
      <c r="B10701" t="str">
        <f>"1.36"</f>
        <v>1.36</v>
      </c>
      <c r="C10701" t="str">
        <f>"65"</f>
        <v>65</v>
      </c>
      <c r="D10701" t="str">
        <f>"Channel Orange"</f>
        <v>Channel Orange</v>
      </c>
    </row>
    <row r="10702" spans="1:4" x14ac:dyDescent="0.2">
      <c r="A10702" t="str">
        <f>"10701"</f>
        <v>10701</v>
      </c>
      <c r="B10702" t="str">
        <f>"0.24"</f>
        <v>0.24</v>
      </c>
      <c r="C10702" t="str">
        <f>"40"</f>
        <v>40</v>
      </c>
      <c r="D10702" t="str">
        <f>"Children of Desire"</f>
        <v>Children of Desire</v>
      </c>
    </row>
    <row r="10703" spans="1:4" x14ac:dyDescent="0.2">
      <c r="A10703" t="str">
        <f>"10702"</f>
        <v>10702</v>
      </c>
      <c r="B10703" t="str">
        <f>"-1.41"</f>
        <v>-1.41</v>
      </c>
      <c r="C10703" t="str">
        <f>"30"</f>
        <v>30</v>
      </c>
      <c r="D10703" t="str">
        <f>"Don't Like"</f>
        <v>Don't Like</v>
      </c>
    </row>
    <row r="10704" spans="1:4" x14ac:dyDescent="0.2">
      <c r="A10704" t="str">
        <f>"10703"</f>
        <v>10703</v>
      </c>
      <c r="B10704" t="str">
        <f>"0.13"</f>
        <v>0.13</v>
      </c>
      <c r="C10704" t="str">
        <f>"46"</f>
        <v>46</v>
      </c>
      <c r="D10704" t="str">
        <f>"Wink With Both Eyes"</f>
        <v>Wink With Both Eyes</v>
      </c>
    </row>
    <row r="10705" spans="1:4" x14ac:dyDescent="0.2">
      <c r="A10705" t="str">
        <f>"10704"</f>
        <v>10704</v>
      </c>
      <c r="B10705" t="str">
        <f>"0.4"</f>
        <v>0.4</v>
      </c>
      <c r="C10705" t="str">
        <f>"30"</f>
        <v>30</v>
      </c>
      <c r="D10705" t="str">
        <f>"Faustian Echoes EP"</f>
        <v>Faustian Echoes EP</v>
      </c>
    </row>
    <row r="10706" spans="1:4" x14ac:dyDescent="0.2">
      <c r="A10706" t="str">
        <f>"10705"</f>
        <v>10705</v>
      </c>
      <c r="B10706" t="str">
        <f>"0.78"</f>
        <v>0.78</v>
      </c>
      <c r="C10706" t="str">
        <f>"27"</f>
        <v>27</v>
      </c>
      <c r="D10706" t="str">
        <f>"Unsound"</f>
        <v>Unsound</v>
      </c>
    </row>
    <row r="10707" spans="1:4" x14ac:dyDescent="0.2">
      <c r="A10707" t="str">
        <f>"10706"</f>
        <v>10706</v>
      </c>
      <c r="B10707" t="str">
        <f>"0.68"</f>
        <v>0.68</v>
      </c>
      <c r="C10707" t="str">
        <f>"27"</f>
        <v>27</v>
      </c>
      <c r="D10707" t="str">
        <f>"Live From the Underground"</f>
        <v>Live From the Underground</v>
      </c>
    </row>
    <row r="10708" spans="1:4" x14ac:dyDescent="0.2">
      <c r="A10708" t="str">
        <f>"10707"</f>
        <v>10707</v>
      </c>
      <c r="B10708" t="str">
        <f>"-0.72"</f>
        <v>-0.72</v>
      </c>
      <c r="C10708" t="str">
        <f>"25"</f>
        <v>25</v>
      </c>
      <c r="D10708" t="str">
        <f>"Drought EP"</f>
        <v>Drought EP</v>
      </c>
    </row>
    <row r="10709" spans="1:4" x14ac:dyDescent="0.2">
      <c r="A10709" t="str">
        <f>"10708"</f>
        <v>10708</v>
      </c>
      <c r="B10709" t="str">
        <f>"0.54"</f>
        <v>0.54</v>
      </c>
      <c r="C10709" t="str">
        <f>"37"</f>
        <v>37</v>
      </c>
      <c r="D10709" t="str">
        <f>"Russian Roulette"</f>
        <v>Russian Roulette</v>
      </c>
    </row>
    <row r="10710" spans="1:4" x14ac:dyDescent="0.2">
      <c r="A10710" t="str">
        <f>"10709"</f>
        <v>10709</v>
      </c>
      <c r="B10710" t="str">
        <f>"0.57"</f>
        <v>0.57</v>
      </c>
      <c r="C10710" t="str">
        <f>"35"</f>
        <v>35</v>
      </c>
      <c r="D10710" t="str">
        <f>"LateNightTales Presents Music for Pleasure"</f>
        <v>LateNightTales Presents Music for Pleasure</v>
      </c>
    </row>
    <row r="10711" spans="1:4" x14ac:dyDescent="0.2">
      <c r="A10711" t="str">
        <f>"10710"</f>
        <v>10710</v>
      </c>
      <c r="B10711" t="str">
        <f>"-0.5"</f>
        <v>-0.5</v>
      </c>
      <c r="C10711" t="str">
        <f>"91"</f>
        <v>91</v>
      </c>
      <c r="D10711" t="str">
        <f>"Skelethon"</f>
        <v>Skelethon</v>
      </c>
    </row>
    <row r="10712" spans="1:4" x14ac:dyDescent="0.2">
      <c r="A10712" t="str">
        <f>"10711"</f>
        <v>10711</v>
      </c>
      <c r="B10712" t="str">
        <f>"0.07"</f>
        <v>0.07</v>
      </c>
      <c r="C10712" t="str">
        <f>"27"</f>
        <v>27</v>
      </c>
      <c r="D10712" t="str">
        <f>"DJ-Kicks"</f>
        <v>DJ-Kicks</v>
      </c>
    </row>
    <row r="10713" spans="1:4" x14ac:dyDescent="0.2">
      <c r="A10713" t="str">
        <f>"10712"</f>
        <v>10712</v>
      </c>
      <c r="B10713" t="str">
        <f>"1.15"</f>
        <v>1.15</v>
      </c>
      <c r="C10713" t="str">
        <f>"23"</f>
        <v>23</v>
      </c>
      <c r="D10713" t="str">
        <f>"Debo Band"</f>
        <v>Debo Band</v>
      </c>
    </row>
    <row r="10714" spans="1:4" x14ac:dyDescent="0.2">
      <c r="A10714" t="str">
        <f>"10713"</f>
        <v>10713</v>
      </c>
      <c r="B10714" t="str">
        <f>"-0.44"</f>
        <v>-0.44</v>
      </c>
      <c r="C10714" t="str">
        <f>"21"</f>
        <v>21</v>
      </c>
      <c r="D10714" t="str">
        <f>"Total Dust"</f>
        <v>Total Dust</v>
      </c>
    </row>
    <row r="10715" spans="1:4" x14ac:dyDescent="0.2">
      <c r="A10715" t="str">
        <f>"10714"</f>
        <v>10714</v>
      </c>
      <c r="B10715" t="str">
        <f>"0.84"</f>
        <v>0.84</v>
      </c>
      <c r="C10715" t="str">
        <f>"35"</f>
        <v>35</v>
      </c>
      <c r="D10715" t="str">
        <f>"New Memory"</f>
        <v>New Memory</v>
      </c>
    </row>
    <row r="10716" spans="1:4" x14ac:dyDescent="0.2">
      <c r="A10716" t="str">
        <f>"10715"</f>
        <v>10715</v>
      </c>
      <c r="B10716" t="str">
        <f>"-0.17"</f>
        <v>-0.17</v>
      </c>
      <c r="C10716" t="str">
        <f>"41"</f>
        <v>41</v>
      </c>
      <c r="D10716" t="str">
        <f>"Swing Lo Magellan"</f>
        <v>Swing Lo Magellan</v>
      </c>
    </row>
    <row r="10717" spans="1:4" x14ac:dyDescent="0.2">
      <c r="A10717" t="str">
        <f>"10716"</f>
        <v>10716</v>
      </c>
      <c r="B10717" t="str">
        <f>"0"</f>
        <v>0</v>
      </c>
      <c r="C10717" t="str">
        <f>"32"</f>
        <v>32</v>
      </c>
      <c r="D10717" t="str">
        <f>"Julian Plenti Lives... EP"</f>
        <v>Julian Plenti Lives... EP</v>
      </c>
    </row>
    <row r="10718" spans="1:4" x14ac:dyDescent="0.2">
      <c r="A10718" t="str">
        <f>"10717"</f>
        <v>10717</v>
      </c>
      <c r="B10718" t="str">
        <f>"0.22"</f>
        <v>0.22</v>
      </c>
      <c r="C10718" t="str">
        <f>"30"</f>
        <v>30</v>
      </c>
      <c r="D10718" t="str">
        <f>"Deep Time"</f>
        <v>Deep Time</v>
      </c>
    </row>
    <row r="10719" spans="1:4" x14ac:dyDescent="0.2">
      <c r="A10719" t="str">
        <f>"10718"</f>
        <v>10718</v>
      </c>
      <c r="B10719" t="str">
        <f>"1.16"</f>
        <v>1.16</v>
      </c>
      <c r="C10719" t="str">
        <f>"52"</f>
        <v>52</v>
      </c>
      <c r="D10719" t="str">
        <f>"Eden"</f>
        <v>Eden</v>
      </c>
    </row>
    <row r="10720" spans="1:4" x14ac:dyDescent="0.2">
      <c r="A10720" t="str">
        <f>"10719"</f>
        <v>10719</v>
      </c>
      <c r="B10720" t="str">
        <f>"0.38"</f>
        <v>0.38</v>
      </c>
      <c r="C10720" t="str">
        <f>"36"</f>
        <v>36</v>
      </c>
      <c r="D10720" t="str">
        <f>"The Memories"</f>
        <v>The Memories</v>
      </c>
    </row>
    <row r="10721" spans="1:4" x14ac:dyDescent="0.2">
      <c r="A10721" t="str">
        <f>"10720"</f>
        <v>10720</v>
      </c>
      <c r="B10721" t="str">
        <f>"-0.69"</f>
        <v>-0.69</v>
      </c>
      <c r="C10721" t="str">
        <f>"56"</f>
        <v>56</v>
      </c>
      <c r="D10721" t="str">
        <f>"Confess"</f>
        <v>Confess</v>
      </c>
    </row>
    <row r="10722" spans="1:4" x14ac:dyDescent="0.2">
      <c r="A10722" t="str">
        <f>"10721"</f>
        <v>10721</v>
      </c>
      <c r="B10722" t="str">
        <f>"0.41"</f>
        <v>0.41</v>
      </c>
      <c r="C10722" t="str">
        <f>"26"</f>
        <v>26</v>
      </c>
      <c r="D10722" t="str">
        <f>"Warm Pulse EP"</f>
        <v>Warm Pulse EP</v>
      </c>
    </row>
    <row r="10723" spans="1:4" x14ac:dyDescent="0.2">
      <c r="A10723" t="str">
        <f>"10722"</f>
        <v>10722</v>
      </c>
      <c r="B10723" t="str">
        <f>"-0.38"</f>
        <v>-0.38</v>
      </c>
      <c r="C10723" t="str">
        <f>"30"</f>
        <v>30</v>
      </c>
      <c r="D10723" t="str">
        <f>"Totally"</f>
        <v>Totally</v>
      </c>
    </row>
    <row r="10724" spans="1:4" x14ac:dyDescent="0.2">
      <c r="A10724" t="str">
        <f>"10723"</f>
        <v>10723</v>
      </c>
      <c r="B10724" t="str">
        <f>"0.67"</f>
        <v>0.67</v>
      </c>
      <c r="C10724" t="str">
        <f>"23"</f>
        <v>23</v>
      </c>
      <c r="D10724" t="str">
        <f>"This Ain't Chicago: The Underground Sound of UK House and Acid 1987-1991"</f>
        <v>This Ain't Chicago: The Underground Sound of UK House and Acid 1987-1991</v>
      </c>
    </row>
    <row r="10725" spans="1:4" x14ac:dyDescent="0.2">
      <c r="A10725" t="str">
        <f>"10724"</f>
        <v>10724</v>
      </c>
      <c r="B10725" t="str">
        <f>"-0.5"</f>
        <v>-0.5</v>
      </c>
      <c r="C10725" t="str">
        <f>"18"</f>
        <v>18</v>
      </c>
      <c r="D10725" t="str">
        <f>"Whispers in the Dark"</f>
        <v>Whispers in the Dark</v>
      </c>
    </row>
    <row r="10726" spans="1:4" x14ac:dyDescent="0.2">
      <c r="A10726" t="str">
        <f>"10725"</f>
        <v>10725</v>
      </c>
      <c r="B10726" t="str">
        <f>"1.06"</f>
        <v>1.06</v>
      </c>
      <c r="C10726" t="str">
        <f>"26"</f>
        <v>26</v>
      </c>
      <c r="D10726" t="str">
        <f>"High Summer EP"</f>
        <v>High Summer EP</v>
      </c>
    </row>
    <row r="10727" spans="1:4" x14ac:dyDescent="0.2">
      <c r="A10727" t="str">
        <f>"10726"</f>
        <v>10726</v>
      </c>
      <c r="B10727" t="str">
        <f>"0.05"</f>
        <v>0.05</v>
      </c>
      <c r="C10727" t="str">
        <f>"87"</f>
        <v>87</v>
      </c>
      <c r="D10727" t="str">
        <f>"Song Cycle"</f>
        <v>Song Cycle</v>
      </c>
    </row>
    <row r="10728" spans="1:4" x14ac:dyDescent="0.2">
      <c r="A10728" t="str">
        <f>"10727"</f>
        <v>10727</v>
      </c>
      <c r="B10728" t="str">
        <f>"-0.44"</f>
        <v>-0.44</v>
      </c>
      <c r="C10728" t="str">
        <f>"20"</f>
        <v>20</v>
      </c>
      <c r="D10728" t="str">
        <f>"Tapes"</f>
        <v>Tapes</v>
      </c>
    </row>
    <row r="10729" spans="1:4" x14ac:dyDescent="0.2">
      <c r="A10729" t="str">
        <f>"10728"</f>
        <v>10728</v>
      </c>
      <c r="B10729" t="str">
        <f>"0.73"</f>
        <v>0.73</v>
      </c>
      <c r="C10729" t="str">
        <f>"45"</f>
        <v>45</v>
      </c>
      <c r="D10729" t="str">
        <f>"Rebirth of Detroit"</f>
        <v>Rebirth of Detroit</v>
      </c>
    </row>
    <row r="10730" spans="1:4" x14ac:dyDescent="0.2">
      <c r="A10730" t="str">
        <f>"10729"</f>
        <v>10729</v>
      </c>
      <c r="B10730" t="str">
        <f>"-0.21"</f>
        <v>-0.21</v>
      </c>
      <c r="C10730" t="str">
        <f>"24"</f>
        <v>24</v>
      </c>
      <c r="D10730" t="str">
        <f>"III"</f>
        <v>III</v>
      </c>
    </row>
    <row r="10731" spans="1:4" x14ac:dyDescent="0.2">
      <c r="A10731" t="str">
        <f>"10730"</f>
        <v>10730</v>
      </c>
      <c r="B10731" t="str">
        <f>"0.31"</f>
        <v>0.31</v>
      </c>
      <c r="C10731" t="str">
        <f>"31"</f>
        <v>31</v>
      </c>
      <c r="D10731" t="str">
        <f>"Write Me Back"</f>
        <v>Write Me Back</v>
      </c>
    </row>
    <row r="10732" spans="1:4" x14ac:dyDescent="0.2">
      <c r="A10732" t="str">
        <f>"10731"</f>
        <v>10731</v>
      </c>
      <c r="B10732" t="str">
        <f>"-0.96"</f>
        <v>-0.96</v>
      </c>
      <c r="C10732" t="str">
        <f>"47"</f>
        <v>47</v>
      </c>
      <c r="D10732" t="str">
        <f>"MMG Presents: Self Made 2"</f>
        <v>MMG Presents: Self Made 2</v>
      </c>
    </row>
    <row r="10733" spans="1:4" x14ac:dyDescent="0.2">
      <c r="A10733" t="str">
        <f>"10732"</f>
        <v>10732</v>
      </c>
      <c r="B10733" t="str">
        <f>"1.29"</f>
        <v>1.29</v>
      </c>
      <c r="C10733" t="str">
        <f>"21"</f>
        <v>21</v>
      </c>
      <c r="D10733" t="str">
        <f>"Gentle Stream"</f>
        <v>Gentle Stream</v>
      </c>
    </row>
    <row r="10734" spans="1:4" x14ac:dyDescent="0.2">
      <c r="A10734" t="str">
        <f>"10733"</f>
        <v>10733</v>
      </c>
      <c r="B10734" t="str">
        <f>"0.18"</f>
        <v>0.18</v>
      </c>
      <c r="C10734" t="str">
        <f>"35"</f>
        <v>35</v>
      </c>
      <c r="D10734" t="str">
        <f>"Meat Mountain EP"</f>
        <v>Meat Mountain EP</v>
      </c>
    </row>
    <row r="10735" spans="1:4" x14ac:dyDescent="0.2">
      <c r="A10735" t="str">
        <f>"10734"</f>
        <v>10734</v>
      </c>
      <c r="B10735" t="str">
        <f>"-0.64"</f>
        <v>-0.64</v>
      </c>
      <c r="C10735" t="str">
        <f>"22"</f>
        <v>22</v>
      </c>
      <c r="D10735" t="str">
        <f>"Mostly No"</f>
        <v>Mostly No</v>
      </c>
    </row>
    <row r="10736" spans="1:4" x14ac:dyDescent="0.2">
      <c r="A10736" t="str">
        <f>"10735"</f>
        <v>10735</v>
      </c>
      <c r="B10736" t="str">
        <f>"1.32"</f>
        <v>1.32</v>
      </c>
      <c r="C10736" t="str">
        <f>"22"</f>
        <v>22</v>
      </c>
      <c r="D10736" t="str">
        <f>"The Tarnished Gold"</f>
        <v>The Tarnished Gold</v>
      </c>
    </row>
    <row r="10737" spans="1:4" x14ac:dyDescent="0.2">
      <c r="A10737" t="str">
        <f>"10736"</f>
        <v>10736</v>
      </c>
      <c r="B10737" t="str">
        <f>"0.58"</f>
        <v>0.58</v>
      </c>
      <c r="C10737" t="str">
        <f>"28"</f>
        <v>28</v>
      </c>
      <c r="D10737" t="str">
        <f>"Dreamin' Wild"</f>
        <v>Dreamin' Wild</v>
      </c>
    </row>
    <row r="10738" spans="1:4" x14ac:dyDescent="0.2">
      <c r="A10738" t="str">
        <f>"10737"</f>
        <v>10737</v>
      </c>
      <c r="B10738" t="str">
        <f>"-0.49"</f>
        <v>-0.49</v>
      </c>
      <c r="C10738" t="str">
        <f>"32"</f>
        <v>32</v>
      </c>
      <c r="D10738" t="str">
        <f>"Standing at the Sky's Edge"</f>
        <v>Standing at the Sky's Edge</v>
      </c>
    </row>
    <row r="10739" spans="1:4" x14ac:dyDescent="0.2">
      <c r="A10739" t="str">
        <f>"10738"</f>
        <v>10738</v>
      </c>
      <c r="B10739" t="str">
        <f>"0.22"</f>
        <v>0.22</v>
      </c>
      <c r="C10739" t="str">
        <f>"31"</f>
        <v>31</v>
      </c>
      <c r="D10739" t="str">
        <f>"Holiday"</f>
        <v>Holiday</v>
      </c>
    </row>
    <row r="10740" spans="1:4" x14ac:dyDescent="0.2">
      <c r="A10740" t="str">
        <f>"10739"</f>
        <v>10739</v>
      </c>
      <c r="B10740" t="str">
        <f>"-0.11"</f>
        <v>-0.11</v>
      </c>
      <c r="C10740" t="str">
        <f>"25"</f>
        <v>25</v>
      </c>
      <c r="D10740" t="str">
        <f>"Staycations"</f>
        <v>Staycations</v>
      </c>
    </row>
    <row r="10741" spans="1:4" x14ac:dyDescent="0.2">
      <c r="A10741" t="str">
        <f>"10740"</f>
        <v>10740</v>
      </c>
      <c r="B10741" t="str">
        <f>"0.49"</f>
        <v>0.49</v>
      </c>
      <c r="C10741" t="str">
        <f>"52"</f>
        <v>52</v>
      </c>
      <c r="D10741" t="str">
        <f>"Frigid Stars"</f>
        <v>Frigid Stars</v>
      </c>
    </row>
    <row r="10742" spans="1:4" x14ac:dyDescent="0.2">
      <c r="A10742" t="str">
        <f>"10741"</f>
        <v>10741</v>
      </c>
      <c r="B10742" t="str">
        <f>"0.49"</f>
        <v>0.49</v>
      </c>
      <c r="C10742" t="str">
        <f>"39"</f>
        <v>39</v>
      </c>
      <c r="D10742" t="str">
        <f>"Pop Etc"</f>
        <v>Pop Etc</v>
      </c>
    </row>
    <row r="10743" spans="1:4" x14ac:dyDescent="0.2">
      <c r="A10743" t="str">
        <f>"10742"</f>
        <v>10742</v>
      </c>
      <c r="B10743" t="str">
        <f>"0.37"</f>
        <v>0.37</v>
      </c>
      <c r="C10743" t="str">
        <f>"23"</f>
        <v>23</v>
      </c>
      <c r="D10743" t="str">
        <f>"Longtime Companion"</f>
        <v>Longtime Companion</v>
      </c>
    </row>
    <row r="10744" spans="1:4" x14ac:dyDescent="0.2">
      <c r="A10744" t="str">
        <f>"10743"</f>
        <v>10743</v>
      </c>
      <c r="B10744" t="str">
        <f>"0.42"</f>
        <v>0.42</v>
      </c>
      <c r="C10744" t="str">
        <f>"33"</f>
        <v>33</v>
      </c>
      <c r="D10744" t="str">
        <f>"L'Enfant Sauvage"</f>
        <v>L'Enfant Sauvage</v>
      </c>
    </row>
    <row r="10745" spans="1:4" x14ac:dyDescent="0.2">
      <c r="A10745" t="str">
        <f>"10744"</f>
        <v>10744</v>
      </c>
      <c r="B10745" t="str">
        <f>"0.54"</f>
        <v>0.54</v>
      </c>
      <c r="C10745" t="str">
        <f>"38"</f>
        <v>38</v>
      </c>
      <c r="D10745" t="str">
        <f>"Under the Pale Moon"</f>
        <v>Under the Pale Moon</v>
      </c>
    </row>
    <row r="10746" spans="1:4" x14ac:dyDescent="0.2">
      <c r="A10746" t="str">
        <f>"10745"</f>
        <v>10745</v>
      </c>
      <c r="B10746" t="str">
        <f>"0.13"</f>
        <v>0.13</v>
      </c>
      <c r="C10746" t="str">
        <f>"48"</f>
        <v>48</v>
      </c>
      <c r="D10746" t="str">
        <f>"Class Clown Spots a UFO"</f>
        <v>Class Clown Spots a UFO</v>
      </c>
    </row>
    <row r="10747" spans="1:4" x14ac:dyDescent="0.2">
      <c r="A10747" t="str">
        <f>"10746"</f>
        <v>10746</v>
      </c>
      <c r="B10747" t="str">
        <f>"-0.41"</f>
        <v>-0.41</v>
      </c>
      <c r="C10747" t="str">
        <f>"46"</f>
        <v>46</v>
      </c>
      <c r="D10747" t="str">
        <f>"haha i'm sorry EP"</f>
        <v>haha i'm sorry EP</v>
      </c>
    </row>
    <row r="10748" spans="1:4" x14ac:dyDescent="0.2">
      <c r="A10748" t="str">
        <f>"10747"</f>
        <v>10747</v>
      </c>
      <c r="B10748" t="str">
        <f>"0.2"</f>
        <v>0.2</v>
      </c>
      <c r="C10748" t="str">
        <f>"22"</f>
        <v>22</v>
      </c>
      <c r="D10748" t="str">
        <f>"Trouble"</f>
        <v>Trouble</v>
      </c>
    </row>
    <row r="10749" spans="1:4" x14ac:dyDescent="0.2">
      <c r="A10749" t="str">
        <f>"10748"</f>
        <v>10748</v>
      </c>
      <c r="B10749" t="str">
        <f>"-0.64"</f>
        <v>-0.64</v>
      </c>
      <c r="C10749" t="str">
        <f>"38"</f>
        <v>38</v>
      </c>
      <c r="D10749" t="str">
        <f>"NO"</f>
        <v>NO</v>
      </c>
    </row>
    <row r="10750" spans="1:4" x14ac:dyDescent="0.2">
      <c r="A10750" t="str">
        <f>"10749"</f>
        <v>10749</v>
      </c>
      <c r="B10750" t="str">
        <f>"0.33"</f>
        <v>0.33</v>
      </c>
      <c r="C10750" t="str">
        <f>"36"</f>
        <v>36</v>
      </c>
      <c r="D10750" t="str">
        <f>"Constantinople"</f>
        <v>Constantinople</v>
      </c>
    </row>
    <row r="10751" spans="1:4" x14ac:dyDescent="0.2">
      <c r="A10751" t="str">
        <f>"10750"</f>
        <v>10750</v>
      </c>
      <c r="B10751" t="str">
        <f>"0.64"</f>
        <v>0.64</v>
      </c>
      <c r="C10751" t="str">
        <f>"44"</f>
        <v>44</v>
      </c>
      <c r="D10751" t="str">
        <f>"Oshin"</f>
        <v>Oshin</v>
      </c>
    </row>
    <row r="10752" spans="1:4" x14ac:dyDescent="0.2">
      <c r="A10752" t="str">
        <f>"10751"</f>
        <v>10751</v>
      </c>
      <c r="B10752" t="str">
        <f>"0.03"</f>
        <v>0.03</v>
      </c>
      <c r="C10752" t="str">
        <f>"30"</f>
        <v>30</v>
      </c>
      <c r="D10752" t="str">
        <f>"1999"</f>
        <v>1999</v>
      </c>
    </row>
    <row r="10753" spans="1:4" x14ac:dyDescent="0.2">
      <c r="A10753" t="str">
        <f>"10752"</f>
        <v>10752</v>
      </c>
      <c r="B10753" t="str">
        <f>"1.07"</f>
        <v>1.07</v>
      </c>
      <c r="C10753" t="str">
        <f>"24"</f>
        <v>24</v>
      </c>
      <c r="D10753" t="str">
        <f>"Safety Net EP"</f>
        <v>Safety Net EP</v>
      </c>
    </row>
    <row r="10754" spans="1:4" x14ac:dyDescent="0.2">
      <c r="A10754" t="str">
        <f>"10753"</f>
        <v>10753</v>
      </c>
      <c r="B10754" t="str">
        <f>"0"</f>
        <v>0</v>
      </c>
      <c r="C10754" t="str">
        <f>"28"</f>
        <v>28</v>
      </c>
      <c r="D10754" t="str">
        <f>"Modeselektion Vol. 02"</f>
        <v>Modeselektion Vol. 02</v>
      </c>
    </row>
    <row r="10755" spans="1:4" x14ac:dyDescent="0.2">
      <c r="A10755" t="str">
        <f>"10754"</f>
        <v>10754</v>
      </c>
      <c r="B10755" t="str">
        <f>"-0.36"</f>
        <v>-0.36</v>
      </c>
      <c r="C10755" t="str">
        <f>"18"</f>
        <v>18</v>
      </c>
      <c r="D10755" t="str">
        <f>"Everybody's Got It Easy But Me"</f>
        <v>Everybody's Got It Easy But Me</v>
      </c>
    </row>
    <row r="10756" spans="1:4" x14ac:dyDescent="0.2">
      <c r="A10756" t="str">
        <f>"10755"</f>
        <v>10755</v>
      </c>
      <c r="B10756" t="str">
        <f>"-0.57"</f>
        <v>-0.57</v>
      </c>
      <c r="C10756" t="str">
        <f>"34"</f>
        <v>34</v>
      </c>
      <c r="D10756" t="str">
        <f>"Slaughterhouse"</f>
        <v>Slaughterhouse</v>
      </c>
    </row>
    <row r="10757" spans="1:4" x14ac:dyDescent="0.2">
      <c r="A10757" t="str">
        <f>"10756"</f>
        <v>10756</v>
      </c>
      <c r="B10757" t="str">
        <f>"1.35"</f>
        <v>1.35</v>
      </c>
      <c r="C10757" t="str">
        <f>"15"</f>
        <v>15</v>
      </c>
      <c r="D10757" t="str">
        <f>"Worship"</f>
        <v>Worship</v>
      </c>
    </row>
    <row r="10758" spans="1:4" x14ac:dyDescent="0.2">
      <c r="A10758" t="str">
        <f>"10757"</f>
        <v>10757</v>
      </c>
      <c r="B10758" t="str">
        <f>"0.01"</f>
        <v>0.01</v>
      </c>
      <c r="C10758" t="str">
        <f>"30"</f>
        <v>30</v>
      </c>
      <c r="D10758" t="str">
        <f>"In Motion #1"</f>
        <v>In Motion #1</v>
      </c>
    </row>
    <row r="10759" spans="1:4" x14ac:dyDescent="0.2">
      <c r="A10759" t="str">
        <f>"10758"</f>
        <v>10758</v>
      </c>
      <c r="B10759" t="str">
        <f>"0.11"</f>
        <v>0.11</v>
      </c>
      <c r="C10759" t="str">
        <f>"24"</f>
        <v>24</v>
      </c>
      <c r="D10759" t="str">
        <f>"The Thought Adjusters"</f>
        <v>The Thought Adjusters</v>
      </c>
    </row>
    <row r="10760" spans="1:4" x14ac:dyDescent="0.2">
      <c r="A10760" t="str">
        <f>"10759"</f>
        <v>10759</v>
      </c>
      <c r="B10760" t="str">
        <f>"0.04"</f>
        <v>0.04</v>
      </c>
      <c r="C10760" t="str">
        <f>"33"</f>
        <v>33</v>
      </c>
      <c r="D10760" t="str">
        <f>"Red Night"</f>
        <v>Red Night</v>
      </c>
    </row>
    <row r="10761" spans="1:4" x14ac:dyDescent="0.2">
      <c r="A10761" t="str">
        <f>"10760"</f>
        <v>10760</v>
      </c>
      <c r="B10761" t="str">
        <f>"0.93"</f>
        <v>0.93</v>
      </c>
      <c r="C10761" t="str">
        <f>"37"</f>
        <v>37</v>
      </c>
      <c r="D10761" t="str">
        <f>"iTunes Session"</f>
        <v>iTunes Session</v>
      </c>
    </row>
    <row r="10762" spans="1:4" x14ac:dyDescent="0.2">
      <c r="A10762" t="str">
        <f>"10761"</f>
        <v>10761</v>
      </c>
      <c r="B10762" t="str">
        <f>"-0.38"</f>
        <v>-0.38</v>
      </c>
      <c r="C10762" t="str">
        <f>"33"</f>
        <v>33</v>
      </c>
      <c r="D10762" t="str">
        <f>"Valley Tangents"</f>
        <v>Valley Tangents</v>
      </c>
    </row>
    <row r="10763" spans="1:4" x14ac:dyDescent="0.2">
      <c r="A10763" t="str">
        <f>"10762"</f>
        <v>10762</v>
      </c>
      <c r="B10763" t="str">
        <f>"0.26"</f>
        <v>0.26</v>
      </c>
      <c r="C10763" t="str">
        <f>"29"</f>
        <v>29</v>
      </c>
      <c r="D10763" t="str">
        <f>"Wild Peace"</f>
        <v>Wild Peace</v>
      </c>
    </row>
    <row r="10764" spans="1:4" x14ac:dyDescent="0.2">
      <c r="A10764" t="str">
        <f>"10763"</f>
        <v>10763</v>
      </c>
      <c r="B10764" t="str">
        <f>"-0.65"</f>
        <v>-0.65</v>
      </c>
      <c r="C10764" t="str">
        <f>"28"</f>
        <v>28</v>
      </c>
      <c r="D10764" t="str">
        <f>"FÆMIN"</f>
        <v>FÆMIN</v>
      </c>
    </row>
    <row r="10765" spans="1:4" x14ac:dyDescent="0.2">
      <c r="A10765" t="str">
        <f>"10764"</f>
        <v>10764</v>
      </c>
      <c r="B10765" t="str">
        <f>"0.32"</f>
        <v>0.32</v>
      </c>
      <c r="C10765" t="str">
        <f>"16"</f>
        <v>16</v>
      </c>
      <c r="D10765" t="str">
        <f>"Deep in the Night EP"</f>
        <v>Deep in the Night EP</v>
      </c>
    </row>
    <row r="10766" spans="1:4" x14ac:dyDescent="0.2">
      <c r="A10766" t="str">
        <f>"10765"</f>
        <v>10765</v>
      </c>
      <c r="B10766" t="str">
        <f>"-0.5"</f>
        <v>-0.5</v>
      </c>
      <c r="C10766" t="str">
        <f>"31"</f>
        <v>31</v>
      </c>
      <c r="D10766" t="str">
        <f>"Early Times"</f>
        <v>Early Times</v>
      </c>
    </row>
    <row r="10767" spans="1:4" x14ac:dyDescent="0.2">
      <c r="A10767" t="str">
        <f>"10766"</f>
        <v>10766</v>
      </c>
      <c r="B10767" t="str">
        <f>"-0.47"</f>
        <v>-0.47</v>
      </c>
      <c r="C10767" t="str">
        <f>"29"</f>
        <v>29</v>
      </c>
      <c r="D10767" t="str">
        <f>"The National Health"</f>
        <v>The National Health</v>
      </c>
    </row>
    <row r="10768" spans="1:4" x14ac:dyDescent="0.2">
      <c r="A10768" t="str">
        <f>"10767"</f>
        <v>10767</v>
      </c>
      <c r="B10768" t="str">
        <f>"1.09"</f>
        <v>1.09</v>
      </c>
      <c r="C10768" t="str">
        <f>"27"</f>
        <v>27</v>
      </c>
      <c r="D10768" t="str">
        <f>"Music For the Quiet Hour"</f>
        <v>Music For the Quiet Hour</v>
      </c>
    </row>
    <row r="10769" spans="1:4" x14ac:dyDescent="0.2">
      <c r="A10769" t="str">
        <f>"10768"</f>
        <v>10768</v>
      </c>
      <c r="B10769" t="str">
        <f>"0.41"</f>
        <v>0.41</v>
      </c>
      <c r="C10769" t="str">
        <f>"24"</f>
        <v>24</v>
      </c>
      <c r="D10769" t="str">
        <f>"Digital Native"</f>
        <v>Digital Native</v>
      </c>
    </row>
    <row r="10770" spans="1:4" x14ac:dyDescent="0.2">
      <c r="A10770" t="str">
        <f>"10769"</f>
        <v>10769</v>
      </c>
      <c r="B10770" t="str">
        <f>"0.15"</f>
        <v>0.15</v>
      </c>
      <c r="C10770" t="str">
        <f>"19"</f>
        <v>19</v>
      </c>
      <c r="D10770" t="str">
        <f>"Language"</f>
        <v>Language</v>
      </c>
    </row>
    <row r="10771" spans="1:4" x14ac:dyDescent="0.2">
      <c r="A10771" t="str">
        <f>"10770"</f>
        <v>10770</v>
      </c>
      <c r="B10771" t="str">
        <f>"-0.02"</f>
        <v>-0.02</v>
      </c>
      <c r="C10771" t="str">
        <f>"30"</f>
        <v>30</v>
      </c>
      <c r="D10771" t="str">
        <f>"Looking 4 Myself"</f>
        <v>Looking 4 Myself</v>
      </c>
    </row>
    <row r="10772" spans="1:4" x14ac:dyDescent="0.2">
      <c r="A10772" t="str">
        <f>"10771"</f>
        <v>10771</v>
      </c>
      <c r="B10772" t="str">
        <f>"0.53"</f>
        <v>0.53</v>
      </c>
      <c r="C10772" t="str">
        <f>"45"</f>
        <v>45</v>
      </c>
      <c r="D10772" t="str">
        <f>"The Cherry Thing"</f>
        <v>The Cherry Thing</v>
      </c>
    </row>
    <row r="10773" spans="1:4" x14ac:dyDescent="0.2">
      <c r="A10773" t="str">
        <f>"10772"</f>
        <v>10772</v>
      </c>
      <c r="B10773" t="str">
        <f>"0.64"</f>
        <v>0.64</v>
      </c>
      <c r="C10773" t="str">
        <f>"23"</f>
        <v>23</v>
      </c>
      <c r="D10773" t="str">
        <f>"Dog in the Fog EP"</f>
        <v>Dog in the Fog EP</v>
      </c>
    </row>
    <row r="10774" spans="1:4" x14ac:dyDescent="0.2">
      <c r="A10774" t="str">
        <f>"10773"</f>
        <v>10773</v>
      </c>
      <c r="B10774" t="str">
        <f>"-0.34"</f>
        <v>-0.34</v>
      </c>
      <c r="C10774" t="str">
        <f>"37"</f>
        <v>37</v>
      </c>
      <c r="D10774" t="str">
        <f>"Bloodstreams"</f>
        <v>Bloodstreams</v>
      </c>
    </row>
    <row r="10775" spans="1:4" x14ac:dyDescent="0.2">
      <c r="A10775" t="str">
        <f>"10774"</f>
        <v>10774</v>
      </c>
      <c r="B10775" t="str">
        <f>"0.88"</f>
        <v>0.88</v>
      </c>
      <c r="C10775" t="str">
        <f>"28"</f>
        <v>28</v>
      </c>
      <c r="D10775" t="str">
        <f>"Falling Off the Sky"</f>
        <v>Falling Off the Sky</v>
      </c>
    </row>
    <row r="10776" spans="1:4" x14ac:dyDescent="0.2">
      <c r="A10776" t="str">
        <f>"10775"</f>
        <v>10775</v>
      </c>
      <c r="B10776" t="str">
        <f>"-0.03"</f>
        <v>-0.03</v>
      </c>
      <c r="C10776" t="str">
        <f>"57"</f>
        <v>57</v>
      </c>
      <c r="D10776" t="str">
        <f>"Oceania"</f>
        <v>Oceania</v>
      </c>
    </row>
    <row r="10777" spans="1:4" x14ac:dyDescent="0.2">
      <c r="A10777" t="str">
        <f>"10776"</f>
        <v>10776</v>
      </c>
      <c r="B10777" t="str">
        <f>"0.64"</f>
        <v>0.64</v>
      </c>
      <c r="C10777" t="str">
        <f>"29"</f>
        <v>29</v>
      </c>
      <c r="D10777" t="str">
        <f>"Lucifer"</f>
        <v>Lucifer</v>
      </c>
    </row>
    <row r="10778" spans="1:4" x14ac:dyDescent="0.2">
      <c r="A10778" t="str">
        <f>"10777"</f>
        <v>10777</v>
      </c>
      <c r="B10778" t="str">
        <f>"-1.47"</f>
        <v>-1.47</v>
      </c>
      <c r="C10778" t="str">
        <f>"38"</f>
        <v>38</v>
      </c>
      <c r="D10778" t="str">
        <f>"Life Has Not Finished With Me Yet"</f>
        <v>Life Has Not Finished With Me Yet</v>
      </c>
    </row>
    <row r="10779" spans="1:4" x14ac:dyDescent="0.2">
      <c r="A10779" t="str">
        <f>"10778"</f>
        <v>10778</v>
      </c>
      <c r="B10779" t="str">
        <f>"-0.14"</f>
        <v>-0.14</v>
      </c>
      <c r="C10779" t="str">
        <f>"26"</f>
        <v>26</v>
      </c>
      <c r="D10779" t="str">
        <f>"Ruler of the Night"</f>
        <v>Ruler of the Night</v>
      </c>
    </row>
    <row r="10780" spans="1:4" x14ac:dyDescent="0.2">
      <c r="A10780" t="str">
        <f>"10779"</f>
        <v>10779</v>
      </c>
      <c r="B10780" t="str">
        <f>"-0.33"</f>
        <v>-0.33</v>
      </c>
      <c r="C10780" t="str">
        <f>"35"</f>
        <v>35</v>
      </c>
      <c r="D10780" t="str">
        <f>"I Like to Keep Myself in Pain"</f>
        <v>I Like to Keep Myself in Pain</v>
      </c>
    </row>
    <row r="10781" spans="1:4" x14ac:dyDescent="0.2">
      <c r="A10781" t="str">
        <f>"10780"</f>
        <v>10780</v>
      </c>
      <c r="B10781" t="str">
        <f>"-0.14"</f>
        <v>-0.14</v>
      </c>
      <c r="C10781" t="str">
        <f>"52"</f>
        <v>52</v>
      </c>
      <c r="D10781" t="str">
        <f>"The Idler Wheel Is Wiser Than the Driver of the Screw and Whipping Cords Will Serve You More Than Ropes Will Ever Do"</f>
        <v>The Idler Wheel Is Wiser Than the Driver of the Screw and Whipping Cords Will Serve You More Than Ropes Will Ever Do</v>
      </c>
    </row>
    <row r="10782" spans="1:4" x14ac:dyDescent="0.2">
      <c r="A10782" t="str">
        <f>"10781"</f>
        <v>10781</v>
      </c>
      <c r="B10782" t="str">
        <f>"-0.2"</f>
        <v>-0.2</v>
      </c>
      <c r="C10782" t="str">
        <f>"34"</f>
        <v>34</v>
      </c>
      <c r="D10782" t="str">
        <f>"The Lost Tapes"</f>
        <v>The Lost Tapes</v>
      </c>
    </row>
    <row r="10783" spans="1:4" x14ac:dyDescent="0.2">
      <c r="A10783" t="str">
        <f>"10782"</f>
        <v>10782</v>
      </c>
      <c r="B10783" t="str">
        <f>"-1.01"</f>
        <v>-1.01</v>
      </c>
      <c r="C10783" t="str">
        <f>"44"</f>
        <v>44</v>
      </c>
      <c r="D10783" t="str">
        <f>"Walk on Heads EP"</f>
        <v>Walk on Heads EP</v>
      </c>
    </row>
    <row r="10784" spans="1:4" x14ac:dyDescent="0.2">
      <c r="A10784" t="str">
        <f>"10783"</f>
        <v>10783</v>
      </c>
      <c r="B10784" t="str">
        <f>"-0.91"</f>
        <v>-0.91</v>
      </c>
      <c r="C10784" t="str">
        <f>"28"</f>
        <v>28</v>
      </c>
      <c r="D10784" t="str">
        <f>"Occlusions"</f>
        <v>Occlusions</v>
      </c>
    </row>
    <row r="10785" spans="1:4" x14ac:dyDescent="0.2">
      <c r="A10785" t="str">
        <f>"10784"</f>
        <v>10784</v>
      </c>
      <c r="B10785" t="str">
        <f>"0.86"</f>
        <v>0.86</v>
      </c>
      <c r="C10785" t="str">
        <f>"29"</f>
        <v>29</v>
      </c>
      <c r="D10785" t="str">
        <f>"CVI"</f>
        <v>CVI</v>
      </c>
    </row>
    <row r="10786" spans="1:4" x14ac:dyDescent="0.2">
      <c r="A10786" t="str">
        <f>"10785"</f>
        <v>10785</v>
      </c>
      <c r="B10786" t="str">
        <f>"-0.47"</f>
        <v>-0.47</v>
      </c>
      <c r="C10786" t="str">
        <f>"27"</f>
        <v>27</v>
      </c>
      <c r="D10786" t="str">
        <f>"Express Yourself EP"</f>
        <v>Express Yourself EP</v>
      </c>
    </row>
    <row r="10787" spans="1:4" x14ac:dyDescent="0.2">
      <c r="A10787" t="str">
        <f>"10786"</f>
        <v>10786</v>
      </c>
      <c r="B10787" t="str">
        <f>"0.42"</f>
        <v>0.42</v>
      </c>
      <c r="C10787" t="str">
        <f>"26"</f>
        <v>26</v>
      </c>
      <c r="D10787" t="str">
        <f>"Limbo"</f>
        <v>Limbo</v>
      </c>
    </row>
    <row r="10788" spans="1:4" x14ac:dyDescent="0.2">
      <c r="A10788" t="str">
        <f>"10787"</f>
        <v>10787</v>
      </c>
      <c r="B10788" t="str">
        <f>"0.74"</f>
        <v>0.74</v>
      </c>
      <c r="C10788" t="str">
        <f>"32"</f>
        <v>32</v>
      </c>
      <c r="D10788" t="str">
        <f>"My God Is Blue"</f>
        <v>My God Is Blue</v>
      </c>
    </row>
    <row r="10789" spans="1:4" x14ac:dyDescent="0.2">
      <c r="A10789" t="str">
        <f>"10788"</f>
        <v>10788</v>
      </c>
      <c r="B10789" t="str">
        <f>"0.09"</f>
        <v>0.09</v>
      </c>
      <c r="C10789" t="str">
        <f>"23"</f>
        <v>23</v>
      </c>
      <c r="D10789" t="str">
        <f>"2:54"</f>
        <v>2:54</v>
      </c>
    </row>
    <row r="10790" spans="1:4" x14ac:dyDescent="0.2">
      <c r="A10790" t="str">
        <f>"10789"</f>
        <v>10789</v>
      </c>
      <c r="B10790" t="str">
        <f>"-0.12"</f>
        <v>-0.12</v>
      </c>
      <c r="C10790" t="str">
        <f>"32"</f>
        <v>32</v>
      </c>
      <c r="D10790" t="str">
        <f>"The Warmest Place"</f>
        <v>The Warmest Place</v>
      </c>
    </row>
    <row r="10791" spans="1:4" x14ac:dyDescent="0.2">
      <c r="A10791" t="str">
        <f>"10790"</f>
        <v>10790</v>
      </c>
      <c r="B10791" t="str">
        <f>"0.15"</f>
        <v>0.15</v>
      </c>
      <c r="C10791" t="str">
        <f>"64"</f>
        <v>64</v>
      </c>
      <c r="D10791" t="str">
        <f>"The Bravest Man in the Universe"</f>
        <v>The Bravest Man in the Universe</v>
      </c>
    </row>
    <row r="10792" spans="1:4" x14ac:dyDescent="0.2">
      <c r="A10792" t="str">
        <f>"10791"</f>
        <v>10791</v>
      </c>
      <c r="B10792" t="str">
        <f>"1.16"</f>
        <v>1.16</v>
      </c>
      <c r="C10792" t="str">
        <f>"27"</f>
        <v>27</v>
      </c>
      <c r="D10792" t="str">
        <f>"Instrumental Tape 2"</f>
        <v>Instrumental Tape 2</v>
      </c>
    </row>
    <row r="10793" spans="1:4" x14ac:dyDescent="0.2">
      <c r="A10793" t="str">
        <f>"10792"</f>
        <v>10792</v>
      </c>
      <c r="B10793" t="str">
        <f>"0.25"</f>
        <v>0.25</v>
      </c>
      <c r="C10793" t="str">
        <f>"20"</f>
        <v>20</v>
      </c>
      <c r="D10793" t="str">
        <f>"Negaverse"</f>
        <v>Negaverse</v>
      </c>
    </row>
    <row r="10794" spans="1:4" x14ac:dyDescent="0.2">
      <c r="A10794" t="str">
        <f>"10793"</f>
        <v>10793</v>
      </c>
      <c r="B10794" t="str">
        <f>"0.55"</f>
        <v>0.55</v>
      </c>
      <c r="C10794" t="str">
        <f>"33"</f>
        <v>33</v>
      </c>
      <c r="D10794" t="str">
        <f>"Into the Lair of the Sun God"</f>
        <v>Into the Lair of the Sun God</v>
      </c>
    </row>
    <row r="10795" spans="1:4" x14ac:dyDescent="0.2">
      <c r="A10795" t="str">
        <f>"10794"</f>
        <v>10794</v>
      </c>
      <c r="B10795" t="str">
        <f>"-0.53"</f>
        <v>-0.53</v>
      </c>
      <c r="C10795" t="str">
        <f>"35"</f>
        <v>35</v>
      </c>
      <c r="D10795" t="str">
        <f>"Manifest!"</f>
        <v>Manifest!</v>
      </c>
    </row>
    <row r="10796" spans="1:4" x14ac:dyDescent="0.2">
      <c r="A10796" t="str">
        <f>"10795"</f>
        <v>10795</v>
      </c>
      <c r="B10796" t="str">
        <f>"-0.55"</f>
        <v>-0.55</v>
      </c>
      <c r="C10796" t="str">
        <f>"34"</f>
        <v>34</v>
      </c>
      <c r="D10796" t="str">
        <f>"Mysterious Phonk: The Chronicles of SpaceGhostPurrp"</f>
        <v>Mysterious Phonk: The Chronicles of SpaceGhostPurrp</v>
      </c>
    </row>
    <row r="10797" spans="1:4" x14ac:dyDescent="0.2">
      <c r="A10797" t="str">
        <f>"10796"</f>
        <v>10796</v>
      </c>
      <c r="B10797" t="str">
        <f>"-0.15"</f>
        <v>-0.15</v>
      </c>
      <c r="C10797" t="str">
        <f>"37"</f>
        <v>37</v>
      </c>
      <c r="D10797" t="str">
        <f>"One Day I'm Going to Soar"</f>
        <v>One Day I'm Going to Soar</v>
      </c>
    </row>
    <row r="10798" spans="1:4" x14ac:dyDescent="0.2">
      <c r="A10798" t="str">
        <f>"10797"</f>
        <v>10797</v>
      </c>
      <c r="B10798" t="str">
        <f>"1.01"</f>
        <v>1.01</v>
      </c>
      <c r="C10798" t="str">
        <f>"23"</f>
        <v>23</v>
      </c>
      <c r="D10798" t="str">
        <f>"Salton Sea"</f>
        <v>Salton Sea</v>
      </c>
    </row>
    <row r="10799" spans="1:4" x14ac:dyDescent="0.2">
      <c r="A10799" t="str">
        <f>"10798"</f>
        <v>10798</v>
      </c>
      <c r="B10799" t="str">
        <f>"1.21"</f>
        <v>1.21</v>
      </c>
      <c r="C10799" t="str">
        <f>"28"</f>
        <v>28</v>
      </c>
      <c r="D10799" t="str">
        <f>"Composed"</f>
        <v>Composed</v>
      </c>
    </row>
    <row r="10800" spans="1:4" x14ac:dyDescent="0.2">
      <c r="A10800" t="str">
        <f>"10799"</f>
        <v>10799</v>
      </c>
      <c r="B10800" t="str">
        <f>"-0.08"</f>
        <v>-0.08</v>
      </c>
      <c r="C10800" t="str">
        <f>"29"</f>
        <v>29</v>
      </c>
      <c r="D10800" t="str">
        <f>"Cauldron of the Wild"</f>
        <v>Cauldron of the Wild</v>
      </c>
    </row>
    <row r="10801" spans="1:4" x14ac:dyDescent="0.2">
      <c r="A10801" t="str">
        <f>"10800"</f>
        <v>10800</v>
      </c>
      <c r="B10801" t="str">
        <f>"-0.21"</f>
        <v>-0.21</v>
      </c>
      <c r="C10801" t="str">
        <f>"45"</f>
        <v>45</v>
      </c>
      <c r="D10801" t="s">
        <v>319</v>
      </c>
    </row>
    <row r="10802" spans="1:4" x14ac:dyDescent="0.2">
      <c r="A10802" t="str">
        <f>"10801"</f>
        <v>10801</v>
      </c>
      <c r="B10802" t="str">
        <f>"-0.02"</f>
        <v>-0.02</v>
      </c>
      <c r="C10802" t="str">
        <f>"29"</f>
        <v>29</v>
      </c>
      <c r="D10802" t="str">
        <f>"There's No Leaving Now"</f>
        <v>There's No Leaving Now</v>
      </c>
    </row>
    <row r="10803" spans="1:4" x14ac:dyDescent="0.2">
      <c r="A10803" t="str">
        <f>"10802"</f>
        <v>10802</v>
      </c>
      <c r="B10803" t="str">
        <f>"-0.96"</f>
        <v>-0.96</v>
      </c>
      <c r="C10803" t="str">
        <f>"27"</f>
        <v>27</v>
      </c>
      <c r="D10803" t="str">
        <f>"Freak Puke"</f>
        <v>Freak Puke</v>
      </c>
    </row>
    <row r="10804" spans="1:4" x14ac:dyDescent="0.2">
      <c r="A10804" t="str">
        <f>"10803"</f>
        <v>10803</v>
      </c>
      <c r="B10804" t="str">
        <f>"0.43"</f>
        <v>0.43</v>
      </c>
      <c r="C10804" t="str">
        <f>"32"</f>
        <v>32</v>
      </c>
      <c r="D10804" t="str">
        <f>"Zummo With an X"</f>
        <v>Zummo With an X</v>
      </c>
    </row>
    <row r="10805" spans="1:4" x14ac:dyDescent="0.2">
      <c r="A10805" t="str">
        <f>"10804"</f>
        <v>10804</v>
      </c>
      <c r="B10805" t="str">
        <f>"-0.51"</f>
        <v>-0.51</v>
      </c>
      <c r="C10805" t="str">
        <f>"26"</f>
        <v>26</v>
      </c>
      <c r="D10805" t="str">
        <f>"Traps"</f>
        <v>Traps</v>
      </c>
    </row>
    <row r="10806" spans="1:4" x14ac:dyDescent="0.2">
      <c r="A10806" t="str">
        <f>"10805"</f>
        <v>10805</v>
      </c>
      <c r="B10806" t="str">
        <f>"1.15"</f>
        <v>1.15</v>
      </c>
      <c r="C10806" t="str">
        <f>"35"</f>
        <v>35</v>
      </c>
      <c r="D10806" t="str">
        <f>"In Our Heads"</f>
        <v>In Our Heads</v>
      </c>
    </row>
    <row r="10807" spans="1:4" x14ac:dyDescent="0.2">
      <c r="A10807" t="str">
        <f>"10806"</f>
        <v>10806</v>
      </c>
      <c r="B10807" t="str">
        <f>"-0.45"</f>
        <v>-0.45</v>
      </c>
      <c r="C10807" t="str">
        <f>"36"</f>
        <v>36</v>
      </c>
      <c r="D10807" t="str">
        <f>"Synthetica"</f>
        <v>Synthetica</v>
      </c>
    </row>
    <row r="10808" spans="1:4" x14ac:dyDescent="0.2">
      <c r="A10808" t="str">
        <f>"10807"</f>
        <v>10807</v>
      </c>
      <c r="B10808" t="str">
        <f>"-0.17"</f>
        <v>-0.17</v>
      </c>
      <c r="C10808" t="str">
        <f>"26"</f>
        <v>26</v>
      </c>
      <c r="D10808" t="str">
        <f>"Do Things"</f>
        <v>Do Things</v>
      </c>
    </row>
    <row r="10809" spans="1:4" x14ac:dyDescent="0.2">
      <c r="A10809" t="str">
        <f>"10808"</f>
        <v>10808</v>
      </c>
      <c r="B10809" t="str">
        <f>"-0.02"</f>
        <v>-0.02</v>
      </c>
      <c r="C10809" t="str">
        <f>"21"</f>
        <v>21</v>
      </c>
      <c r="D10809" t="str">
        <f>"Love Me Oh Please Love Me EP"</f>
        <v>Love Me Oh Please Love Me EP</v>
      </c>
    </row>
    <row r="10810" spans="1:4" x14ac:dyDescent="0.2">
      <c r="A10810" t="str">
        <f>"10809"</f>
        <v>10809</v>
      </c>
      <c r="B10810" t="str">
        <f>"0.29"</f>
        <v>0.29</v>
      </c>
      <c r="C10810" t="str">
        <f>"36"</f>
        <v>36</v>
      </c>
      <c r="D10810" t="str">
        <f>"Ursprung"</f>
        <v>Ursprung</v>
      </c>
    </row>
    <row r="10811" spans="1:4" x14ac:dyDescent="0.2">
      <c r="A10811" t="str">
        <f>"10810"</f>
        <v>10810</v>
      </c>
      <c r="B10811" t="str">
        <f>"0.4"</f>
        <v>0.4</v>
      </c>
      <c r="C10811" t="str">
        <f>"32"</f>
        <v>32</v>
      </c>
      <c r="D10811" t="str">
        <f>"1991 EP"</f>
        <v>1991 EP</v>
      </c>
    </row>
    <row r="10812" spans="1:4" x14ac:dyDescent="0.2">
      <c r="A10812" t="str">
        <f>"10811"</f>
        <v>10811</v>
      </c>
      <c r="B10812" t="str">
        <f>"-0.5"</f>
        <v>-0.5</v>
      </c>
      <c r="C10812" t="str">
        <f>"43"</f>
        <v>43</v>
      </c>
      <c r="D10812" t="str">
        <f>"Umskiptar"</f>
        <v>Umskiptar</v>
      </c>
    </row>
    <row r="10813" spans="1:4" x14ac:dyDescent="0.2">
      <c r="A10813" t="str">
        <f>"10812"</f>
        <v>10812</v>
      </c>
      <c r="B10813" t="str">
        <f>"-0.61"</f>
        <v>-0.61</v>
      </c>
      <c r="C10813" t="str">
        <f>"47"</f>
        <v>47</v>
      </c>
      <c r="D10813" t="str">
        <f>"Bat Chain Puller"</f>
        <v>Bat Chain Puller</v>
      </c>
    </row>
    <row r="10814" spans="1:4" x14ac:dyDescent="0.2">
      <c r="A10814" t="str">
        <f>"10813"</f>
        <v>10813</v>
      </c>
      <c r="B10814" t="str">
        <f>"-0.09"</f>
        <v>-0.09</v>
      </c>
      <c r="C10814" t="str">
        <f>"20"</f>
        <v>20</v>
      </c>
      <c r="D10814" t="str">
        <f>"Dub Egg"</f>
        <v>Dub Egg</v>
      </c>
    </row>
    <row r="10815" spans="1:4" x14ac:dyDescent="0.2">
      <c r="A10815" t="str">
        <f>"10814"</f>
        <v>10814</v>
      </c>
      <c r="B10815" t="str">
        <f>"0.01"</f>
        <v>0.01</v>
      </c>
      <c r="C10815" t="str">
        <f>"25"</f>
        <v>25</v>
      </c>
      <c r="D10815" t="str">
        <f>"Blood Speaks"</f>
        <v>Blood Speaks</v>
      </c>
    </row>
    <row r="10816" spans="1:4" x14ac:dyDescent="0.2">
      <c r="A10816" t="str">
        <f>"10815"</f>
        <v>10815</v>
      </c>
      <c r="B10816" t="str">
        <f>"0.19"</f>
        <v>0.19</v>
      </c>
      <c r="C10816" t="str">
        <f>"36"</f>
        <v>36</v>
      </c>
      <c r="D10816" t="str">
        <f>"Quarantine"</f>
        <v>Quarantine</v>
      </c>
    </row>
    <row r="10817" spans="1:4" x14ac:dyDescent="0.2">
      <c r="A10817" t="str">
        <f>"10816"</f>
        <v>10816</v>
      </c>
      <c r="B10817" t="str">
        <f>"-1.05"</f>
        <v>-1.05</v>
      </c>
      <c r="C10817" t="str">
        <f>"27"</f>
        <v>27</v>
      </c>
      <c r="D10817" t="str">
        <f>"Lex Hives"</f>
        <v>Lex Hives</v>
      </c>
    </row>
    <row r="10818" spans="1:4" x14ac:dyDescent="0.2">
      <c r="A10818" t="str">
        <f>"10817"</f>
        <v>10817</v>
      </c>
      <c r="B10818" t="str">
        <f>"0.19"</f>
        <v>0.19</v>
      </c>
      <c r="C10818" t="str">
        <f>"33"</f>
        <v>33</v>
      </c>
      <c r="D10818" t="str">
        <f>"A Painting of a Painting On Fire"</f>
        <v>A Painting of a Painting On Fire</v>
      </c>
    </row>
    <row r="10819" spans="1:4" x14ac:dyDescent="0.2">
      <c r="A10819" t="str">
        <f>"10818"</f>
        <v>10818</v>
      </c>
      <c r="B10819" t="str">
        <f>"0.13"</f>
        <v>0.13</v>
      </c>
      <c r="C10819" t="str">
        <f>"25"</f>
        <v>25</v>
      </c>
      <c r="D10819" t="str">
        <f>"Hope in Dirt City"</f>
        <v>Hope in Dirt City</v>
      </c>
    </row>
    <row r="10820" spans="1:4" x14ac:dyDescent="0.2">
      <c r="A10820" t="str">
        <f>"10819"</f>
        <v>10819</v>
      </c>
      <c r="B10820" t="str">
        <f>"-1.02"</f>
        <v>-1.02</v>
      </c>
      <c r="C10820" t="str">
        <f>"22"</f>
        <v>22</v>
      </c>
      <c r="D10820" t="str">
        <f>"Radlands"</f>
        <v>Radlands</v>
      </c>
    </row>
    <row r="10821" spans="1:4" x14ac:dyDescent="0.2">
      <c r="A10821" t="str">
        <f>"10820"</f>
        <v>10820</v>
      </c>
      <c r="B10821" t="str">
        <f>"0.48"</f>
        <v>0.48</v>
      </c>
      <c r="C10821" t="str">
        <f>"36"</f>
        <v>36</v>
      </c>
      <c r="D10821" t="str">
        <f>"Banga"</f>
        <v>Banga</v>
      </c>
    </row>
    <row r="10822" spans="1:4" x14ac:dyDescent="0.2">
      <c r="A10822" t="str">
        <f>"10821"</f>
        <v>10821</v>
      </c>
      <c r="B10822" t="str">
        <f>"1.36"</f>
        <v>1.36</v>
      </c>
      <c r="C10822" t="str">
        <f>"49"</f>
        <v>49</v>
      </c>
      <c r="D10822" t="str">
        <f>"The Stoned Immaculate"</f>
        <v>The Stoned Immaculate</v>
      </c>
    </row>
    <row r="10823" spans="1:4" x14ac:dyDescent="0.2">
      <c r="A10823" t="str">
        <f>"10822"</f>
        <v>10822</v>
      </c>
      <c r="B10823" t="str">
        <f>"0.06"</f>
        <v>0.06</v>
      </c>
      <c r="C10823" t="str">
        <f>"21"</f>
        <v>21</v>
      </c>
      <c r="D10823" t="str">
        <f>"Endless Flowers"</f>
        <v>Endless Flowers</v>
      </c>
    </row>
    <row r="10824" spans="1:4" x14ac:dyDescent="0.2">
      <c r="A10824" t="str">
        <f>"10823"</f>
        <v>10823</v>
      </c>
      <c r="B10824" t="str">
        <f>"1.01"</f>
        <v>1.01</v>
      </c>
      <c r="C10824" t="str">
        <f>"53"</f>
        <v>53</v>
      </c>
      <c r="D10824" t="str">
        <f>"Aimlessness"</f>
        <v>Aimlessness</v>
      </c>
    </row>
    <row r="10825" spans="1:4" x14ac:dyDescent="0.2">
      <c r="A10825" t="str">
        <f>"10824"</f>
        <v>10824</v>
      </c>
      <c r="B10825" t="str">
        <f>"-0.06"</f>
        <v>-0.06</v>
      </c>
      <c r="C10825" t="str">
        <f>"24"</f>
        <v>24</v>
      </c>
      <c r="D10825" t="str">
        <f>"LP"</f>
        <v>LP</v>
      </c>
    </row>
    <row r="10826" spans="1:4" x14ac:dyDescent="0.2">
      <c r="A10826" t="str">
        <f>"10825"</f>
        <v>10825</v>
      </c>
      <c r="B10826" t="str">
        <f>"-0.37"</f>
        <v>-0.37</v>
      </c>
      <c r="C10826" t="str">
        <f>"18"</f>
        <v>18</v>
      </c>
      <c r="D10826" t="str">
        <f>"&gt;&gt;"</f>
        <v>&gt;&gt;</v>
      </c>
    </row>
    <row r="10827" spans="1:4" x14ac:dyDescent="0.2">
      <c r="A10827" t="str">
        <f>"10826"</f>
        <v>10826</v>
      </c>
      <c r="B10827" t="str">
        <f>"-0.23"</f>
        <v>-0.23</v>
      </c>
      <c r="C10827" t="str">
        <f>"38"</f>
        <v>38</v>
      </c>
      <c r="D10827" t="str">
        <f>"Control System"</f>
        <v>Control System</v>
      </c>
    </row>
    <row r="10828" spans="1:4" x14ac:dyDescent="0.2">
      <c r="A10828" t="str">
        <f>"10827"</f>
        <v>10827</v>
      </c>
      <c r="B10828" t="str">
        <f>"0.72"</f>
        <v>0.72</v>
      </c>
      <c r="C10828" t="str">
        <f>"54"</f>
        <v>54</v>
      </c>
      <c r="D10828" t="str">
        <f>"Reverberations: Tape &amp; Electronic Music 1961-1970"</f>
        <v>Reverberations: Tape &amp; Electronic Music 1961-1970</v>
      </c>
    </row>
    <row r="10829" spans="1:4" x14ac:dyDescent="0.2">
      <c r="A10829" t="str">
        <f>"10828"</f>
        <v>10828</v>
      </c>
      <c r="B10829" t="str">
        <f>"0.83"</f>
        <v>0.83</v>
      </c>
      <c r="C10829" t="str">
        <f>"31"</f>
        <v>31</v>
      </c>
      <c r="D10829" t="s">
        <v>320</v>
      </c>
    </row>
    <row r="10830" spans="1:4" x14ac:dyDescent="0.2">
      <c r="A10830" t="str">
        <f>"10829"</f>
        <v>10829</v>
      </c>
      <c r="B10830" t="str">
        <f>"-0.29"</f>
        <v>-0.29</v>
      </c>
      <c r="C10830" t="str">
        <f>"27"</f>
        <v>27</v>
      </c>
      <c r="D10830" t="str">
        <f>"Taranta"</f>
        <v>Taranta</v>
      </c>
    </row>
    <row r="10831" spans="1:4" x14ac:dyDescent="0.2">
      <c r="A10831" t="str">
        <f>"10830"</f>
        <v>10830</v>
      </c>
      <c r="B10831" t="str">
        <f>"0.1"</f>
        <v>0.1</v>
      </c>
      <c r="C10831" t="str">
        <f>"31"</f>
        <v>31</v>
      </c>
      <c r="D10831" t="str">
        <f>"WIXIW"</f>
        <v>WIXIW</v>
      </c>
    </row>
    <row r="10832" spans="1:4" x14ac:dyDescent="0.2">
      <c r="A10832" t="str">
        <f>"10831"</f>
        <v>10831</v>
      </c>
      <c r="B10832" t="str">
        <f>"0.28"</f>
        <v>0.28</v>
      </c>
      <c r="C10832" t="str">
        <f>"26"</f>
        <v>26</v>
      </c>
      <c r="D10832" t="str">
        <f>"A Joyful Noise"</f>
        <v>A Joyful Noise</v>
      </c>
    </row>
    <row r="10833" spans="1:4" x14ac:dyDescent="0.2">
      <c r="A10833" t="str">
        <f>"10832"</f>
        <v>10832</v>
      </c>
      <c r="B10833" t="str">
        <f>"0.88"</f>
        <v>0.88</v>
      </c>
      <c r="C10833" t="str">
        <f>"28"</f>
        <v>28</v>
      </c>
      <c r="D10833" t="str">
        <f>"Odd Renditions Vol. 001 EP"</f>
        <v>Odd Renditions Vol. 001 EP</v>
      </c>
    </row>
    <row r="10834" spans="1:4" x14ac:dyDescent="0.2">
      <c r="A10834" t="str">
        <f>"10833"</f>
        <v>10833</v>
      </c>
      <c r="B10834" t="str">
        <f>"-0.91"</f>
        <v>-0.91</v>
      </c>
      <c r="C10834" t="str">
        <f>"32"</f>
        <v>32</v>
      </c>
      <c r="D10834" t="str">
        <f>"Lillie: F-65"</f>
        <v>Lillie: F-65</v>
      </c>
    </row>
    <row r="10835" spans="1:4" x14ac:dyDescent="0.2">
      <c r="A10835" t="str">
        <f>"10834"</f>
        <v>10834</v>
      </c>
      <c r="B10835" t="str">
        <f>"0.4"</f>
        <v>0.4</v>
      </c>
      <c r="C10835" t="str">
        <f>"25"</f>
        <v>25</v>
      </c>
      <c r="D10835" t="str">
        <f>"Trust EP"</f>
        <v>Trust EP</v>
      </c>
    </row>
    <row r="10836" spans="1:4" x14ac:dyDescent="0.2">
      <c r="A10836" t="str">
        <f>"10835"</f>
        <v>10835</v>
      </c>
      <c r="B10836" t="str">
        <f>"0.41"</f>
        <v>0.41</v>
      </c>
      <c r="C10836" t="str">
        <f>"25"</f>
        <v>25</v>
      </c>
      <c r="D10836" t="str">
        <f>"Americana"</f>
        <v>Americana</v>
      </c>
    </row>
    <row r="10837" spans="1:4" x14ac:dyDescent="0.2">
      <c r="A10837" t="str">
        <f>"10836"</f>
        <v>10836</v>
      </c>
      <c r="B10837" t="str">
        <f>"0.29"</f>
        <v>0.29</v>
      </c>
      <c r="C10837" t="str">
        <f>"28"</f>
        <v>28</v>
      </c>
      <c r="D10837" t="str">
        <f>"Among the Leaves"</f>
        <v>Among the Leaves</v>
      </c>
    </row>
    <row r="10838" spans="1:4" x14ac:dyDescent="0.2">
      <c r="A10838" t="str">
        <f>"10837"</f>
        <v>10837</v>
      </c>
      <c r="B10838" t="str">
        <f>"0.01"</f>
        <v>0.01</v>
      </c>
      <c r="C10838" t="str">
        <f>"32"</f>
        <v>32</v>
      </c>
      <c r="D10838" t="str">
        <f>"Here Comes Everybody"</f>
        <v>Here Comes Everybody</v>
      </c>
    </row>
    <row r="10839" spans="1:4" x14ac:dyDescent="0.2">
      <c r="A10839" t="str">
        <f>"10838"</f>
        <v>10838</v>
      </c>
      <c r="B10839" t="str">
        <f>"-0.8"</f>
        <v>-0.8</v>
      </c>
      <c r="C10839" t="str">
        <f>"29"</f>
        <v>29</v>
      </c>
      <c r="D10839" t="s">
        <v>321</v>
      </c>
    </row>
    <row r="10840" spans="1:4" x14ac:dyDescent="0.2">
      <c r="A10840" t="str">
        <f>"10839"</f>
        <v>10839</v>
      </c>
      <c r="B10840" t="str">
        <f>"-0.83"</f>
        <v>-0.83</v>
      </c>
      <c r="C10840" t="str">
        <f>"32"</f>
        <v>32</v>
      </c>
      <c r="D10840" t="str">
        <f>"Embracing the Lightless Depths"</f>
        <v>Embracing the Lightless Depths</v>
      </c>
    </row>
    <row r="10841" spans="1:4" x14ac:dyDescent="0.2">
      <c r="A10841" t="str">
        <f>"10840"</f>
        <v>10840</v>
      </c>
      <c r="B10841" t="str">
        <f>"0.68"</f>
        <v>0.68</v>
      </c>
      <c r="C10841" t="str">
        <f>"31"</f>
        <v>31</v>
      </c>
      <c r="D10841" t="str">
        <f>"Max Payne 3 OST"</f>
        <v>Max Payne 3 OST</v>
      </c>
    </row>
    <row r="10842" spans="1:4" x14ac:dyDescent="0.2">
      <c r="A10842" t="str">
        <f>"10841"</f>
        <v>10841</v>
      </c>
      <c r="B10842" t="str">
        <f>"0.7"</f>
        <v>0.7</v>
      </c>
      <c r="C10842" t="str">
        <f>"32"</f>
        <v>32</v>
      </c>
      <c r="D10842" t="str">
        <f>"The Sister"</f>
        <v>The Sister</v>
      </c>
    </row>
    <row r="10843" spans="1:4" x14ac:dyDescent="0.2">
      <c r="A10843" t="str">
        <f>"10842"</f>
        <v>10842</v>
      </c>
      <c r="B10843" t="str">
        <f>"-0.21"</f>
        <v>-0.21</v>
      </c>
      <c r="C10843" t="str">
        <f>"36"</f>
        <v>36</v>
      </c>
      <c r="D10843" t="str">
        <f>"Journey of the Deep Sea Dweller II"</f>
        <v>Journey of the Deep Sea Dweller II</v>
      </c>
    </row>
    <row r="10844" spans="1:4" x14ac:dyDescent="0.2">
      <c r="A10844" t="str">
        <f>"10843"</f>
        <v>10843</v>
      </c>
      <c r="B10844" t="str">
        <f>"-0.29"</f>
        <v>-0.29</v>
      </c>
      <c r="C10844" t="str">
        <f>"26"</f>
        <v>26</v>
      </c>
      <c r="D10844" t="str">
        <f>"Generals"</f>
        <v>Generals</v>
      </c>
    </row>
    <row r="10845" spans="1:4" x14ac:dyDescent="0.2">
      <c r="A10845" t="str">
        <f>"10844"</f>
        <v>10844</v>
      </c>
      <c r="B10845" t="str">
        <f>"-0.55"</f>
        <v>-0.55</v>
      </c>
      <c r="C10845" t="str">
        <f>"20"</f>
        <v>20</v>
      </c>
      <c r="D10845" t="str">
        <f>"Merciless"</f>
        <v>Merciless</v>
      </c>
    </row>
    <row r="10846" spans="1:4" x14ac:dyDescent="0.2">
      <c r="A10846" t="str">
        <f>"10845"</f>
        <v>10845</v>
      </c>
      <c r="B10846" t="str">
        <f>"0.42"</f>
        <v>0.42</v>
      </c>
      <c r="C10846" t="str">
        <f>"36"</f>
        <v>36</v>
      </c>
      <c r="D10846" t="str">
        <f>"Valtari"</f>
        <v>Valtari</v>
      </c>
    </row>
    <row r="10847" spans="1:4" x14ac:dyDescent="0.2">
      <c r="A10847" t="str">
        <f>"10846"</f>
        <v>10846</v>
      </c>
      <c r="B10847" t="str">
        <f>"-0.5"</f>
        <v>-0.5</v>
      </c>
      <c r="C10847" t="str">
        <f>"36"</f>
        <v>36</v>
      </c>
      <c r="D10847" t="str">
        <f>"This Is PiL"</f>
        <v>This Is PiL</v>
      </c>
    </row>
    <row r="10848" spans="1:4" x14ac:dyDescent="0.2">
      <c r="A10848" t="str">
        <f>"10847"</f>
        <v>10847</v>
      </c>
      <c r="B10848" t="str">
        <f>"-0.57"</f>
        <v>-0.57</v>
      </c>
      <c r="C10848" t="str">
        <f>"30"</f>
        <v>30</v>
      </c>
      <c r="D10848" t="str">
        <f>"What We Saw From the Cheap Seats"</f>
        <v>What We Saw From the Cheap Seats</v>
      </c>
    </row>
    <row r="10849" spans="1:4" x14ac:dyDescent="0.2">
      <c r="A10849" t="str">
        <f>"10848"</f>
        <v>10848</v>
      </c>
      <c r="B10849" t="str">
        <f>"1.09"</f>
        <v>1.09</v>
      </c>
      <c r="C10849" t="str">
        <f>"22"</f>
        <v>22</v>
      </c>
      <c r="D10849" t="str">
        <f>"Here"</f>
        <v>Here</v>
      </c>
    </row>
    <row r="10850" spans="1:4" x14ac:dyDescent="0.2">
      <c r="A10850" t="str">
        <f>"10849"</f>
        <v>10849</v>
      </c>
      <c r="B10850" t="str">
        <f>"-0.16"</f>
        <v>-0.16</v>
      </c>
      <c r="C10850" t="str">
        <f>"25"</f>
        <v>25</v>
      </c>
      <c r="D10850" t="str">
        <f>"A Monument"</f>
        <v>A Monument</v>
      </c>
    </row>
    <row r="10851" spans="1:4" x14ac:dyDescent="0.2">
      <c r="A10851" t="str">
        <f>"10850"</f>
        <v>10850</v>
      </c>
      <c r="B10851" t="str">
        <f>"-0.25"</f>
        <v>-0.25</v>
      </c>
      <c r="C10851" t="str">
        <f>"67"</f>
        <v>67</v>
      </c>
      <c r="D10851" t="str">
        <f>"Celebration Rock"</f>
        <v>Celebration Rock</v>
      </c>
    </row>
    <row r="10852" spans="1:4" x14ac:dyDescent="0.2">
      <c r="A10852" t="str">
        <f>"10851"</f>
        <v>10851</v>
      </c>
      <c r="B10852" t="str">
        <f>"0.2"</f>
        <v>0.2</v>
      </c>
      <c r="C10852" t="str">
        <f>"20"</f>
        <v>20</v>
      </c>
      <c r="D10852" t="str">
        <f>"Diver"</f>
        <v>Diver</v>
      </c>
    </row>
    <row r="10853" spans="1:4" x14ac:dyDescent="0.2">
      <c r="A10853" t="str">
        <f>"10852"</f>
        <v>10852</v>
      </c>
      <c r="B10853" t="str">
        <f>"1.1"</f>
        <v>1.1</v>
      </c>
      <c r="C10853" t="str">
        <f>"24"</f>
        <v>24</v>
      </c>
      <c r="D10853" t="str">
        <f>"Magic Hour"</f>
        <v>Magic Hour</v>
      </c>
    </row>
    <row r="10854" spans="1:4" x14ac:dyDescent="0.2">
      <c r="A10854" t="str">
        <f>"10853"</f>
        <v>10853</v>
      </c>
      <c r="B10854" t="str">
        <f>"0.38"</f>
        <v>0.38</v>
      </c>
      <c r="C10854" t="str">
        <f>"39"</f>
        <v>39</v>
      </c>
      <c r="D10854" t="str">
        <f>"King Tuff"</f>
        <v>King Tuff</v>
      </c>
    </row>
    <row r="10855" spans="1:4" x14ac:dyDescent="0.2">
      <c r="A10855" t="str">
        <f>"10854"</f>
        <v>10854</v>
      </c>
      <c r="B10855" t="str">
        <f>"0.96"</f>
        <v>0.96</v>
      </c>
      <c r="C10855" t="str">
        <f>"18"</f>
        <v>18</v>
      </c>
      <c r="D10855" t="str">
        <f>"Spirits"</f>
        <v>Spirits</v>
      </c>
    </row>
    <row r="10856" spans="1:4" x14ac:dyDescent="0.2">
      <c r="A10856" t="str">
        <f>"10855"</f>
        <v>10855</v>
      </c>
      <c r="B10856" t="str">
        <f>"1.32"</f>
        <v>1.32</v>
      </c>
      <c r="C10856" t="str">
        <f>"39"</f>
        <v>39</v>
      </c>
      <c r="D10856" t="str">
        <f>"Heaven"</f>
        <v>Heaven</v>
      </c>
    </row>
    <row r="10857" spans="1:4" x14ac:dyDescent="0.2">
      <c r="A10857" t="str">
        <f>"10856"</f>
        <v>10856</v>
      </c>
      <c r="B10857" t="str">
        <f>"-0.92"</f>
        <v>-0.92</v>
      </c>
      <c r="C10857" t="str">
        <f>"38"</f>
        <v>38</v>
      </c>
      <c r="D10857" t="str">
        <f>"The Plot Against Common Sense"</f>
        <v>The Plot Against Common Sense</v>
      </c>
    </row>
    <row r="10858" spans="1:4" x14ac:dyDescent="0.2">
      <c r="A10858" t="str">
        <f>"10857"</f>
        <v>10857</v>
      </c>
      <c r="B10858" t="str">
        <f>"-0.81"</f>
        <v>-0.81</v>
      </c>
      <c r="C10858" t="str">
        <f>"22"</f>
        <v>22</v>
      </c>
      <c r="D10858" t="str">
        <f>"Alien Tentacle Sex EP"</f>
        <v>Alien Tentacle Sex EP</v>
      </c>
    </row>
    <row r="10859" spans="1:4" x14ac:dyDescent="0.2">
      <c r="A10859" t="str">
        <f>"10858"</f>
        <v>10858</v>
      </c>
      <c r="B10859" t="str">
        <f>"-0.2"</f>
        <v>-0.2</v>
      </c>
      <c r="C10859" t="str">
        <f>"22"</f>
        <v>22</v>
      </c>
      <c r="D10859" t="str">
        <f>"Time Team"</f>
        <v>Time Team</v>
      </c>
    </row>
    <row r="10860" spans="1:4" x14ac:dyDescent="0.2">
      <c r="A10860" t="str">
        <f>"10859"</f>
        <v>10859</v>
      </c>
      <c r="B10860" t="str">
        <f>"0.4"</f>
        <v>0.4</v>
      </c>
      <c r="C10860" t="str">
        <f>"32"</f>
        <v>32</v>
      </c>
      <c r="D10860" t="str">
        <f>"Classical Curves"</f>
        <v>Classical Curves</v>
      </c>
    </row>
    <row r="10861" spans="1:4" x14ac:dyDescent="0.2">
      <c r="A10861" t="str">
        <f>"10860"</f>
        <v>10860</v>
      </c>
      <c r="B10861" t="str">
        <f>"-0.15"</f>
        <v>-0.15</v>
      </c>
      <c r="C10861" t="str">
        <f>"91"</f>
        <v>91</v>
      </c>
      <c r="D10861" t="str">
        <f>"Ram"</f>
        <v>Ram</v>
      </c>
    </row>
    <row r="10862" spans="1:4" x14ac:dyDescent="0.2">
      <c r="A10862" t="str">
        <f>"10861"</f>
        <v>10861</v>
      </c>
      <c r="B10862" t="str">
        <f>"-0.06"</f>
        <v>-0.06</v>
      </c>
      <c r="C10862" t="str">
        <f>"33"</f>
        <v>33</v>
      </c>
      <c r="D10862" t="str">
        <f>"Empyrean"</f>
        <v>Empyrean</v>
      </c>
    </row>
    <row r="10863" spans="1:4" x14ac:dyDescent="0.2">
      <c r="A10863" t="str">
        <f>"10862"</f>
        <v>10862</v>
      </c>
      <c r="B10863" t="str">
        <f>"0.83"</f>
        <v>0.83</v>
      </c>
      <c r="C10863" t="str">
        <f>"37"</f>
        <v>37</v>
      </c>
      <c r="D10863" t="str">
        <f>"Passage"</f>
        <v>Passage</v>
      </c>
    </row>
    <row r="10864" spans="1:4" x14ac:dyDescent="0.2">
      <c r="A10864" t="str">
        <f>"10863"</f>
        <v>10863</v>
      </c>
      <c r="B10864" t="str">
        <f>"-0.15"</f>
        <v>-0.15</v>
      </c>
      <c r="C10864" t="str">
        <f>"29"</f>
        <v>29</v>
      </c>
      <c r="D10864" t="str">
        <f>"A Shut-In's Prayer"</f>
        <v>A Shut-In's Prayer</v>
      </c>
    </row>
    <row r="10865" spans="1:4" x14ac:dyDescent="0.2">
      <c r="A10865" t="str">
        <f>"10864"</f>
        <v>10864</v>
      </c>
      <c r="B10865" t="str">
        <f>"-1.34"</f>
        <v>-1.34</v>
      </c>
      <c r="C10865" t="str">
        <f>"32"</f>
        <v>32</v>
      </c>
      <c r="D10865" t="str">
        <f>"Body Faucet"</f>
        <v>Body Faucet</v>
      </c>
    </row>
    <row r="10866" spans="1:4" x14ac:dyDescent="0.2">
      <c r="A10866" t="str">
        <f>"10865"</f>
        <v>10865</v>
      </c>
      <c r="B10866" t="str">
        <f>"1.47"</f>
        <v>1.47</v>
      </c>
      <c r="C10866" t="str">
        <f>"29"</f>
        <v>29</v>
      </c>
      <c r="D10866" t="str">
        <f>"Words and Music by Saint Etienne"</f>
        <v>Words and Music by Saint Etienne</v>
      </c>
    </row>
    <row r="10867" spans="1:4" x14ac:dyDescent="0.2">
      <c r="A10867" t="str">
        <f>"10866"</f>
        <v>10866</v>
      </c>
      <c r="B10867" t="str">
        <f>"0.45"</f>
        <v>0.45</v>
      </c>
      <c r="C10867" t="str">
        <f>"27"</f>
        <v>27</v>
      </c>
      <c r="D10867" t="str">
        <f>"Go! Pop! Bang!"</f>
        <v>Go! Pop! Bang!</v>
      </c>
    </row>
    <row r="10868" spans="1:4" x14ac:dyDescent="0.2">
      <c r="A10868" t="str">
        <f>"10867"</f>
        <v>10867</v>
      </c>
      <c r="B10868" t="str">
        <f>"0.15"</f>
        <v>0.15</v>
      </c>
      <c r="C10868" t="str">
        <f>"26"</f>
        <v>26</v>
      </c>
      <c r="D10868" t="str">
        <f>"Deep Thuds"</f>
        <v>Deep Thuds</v>
      </c>
    </row>
    <row r="10869" spans="1:4" x14ac:dyDescent="0.2">
      <c r="A10869" t="str">
        <f>"10868"</f>
        <v>10868</v>
      </c>
      <c r="B10869" t="str">
        <f>"1.61"</f>
        <v>1.61</v>
      </c>
      <c r="C10869" t="str">
        <f>"27"</f>
        <v>27</v>
      </c>
      <c r="D10869" t="str">
        <f>"Music for Neighbors"</f>
        <v>Music for Neighbors</v>
      </c>
    </row>
    <row r="10870" spans="1:4" x14ac:dyDescent="0.2">
      <c r="A10870" t="str">
        <f>"10869"</f>
        <v>10869</v>
      </c>
      <c r="B10870" t="str">
        <f>"-0.21"</f>
        <v>-0.21</v>
      </c>
      <c r="C10870" t="str">
        <f>"26"</f>
        <v>26</v>
      </c>
      <c r="D10870" t="str">
        <f>"Silfra"</f>
        <v>Silfra</v>
      </c>
    </row>
    <row r="10871" spans="1:4" x14ac:dyDescent="0.2">
      <c r="A10871" t="str">
        <f>"10870"</f>
        <v>10870</v>
      </c>
      <c r="B10871" t="str">
        <f>"-0.58"</f>
        <v>-0.58</v>
      </c>
      <c r="C10871" t="str">
        <f>"26"</f>
        <v>26</v>
      </c>
      <c r="D10871" t="str">
        <f>"Clear Moon"</f>
        <v>Clear Moon</v>
      </c>
    </row>
    <row r="10872" spans="1:4" x14ac:dyDescent="0.2">
      <c r="A10872" t="str">
        <f>"10871"</f>
        <v>10871</v>
      </c>
      <c r="B10872" t="str">
        <f>"0.96"</f>
        <v>0.96</v>
      </c>
      <c r="C10872" t="str">
        <f>"40"</f>
        <v>40</v>
      </c>
      <c r="D10872" t="str">
        <f>"Masterpiece"</f>
        <v>Masterpiece</v>
      </c>
    </row>
    <row r="10873" spans="1:4" x14ac:dyDescent="0.2">
      <c r="A10873" t="str">
        <f>"10872"</f>
        <v>10872</v>
      </c>
      <c r="B10873" t="str">
        <f>"0.77"</f>
        <v>0.77</v>
      </c>
      <c r="C10873" t="str">
        <f>"20"</f>
        <v>20</v>
      </c>
      <c r="D10873" t="str">
        <f>"Internal Logic"</f>
        <v>Internal Logic</v>
      </c>
    </row>
    <row r="10874" spans="1:4" x14ac:dyDescent="0.2">
      <c r="A10874" t="str">
        <f>"10873"</f>
        <v>10873</v>
      </c>
      <c r="B10874" t="str">
        <f>"-0.27"</f>
        <v>-0.27</v>
      </c>
      <c r="C10874" t="str">
        <f>"33"</f>
        <v>33</v>
      </c>
      <c r="D10874" t="str">
        <f>"Unpatterns"</f>
        <v>Unpatterns</v>
      </c>
    </row>
    <row r="10875" spans="1:4" x14ac:dyDescent="0.2">
      <c r="A10875" t="str">
        <f>"10874"</f>
        <v>10874</v>
      </c>
      <c r="B10875" t="str">
        <f>"1.15"</f>
        <v>1.15</v>
      </c>
      <c r="C10875" t="str">
        <f>"28"</f>
        <v>28</v>
      </c>
      <c r="D10875" t="str">
        <f>"Rhine Gold"</f>
        <v>Rhine Gold</v>
      </c>
    </row>
    <row r="10876" spans="1:4" x14ac:dyDescent="0.2">
      <c r="A10876" t="str">
        <f>"10875"</f>
        <v>10875</v>
      </c>
      <c r="B10876" t="str">
        <f>"-0.69"</f>
        <v>-0.69</v>
      </c>
      <c r="C10876" t="str">
        <f>"93"</f>
        <v>93</v>
      </c>
      <c r="D10876" t="str">
        <f>"Cancer for Cure"</f>
        <v>Cancer for Cure</v>
      </c>
    </row>
    <row r="10877" spans="1:4" x14ac:dyDescent="0.2">
      <c r="A10877" t="str">
        <f>"10876"</f>
        <v>10876</v>
      </c>
      <c r="B10877" t="str">
        <f>"-0.22"</f>
        <v>-0.22</v>
      </c>
      <c r="C10877" t="str">
        <f>"26"</f>
        <v>26</v>
      </c>
      <c r="D10877" t="str">
        <f>"Natural History"</f>
        <v>Natural History</v>
      </c>
    </row>
    <row r="10878" spans="1:4" x14ac:dyDescent="0.2">
      <c r="A10878" t="str">
        <f>"10877"</f>
        <v>10877</v>
      </c>
      <c r="B10878" t="str">
        <f>"0.12"</f>
        <v>0.12</v>
      </c>
      <c r="C10878" t="str">
        <f>"21"</f>
        <v>21</v>
      </c>
      <c r="D10878" t="str">
        <f>"Sunburn EP"</f>
        <v>Sunburn EP</v>
      </c>
    </row>
    <row r="10879" spans="1:4" x14ac:dyDescent="0.2">
      <c r="A10879" t="str">
        <f>"10878"</f>
        <v>10878</v>
      </c>
      <c r="B10879" t="str">
        <f>"0.16"</f>
        <v>0.16</v>
      </c>
      <c r="C10879" t="str">
        <f>"27"</f>
        <v>27</v>
      </c>
      <c r="D10879" t="str">
        <f>"Majenta"</f>
        <v>Majenta</v>
      </c>
    </row>
    <row r="10880" spans="1:4" x14ac:dyDescent="0.2">
      <c r="A10880" t="str">
        <f>"10879"</f>
        <v>10879</v>
      </c>
      <c r="B10880" t="str">
        <f>"0.2"</f>
        <v>0.2</v>
      </c>
      <c r="C10880" t="str">
        <f>"34"</f>
        <v>34</v>
      </c>
      <c r="D10880" t="str">
        <f>"Pinkish Black"</f>
        <v>Pinkish Black</v>
      </c>
    </row>
    <row r="10881" spans="1:4" x14ac:dyDescent="0.2">
      <c r="A10881" t="str">
        <f>"10880"</f>
        <v>10880</v>
      </c>
      <c r="B10881" t="str">
        <f>"-0.26"</f>
        <v>-0.26</v>
      </c>
      <c r="C10881" t="str">
        <f>"46"</f>
        <v>46</v>
      </c>
      <c r="D10881" t="str">
        <f>"Ufabulum"</f>
        <v>Ufabulum</v>
      </c>
    </row>
    <row r="10882" spans="1:4" x14ac:dyDescent="0.2">
      <c r="A10882" t="str">
        <f>"10881"</f>
        <v>10881</v>
      </c>
      <c r="B10882" t="str">
        <f>"0.2"</f>
        <v>0.2</v>
      </c>
      <c r="C10882" t="str">
        <f>"44"</f>
        <v>44</v>
      </c>
      <c r="D10882" t="str">
        <f>"The Visitors [Deluxe Edition]"</f>
        <v>The Visitors [Deluxe Edition]</v>
      </c>
    </row>
    <row r="10883" spans="1:4" x14ac:dyDescent="0.2">
      <c r="A10883" t="str">
        <f>"10882"</f>
        <v>10882</v>
      </c>
      <c r="B10883" t="str">
        <f>"1.17"</f>
        <v>1.17</v>
      </c>
      <c r="C10883" t="str">
        <f>"23"</f>
        <v>23</v>
      </c>
      <c r="D10883" t="str">
        <f>"Dreamchasers 2"</f>
        <v>Dreamchasers 2</v>
      </c>
    </row>
    <row r="10884" spans="1:4" x14ac:dyDescent="0.2">
      <c r="A10884" t="str">
        <f>"10883"</f>
        <v>10883</v>
      </c>
      <c r="B10884" t="str">
        <f>"-0.86"</f>
        <v>-0.86</v>
      </c>
      <c r="C10884" t="str">
        <f>"38"</f>
        <v>38</v>
      </c>
      <c r="D10884" t="str">
        <f>"RØSENKØPF"</f>
        <v>RØSENKØPF</v>
      </c>
    </row>
    <row r="10885" spans="1:4" x14ac:dyDescent="0.2">
      <c r="A10885" t="str">
        <f>"10884"</f>
        <v>10884</v>
      </c>
      <c r="B10885" t="str">
        <f>"0.32"</f>
        <v>0.32</v>
      </c>
      <c r="C10885" t="str">
        <f>"30"</f>
        <v>30</v>
      </c>
      <c r="D10885" t="str">
        <f>"Civilization"</f>
        <v>Civilization</v>
      </c>
    </row>
    <row r="10886" spans="1:4" x14ac:dyDescent="0.2">
      <c r="A10886" t="str">
        <f>"10885"</f>
        <v>10885</v>
      </c>
      <c r="B10886" t="str">
        <f>"-0.79"</f>
        <v>-0.79</v>
      </c>
      <c r="C10886" t="str">
        <f>"32"</f>
        <v>32</v>
      </c>
      <c r="D10886" t="str">
        <f>"Not Your Kind of People"</f>
        <v>Not Your Kind of People</v>
      </c>
    </row>
    <row r="10887" spans="1:4" x14ac:dyDescent="0.2">
      <c r="A10887" t="str">
        <f>"10886"</f>
        <v>10886</v>
      </c>
      <c r="B10887" t="str">
        <f>"0.27"</f>
        <v>0.27</v>
      </c>
      <c r="C10887" t="str">
        <f>"66"</f>
        <v>66</v>
      </c>
      <c r="D10887" t="str">
        <f>"Bizarre Ride II the Pharcyde: The Singles Collection Music Box"</f>
        <v>Bizarre Ride II the Pharcyde: The Singles Collection Music Box</v>
      </c>
    </row>
    <row r="10888" spans="1:4" x14ac:dyDescent="0.2">
      <c r="A10888" t="str">
        <f>"10887"</f>
        <v>10887</v>
      </c>
      <c r="B10888" t="str">
        <f>"0.53"</f>
        <v>0.53</v>
      </c>
      <c r="C10888" t="str">
        <f>"24"</f>
        <v>24</v>
      </c>
      <c r="D10888" t="str">
        <f>"A.C.R. 1999"</f>
        <v>A.C.R. 1999</v>
      </c>
    </row>
    <row r="10889" spans="1:4" x14ac:dyDescent="0.2">
      <c r="A10889" t="str">
        <f>"10888"</f>
        <v>10888</v>
      </c>
      <c r="B10889" t="str">
        <f>"-0.26"</f>
        <v>-0.26</v>
      </c>
      <c r="C10889" t="str">
        <f>"51"</f>
        <v>51</v>
      </c>
      <c r="D10889" t="str">
        <f>"Heavy"</f>
        <v>Heavy</v>
      </c>
    </row>
    <row r="10890" spans="1:4" x14ac:dyDescent="0.2">
      <c r="A10890" t="str">
        <f>"10889"</f>
        <v>10889</v>
      </c>
      <c r="B10890" t="str">
        <f>"-1.18"</f>
        <v>-1.18</v>
      </c>
      <c r="C10890" t="str">
        <f>"27"</f>
        <v>27</v>
      </c>
      <c r="D10890" t="str">
        <f>"Dismania"</f>
        <v>Dismania</v>
      </c>
    </row>
    <row r="10891" spans="1:4" x14ac:dyDescent="0.2">
      <c r="A10891" t="str">
        <f>"10890"</f>
        <v>10890</v>
      </c>
      <c r="B10891" t="str">
        <f>"-0.15"</f>
        <v>-0.15</v>
      </c>
      <c r="C10891" t="str">
        <f>"50"</f>
        <v>50</v>
      </c>
      <c r="D10891" t="str">
        <f>"The Only Place"</f>
        <v>The Only Place</v>
      </c>
    </row>
    <row r="10892" spans="1:4" x14ac:dyDescent="0.2">
      <c r="A10892" t="str">
        <f>"10891"</f>
        <v>10891</v>
      </c>
      <c r="B10892" t="str">
        <f>"-0.07"</f>
        <v>-0.07</v>
      </c>
      <c r="C10892" t="str">
        <f>"31"</f>
        <v>31</v>
      </c>
      <c r="D10892" t="str">
        <f>"Shot Forth Self Living [Expanded Edition]"</f>
        <v>Shot Forth Self Living [Expanded Edition]</v>
      </c>
    </row>
    <row r="10893" spans="1:4" x14ac:dyDescent="0.2">
      <c r="A10893" t="str">
        <f>"10892"</f>
        <v>10892</v>
      </c>
      <c r="B10893" t="str">
        <f>"1.55"</f>
        <v>1.55</v>
      </c>
      <c r="C10893" t="str">
        <f>"20"</f>
        <v>20</v>
      </c>
      <c r="D10893" t="str">
        <f>"True"</f>
        <v>True</v>
      </c>
    </row>
    <row r="10894" spans="1:4" x14ac:dyDescent="0.2">
      <c r="A10894" t="str">
        <f>"10893"</f>
        <v>10893</v>
      </c>
      <c r="B10894" t="str">
        <f>"0.94"</f>
        <v>0.94</v>
      </c>
      <c r="C10894" t="str">
        <f>"23"</f>
        <v>23</v>
      </c>
      <c r="D10894" t="str">
        <f>"Into the Trees"</f>
        <v>Into the Trees</v>
      </c>
    </row>
    <row r="10895" spans="1:4" x14ac:dyDescent="0.2">
      <c r="A10895" t="str">
        <f>"10894"</f>
        <v>10894</v>
      </c>
      <c r="B10895" t="str">
        <f>"0.68"</f>
        <v>0.68</v>
      </c>
      <c r="C10895" t="str">
        <f>"25"</f>
        <v>25</v>
      </c>
      <c r="D10895" t="str">
        <f>"Live"</f>
        <v>Live</v>
      </c>
    </row>
    <row r="10896" spans="1:4" x14ac:dyDescent="0.2">
      <c r="A10896" t="str">
        <f>"10895"</f>
        <v>10895</v>
      </c>
      <c r="B10896" t="str">
        <f>"-0.3"</f>
        <v>-0.3</v>
      </c>
      <c r="C10896" t="str">
        <f>"65"</f>
        <v>65</v>
      </c>
      <c r="D10896" t="str">
        <f>"R.A.P. Music"</f>
        <v>R.A.P. Music</v>
      </c>
    </row>
    <row r="10897" spans="1:4" x14ac:dyDescent="0.2">
      <c r="A10897" t="str">
        <f>"10896"</f>
        <v>10896</v>
      </c>
      <c r="B10897" t="str">
        <f>"-1.17"</f>
        <v>-1.17</v>
      </c>
      <c r="C10897" t="str">
        <f>"24"</f>
        <v>24</v>
      </c>
      <c r="D10897" t="str">
        <f>"Neck of the Woods"</f>
        <v>Neck of the Woods</v>
      </c>
    </row>
    <row r="10898" spans="1:4" x14ac:dyDescent="0.2">
      <c r="A10898" t="str">
        <f>"10897"</f>
        <v>10897</v>
      </c>
      <c r="B10898" t="str">
        <f>"0.75"</f>
        <v>0.75</v>
      </c>
      <c r="C10898" t="str">
        <f>"29"</f>
        <v>29</v>
      </c>
      <c r="D10898" t="str">
        <f>"Köima"</f>
        <v>Köima</v>
      </c>
    </row>
    <row r="10899" spans="1:4" x14ac:dyDescent="0.2">
      <c r="A10899" t="str">
        <f>"10898"</f>
        <v>10898</v>
      </c>
      <c r="B10899" t="str">
        <f>"-0.25"</f>
        <v>-0.25</v>
      </c>
      <c r="C10899" t="str">
        <f>"27"</f>
        <v>27</v>
      </c>
      <c r="D10899" t="str">
        <f>"V"</f>
        <v>V</v>
      </c>
    </row>
    <row r="10900" spans="1:4" x14ac:dyDescent="0.2">
      <c r="A10900" t="str">
        <f>"10899"</f>
        <v>10899</v>
      </c>
      <c r="B10900" t="str">
        <f>"0.2"</f>
        <v>0.2</v>
      </c>
      <c r="C10900" t="str">
        <f>"22"</f>
        <v>22</v>
      </c>
      <c r="D10900" t="str">
        <f>"I Feel So Far Away: Anthology 1974-1998"</f>
        <v>I Feel So Far Away: Anthology 1974-1998</v>
      </c>
    </row>
    <row r="10901" spans="1:4" x14ac:dyDescent="0.2">
      <c r="A10901" t="str">
        <f>"10900"</f>
        <v>10900</v>
      </c>
      <c r="B10901" t="str">
        <f>"0.54"</f>
        <v>0.54</v>
      </c>
      <c r="C10901" t="str">
        <f>"40"</f>
        <v>40</v>
      </c>
      <c r="D10901" t="str">
        <f>"Bloom"</f>
        <v>Bloom</v>
      </c>
    </row>
    <row r="10902" spans="1:4" x14ac:dyDescent="0.2">
      <c r="A10902" t="str">
        <f>"10901"</f>
        <v>10901</v>
      </c>
      <c r="B10902" t="str">
        <f>"-0.13"</f>
        <v>-0.13</v>
      </c>
      <c r="C10902" t="str">
        <f>"24"</f>
        <v>24</v>
      </c>
      <c r="D10902" t="str">
        <f>"Fear Fun"</f>
        <v>Fear Fun</v>
      </c>
    </row>
    <row r="10903" spans="1:4" x14ac:dyDescent="0.2">
      <c r="A10903" t="str">
        <f>"10902"</f>
        <v>10902</v>
      </c>
      <c r="B10903" t="str">
        <f>"0.75"</f>
        <v>0.75</v>
      </c>
      <c r="C10903" t="str">
        <f>"30"</f>
        <v>30</v>
      </c>
      <c r="D10903" t="str">
        <f>"Motion Sickness of Time Travel"</f>
        <v>Motion Sickness of Time Travel</v>
      </c>
    </row>
    <row r="10904" spans="1:4" x14ac:dyDescent="0.2">
      <c r="A10904" t="str">
        <f>"10903"</f>
        <v>10903</v>
      </c>
      <c r="B10904" t="str">
        <f>"-0.03"</f>
        <v>-0.03</v>
      </c>
      <c r="C10904" t="str">
        <f>"28"</f>
        <v>28</v>
      </c>
      <c r="D10904" t="str">
        <f>"Prophet"</f>
        <v>Prophet</v>
      </c>
    </row>
    <row r="10905" spans="1:4" x14ac:dyDescent="0.2">
      <c r="A10905" t="str">
        <f>"10904"</f>
        <v>10904</v>
      </c>
      <c r="B10905" t="str">
        <f>"-0.36"</f>
        <v>-0.36</v>
      </c>
      <c r="C10905" t="str">
        <f>"40"</f>
        <v>40</v>
      </c>
      <c r="D10905" t="str">
        <f>"Super Vague EP"</f>
        <v>Super Vague EP</v>
      </c>
    </row>
    <row r="10906" spans="1:4" x14ac:dyDescent="0.2">
      <c r="A10906" t="str">
        <f>"10905"</f>
        <v>10905</v>
      </c>
      <c r="B10906" t="str">
        <f>"0.13"</f>
        <v>0.13</v>
      </c>
      <c r="C10906" t="str">
        <f>"102"</f>
        <v>102</v>
      </c>
      <c r="D10906" t="str">
        <f>"Isn't Anything"</f>
        <v>Isn't Anything</v>
      </c>
    </row>
    <row r="10907" spans="1:4" x14ac:dyDescent="0.2">
      <c r="A10907" t="str">
        <f>"10906"</f>
        <v>10906</v>
      </c>
      <c r="B10907" t="str">
        <f>"0.68"</f>
        <v>0.68</v>
      </c>
      <c r="C10907" t="str">
        <f>"28"</f>
        <v>28</v>
      </c>
      <c r="D10907" t="str">
        <f>"Royal Headache"</f>
        <v>Royal Headache</v>
      </c>
    </row>
    <row r="10908" spans="1:4" x14ac:dyDescent="0.2">
      <c r="A10908" t="str">
        <f>"10907"</f>
        <v>10907</v>
      </c>
      <c r="B10908" t="str">
        <f>"0.28"</f>
        <v>0.28</v>
      </c>
      <c r="C10908" t="str">
        <f>"32"</f>
        <v>32</v>
      </c>
      <c r="D10908" t="str">
        <f>"DROKK: Music Inspired by Mega-City One"</f>
        <v>DROKK: Music Inspired by Mega-City One</v>
      </c>
    </row>
    <row r="10909" spans="1:4" x14ac:dyDescent="0.2">
      <c r="A10909" t="str">
        <f>"10908"</f>
        <v>10908</v>
      </c>
      <c r="B10909" t="str">
        <f>"1.12"</f>
        <v>1.12</v>
      </c>
      <c r="C10909" t="str">
        <f>"21"</f>
        <v>21</v>
      </c>
      <c r="D10909" t="str">
        <f>"Gallery EP"</f>
        <v>Gallery EP</v>
      </c>
    </row>
    <row r="10910" spans="1:4" x14ac:dyDescent="0.2">
      <c r="A10910" t="str">
        <f>"10909"</f>
        <v>10909</v>
      </c>
      <c r="B10910" t="str">
        <f>"0.82"</f>
        <v>0.82</v>
      </c>
      <c r="C10910" t="str">
        <f>"27"</f>
        <v>27</v>
      </c>
      <c r="D10910" t="str">
        <f>"Versions"</f>
        <v>Versions</v>
      </c>
    </row>
    <row r="10911" spans="1:4" x14ac:dyDescent="0.2">
      <c r="A10911" t="str">
        <f>"10910"</f>
        <v>10910</v>
      </c>
      <c r="B10911" t="str">
        <f>"-0.37"</f>
        <v>-0.37</v>
      </c>
      <c r="C10911" t="str">
        <f>"73"</f>
        <v>73</v>
      </c>
      <c r="D10911" t="str">
        <f>"OFF!"</f>
        <v>OFF!</v>
      </c>
    </row>
    <row r="10912" spans="1:4" x14ac:dyDescent="0.2">
      <c r="A10912" t="str">
        <f>"10911"</f>
        <v>10911</v>
      </c>
      <c r="B10912" t="str">
        <f>"-0.1"</f>
        <v>-0.1</v>
      </c>
      <c r="C10912" t="str">
        <f>"50"</f>
        <v>50</v>
      </c>
      <c r="D10912" t="str">
        <f>"Dopesmoker"</f>
        <v>Dopesmoker</v>
      </c>
    </row>
    <row r="10913" spans="1:4" x14ac:dyDescent="0.2">
      <c r="A10913" t="str">
        <f>"10912"</f>
        <v>10912</v>
      </c>
      <c r="B10913" t="str">
        <f>"0.86"</f>
        <v>0.86</v>
      </c>
      <c r="C10913" t="str">
        <f>"30"</f>
        <v>30</v>
      </c>
      <c r="D10913" t="str">
        <f>"A Different Ship"</f>
        <v>A Different Ship</v>
      </c>
    </row>
    <row r="10914" spans="1:4" x14ac:dyDescent="0.2">
      <c r="A10914" t="str">
        <f>"10913"</f>
        <v>10913</v>
      </c>
      <c r="B10914" t="str">
        <f>"0.07"</f>
        <v>0.07</v>
      </c>
      <c r="C10914" t="str">
        <f>"39"</f>
        <v>39</v>
      </c>
      <c r="D10914" t="str">
        <f>"Deathless Master"</f>
        <v>Deathless Master</v>
      </c>
    </row>
    <row r="10915" spans="1:4" x14ac:dyDescent="0.2">
      <c r="A10915" t="str">
        <f>"10914"</f>
        <v>10914</v>
      </c>
      <c r="B10915" t="str">
        <f>"0.39"</f>
        <v>0.39</v>
      </c>
      <c r="C10915" t="str">
        <f>"33"</f>
        <v>33</v>
      </c>
      <c r="D10915" t="str">
        <f>"Family Perfume Vol. 1"</f>
        <v>Family Perfume Vol. 1</v>
      </c>
    </row>
    <row r="10916" spans="1:4" x14ac:dyDescent="0.2">
      <c r="A10916" t="str">
        <f>"10915"</f>
        <v>10915</v>
      </c>
      <c r="B10916" t="str">
        <f>"0.95"</f>
        <v>0.95</v>
      </c>
      <c r="C10916" t="str">
        <f>"47"</f>
        <v>47</v>
      </c>
      <c r="D10916" t="str">
        <f>"Galaxy Garden"</f>
        <v>Galaxy Garden</v>
      </c>
    </row>
    <row r="10917" spans="1:4" x14ac:dyDescent="0.2">
      <c r="A10917" t="str">
        <f>"10916"</f>
        <v>10916</v>
      </c>
      <c r="B10917" t="str">
        <f>"-0.05"</f>
        <v>-0.05</v>
      </c>
      <c r="C10917" t="str">
        <f>"62"</f>
        <v>62</v>
      </c>
      <c r="D10917" t="str">
        <f>"Complete Discography"</f>
        <v>Complete Discography</v>
      </c>
    </row>
    <row r="10918" spans="1:4" x14ac:dyDescent="0.2">
      <c r="A10918" t="str">
        <f>"10917"</f>
        <v>10917</v>
      </c>
      <c r="B10918" t="str">
        <f>"-1.04"</f>
        <v>-1.04</v>
      </c>
      <c r="C10918" t="str">
        <f>"36"</f>
        <v>36</v>
      </c>
      <c r="D10918" t="str">
        <f>"The Electronic Anthology Project of Dinosaur Jr."</f>
        <v>The Electronic Anthology Project of Dinosaur Jr.</v>
      </c>
    </row>
    <row r="10919" spans="1:4" x14ac:dyDescent="0.2">
      <c r="A10919" t="str">
        <f>"10918"</f>
        <v>10918</v>
      </c>
      <c r="B10919" t="str">
        <f>"-0.23"</f>
        <v>-0.23</v>
      </c>
      <c r="C10919" t="str">
        <f>"22"</f>
        <v>22</v>
      </c>
      <c r="D10919" t="str">
        <f>"Posthuman"</f>
        <v>Posthuman</v>
      </c>
    </row>
    <row r="10920" spans="1:4" x14ac:dyDescent="0.2">
      <c r="A10920" t="str">
        <f>"10919"</f>
        <v>10919</v>
      </c>
      <c r="B10920" t="str">
        <f>"0.42"</f>
        <v>0.42</v>
      </c>
      <c r="C10920" t="str">
        <f>"22"</f>
        <v>22</v>
      </c>
      <c r="D10920" t="str">
        <f>"Oh Holy Molar"</f>
        <v>Oh Holy Molar</v>
      </c>
    </row>
    <row r="10921" spans="1:4" x14ac:dyDescent="0.2">
      <c r="A10921" t="str">
        <f>"10920"</f>
        <v>10920</v>
      </c>
      <c r="B10921" t="str">
        <f>"-0.35"</f>
        <v>-0.35</v>
      </c>
      <c r="C10921" t="str">
        <f>"39"</f>
        <v>39</v>
      </c>
      <c r="D10921" t="str">
        <f>"We Rose From Your Bed With the Sun in Our Head"</f>
        <v>We Rose From Your Bed With the Sun in Our Head</v>
      </c>
    </row>
    <row r="10922" spans="1:4" x14ac:dyDescent="0.2">
      <c r="A10922" t="str">
        <f>"10921"</f>
        <v>10921</v>
      </c>
      <c r="B10922" t="str">
        <f>"0.79"</f>
        <v>0.79</v>
      </c>
      <c r="C10922" t="str">
        <f>"23"</f>
        <v>23</v>
      </c>
      <c r="D10922" t="str">
        <f>"Urban Turban"</f>
        <v>Urban Turban</v>
      </c>
    </row>
    <row r="10923" spans="1:4" x14ac:dyDescent="0.2">
      <c r="A10923" t="str">
        <f>"10922"</f>
        <v>10922</v>
      </c>
      <c r="B10923" t="str">
        <f>"-0.22"</f>
        <v>-0.22</v>
      </c>
      <c r="C10923" t="str">
        <f>"34"</f>
        <v>34</v>
      </c>
      <c r="D10923" t="str">
        <f>"Death Dreams"</f>
        <v>Death Dreams</v>
      </c>
    </row>
    <row r="10924" spans="1:4" x14ac:dyDescent="0.2">
      <c r="A10924" t="str">
        <f>"10923"</f>
        <v>10923</v>
      </c>
      <c r="B10924" t="str">
        <f>"0.33"</f>
        <v>0.33</v>
      </c>
      <c r="C10924" t="str">
        <f>"23"</f>
        <v>23</v>
      </c>
      <c r="D10924" t="str">
        <f>"Hoyas EP"</f>
        <v>Hoyas EP</v>
      </c>
    </row>
    <row r="10925" spans="1:4" x14ac:dyDescent="0.2">
      <c r="A10925" t="str">
        <f>"10924"</f>
        <v>10924</v>
      </c>
      <c r="B10925" t="str">
        <f>"-1.16"</f>
        <v>-1.16</v>
      </c>
      <c r="C10925" t="str">
        <f>"23"</f>
        <v>23</v>
      </c>
      <c r="D10925" t="str">
        <f>"Memory"</f>
        <v>Memory</v>
      </c>
    </row>
    <row r="10926" spans="1:4" x14ac:dyDescent="0.2">
      <c r="A10926" t="str">
        <f>"10925"</f>
        <v>10925</v>
      </c>
      <c r="B10926" t="str">
        <f>"-0.18"</f>
        <v>-0.18</v>
      </c>
      <c r="C10926" t="str">
        <f>"34"</f>
        <v>34</v>
      </c>
      <c r="D10926" t="str">
        <f>"Dr Dee"</f>
        <v>Dr Dee</v>
      </c>
    </row>
    <row r="10927" spans="1:4" x14ac:dyDescent="0.2">
      <c r="A10927" t="str">
        <f>"10926"</f>
        <v>10926</v>
      </c>
      <c r="B10927" t="str">
        <f>"0.46"</f>
        <v>0.46</v>
      </c>
      <c r="C10927" t="str">
        <f>"28"</f>
        <v>28</v>
      </c>
      <c r="D10927" t="str">
        <f>"Club Rez EP"</f>
        <v>Club Rez EP</v>
      </c>
    </row>
    <row r="10928" spans="1:4" x14ac:dyDescent="0.2">
      <c r="A10928" t="str">
        <f>"10927"</f>
        <v>10927</v>
      </c>
      <c r="B10928" t="str">
        <f>"0"</f>
        <v>0</v>
      </c>
      <c r="C10928" t="str">
        <f>"35"</f>
        <v>35</v>
      </c>
      <c r="D10928" t="str">
        <f>"In the Belly of the Brazen Bull"</f>
        <v>In the Belly of the Brazen Bull</v>
      </c>
    </row>
    <row r="10929" spans="1:4" x14ac:dyDescent="0.2">
      <c r="A10929" t="str">
        <f>"10928"</f>
        <v>10928</v>
      </c>
      <c r="B10929" t="str">
        <f>"-0.82"</f>
        <v>-0.82</v>
      </c>
      <c r="C10929" t="str">
        <f>"35"</f>
        <v>35</v>
      </c>
      <c r="D10929" t="str">
        <f>"Half Blood"</f>
        <v>Half Blood</v>
      </c>
    </row>
    <row r="10930" spans="1:4" x14ac:dyDescent="0.2">
      <c r="A10930" t="str">
        <f>"10929"</f>
        <v>10929</v>
      </c>
      <c r="B10930" t="str">
        <f>"0.47"</f>
        <v>0.47</v>
      </c>
      <c r="C10930" t="str">
        <f>"20"</f>
        <v>20</v>
      </c>
      <c r="D10930" t="str">
        <f>"Heirlooms"</f>
        <v>Heirlooms</v>
      </c>
    </row>
    <row r="10931" spans="1:4" x14ac:dyDescent="0.2">
      <c r="A10931" t="str">
        <f>"10930"</f>
        <v>10930</v>
      </c>
      <c r="B10931" t="str">
        <f>"-0.19"</f>
        <v>-0.19</v>
      </c>
      <c r="C10931" t="str">
        <f>"29"</f>
        <v>29</v>
      </c>
      <c r="D10931" t="str">
        <f>"Hair"</f>
        <v>Hair</v>
      </c>
    </row>
    <row r="10932" spans="1:4" x14ac:dyDescent="0.2">
      <c r="A10932" t="str">
        <f>"10931"</f>
        <v>10931</v>
      </c>
      <c r="B10932" t="str">
        <f>"-0.84"</f>
        <v>-0.84</v>
      </c>
      <c r="C10932" t="str">
        <f>"32"</f>
        <v>32</v>
      </c>
      <c r="D10932" t="str">
        <f>"Mondo"</f>
        <v>Mondo</v>
      </c>
    </row>
    <row r="10933" spans="1:4" x14ac:dyDescent="0.2">
      <c r="A10933" t="str">
        <f>"10932"</f>
        <v>10932</v>
      </c>
      <c r="B10933" t="str">
        <f>"0.41"</f>
        <v>0.41</v>
      </c>
      <c r="C10933" t="str">
        <f>"34"</f>
        <v>34</v>
      </c>
      <c r="D10933" t="s">
        <v>322</v>
      </c>
    </row>
    <row r="10934" spans="1:4" x14ac:dyDescent="0.2">
      <c r="A10934" t="str">
        <f>"10933"</f>
        <v>10933</v>
      </c>
      <c r="B10934" t="str">
        <f>"-1.2"</f>
        <v>-1.2</v>
      </c>
      <c r="C10934" t="str">
        <f>"28"</f>
        <v>28</v>
      </c>
      <c r="D10934" t="str">
        <f>"Electra Heart"</f>
        <v>Electra Heart</v>
      </c>
    </row>
    <row r="10935" spans="1:4" x14ac:dyDescent="0.2">
      <c r="A10935" t="str">
        <f>"10934"</f>
        <v>10934</v>
      </c>
      <c r="B10935" t="str">
        <f>"-0.73"</f>
        <v>-0.73</v>
      </c>
      <c r="C10935" t="str">
        <f>"28"</f>
        <v>28</v>
      </c>
      <c r="D10935" t="str">
        <f>"The Diver"</f>
        <v>The Diver</v>
      </c>
    </row>
    <row r="10936" spans="1:4" x14ac:dyDescent="0.2">
      <c r="A10936" t="str">
        <f>"10935"</f>
        <v>10935</v>
      </c>
      <c r="B10936" t="str">
        <f>"0.61"</f>
        <v>0.61</v>
      </c>
      <c r="C10936" t="str">
        <f>"38"</f>
        <v>38</v>
      </c>
      <c r="D10936" t="s">
        <v>323</v>
      </c>
    </row>
    <row r="10937" spans="1:4" x14ac:dyDescent="0.2">
      <c r="A10937" t="str">
        <f>"10936"</f>
        <v>10936</v>
      </c>
      <c r="B10937" t="str">
        <f>"1.79"</f>
        <v>1.79</v>
      </c>
      <c r="C10937" t="str">
        <f>"18"</f>
        <v>18</v>
      </c>
      <c r="D10937" t="str">
        <f>"Exercises EP"</f>
        <v>Exercises EP</v>
      </c>
    </row>
    <row r="10938" spans="1:4" x14ac:dyDescent="0.2">
      <c r="A10938" t="str">
        <f>"10937"</f>
        <v>10937</v>
      </c>
      <c r="B10938" t="str">
        <f>"0.26"</f>
        <v>0.26</v>
      </c>
      <c r="C10938" t="str">
        <f>"28"</f>
        <v>28</v>
      </c>
      <c r="D10938" t="str">
        <f>"Live in Detroit 1986"</f>
        <v>Live in Detroit 1986</v>
      </c>
    </row>
    <row r="10939" spans="1:4" x14ac:dyDescent="0.2">
      <c r="A10939" t="str">
        <f>"10938"</f>
        <v>10938</v>
      </c>
      <c r="B10939" t="str">
        <f>"0.16"</f>
        <v>0.16</v>
      </c>
      <c r="C10939" t="str">
        <f>"39"</f>
        <v>39</v>
      </c>
      <c r="D10939" t="str">
        <f>"Loot"</f>
        <v>Loot</v>
      </c>
    </row>
    <row r="10940" spans="1:4" x14ac:dyDescent="0.2">
      <c r="A10940" t="str">
        <f>"10939"</f>
        <v>10939</v>
      </c>
      <c r="B10940" t="str">
        <f>"-0.16"</f>
        <v>-0.16</v>
      </c>
      <c r="C10940" t="str">
        <f>"29"</f>
        <v>29</v>
      </c>
      <c r="D10940" t="str">
        <f>"Damned"</f>
        <v>Damned</v>
      </c>
    </row>
    <row r="10941" spans="1:4" x14ac:dyDescent="0.2">
      <c r="A10941" t="str">
        <f>"10940"</f>
        <v>10940</v>
      </c>
      <c r="B10941" t="str">
        <f>"-0.37"</f>
        <v>-0.37</v>
      </c>
      <c r="C10941" t="str">
        <f>"36"</f>
        <v>36</v>
      </c>
      <c r="D10941" t="str">
        <f>"Master of My Make-Believe"</f>
        <v>Master of My Make-Believe</v>
      </c>
    </row>
    <row r="10942" spans="1:4" x14ac:dyDescent="0.2">
      <c r="A10942" t="str">
        <f>"10941"</f>
        <v>10941</v>
      </c>
      <c r="B10942" t="str">
        <f>"0.6"</f>
        <v>0.6</v>
      </c>
      <c r="C10942" t="str">
        <f>"29"</f>
        <v>29</v>
      </c>
      <c r="D10942" t="str">
        <f>"Aufheben"</f>
        <v>Aufheben</v>
      </c>
    </row>
    <row r="10943" spans="1:4" x14ac:dyDescent="0.2">
      <c r="A10943" t="str">
        <f>"10942"</f>
        <v>10942</v>
      </c>
      <c r="B10943" t="str">
        <f>"0.45"</f>
        <v>0.45</v>
      </c>
      <c r="C10943" t="str">
        <f>"29"</f>
        <v>29</v>
      </c>
      <c r="D10943" t="str">
        <f>"Strange Land"</f>
        <v>Strange Land</v>
      </c>
    </row>
    <row r="10944" spans="1:4" x14ac:dyDescent="0.2">
      <c r="A10944" t="str">
        <f>"10943"</f>
        <v>10943</v>
      </c>
      <c r="B10944" t="str">
        <f>"0.78"</f>
        <v>0.78</v>
      </c>
      <c r="C10944" t="str">
        <f>"39"</f>
        <v>39</v>
      </c>
      <c r="D10944" t="s">
        <v>324</v>
      </c>
    </row>
    <row r="10945" spans="1:4" x14ac:dyDescent="0.2">
      <c r="A10945" t="str">
        <f>"10944"</f>
        <v>10944</v>
      </c>
      <c r="B10945" t="str">
        <f>"0.93"</f>
        <v>0.93</v>
      </c>
      <c r="C10945" t="str">
        <f>"22"</f>
        <v>22</v>
      </c>
      <c r="D10945" t="str">
        <f>"Echoes and Rhymes"</f>
        <v>Echoes and Rhymes</v>
      </c>
    </row>
    <row r="10946" spans="1:4" x14ac:dyDescent="0.2">
      <c r="A10946" t="str">
        <f>"10945"</f>
        <v>10945</v>
      </c>
      <c r="B10946" t="str">
        <f>"0.37"</f>
        <v>0.37</v>
      </c>
      <c r="C10946" t="str">
        <f>"35"</f>
        <v>35</v>
      </c>
      <c r="D10946" t="str">
        <f>"Nootropics"</f>
        <v>Nootropics</v>
      </c>
    </row>
    <row r="10947" spans="1:4" x14ac:dyDescent="0.2">
      <c r="A10947" t="str">
        <f>"10946"</f>
        <v>10946</v>
      </c>
      <c r="B10947" t="str">
        <f>"0.75"</f>
        <v>0.75</v>
      </c>
      <c r="C10947" t="str">
        <f>"27"</f>
        <v>27</v>
      </c>
      <c r="D10947" t="str">
        <f>"Reissues"</f>
        <v>Reissues</v>
      </c>
    </row>
    <row r="10948" spans="1:4" x14ac:dyDescent="0.2">
      <c r="A10948" t="str">
        <f>"10947"</f>
        <v>10947</v>
      </c>
      <c r="B10948" t="str">
        <f>"-0.74"</f>
        <v>-0.74</v>
      </c>
      <c r="C10948" t="str">
        <f>"32"</f>
        <v>32</v>
      </c>
      <c r="D10948" t="str">
        <f>"Black Is Beautiful"</f>
        <v>Black Is Beautiful</v>
      </c>
    </row>
    <row r="10949" spans="1:4" x14ac:dyDescent="0.2">
      <c r="A10949" t="str">
        <f>"10948"</f>
        <v>10948</v>
      </c>
      <c r="B10949" t="str">
        <f>"-0.23"</f>
        <v>-0.23</v>
      </c>
      <c r="C10949" t="str">
        <f>"19"</f>
        <v>19</v>
      </c>
      <c r="D10949" t="str">
        <f>"I Predict a Graceful Expulsion"</f>
        <v>I Predict a Graceful Expulsion</v>
      </c>
    </row>
    <row r="10950" spans="1:4" x14ac:dyDescent="0.2">
      <c r="A10950" t="str">
        <f>"10949"</f>
        <v>10949</v>
      </c>
      <c r="B10950" t="str">
        <f>"-0.34"</f>
        <v>-0.34</v>
      </c>
      <c r="C10950" t="str">
        <f>"20"</f>
        <v>20</v>
      </c>
      <c r="D10950" t="str">
        <f>"The Ghost in Daylight"</f>
        <v>The Ghost in Daylight</v>
      </c>
    </row>
    <row r="10951" spans="1:4" x14ac:dyDescent="0.2">
      <c r="A10951" t="str">
        <f>"10950"</f>
        <v>10950</v>
      </c>
      <c r="B10951" t="str">
        <f>"-0.29"</f>
        <v>-0.29</v>
      </c>
      <c r="C10951" t="str">
        <f>"87"</f>
        <v>87</v>
      </c>
      <c r="D10951" t="str">
        <f>"Fevers and Mirrors [Vinyl Reissue]"</f>
        <v>Fevers and Mirrors [Vinyl Reissue]</v>
      </c>
    </row>
    <row r="10952" spans="1:4" x14ac:dyDescent="0.2">
      <c r="A10952" t="str">
        <f>"10951"</f>
        <v>10951</v>
      </c>
      <c r="B10952" t="str">
        <f>"1.81"</f>
        <v>1.81</v>
      </c>
      <c r="C10952" t="str">
        <f>"18"</f>
        <v>18</v>
      </c>
      <c r="D10952" t="str">
        <f>"Meantime EP"</f>
        <v>Meantime EP</v>
      </c>
    </row>
    <row r="10953" spans="1:4" x14ac:dyDescent="0.2">
      <c r="A10953" t="str">
        <f>"10952"</f>
        <v>10952</v>
      </c>
      <c r="B10953" t="str">
        <f>"-0.28"</f>
        <v>-0.28</v>
      </c>
      <c r="C10953" t="str">
        <f>"39"</f>
        <v>39</v>
      </c>
      <c r="D10953" t="str">
        <f>"Light Asylum"</f>
        <v>Light Asylum</v>
      </c>
    </row>
    <row r="10954" spans="1:4" x14ac:dyDescent="0.2">
      <c r="A10954" t="str">
        <f>"10953"</f>
        <v>10953</v>
      </c>
      <c r="B10954" t="str">
        <f>"0.21"</f>
        <v>0.21</v>
      </c>
      <c r="C10954" t="str">
        <f>"23"</f>
        <v>23</v>
      </c>
      <c r="D10954" t="str">
        <f>"Dark York"</f>
        <v>Dark York</v>
      </c>
    </row>
    <row r="10955" spans="1:4" x14ac:dyDescent="0.2">
      <c r="A10955" t="str">
        <f>"10954"</f>
        <v>10954</v>
      </c>
      <c r="B10955" t="str">
        <f>"0.7"</f>
        <v>0.7</v>
      </c>
      <c r="C10955" t="str">
        <f>"34"</f>
        <v>34</v>
      </c>
      <c r="D10955" t="str">
        <f>"Concatenating Fields"</f>
        <v>Concatenating Fields</v>
      </c>
    </row>
    <row r="10956" spans="1:4" x14ac:dyDescent="0.2">
      <c r="A10956" t="str">
        <f>"10955"</f>
        <v>10955</v>
      </c>
      <c r="B10956" t="str">
        <f>"-0.06"</f>
        <v>-0.06</v>
      </c>
      <c r="C10956" t="str">
        <f>"34"</f>
        <v>34</v>
      </c>
      <c r="D10956" t="str">
        <f>"Mermaid Avenue: The Complete Sessions"</f>
        <v>Mermaid Avenue: The Complete Sessions</v>
      </c>
    </row>
    <row r="10957" spans="1:4" x14ac:dyDescent="0.2">
      <c r="A10957" t="str">
        <f>"10956"</f>
        <v>10956</v>
      </c>
      <c r="B10957" t="str">
        <f>"0.6"</f>
        <v>0.6</v>
      </c>
      <c r="C10957" t="str">
        <f>"34"</f>
        <v>34</v>
      </c>
      <c r="D10957" t="str">
        <f>"51"</f>
        <v>51</v>
      </c>
    </row>
    <row r="10958" spans="1:4" x14ac:dyDescent="0.2">
      <c r="A10958" t="str">
        <f>"10957"</f>
        <v>10957</v>
      </c>
      <c r="B10958" t="str">
        <f>"0.42"</f>
        <v>0.42</v>
      </c>
      <c r="C10958" t="str">
        <f>"27"</f>
        <v>27</v>
      </c>
      <c r="D10958" t="str">
        <f>"Pluto"</f>
        <v>Pluto</v>
      </c>
    </row>
    <row r="10959" spans="1:4" x14ac:dyDescent="0.2">
      <c r="A10959" t="str">
        <f>"10958"</f>
        <v>10958</v>
      </c>
      <c r="B10959" t="str">
        <f>"-0.61"</f>
        <v>-0.61</v>
      </c>
      <c r="C10959" t="str">
        <f>"28"</f>
        <v>28</v>
      </c>
      <c r="D10959" t="str">
        <f>"First of My Kind EP"</f>
        <v>First of My Kind EP</v>
      </c>
    </row>
    <row r="10960" spans="1:4" x14ac:dyDescent="0.2">
      <c r="A10960" t="str">
        <f>"10959"</f>
        <v>10959</v>
      </c>
      <c r="B10960" t="str">
        <f>"0.56"</f>
        <v>0.56</v>
      </c>
      <c r="C10960" t="str">
        <f>"25"</f>
        <v>25</v>
      </c>
      <c r="D10960" t="str">
        <f>"Mohn"</f>
        <v>Mohn</v>
      </c>
    </row>
    <row r="10961" spans="1:4" x14ac:dyDescent="0.2">
      <c r="A10961" t="str">
        <f>"10960"</f>
        <v>10960</v>
      </c>
      <c r="B10961" t="str">
        <f>"0.4"</f>
        <v>0.4</v>
      </c>
      <c r="C10961" t="str">
        <f>"34"</f>
        <v>34</v>
      </c>
      <c r="D10961" t="str">
        <f>"R.I.P."</f>
        <v>R.I.P.</v>
      </c>
    </row>
    <row r="10962" spans="1:4" x14ac:dyDescent="0.2">
      <c r="A10962" t="str">
        <f>"10961"</f>
        <v>10961</v>
      </c>
      <c r="B10962" t="str">
        <f>"0.41"</f>
        <v>0.41</v>
      </c>
      <c r="C10962" t="str">
        <f>"25"</f>
        <v>25</v>
      </c>
      <c r="D10962" t="str">
        <f>"You Know You Like It EP"</f>
        <v>You Know You Like It EP</v>
      </c>
    </row>
    <row r="10963" spans="1:4" x14ac:dyDescent="0.2">
      <c r="A10963" t="str">
        <f>"10962"</f>
        <v>10962</v>
      </c>
      <c r="B10963" t="str">
        <f>"-0.6"</f>
        <v>-0.6</v>
      </c>
      <c r="C10963" t="str">
        <f>"43"</f>
        <v>43</v>
      </c>
      <c r="D10963" t="str">
        <f>"Poor Moon"</f>
        <v>Poor Moon</v>
      </c>
    </row>
    <row r="10964" spans="1:4" x14ac:dyDescent="0.2">
      <c r="A10964" t="str">
        <f>"10963"</f>
        <v>10963</v>
      </c>
      <c r="B10964" t="str">
        <f>"0.2"</f>
        <v>0.2</v>
      </c>
      <c r="C10964" t="str">
        <f>"34"</f>
        <v>34</v>
      </c>
      <c r="D10964" t="str">
        <f>"Seven Bells"</f>
        <v>Seven Bells</v>
      </c>
    </row>
    <row r="10965" spans="1:4" x14ac:dyDescent="0.2">
      <c r="A10965" t="str">
        <f>"10964"</f>
        <v>10964</v>
      </c>
      <c r="B10965" t="str">
        <f>"-0.77"</f>
        <v>-0.77</v>
      </c>
      <c r="C10965" t="str">
        <f>"29"</f>
        <v>29</v>
      </c>
      <c r="D10965" t="str">
        <f>"Valot Kaukaa"</f>
        <v>Valot Kaukaa</v>
      </c>
    </row>
    <row r="10966" spans="1:4" x14ac:dyDescent="0.2">
      <c r="A10966" t="str">
        <f>"10965"</f>
        <v>10965</v>
      </c>
      <c r="B10966" t="str">
        <f>"-0.72"</f>
        <v>-0.72</v>
      </c>
      <c r="C10966" t="str">
        <f>"23"</f>
        <v>23</v>
      </c>
      <c r="D10966" t="str">
        <f>"All Hell"</f>
        <v>All Hell</v>
      </c>
    </row>
    <row r="10967" spans="1:4" x14ac:dyDescent="0.2">
      <c r="A10967" t="str">
        <f>"10966"</f>
        <v>10966</v>
      </c>
      <c r="B10967" t="str">
        <f>"-1.34"</f>
        <v>-1.34</v>
      </c>
      <c r="C10967" t="str">
        <f>"47"</f>
        <v>47</v>
      </c>
      <c r="D10967" t="str">
        <f>"Ugly"</f>
        <v>Ugly</v>
      </c>
    </row>
    <row r="10968" spans="1:4" x14ac:dyDescent="0.2">
      <c r="A10968" t="str">
        <f>"10967"</f>
        <v>10967</v>
      </c>
      <c r="B10968" t="str">
        <f>"-0.31"</f>
        <v>-0.31</v>
      </c>
      <c r="C10968" t="str">
        <f>"24"</f>
        <v>24</v>
      </c>
      <c r="D10968" t="str">
        <f>"Sentenced to Life"</f>
        <v>Sentenced to Life</v>
      </c>
    </row>
    <row r="10969" spans="1:4" x14ac:dyDescent="0.2">
      <c r="A10969" t="str">
        <f>"10968"</f>
        <v>10968</v>
      </c>
      <c r="B10969" t="str">
        <f>"0.14"</f>
        <v>0.14</v>
      </c>
      <c r="C10969" t="str">
        <f>"33"</f>
        <v>33</v>
      </c>
      <c r="D10969" t="str">
        <f>"Cynic's New Year"</f>
        <v>Cynic's New Year</v>
      </c>
    </row>
    <row r="10970" spans="1:4" x14ac:dyDescent="0.2">
      <c r="A10970" t="str">
        <f>"10969"</f>
        <v>10969</v>
      </c>
      <c r="B10970" t="str">
        <f>"0.09"</f>
        <v>0.09</v>
      </c>
      <c r="C10970" t="str">
        <f>"26"</f>
        <v>26</v>
      </c>
      <c r="D10970" t="str">
        <f>"Lifetime of Romance"</f>
        <v>Lifetime of Romance</v>
      </c>
    </row>
    <row r="10971" spans="1:4" x14ac:dyDescent="0.2">
      <c r="A10971" t="str">
        <f>"10970"</f>
        <v>10970</v>
      </c>
      <c r="B10971" t="str">
        <f>"-0.88"</f>
        <v>-0.88</v>
      </c>
      <c r="C10971" t="str">
        <f>"35"</f>
        <v>35</v>
      </c>
      <c r="D10971" t="str">
        <f>"The Money Store"</f>
        <v>The Money Store</v>
      </c>
    </row>
    <row r="10972" spans="1:4" x14ac:dyDescent="0.2">
      <c r="A10972" t="str">
        <f>"10971"</f>
        <v>10971</v>
      </c>
      <c r="B10972" t="str">
        <f>"-0.17"</f>
        <v>-0.17</v>
      </c>
      <c r="C10972" t="str">
        <f>"28"</f>
        <v>28</v>
      </c>
      <c r="D10972" t="str">
        <f>"June 2009"</f>
        <v>June 2009</v>
      </c>
    </row>
    <row r="10973" spans="1:4" x14ac:dyDescent="0.2">
      <c r="A10973" t="str">
        <f>"10972"</f>
        <v>10972</v>
      </c>
      <c r="B10973" t="str">
        <f>"-0.3"</f>
        <v>-0.3</v>
      </c>
      <c r="C10973" t="str">
        <f>"25"</f>
        <v>25</v>
      </c>
      <c r="D10973" t="str">
        <f>"What Kind of World"</f>
        <v>What Kind of World</v>
      </c>
    </row>
    <row r="10974" spans="1:4" x14ac:dyDescent="0.2">
      <c r="A10974" t="str">
        <f>"10973"</f>
        <v>10973</v>
      </c>
      <c r="B10974" t="str">
        <f>"-0.05"</f>
        <v>-0.05</v>
      </c>
      <c r="C10974" t="str">
        <f>"33"</f>
        <v>33</v>
      </c>
      <c r="D10974" t="str">
        <f>"True Predation"</f>
        <v>True Predation</v>
      </c>
    </row>
    <row r="10975" spans="1:4" x14ac:dyDescent="0.2">
      <c r="A10975" t="str">
        <f>"10974"</f>
        <v>10974</v>
      </c>
      <c r="B10975" t="str">
        <f>"-0.35"</f>
        <v>-0.35</v>
      </c>
      <c r="C10975" t="str">
        <f>"25"</f>
        <v>25</v>
      </c>
      <c r="D10975" t="str">
        <f>"Golden Rhythm/Ink Music"</f>
        <v>Golden Rhythm/Ink Music</v>
      </c>
    </row>
    <row r="10976" spans="1:4" x14ac:dyDescent="0.2">
      <c r="A10976" t="str">
        <f>"10975"</f>
        <v>10975</v>
      </c>
      <c r="B10976" t="str">
        <f>"-0.26"</f>
        <v>-0.26</v>
      </c>
      <c r="C10976" t="str">
        <f>"67"</f>
        <v>67</v>
      </c>
      <c r="D10976" t="str">
        <f>"Blunderbuss"</f>
        <v>Blunderbuss</v>
      </c>
    </row>
    <row r="10977" spans="1:4" x14ac:dyDescent="0.2">
      <c r="A10977" t="str">
        <f>"10976"</f>
        <v>10976</v>
      </c>
      <c r="B10977" t="str">
        <f>"1"</f>
        <v>1</v>
      </c>
      <c r="C10977" t="str">
        <f>"34"</f>
        <v>34</v>
      </c>
      <c r="D10977" t="str">
        <f>"Harmonicraft"</f>
        <v>Harmonicraft</v>
      </c>
    </row>
    <row r="10978" spans="1:4" x14ac:dyDescent="0.2">
      <c r="A10978" t="str">
        <f>"10977"</f>
        <v>10977</v>
      </c>
      <c r="B10978" t="str">
        <f>"0.42"</f>
        <v>0.42</v>
      </c>
      <c r="C10978" t="str">
        <f>"25"</f>
        <v>25</v>
      </c>
      <c r="D10978" t="str">
        <f>"Candy Salad"</f>
        <v>Candy Salad</v>
      </c>
    </row>
    <row r="10979" spans="1:4" x14ac:dyDescent="0.2">
      <c r="A10979" t="str">
        <f>"10978"</f>
        <v>10978</v>
      </c>
      <c r="B10979" t="str">
        <f>"0.19"</f>
        <v>0.19</v>
      </c>
      <c r="C10979" t="str">
        <f>"26"</f>
        <v>26</v>
      </c>
      <c r="D10979" t="str">
        <f>"This Machine"</f>
        <v>This Machine</v>
      </c>
    </row>
    <row r="10980" spans="1:4" x14ac:dyDescent="0.2">
      <c r="A10980" t="str">
        <f>"10979"</f>
        <v>10979</v>
      </c>
      <c r="B10980" t="str">
        <f>"0.21"</f>
        <v>0.21</v>
      </c>
      <c r="C10980" t="str">
        <f>"27"</f>
        <v>27</v>
      </c>
      <c r="D10980" t="str">
        <f>"Da Mind of Traxman"</f>
        <v>Da Mind of Traxman</v>
      </c>
    </row>
    <row r="10981" spans="1:4" x14ac:dyDescent="0.2">
      <c r="A10981" t="str">
        <f>"10980"</f>
        <v>10980</v>
      </c>
      <c r="B10981" t="str">
        <f>"0.59"</f>
        <v>0.59</v>
      </c>
      <c r="C10981" t="str">
        <f>"33"</f>
        <v>33</v>
      </c>
      <c r="D10981" t="str">
        <f>"The Flaming Lips and Heady Fwends"</f>
        <v>The Flaming Lips and Heady Fwends</v>
      </c>
    </row>
    <row r="10982" spans="1:4" x14ac:dyDescent="0.2">
      <c r="A10982" t="str">
        <f>"10981"</f>
        <v>10981</v>
      </c>
      <c r="B10982" t="str">
        <f>"1.12"</f>
        <v>1.12</v>
      </c>
      <c r="C10982" t="str">
        <f>"26"</f>
        <v>26</v>
      </c>
      <c r="D10982" t="str">
        <f>"Blackwater Park [Legacy Edition]"</f>
        <v>Blackwater Park [Legacy Edition]</v>
      </c>
    </row>
    <row r="10983" spans="1:4" x14ac:dyDescent="0.2">
      <c r="A10983" t="str">
        <f>"10982"</f>
        <v>10982</v>
      </c>
      <c r="B10983" t="str">
        <f>"0.79"</f>
        <v>0.79</v>
      </c>
      <c r="C10983" t="str">
        <f>"30"</f>
        <v>30</v>
      </c>
      <c r="D10983" t="str">
        <f>"Everything EP"</f>
        <v>Everything EP</v>
      </c>
    </row>
    <row r="10984" spans="1:4" x14ac:dyDescent="0.2">
      <c r="A10984" t="str">
        <f>"10983"</f>
        <v>10983</v>
      </c>
      <c r="B10984" t="str">
        <f>"0.98"</f>
        <v>0.98</v>
      </c>
      <c r="C10984" t="str">
        <f>"28"</f>
        <v>28</v>
      </c>
      <c r="D10984" t="s">
        <v>325</v>
      </c>
    </row>
    <row r="10985" spans="1:4" x14ac:dyDescent="0.2">
      <c r="A10985" t="str">
        <f>"10984"</f>
        <v>10984</v>
      </c>
      <c r="B10985" t="str">
        <f>"0.3"</f>
        <v>0.3</v>
      </c>
      <c r="C10985" t="str">
        <f>"35"</f>
        <v>35</v>
      </c>
      <c r="D10985" t="str">
        <f>"Diamond Rugs"</f>
        <v>Diamond Rugs</v>
      </c>
    </row>
    <row r="10986" spans="1:4" x14ac:dyDescent="0.2">
      <c r="A10986" t="str">
        <f>"10985"</f>
        <v>10985</v>
      </c>
      <c r="B10986" t="str">
        <f>"0.58"</f>
        <v>0.58</v>
      </c>
      <c r="C10986" t="str">
        <f>"35"</f>
        <v>35</v>
      </c>
      <c r="D10986" t="str">
        <f>"Essential Mix"</f>
        <v>Essential Mix</v>
      </c>
    </row>
    <row r="10987" spans="1:4" x14ac:dyDescent="0.2">
      <c r="A10987" t="str">
        <f>"10986"</f>
        <v>10986</v>
      </c>
      <c r="B10987" t="str">
        <f>"0.49"</f>
        <v>0.49</v>
      </c>
      <c r="C10987" t="str">
        <f>"30"</f>
        <v>30</v>
      </c>
      <c r="D10987" t="str">
        <f>"Savage Journey to the American Dream"</f>
        <v>Savage Journey to the American Dream</v>
      </c>
    </row>
    <row r="10988" spans="1:4" x14ac:dyDescent="0.2">
      <c r="A10988" t="str">
        <f>"10987"</f>
        <v>10987</v>
      </c>
      <c r="B10988" t="str">
        <f>"-0.21"</f>
        <v>-0.21</v>
      </c>
      <c r="C10988" t="str">
        <f>"30"</f>
        <v>30</v>
      </c>
      <c r="D10988" t="str">
        <f>"2 RMX"</f>
        <v>2 RMX</v>
      </c>
    </row>
    <row r="10989" spans="1:4" x14ac:dyDescent="0.2">
      <c r="A10989" t="str">
        <f>"10988"</f>
        <v>10988</v>
      </c>
      <c r="B10989" t="str">
        <f>"-0.34"</f>
        <v>-0.34</v>
      </c>
      <c r="C10989" t="str">
        <f>"36"</f>
        <v>36</v>
      </c>
      <c r="D10989" t="str">
        <f>"Netherwards"</f>
        <v>Netherwards</v>
      </c>
    </row>
    <row r="10990" spans="1:4" x14ac:dyDescent="0.2">
      <c r="A10990" t="str">
        <f>"10989"</f>
        <v>10989</v>
      </c>
      <c r="B10990" t="str">
        <f>"0.17"</f>
        <v>0.17</v>
      </c>
      <c r="C10990" t="str">
        <f>"27"</f>
        <v>27</v>
      </c>
      <c r="D10990" t="str">
        <f>"Woods / Amps for Christ"</f>
        <v>Woods / Amps for Christ</v>
      </c>
    </row>
    <row r="10991" spans="1:4" x14ac:dyDescent="0.2">
      <c r="A10991" t="str">
        <f>"10990"</f>
        <v>10990</v>
      </c>
      <c r="B10991" t="str">
        <f>"0.26"</f>
        <v>0.26</v>
      </c>
      <c r="C10991" t="str">
        <f>"31"</f>
        <v>31</v>
      </c>
      <c r="D10991" t="str">
        <f>"Icon Give Thank"</f>
        <v>Icon Give Thank</v>
      </c>
    </row>
    <row r="10992" spans="1:4" x14ac:dyDescent="0.2">
      <c r="A10992" t="str">
        <f>"10991"</f>
        <v>10991</v>
      </c>
      <c r="B10992" t="str">
        <f>"-0.18"</f>
        <v>-0.18</v>
      </c>
      <c r="C10992" t="str">
        <f>"27"</f>
        <v>27</v>
      </c>
      <c r="D10992" t="str">
        <f>"Out of the Game"</f>
        <v>Out of the Game</v>
      </c>
    </row>
    <row r="10993" spans="1:4" x14ac:dyDescent="0.2">
      <c r="A10993" t="str">
        <f>"10992"</f>
        <v>10992</v>
      </c>
      <c r="B10993" t="str">
        <f>"-0.1"</f>
        <v>-0.1</v>
      </c>
      <c r="C10993" t="str">
        <f>"57"</f>
        <v>57</v>
      </c>
      <c r="D10993" t="s">
        <v>326</v>
      </c>
    </row>
    <row r="10994" spans="1:4" x14ac:dyDescent="0.2">
      <c r="A10994" t="str">
        <f>"10993"</f>
        <v>10993</v>
      </c>
      <c r="B10994" t="str">
        <f>"0"</f>
        <v>0</v>
      </c>
      <c r="C10994" t="str">
        <f>"18"</f>
        <v>18</v>
      </c>
      <c r="D10994" t="str">
        <f>"Lissy Trullie"</f>
        <v>Lissy Trullie</v>
      </c>
    </row>
    <row r="10995" spans="1:4" x14ac:dyDescent="0.2">
      <c r="A10995" t="str">
        <f>"10994"</f>
        <v>10994</v>
      </c>
      <c r="B10995" t="str">
        <f>"-1.01"</f>
        <v>-1.01</v>
      </c>
      <c r="C10995" t="str">
        <f>"25"</f>
        <v>25</v>
      </c>
      <c r="D10995" t="str">
        <f>"Brass Tactics EP"</f>
        <v>Brass Tactics EP</v>
      </c>
    </row>
    <row r="10996" spans="1:4" x14ac:dyDescent="0.2">
      <c r="A10996" t="str">
        <f>"10995"</f>
        <v>10995</v>
      </c>
      <c r="B10996" t="str">
        <f>"0.21"</f>
        <v>0.21</v>
      </c>
      <c r="C10996" t="str">
        <f>"29"</f>
        <v>29</v>
      </c>
      <c r="D10996" t="str">
        <f>"Dross Glop"</f>
        <v>Dross Glop</v>
      </c>
    </row>
    <row r="10997" spans="1:4" x14ac:dyDescent="0.2">
      <c r="A10997" t="str">
        <f>"10996"</f>
        <v>10996</v>
      </c>
      <c r="B10997" t="str">
        <f>"0.88"</f>
        <v>0.88</v>
      </c>
      <c r="C10997" t="str">
        <f>"22"</f>
        <v>22</v>
      </c>
      <c r="D10997" t="str">
        <f>"Sees the Light"</f>
        <v>Sees the Light</v>
      </c>
    </row>
    <row r="10998" spans="1:4" x14ac:dyDescent="0.2">
      <c r="A10998" t="str">
        <f>"10997"</f>
        <v>10997</v>
      </c>
      <c r="B10998" t="str">
        <f>"0.46"</f>
        <v>0.46</v>
      </c>
      <c r="C10998" t="str">
        <f>"32"</f>
        <v>32</v>
      </c>
      <c r="D10998" t="str">
        <f>"Europe"</f>
        <v>Europe</v>
      </c>
    </row>
    <row r="10999" spans="1:4" x14ac:dyDescent="0.2">
      <c r="A10999" t="str">
        <f>"10998"</f>
        <v>10998</v>
      </c>
      <c r="B10999" t="str">
        <f>"0"</f>
        <v>0</v>
      </c>
      <c r="C10999" t="str">
        <f>"21"</f>
        <v>21</v>
      </c>
      <c r="D10999" t="str">
        <f>"History"</f>
        <v>History</v>
      </c>
    </row>
    <row r="11000" spans="1:4" x14ac:dyDescent="0.2">
      <c r="A11000" t="str">
        <f>"10999"</f>
        <v>10999</v>
      </c>
      <c r="B11000" t="str">
        <f>"0.2"</f>
        <v>0.2</v>
      </c>
      <c r="C11000" t="str">
        <f>"27"</f>
        <v>27</v>
      </c>
      <c r="D11000" t="str">
        <f>"In Between"</f>
        <v>In Between</v>
      </c>
    </row>
    <row r="11001" spans="1:4" x14ac:dyDescent="0.2">
      <c r="A11001" t="str">
        <f>"11000"</f>
        <v>11000</v>
      </c>
      <c r="B11001" t="str">
        <f>"-0.04"</f>
        <v>-0.04</v>
      </c>
      <c r="C11001" t="str">
        <f>"58"</f>
        <v>58</v>
      </c>
      <c r="D11001" t="str">
        <f>"Sweet Heart Sweet Light"</f>
        <v>Sweet Heart Sweet Light</v>
      </c>
    </row>
    <row r="11002" spans="1:4" x14ac:dyDescent="0.2">
      <c r="A11002" t="str">
        <f>"11001"</f>
        <v>11001</v>
      </c>
      <c r="B11002" t="str">
        <f>"-0.22"</f>
        <v>-0.22</v>
      </c>
      <c r="C11002" t="str">
        <f>"31"</f>
        <v>31</v>
      </c>
      <c r="D11002" t="str">
        <f>"With Siinai: Heartbreaking Bravery"</f>
        <v>With Siinai: Heartbreaking Bravery</v>
      </c>
    </row>
    <row r="11003" spans="1:4" x14ac:dyDescent="0.2">
      <c r="A11003" t="str">
        <f>"11002"</f>
        <v>11002</v>
      </c>
      <c r="B11003" t="str">
        <f>"0.15"</f>
        <v>0.15</v>
      </c>
      <c r="C11003" t="str">
        <f>"26"</f>
        <v>26</v>
      </c>
      <c r="D11003" t="str">
        <f>"Spring EP"</f>
        <v>Spring EP</v>
      </c>
    </row>
    <row r="11004" spans="1:4" x14ac:dyDescent="0.2">
      <c r="A11004" t="str">
        <f>"11003"</f>
        <v>11003</v>
      </c>
      <c r="B11004" t="str">
        <f>"-0.13"</f>
        <v>-0.13</v>
      </c>
      <c r="C11004" t="str">
        <f>"35"</f>
        <v>35</v>
      </c>
      <c r="D11004" t="s">
        <v>327</v>
      </c>
    </row>
    <row r="11005" spans="1:4" x14ac:dyDescent="0.2">
      <c r="A11005" t="str">
        <f>"11004"</f>
        <v>11004</v>
      </c>
      <c r="B11005" t="str">
        <f>"0.72"</f>
        <v>0.72</v>
      </c>
      <c r="C11005" t="str">
        <f>"23"</f>
        <v>23</v>
      </c>
      <c r="D11005" t="str">
        <f>"Plateau Vision"</f>
        <v>Plateau Vision</v>
      </c>
    </row>
    <row r="11006" spans="1:4" x14ac:dyDescent="0.2">
      <c r="A11006" t="str">
        <f>"11005"</f>
        <v>11005</v>
      </c>
      <c r="B11006" t="str">
        <f>"-0.79"</f>
        <v>-0.79</v>
      </c>
      <c r="C11006" t="str">
        <f>"27"</f>
        <v>27</v>
      </c>
      <c r="D11006" t="str">
        <f>"Mr. Impossible"</f>
        <v>Mr. Impossible</v>
      </c>
    </row>
    <row r="11007" spans="1:4" x14ac:dyDescent="0.2">
      <c r="A11007" t="str">
        <f>"11006"</f>
        <v>11006</v>
      </c>
      <c r="B11007" t="str">
        <f>"0.11"</f>
        <v>0.11</v>
      </c>
      <c r="C11007" t="str">
        <f>"18"</f>
        <v>18</v>
      </c>
      <c r="D11007" t="str">
        <f>"Ruin 3"</f>
        <v>Ruin 3</v>
      </c>
    </row>
    <row r="11008" spans="1:4" x14ac:dyDescent="0.2">
      <c r="A11008" t="str">
        <f>"11007"</f>
        <v>11007</v>
      </c>
      <c r="B11008" t="str">
        <f>"0.4"</f>
        <v>0.4</v>
      </c>
      <c r="C11008" t="str">
        <f>"30"</f>
        <v>30</v>
      </c>
      <c r="D11008" t="str">
        <f>"Violet Replacement"</f>
        <v>Violet Replacement</v>
      </c>
    </row>
    <row r="11009" spans="1:4" x14ac:dyDescent="0.2">
      <c r="A11009" t="str">
        <f>"11008"</f>
        <v>11008</v>
      </c>
      <c r="B11009" t="str">
        <f>"0.31"</f>
        <v>0.31</v>
      </c>
      <c r="C11009" t="str">
        <f>"28"</f>
        <v>28</v>
      </c>
      <c r="D11009" t="str">
        <f>"Armor On EP"</f>
        <v>Armor On EP</v>
      </c>
    </row>
    <row r="11010" spans="1:4" x14ac:dyDescent="0.2">
      <c r="A11010" t="str">
        <f>"11009"</f>
        <v>11009</v>
      </c>
      <c r="B11010" t="str">
        <f>"0.89"</f>
        <v>0.89</v>
      </c>
      <c r="C11010" t="str">
        <f>"31"</f>
        <v>31</v>
      </c>
      <c r="D11010" t="str">
        <f>"120 Days II"</f>
        <v>120 Days II</v>
      </c>
    </row>
    <row r="11011" spans="1:4" x14ac:dyDescent="0.2">
      <c r="A11011" t="str">
        <f>"11010"</f>
        <v>11010</v>
      </c>
      <c r="B11011" t="str">
        <f>"-0.06"</f>
        <v>-0.06</v>
      </c>
      <c r="C11011" t="str">
        <f>"39"</f>
        <v>39</v>
      </c>
      <c r="D11011" t="str">
        <f>"MTV Unplugged"</f>
        <v>MTV Unplugged</v>
      </c>
    </row>
    <row r="11012" spans="1:4" x14ac:dyDescent="0.2">
      <c r="A11012" t="str">
        <f>"11011"</f>
        <v>11011</v>
      </c>
      <c r="B11012" t="str">
        <f>"-0.33"</f>
        <v>-0.33</v>
      </c>
      <c r="C11012" t="str">
        <f>"21"</f>
        <v>21</v>
      </c>
      <c r="D11012" t="str">
        <f>"Back From the Dead"</f>
        <v>Back From the Dead</v>
      </c>
    </row>
    <row r="11013" spans="1:4" x14ac:dyDescent="0.2">
      <c r="A11013" t="str">
        <f>"11012"</f>
        <v>11012</v>
      </c>
      <c r="B11013" t="str">
        <f>"0.83"</f>
        <v>0.83</v>
      </c>
      <c r="C11013" t="str">
        <f>"21"</f>
        <v>21</v>
      </c>
      <c r="D11013" t="str">
        <f>"Accelerando"</f>
        <v>Accelerando</v>
      </c>
    </row>
    <row r="11014" spans="1:4" x14ac:dyDescent="0.2">
      <c r="A11014" t="str">
        <f>"11013"</f>
        <v>11013</v>
      </c>
      <c r="B11014" t="str">
        <f>"-0.13"</f>
        <v>-0.13</v>
      </c>
      <c r="C11014" t="str">
        <f>"41"</f>
        <v>41</v>
      </c>
      <c r="D11014" t="str">
        <f>"Monnos"</f>
        <v>Monnos</v>
      </c>
    </row>
    <row r="11015" spans="1:4" x14ac:dyDescent="0.2">
      <c r="A11015" t="str">
        <f>"11014"</f>
        <v>11014</v>
      </c>
      <c r="B11015" t="str">
        <f>"-0.23"</f>
        <v>-0.23</v>
      </c>
      <c r="C11015" t="str">
        <f>"23"</f>
        <v>23</v>
      </c>
      <c r="D11015" t="str">
        <f>"Time Capsules II"</f>
        <v>Time Capsules II</v>
      </c>
    </row>
    <row r="11016" spans="1:4" x14ac:dyDescent="0.2">
      <c r="A11016" t="str">
        <f>"11015"</f>
        <v>11015</v>
      </c>
      <c r="B11016" t="str">
        <f>"-0.09"</f>
        <v>-0.09</v>
      </c>
      <c r="C11016" t="str">
        <f>"37"</f>
        <v>37</v>
      </c>
      <c r="D11016" t="str">
        <f>"Quakers"</f>
        <v>Quakers</v>
      </c>
    </row>
    <row r="11017" spans="1:4" x14ac:dyDescent="0.2">
      <c r="A11017" t="str">
        <f>"11016"</f>
        <v>11016</v>
      </c>
      <c r="B11017" t="str">
        <f>"-0.06"</f>
        <v>-0.06</v>
      </c>
      <c r="C11017" t="str">
        <f>"25"</f>
        <v>25</v>
      </c>
      <c r="D11017" t="str">
        <f>"Split Cranium"</f>
        <v>Split Cranium</v>
      </c>
    </row>
    <row r="11018" spans="1:4" x14ac:dyDescent="0.2">
      <c r="A11018" t="str">
        <f>"11017"</f>
        <v>11017</v>
      </c>
      <c r="B11018" t="str">
        <f>"0.13"</f>
        <v>0.13</v>
      </c>
      <c r="C11018" t="str">
        <f>"37"</f>
        <v>37</v>
      </c>
      <c r="D11018" t="str">
        <f>"The Lost Entrance of the Just"</f>
        <v>The Lost Entrance of the Just</v>
      </c>
    </row>
    <row r="11019" spans="1:4" x14ac:dyDescent="0.2">
      <c r="A11019" t="str">
        <f>"11018"</f>
        <v>11018</v>
      </c>
      <c r="B11019" t="str">
        <f>"-0.88"</f>
        <v>-0.88</v>
      </c>
      <c r="C11019" t="str">
        <f>"30"</f>
        <v>30</v>
      </c>
      <c r="D11019" t="str">
        <f>"Live 1976"</f>
        <v>Live 1976</v>
      </c>
    </row>
    <row r="11020" spans="1:4" x14ac:dyDescent="0.2">
      <c r="A11020" t="str">
        <f>"11019"</f>
        <v>11019</v>
      </c>
      <c r="B11020" t="str">
        <f>"-0.73"</f>
        <v>-0.73</v>
      </c>
      <c r="C11020" t="str">
        <f>"36"</f>
        <v>36</v>
      </c>
      <c r="D11020" t="str">
        <f>"No1 2 Look Up 2"</f>
        <v>No1 2 Look Up 2</v>
      </c>
    </row>
    <row r="11021" spans="1:4" x14ac:dyDescent="0.2">
      <c r="A11021" t="str">
        <f>"11020"</f>
        <v>11020</v>
      </c>
      <c r="B11021" t="str">
        <f>"-0.04"</f>
        <v>-0.04</v>
      </c>
      <c r="C11021" t="str">
        <f>"34"</f>
        <v>34</v>
      </c>
      <c r="D11021" t="str">
        <f>"A Wasteland Companion"</f>
        <v>A Wasteland Companion</v>
      </c>
    </row>
    <row r="11022" spans="1:4" x14ac:dyDescent="0.2">
      <c r="A11022" t="str">
        <f>"11021"</f>
        <v>11021</v>
      </c>
      <c r="B11022" t="str">
        <f>"-0.43"</f>
        <v>-0.43</v>
      </c>
      <c r="C11022" t="str">
        <f>"29"</f>
        <v>29</v>
      </c>
      <c r="D11022" t="str">
        <f>"Let the People Speak"</f>
        <v>Let the People Speak</v>
      </c>
    </row>
    <row r="11023" spans="1:4" x14ac:dyDescent="0.2">
      <c r="A11023" t="str">
        <f>"11022"</f>
        <v>11022</v>
      </c>
      <c r="B11023" t="str">
        <f>"0.24"</f>
        <v>0.24</v>
      </c>
      <c r="C11023" t="str">
        <f>"31"</f>
        <v>31</v>
      </c>
      <c r="D11023" t="str">
        <f>"Nightmare on E Street"</f>
        <v>Nightmare on E Street</v>
      </c>
    </row>
    <row r="11024" spans="1:4" x14ac:dyDescent="0.2">
      <c r="A11024" t="str">
        <f>"11023"</f>
        <v>11023</v>
      </c>
      <c r="B11024" t="str">
        <f>"0.26"</f>
        <v>0.26</v>
      </c>
      <c r="C11024" t="str">
        <f>"17"</f>
        <v>17</v>
      </c>
      <c r="D11024" t="str">
        <f>"Strange Grey Days"</f>
        <v>Strange Grey Days</v>
      </c>
    </row>
    <row r="11025" spans="1:4" x14ac:dyDescent="0.2">
      <c r="A11025" t="str">
        <f>"11024"</f>
        <v>11024</v>
      </c>
      <c r="B11025" t="str">
        <f>"-0.34"</f>
        <v>-0.34</v>
      </c>
      <c r="C11025" t="str">
        <f>"35"</f>
        <v>35</v>
      </c>
      <c r="D11025" t="str">
        <f>"Rock and Roll Night Club EP"</f>
        <v>Rock and Roll Night Club EP</v>
      </c>
    </row>
    <row r="11026" spans="1:4" x14ac:dyDescent="0.2">
      <c r="A11026" t="str">
        <f>"11025"</f>
        <v>11025</v>
      </c>
      <c r="B11026" t="str">
        <f>"-0.6"</f>
        <v>-0.6</v>
      </c>
      <c r="C11026" t="str">
        <f>"31"</f>
        <v>31</v>
      </c>
      <c r="D11026" t="str">
        <f>"Boys &amp; Girls"</f>
        <v>Boys &amp; Girls</v>
      </c>
    </row>
    <row r="11027" spans="1:4" x14ac:dyDescent="0.2">
      <c r="A11027" t="str">
        <f>"11026"</f>
        <v>11026</v>
      </c>
      <c r="B11027" t="str">
        <f>"0.51"</f>
        <v>0.51</v>
      </c>
      <c r="C11027" t="str">
        <f>"27"</f>
        <v>27</v>
      </c>
      <c r="D11027" t="str">
        <f>"Our Love Is Hurting Us EP"</f>
        <v>Our Love Is Hurting Us EP</v>
      </c>
    </row>
    <row r="11028" spans="1:4" x14ac:dyDescent="0.2">
      <c r="A11028" t="str">
        <f>"11027"</f>
        <v>11027</v>
      </c>
      <c r="B11028" t="str">
        <f>"1.33"</f>
        <v>1.33</v>
      </c>
      <c r="C11028" t="str">
        <f>"37"</f>
        <v>37</v>
      </c>
      <c r="D11028" t="s">
        <v>328</v>
      </c>
    </row>
    <row r="11029" spans="1:4" x14ac:dyDescent="0.2">
      <c r="A11029" t="str">
        <f>"11028"</f>
        <v>11028</v>
      </c>
      <c r="B11029" t="str">
        <f>"-0.52"</f>
        <v>-0.52</v>
      </c>
      <c r="C11029" t="str">
        <f>"37"</f>
        <v>37</v>
      </c>
      <c r="D11029" t="str">
        <f>"Dusk | Subside"</f>
        <v>Dusk | Subside</v>
      </c>
    </row>
    <row r="11030" spans="1:4" x14ac:dyDescent="0.2">
      <c r="A11030" t="str">
        <f>"11029"</f>
        <v>11029</v>
      </c>
      <c r="B11030" t="str">
        <f>"-0.02"</f>
        <v>-0.02</v>
      </c>
      <c r="C11030" t="str">
        <f>"22"</f>
        <v>22</v>
      </c>
      <c r="D11030" t="str">
        <f>"Much Ado About EP"</f>
        <v>Much Ado About EP</v>
      </c>
    </row>
    <row r="11031" spans="1:4" x14ac:dyDescent="0.2">
      <c r="A11031" t="str">
        <f>"11030"</f>
        <v>11030</v>
      </c>
      <c r="B11031" t="str">
        <f>"-0.66"</f>
        <v>-0.66</v>
      </c>
      <c r="C11031" t="str">
        <f>"55"</f>
        <v>55</v>
      </c>
      <c r="D11031" t="str">
        <f>"Pink Friday: Roman Reloaded"</f>
        <v>Pink Friday: Roman Reloaded</v>
      </c>
    </row>
    <row r="11032" spans="1:4" x14ac:dyDescent="0.2">
      <c r="A11032" t="str">
        <f>"11031"</f>
        <v>11031</v>
      </c>
      <c r="B11032" t="str">
        <f>"-0.15"</f>
        <v>-0.15</v>
      </c>
      <c r="C11032" t="str">
        <f>"36"</f>
        <v>36</v>
      </c>
      <c r="D11032" t="str">
        <f>"De Vermis Mysteriis"</f>
        <v>De Vermis Mysteriis</v>
      </c>
    </row>
    <row r="11033" spans="1:4" x14ac:dyDescent="0.2">
      <c r="A11033" t="str">
        <f>"11032"</f>
        <v>11032</v>
      </c>
      <c r="B11033" t="str">
        <f>"-0.37"</f>
        <v>-0.37</v>
      </c>
      <c r="C11033" t="str">
        <f>"38"</f>
        <v>38</v>
      </c>
      <c r="D11033" t="str">
        <f>"Songs"</f>
        <v>Songs</v>
      </c>
    </row>
    <row r="11034" spans="1:4" x14ac:dyDescent="0.2">
      <c r="A11034" t="str">
        <f>"11033"</f>
        <v>11033</v>
      </c>
      <c r="B11034" t="str">
        <f>"-0.96"</f>
        <v>-0.96</v>
      </c>
      <c r="C11034" t="str">
        <f>"22"</f>
        <v>22</v>
      </c>
      <c r="D11034" t="str">
        <f>"An Letah"</f>
        <v>An Letah</v>
      </c>
    </row>
    <row r="11035" spans="1:4" x14ac:dyDescent="0.2">
      <c r="A11035" t="str">
        <f>"11034"</f>
        <v>11034</v>
      </c>
      <c r="B11035" t="str">
        <f>"-0.47"</f>
        <v>-0.47</v>
      </c>
      <c r="C11035" t="str">
        <f>"29"</f>
        <v>29</v>
      </c>
      <c r="D11035" t="str">
        <f>"Transistor Rhythm"</f>
        <v>Transistor Rhythm</v>
      </c>
    </row>
    <row r="11036" spans="1:4" x14ac:dyDescent="0.2">
      <c r="A11036" t="str">
        <f>"11035"</f>
        <v>11035</v>
      </c>
      <c r="B11036" t="str">
        <f>"-0.57"</f>
        <v>-0.57</v>
      </c>
      <c r="C11036" t="str">
        <f>"19"</f>
        <v>19</v>
      </c>
      <c r="D11036" t="str">
        <f>"A+E"</f>
        <v>A+E</v>
      </c>
    </row>
    <row r="11037" spans="1:4" x14ac:dyDescent="0.2">
      <c r="A11037" t="str">
        <f>"11036"</f>
        <v>11036</v>
      </c>
      <c r="B11037" t="str">
        <f>"0.22"</f>
        <v>0.22</v>
      </c>
      <c r="C11037" t="str">
        <f>"32"</f>
        <v>32</v>
      </c>
      <c r="D11037" t="s">
        <v>329</v>
      </c>
    </row>
    <row r="11038" spans="1:4" x14ac:dyDescent="0.2">
      <c r="A11038" t="str">
        <f>"11037"</f>
        <v>11037</v>
      </c>
      <c r="B11038" t="str">
        <f>"-0.49"</f>
        <v>-0.49</v>
      </c>
      <c r="C11038" t="str">
        <f>"33"</f>
        <v>33</v>
      </c>
      <c r="D11038" t="str">
        <f>"Iradelphic"</f>
        <v>Iradelphic</v>
      </c>
    </row>
    <row r="11039" spans="1:4" x14ac:dyDescent="0.2">
      <c r="A11039" t="str">
        <f>"11038"</f>
        <v>11038</v>
      </c>
      <c r="B11039" t="str">
        <f>"0.9"</f>
        <v>0.9</v>
      </c>
      <c r="C11039" t="str">
        <f>"25"</f>
        <v>25</v>
      </c>
      <c r="D11039" t="str">
        <f>"Vattnet Viskar"</f>
        <v>Vattnet Viskar</v>
      </c>
    </row>
    <row r="11040" spans="1:4" x14ac:dyDescent="0.2">
      <c r="A11040" t="str">
        <f>"11039"</f>
        <v>11039</v>
      </c>
      <c r="B11040" t="str">
        <f>"-0.16"</f>
        <v>-0.16</v>
      </c>
      <c r="C11040" t="str">
        <f>"25"</f>
        <v>25</v>
      </c>
      <c r="D11040" t="str">
        <f>"I Don't Want to Die"</f>
        <v>I Don't Want to Die</v>
      </c>
    </row>
    <row r="11041" spans="1:4" x14ac:dyDescent="0.2">
      <c r="A11041" t="str">
        <f>"11040"</f>
        <v>11040</v>
      </c>
      <c r="B11041" t="str">
        <f>"0.55"</f>
        <v>0.55</v>
      </c>
      <c r="C11041" t="str">
        <f>"31"</f>
        <v>31</v>
      </c>
      <c r="D11041" t="str">
        <f>"Wonky"</f>
        <v>Wonky</v>
      </c>
    </row>
    <row r="11042" spans="1:4" x14ac:dyDescent="0.2">
      <c r="A11042" t="str">
        <f>"11041"</f>
        <v>11041</v>
      </c>
      <c r="B11042" t="str">
        <f>"0.53"</f>
        <v>0.53</v>
      </c>
      <c r="C11042" t="str">
        <f>"45"</f>
        <v>45</v>
      </c>
      <c r="D11042" t="str">
        <f>"lowFLOWs: The Columbia Anthology ('91-'93)"</f>
        <v>lowFLOWs: The Columbia Anthology ('91-'93)</v>
      </c>
    </row>
    <row r="11043" spans="1:4" x14ac:dyDescent="0.2">
      <c r="A11043" t="str">
        <f>"11042"</f>
        <v>11042</v>
      </c>
      <c r="B11043" t="str">
        <f>"0.18"</f>
        <v>0.18</v>
      </c>
      <c r="C11043" t="str">
        <f>"32"</f>
        <v>32</v>
      </c>
      <c r="D11043" t="str">
        <f>"Young Man in America"</f>
        <v>Young Man in America</v>
      </c>
    </row>
    <row r="11044" spans="1:4" x14ac:dyDescent="0.2">
      <c r="A11044" t="str">
        <f>"11043"</f>
        <v>11043</v>
      </c>
      <c r="B11044" t="str">
        <f>"-0.25"</f>
        <v>-0.25</v>
      </c>
      <c r="C11044" t="str">
        <f>"25"</f>
        <v>25</v>
      </c>
      <c r="D11044" t="str">
        <f>"New Wild Everywhere"</f>
        <v>New Wild Everywhere</v>
      </c>
    </row>
    <row r="11045" spans="1:4" x14ac:dyDescent="0.2">
      <c r="A11045" t="str">
        <f>"11044"</f>
        <v>11044</v>
      </c>
      <c r="B11045" t="str">
        <f>"-1.13"</f>
        <v>-1.13</v>
      </c>
      <c r="C11045" t="str">
        <f>"40"</f>
        <v>40</v>
      </c>
      <c r="D11045" t="str">
        <f>"Other People’s Problems"</f>
        <v>Other People’s Problems</v>
      </c>
    </row>
    <row r="11046" spans="1:4" x14ac:dyDescent="0.2">
      <c r="A11046" t="str">
        <f>"11045"</f>
        <v>11045</v>
      </c>
      <c r="B11046" t="str">
        <f>"0.6"</f>
        <v>0.6</v>
      </c>
      <c r="C11046" t="str">
        <f>"43"</f>
        <v>43</v>
      </c>
      <c r="D11046" t="str">
        <f>"Kill for Love"</f>
        <v>Kill for Love</v>
      </c>
    </row>
    <row r="11047" spans="1:4" x14ac:dyDescent="0.2">
      <c r="A11047" t="str">
        <f>"11046"</f>
        <v>11046</v>
      </c>
      <c r="B11047" t="str">
        <f>"1.32"</f>
        <v>1.32</v>
      </c>
      <c r="C11047" t="str">
        <f>"33"</f>
        <v>33</v>
      </c>
      <c r="D11047" t="str">
        <f>"Year Zero OST"</f>
        <v>Year Zero OST</v>
      </c>
    </row>
    <row r="11048" spans="1:4" x14ac:dyDescent="0.2">
      <c r="A11048" t="str">
        <f>"11047"</f>
        <v>11047</v>
      </c>
      <c r="B11048" t="str">
        <f>"-0.08"</f>
        <v>-0.08</v>
      </c>
      <c r="C11048" t="str">
        <f>"37"</f>
        <v>37</v>
      </c>
      <c r="D11048" t="str">
        <f>"Mouseman Cloud"</f>
        <v>Mouseman Cloud</v>
      </c>
    </row>
    <row r="11049" spans="1:4" x14ac:dyDescent="0.2">
      <c r="A11049" t="str">
        <f>"11048"</f>
        <v>11048</v>
      </c>
      <c r="B11049" t="str">
        <f>"0.37"</f>
        <v>0.37</v>
      </c>
      <c r="C11049" t="str">
        <f>"18"</f>
        <v>18</v>
      </c>
      <c r="D11049" t="str">
        <f>"H.N.I.C. 3"</f>
        <v>H.N.I.C. 3</v>
      </c>
    </row>
    <row r="11050" spans="1:4" x14ac:dyDescent="0.2">
      <c r="A11050" t="str">
        <f>"11049"</f>
        <v>11049</v>
      </c>
      <c r="B11050" t="str">
        <f>"-0.29"</f>
        <v>-0.29</v>
      </c>
      <c r="C11050" t="str">
        <f>"25"</f>
        <v>25</v>
      </c>
      <c r="D11050" t="str">
        <f>"Locked Down"</f>
        <v>Locked Down</v>
      </c>
    </row>
    <row r="11051" spans="1:4" x14ac:dyDescent="0.2">
      <c r="A11051" t="str">
        <f>"11050"</f>
        <v>11050</v>
      </c>
      <c r="B11051" t="str">
        <f>"0.82"</f>
        <v>0.82</v>
      </c>
      <c r="C11051" t="str">
        <f>"28"</f>
        <v>28</v>
      </c>
      <c r="D11051" t="str">
        <f>"Spooky Action at a Distance"</f>
        <v>Spooky Action at a Distance</v>
      </c>
    </row>
    <row r="11052" spans="1:4" x14ac:dyDescent="0.2">
      <c r="A11052" t="str">
        <f>"11051"</f>
        <v>11051</v>
      </c>
      <c r="B11052" t="str">
        <f>"0.22"</f>
        <v>0.22</v>
      </c>
      <c r="C11052" t="str">
        <f>"43"</f>
        <v>43</v>
      </c>
      <c r="D11052" t="str">
        <f>"Acousmatic Sorcery"</f>
        <v>Acousmatic Sorcery</v>
      </c>
    </row>
    <row r="11053" spans="1:4" x14ac:dyDescent="0.2">
      <c r="A11053" t="str">
        <f>"11052"</f>
        <v>11052</v>
      </c>
      <c r="B11053" t="str">
        <f>"0.23"</f>
        <v>0.23</v>
      </c>
      <c r="C11053" t="str">
        <f>"37"</f>
        <v>37</v>
      </c>
      <c r="D11053" t="str">
        <f>"Both Lights"</f>
        <v>Both Lights</v>
      </c>
    </row>
    <row r="11054" spans="1:4" x14ac:dyDescent="0.2">
      <c r="A11054" t="str">
        <f>"11053"</f>
        <v>11053</v>
      </c>
      <c r="B11054" t="str">
        <f>"0.56"</f>
        <v>0.56</v>
      </c>
      <c r="C11054" t="str">
        <f>"13"</f>
        <v>13</v>
      </c>
      <c r="D11054" t="str">
        <f>"Lightships"</f>
        <v>Lightships</v>
      </c>
    </row>
    <row r="11055" spans="1:4" x14ac:dyDescent="0.2">
      <c r="A11055" t="str">
        <f>"11054"</f>
        <v>11054</v>
      </c>
      <c r="B11055" t="str">
        <f>"1.01"</f>
        <v>1.01</v>
      </c>
      <c r="C11055" t="str">
        <f>"25"</f>
        <v>25</v>
      </c>
      <c r="D11055" t="str">
        <f>"Milo Goes to Compton"</f>
        <v>Milo Goes to Compton</v>
      </c>
    </row>
    <row r="11056" spans="1:4" x14ac:dyDescent="0.2">
      <c r="A11056" t="str">
        <f>"11055"</f>
        <v>11055</v>
      </c>
      <c r="B11056" t="str">
        <f>"0.76"</f>
        <v>0.76</v>
      </c>
      <c r="C11056" t="str">
        <f>"52"</f>
        <v>52</v>
      </c>
      <c r="D11056" t="str">
        <f>"Zammuto"</f>
        <v>Zammuto</v>
      </c>
    </row>
    <row r="11057" spans="1:4" x14ac:dyDescent="0.2">
      <c r="A11057" t="str">
        <f>"11056"</f>
        <v>11056</v>
      </c>
      <c r="B11057" t="str">
        <f>"0.14"</f>
        <v>0.14</v>
      </c>
      <c r="C11057" t="str">
        <f>"25"</f>
        <v>25</v>
      </c>
      <c r="D11057" t="str">
        <f>"Hundred Waters"</f>
        <v>Hundred Waters</v>
      </c>
    </row>
    <row r="11058" spans="1:4" x14ac:dyDescent="0.2">
      <c r="A11058" t="str">
        <f>"11057"</f>
        <v>11057</v>
      </c>
      <c r="B11058" t="str">
        <f>"-0.02"</f>
        <v>-0.02</v>
      </c>
      <c r="C11058" t="str">
        <f>"30"</f>
        <v>30</v>
      </c>
      <c r="D11058" t="str">
        <f>"Happy To You"</f>
        <v>Happy To You</v>
      </c>
    </row>
    <row r="11059" spans="1:4" x14ac:dyDescent="0.2">
      <c r="A11059" t="str">
        <f>"11058"</f>
        <v>11058</v>
      </c>
      <c r="B11059" t="str">
        <f>"0.15"</f>
        <v>0.15</v>
      </c>
      <c r="C11059" t="str">
        <f>"35"</f>
        <v>35</v>
      </c>
      <c r="D11059" t="str">
        <f>"Come the Thaw"</f>
        <v>Come the Thaw</v>
      </c>
    </row>
    <row r="11060" spans="1:4" x14ac:dyDescent="0.2">
      <c r="A11060" t="str">
        <f>"11059"</f>
        <v>11059</v>
      </c>
      <c r="B11060" t="str">
        <f>"-0.29"</f>
        <v>-0.29</v>
      </c>
      <c r="C11060" t="str">
        <f>"31"</f>
        <v>31</v>
      </c>
      <c r="D11060" t="str">
        <f>"Grief Pedigree"</f>
        <v>Grief Pedigree</v>
      </c>
    </row>
    <row r="11061" spans="1:4" x14ac:dyDescent="0.2">
      <c r="A11061" t="str">
        <f>"11060"</f>
        <v>11060</v>
      </c>
      <c r="B11061" t="str">
        <f>"0.79"</f>
        <v>0.79</v>
      </c>
      <c r="C11061" t="str">
        <f>"23"</f>
        <v>23</v>
      </c>
      <c r="D11061" t="s">
        <v>330</v>
      </c>
    </row>
    <row r="11062" spans="1:4" x14ac:dyDescent="0.2">
      <c r="A11062" t="str">
        <f>"11061"</f>
        <v>11061</v>
      </c>
      <c r="B11062" t="str">
        <f>"-0.39"</f>
        <v>-0.39</v>
      </c>
      <c r="C11062" t="str">
        <f>"38"</f>
        <v>38</v>
      </c>
      <c r="D11062" t="str">
        <f>"Taylor Allderdice"</f>
        <v>Taylor Allderdice</v>
      </c>
    </row>
    <row r="11063" spans="1:4" x14ac:dyDescent="0.2">
      <c r="A11063" t="str">
        <f>"11062"</f>
        <v>11062</v>
      </c>
      <c r="B11063" t="str">
        <f>"-0.05"</f>
        <v>-0.05</v>
      </c>
      <c r="C11063" t="str">
        <f>"30"</f>
        <v>30</v>
      </c>
      <c r="D11063" t="str">
        <f>"awE naturalE"</f>
        <v>awE naturalE</v>
      </c>
    </row>
    <row r="11064" spans="1:4" x14ac:dyDescent="0.2">
      <c r="A11064" t="str">
        <f>"11063"</f>
        <v>11063</v>
      </c>
      <c r="B11064" t="str">
        <f>"0.56"</f>
        <v>0.56</v>
      </c>
      <c r="C11064" t="str">
        <f>"15"</f>
        <v>15</v>
      </c>
      <c r="D11064" t="str">
        <f>"Choreography"</f>
        <v>Choreography</v>
      </c>
    </row>
    <row r="11065" spans="1:4" x14ac:dyDescent="0.2">
      <c r="A11065" t="str">
        <f>"11064"</f>
        <v>11064</v>
      </c>
      <c r="B11065" t="str">
        <f>"-0.03"</f>
        <v>-0.03</v>
      </c>
      <c r="C11065" t="str">
        <f>"43"</f>
        <v>43</v>
      </c>
      <c r="D11065" t="str">
        <f>"Ariettes Oubliées..."</f>
        <v>Ariettes Oubliées...</v>
      </c>
    </row>
    <row r="11066" spans="1:4" x14ac:dyDescent="0.2">
      <c r="A11066" t="str">
        <f>"11065"</f>
        <v>11065</v>
      </c>
      <c r="B11066" t="str">
        <f>"-0.04"</f>
        <v>-0.04</v>
      </c>
      <c r="C11066" t="str">
        <f>"44"</f>
        <v>44</v>
      </c>
      <c r="D11066" t="str">
        <f>"Viva Hate"</f>
        <v>Viva Hate</v>
      </c>
    </row>
    <row r="11067" spans="1:4" x14ac:dyDescent="0.2">
      <c r="A11067" t="str">
        <f>"11066"</f>
        <v>11066</v>
      </c>
      <c r="B11067" t="str">
        <f>"0.95"</f>
        <v>0.95</v>
      </c>
      <c r="C11067" t="str">
        <f>"27"</f>
        <v>27</v>
      </c>
      <c r="D11067" t="str">
        <f>"Seeds"</f>
        <v>Seeds</v>
      </c>
    </row>
    <row r="11068" spans="1:4" x14ac:dyDescent="0.2">
      <c r="A11068" t="str">
        <f>"11067"</f>
        <v>11067</v>
      </c>
      <c r="B11068" t="str">
        <f>"0.29"</f>
        <v>0.29</v>
      </c>
      <c r="C11068" t="str">
        <f>"38"</f>
        <v>38</v>
      </c>
      <c r="D11068" t="str">
        <f>"Illusion EP"</f>
        <v>Illusion EP</v>
      </c>
    </row>
    <row r="11069" spans="1:4" x14ac:dyDescent="0.2">
      <c r="A11069" t="str">
        <f>"11068"</f>
        <v>11068</v>
      </c>
      <c r="B11069" t="str">
        <f>"-0.61"</f>
        <v>-0.61</v>
      </c>
      <c r="C11069" t="str">
        <f>"28"</f>
        <v>28</v>
      </c>
      <c r="D11069" t="str">
        <f>"Broda"</f>
        <v>Broda</v>
      </c>
    </row>
    <row r="11070" spans="1:4" x14ac:dyDescent="0.2">
      <c r="A11070" t="str">
        <f>"11069"</f>
        <v>11069</v>
      </c>
      <c r="B11070" t="str">
        <f>"-0.23"</f>
        <v>-0.23</v>
      </c>
      <c r="C11070" t="str">
        <f>"37"</f>
        <v>37</v>
      </c>
      <c r="D11070" t="str">
        <f>"Transverse"</f>
        <v>Transverse</v>
      </c>
    </row>
    <row r="11071" spans="1:4" x14ac:dyDescent="0.2">
      <c r="A11071" t="str">
        <f>"11070"</f>
        <v>11070</v>
      </c>
      <c r="B11071" t="str">
        <f>"0.41"</f>
        <v>0.41</v>
      </c>
      <c r="C11071" t="str">
        <f>"34"</f>
        <v>34</v>
      </c>
      <c r="D11071" t="str">
        <f>"Don't Think"</f>
        <v>Don't Think</v>
      </c>
    </row>
    <row r="11072" spans="1:4" x14ac:dyDescent="0.2">
      <c r="A11072" t="str">
        <f>"11071"</f>
        <v>11071</v>
      </c>
      <c r="B11072" t="str">
        <f>"1.41"</f>
        <v>1.41</v>
      </c>
      <c r="C11072" t="str">
        <f>"26"</f>
        <v>26</v>
      </c>
      <c r="D11072" t="str">
        <f>"Folila"</f>
        <v>Folila</v>
      </c>
    </row>
    <row r="11073" spans="1:4" x14ac:dyDescent="0.2">
      <c r="A11073" t="str">
        <f>"11072"</f>
        <v>11072</v>
      </c>
      <c r="B11073" t="str">
        <f>"-0.51"</f>
        <v>-0.51</v>
      </c>
      <c r="C11073" t="str">
        <f>"84"</f>
        <v>84</v>
      </c>
      <c r="D11073" t="str">
        <f>"Kenny Dennis EP"</f>
        <v>Kenny Dennis EP</v>
      </c>
    </row>
    <row r="11074" spans="1:4" x14ac:dyDescent="0.2">
      <c r="A11074" t="str">
        <f>"11073"</f>
        <v>11073</v>
      </c>
      <c r="B11074" t="str">
        <f>"0.33"</f>
        <v>0.33</v>
      </c>
      <c r="C11074" t="str">
        <f>"37"</f>
        <v>37</v>
      </c>
      <c r="D11074" t="str">
        <f>"The Revolution EP"</f>
        <v>The Revolution EP</v>
      </c>
    </row>
    <row r="11075" spans="1:4" x14ac:dyDescent="0.2">
      <c r="A11075" t="str">
        <f>"11074"</f>
        <v>11074</v>
      </c>
      <c r="B11075" t="str">
        <f>"-0.58"</f>
        <v>-0.58</v>
      </c>
      <c r="C11075" t="str">
        <f>"59"</f>
        <v>59</v>
      </c>
      <c r="D11075" t="s">
        <v>331</v>
      </c>
    </row>
    <row r="11076" spans="1:4" x14ac:dyDescent="0.2">
      <c r="A11076" t="str">
        <f>"11075"</f>
        <v>11075</v>
      </c>
      <c r="B11076" t="str">
        <f>"-0.41"</f>
        <v>-0.41</v>
      </c>
      <c r="C11076" t="str">
        <f>"31"</f>
        <v>31</v>
      </c>
      <c r="D11076" t="str">
        <f>"MDNA"</f>
        <v>MDNA</v>
      </c>
    </row>
    <row r="11077" spans="1:4" x14ac:dyDescent="0.2">
      <c r="A11077" t="str">
        <f>"11076"</f>
        <v>11076</v>
      </c>
      <c r="B11077" t="str">
        <f>"0.51"</f>
        <v>0.51</v>
      </c>
      <c r="C11077" t="str">
        <f>"38"</f>
        <v>38</v>
      </c>
      <c r="D11077" t="str">
        <f>"Mixed Emotions"</f>
        <v>Mixed Emotions</v>
      </c>
    </row>
    <row r="11078" spans="1:4" x14ac:dyDescent="0.2">
      <c r="A11078" t="str">
        <f>"11077"</f>
        <v>11077</v>
      </c>
      <c r="B11078" t="str">
        <f>"0.13"</f>
        <v>0.13</v>
      </c>
      <c r="C11078" t="str">
        <f>"24"</f>
        <v>24</v>
      </c>
      <c r="D11078" t="str">
        <f>"Sonik Kicks"</f>
        <v>Sonik Kicks</v>
      </c>
    </row>
    <row r="11079" spans="1:4" x14ac:dyDescent="0.2">
      <c r="A11079" t="str">
        <f>"11078"</f>
        <v>11078</v>
      </c>
      <c r="B11079" t="str">
        <f>"0.29"</f>
        <v>0.29</v>
      </c>
      <c r="C11079" t="str">
        <f>"30"</f>
        <v>30</v>
      </c>
      <c r="D11079" t="str">
        <f>"Earth"</f>
        <v>Earth</v>
      </c>
    </row>
    <row r="11080" spans="1:4" x14ac:dyDescent="0.2">
      <c r="A11080" t="str">
        <f>"11079"</f>
        <v>11079</v>
      </c>
      <c r="B11080" t="str">
        <f>"-0.39"</f>
        <v>-0.39</v>
      </c>
      <c r="C11080" t="str">
        <f>"39"</f>
        <v>39</v>
      </c>
      <c r="D11080" t="str">
        <f>"Mirel Wagner"</f>
        <v>Mirel Wagner</v>
      </c>
    </row>
    <row r="11081" spans="1:4" x14ac:dyDescent="0.2">
      <c r="A11081" t="str">
        <f>"11080"</f>
        <v>11080</v>
      </c>
      <c r="B11081" t="str">
        <f>"-0.59"</f>
        <v>-0.59</v>
      </c>
      <c r="C11081" t="str">
        <f>"50"</f>
        <v>50</v>
      </c>
      <c r="D11081" t="str">
        <f>"Blue Chips"</f>
        <v>Blue Chips</v>
      </c>
    </row>
    <row r="11082" spans="1:4" x14ac:dyDescent="0.2">
      <c r="A11082" t="str">
        <f>"11081"</f>
        <v>11081</v>
      </c>
      <c r="B11082" t="str">
        <f>"0.45"</f>
        <v>0.45</v>
      </c>
      <c r="C11082" t="str">
        <f>"28"</f>
        <v>28</v>
      </c>
      <c r="D11082" t="str">
        <f>"Beak &amp; Claw"</f>
        <v>Beak &amp; Claw</v>
      </c>
    </row>
    <row r="11083" spans="1:4" x14ac:dyDescent="0.2">
      <c r="A11083" t="str">
        <f>"11082"</f>
        <v>11082</v>
      </c>
      <c r="B11083" t="str">
        <f>"-0.04"</f>
        <v>-0.04</v>
      </c>
      <c r="C11083" t="str">
        <f>"25"</f>
        <v>25</v>
      </c>
      <c r="D11083" t="str">
        <f>"Voices From the Lake"</f>
        <v>Voices From the Lake</v>
      </c>
    </row>
    <row r="11084" spans="1:4" x14ac:dyDescent="0.2">
      <c r="A11084" t="str">
        <f>"11083"</f>
        <v>11083</v>
      </c>
      <c r="B11084" t="str">
        <f>"0.02"</f>
        <v>0.02</v>
      </c>
      <c r="C11084" t="str">
        <f>"29"</f>
        <v>29</v>
      </c>
      <c r="D11084" t="str">
        <f>"Blu Tops EP"</f>
        <v>Blu Tops EP</v>
      </c>
    </row>
    <row r="11085" spans="1:4" x14ac:dyDescent="0.2">
      <c r="A11085" t="str">
        <f>"11084"</f>
        <v>11084</v>
      </c>
      <c r="B11085" t="str">
        <f>"0.17"</f>
        <v>0.17</v>
      </c>
      <c r="C11085" t="str">
        <f>"34"</f>
        <v>34</v>
      </c>
      <c r="D11085" t="str">
        <f>"Queen of the Wave"</f>
        <v>Queen of the Wave</v>
      </c>
    </row>
    <row r="11086" spans="1:4" x14ac:dyDescent="0.2">
      <c r="A11086" t="str">
        <f>"11085"</f>
        <v>11085</v>
      </c>
      <c r="B11086" t="str">
        <f>"0.16"</f>
        <v>0.16</v>
      </c>
      <c r="C11086" t="str">
        <f>"36"</f>
        <v>36</v>
      </c>
      <c r="D11086" t="str">
        <f>"The OF Tape Vol. 2"</f>
        <v>The OF Tape Vol. 2</v>
      </c>
    </row>
    <row r="11087" spans="1:4" x14ac:dyDescent="0.2">
      <c r="A11087" t="str">
        <f>"11086"</f>
        <v>11086</v>
      </c>
      <c r="B11087" t="str">
        <f>"-0.23"</f>
        <v>-0.23</v>
      </c>
      <c r="C11087" t="str">
        <f>"37"</f>
        <v>37</v>
      </c>
      <c r="D11087" t="str">
        <f>"Foreign Body"</f>
        <v>Foreign Body</v>
      </c>
    </row>
    <row r="11088" spans="1:4" x14ac:dyDescent="0.2">
      <c r="A11088" t="str">
        <f>"11087"</f>
        <v>11087</v>
      </c>
      <c r="B11088" t="str">
        <f>"-0.61"</f>
        <v>-0.61</v>
      </c>
      <c r="C11088" t="str">
        <f>"28"</f>
        <v>28</v>
      </c>
      <c r="D11088" t="str">
        <f>"Imikuzushi"</f>
        <v>Imikuzushi</v>
      </c>
    </row>
    <row r="11089" spans="1:4" x14ac:dyDescent="0.2">
      <c r="A11089" t="str">
        <f>"11088"</f>
        <v>11088</v>
      </c>
      <c r="B11089" t="str">
        <f>"-0.3"</f>
        <v>-0.3</v>
      </c>
      <c r="C11089" t="str">
        <f>"34"</f>
        <v>34</v>
      </c>
      <c r="D11089" t="str">
        <f>"Ice Level"</f>
        <v>Ice Level</v>
      </c>
    </row>
    <row r="11090" spans="1:4" x14ac:dyDescent="0.2">
      <c r="A11090" t="str">
        <f>"11089"</f>
        <v>11089</v>
      </c>
      <c r="B11090" t="str">
        <f>"0.51"</f>
        <v>0.51</v>
      </c>
      <c r="C11090" t="str">
        <f>"27"</f>
        <v>27</v>
      </c>
      <c r="D11090" t="str">
        <f>"Rooms Filled With Light"</f>
        <v>Rooms Filled With Light</v>
      </c>
    </row>
    <row r="11091" spans="1:4" x14ac:dyDescent="0.2">
      <c r="A11091" t="str">
        <f>"11090"</f>
        <v>11090</v>
      </c>
      <c r="B11091" t="str">
        <f>"-0.24"</f>
        <v>-0.24</v>
      </c>
      <c r="C11091" t="str">
        <f>"41"</f>
        <v>41</v>
      </c>
      <c r="D11091" t="str">
        <f>"Between the Times and the Tides"</f>
        <v>Between the Times and the Tides</v>
      </c>
    </row>
    <row r="11092" spans="1:4" x14ac:dyDescent="0.2">
      <c r="A11092" t="str">
        <f>"11091"</f>
        <v>11091</v>
      </c>
      <c r="B11092" t="str">
        <f>"-0.48"</f>
        <v>-0.48</v>
      </c>
      <c r="C11092" t="str">
        <f>"70"</f>
        <v>70</v>
      </c>
      <c r="D11092" t="str">
        <f>"God's Father"</f>
        <v>God's Father</v>
      </c>
    </row>
    <row r="11093" spans="1:4" x14ac:dyDescent="0.2">
      <c r="A11093" t="str">
        <f>"11092"</f>
        <v>11092</v>
      </c>
      <c r="B11093" t="str">
        <f>"0.5"</f>
        <v>0.5</v>
      </c>
      <c r="C11093" t="str">
        <f>"23"</f>
        <v>23</v>
      </c>
      <c r="D11093" t="str">
        <f>"Give You the Ghost"</f>
        <v>Give You the Ghost</v>
      </c>
    </row>
    <row r="11094" spans="1:4" x14ac:dyDescent="0.2">
      <c r="A11094" t="str">
        <f>"11093"</f>
        <v>11093</v>
      </c>
      <c r="B11094" t="str">
        <f>"-0.19"</f>
        <v>-0.19</v>
      </c>
      <c r="C11094" t="str">
        <f>"41"</f>
        <v>41</v>
      </c>
      <c r="D11094" t="str">
        <f>"Leaving Atlanta"</f>
        <v>Leaving Atlanta</v>
      </c>
    </row>
    <row r="11095" spans="1:4" x14ac:dyDescent="0.2">
      <c r="A11095" t="str">
        <f>"11094"</f>
        <v>11094</v>
      </c>
      <c r="B11095" t="str">
        <f>"-0.84"</f>
        <v>-0.84</v>
      </c>
      <c r="C11095" t="str">
        <f>"23"</f>
        <v>23</v>
      </c>
      <c r="D11095" t="str">
        <f>"The Host"</f>
        <v>The Host</v>
      </c>
    </row>
    <row r="11096" spans="1:4" x14ac:dyDescent="0.2">
      <c r="A11096" t="str">
        <f>"11095"</f>
        <v>11095</v>
      </c>
      <c r="B11096" t="str">
        <f>"0.83"</f>
        <v>0.83</v>
      </c>
      <c r="C11096" t="str">
        <f>"35"</f>
        <v>35</v>
      </c>
      <c r="D11096" t="str">
        <f>"Silent Hour/Golden Mile EP"</f>
        <v>Silent Hour/Golden Mile EP</v>
      </c>
    </row>
    <row r="11097" spans="1:4" x14ac:dyDescent="0.2">
      <c r="A11097" t="str">
        <f>"11096"</f>
        <v>11096</v>
      </c>
      <c r="B11097" t="str">
        <f>"0.1"</f>
        <v>0.1</v>
      </c>
      <c r="C11097" t="str">
        <f>"19"</f>
        <v>19</v>
      </c>
      <c r="D11097" t="str">
        <f>"Lover Motion EP"</f>
        <v>Lover Motion EP</v>
      </c>
    </row>
    <row r="11098" spans="1:4" x14ac:dyDescent="0.2">
      <c r="A11098" t="str">
        <f>"11097"</f>
        <v>11097</v>
      </c>
      <c r="B11098" t="str">
        <f>"0.38"</f>
        <v>0.38</v>
      </c>
      <c r="C11098" t="str">
        <f>"27"</f>
        <v>27</v>
      </c>
      <c r="D11098" t="str">
        <f>"Canto Arquipélago"</f>
        <v>Canto Arquipélago</v>
      </c>
    </row>
    <row r="11099" spans="1:4" x14ac:dyDescent="0.2">
      <c r="A11099" t="str">
        <f>"11098"</f>
        <v>11098</v>
      </c>
      <c r="B11099" t="str">
        <f>"1.07"</f>
        <v>1.07</v>
      </c>
      <c r="C11099" t="str">
        <f>"28"</f>
        <v>28</v>
      </c>
      <c r="D11099" t="str">
        <f>"Yesterday Was Lived and Lost"</f>
        <v>Yesterday Was Lived and Lost</v>
      </c>
    </row>
    <row r="11100" spans="1:4" x14ac:dyDescent="0.2">
      <c r="A11100" t="str">
        <f>"11099"</f>
        <v>11099</v>
      </c>
      <c r="B11100" t="str">
        <f>"-0.85"</f>
        <v>-0.85</v>
      </c>
      <c r="C11100" t="str">
        <f>"19"</f>
        <v>19</v>
      </c>
      <c r="D11100" t="str">
        <f>"Pipe Dreams"</f>
        <v>Pipe Dreams</v>
      </c>
    </row>
    <row r="11101" spans="1:4" x14ac:dyDescent="0.2">
      <c r="A11101" t="str">
        <f>"11100"</f>
        <v>11100</v>
      </c>
      <c r="B11101" t="str">
        <f>"-0.2"</f>
        <v>-0.2</v>
      </c>
      <c r="C11101" t="str">
        <f>"47"</f>
        <v>47</v>
      </c>
      <c r="D11101" t="str">
        <f>"Port of Morrow"</f>
        <v>Port of Morrow</v>
      </c>
    </row>
    <row r="11102" spans="1:4" x14ac:dyDescent="0.2">
      <c r="A11102" t="str">
        <f>"11101"</f>
        <v>11101</v>
      </c>
      <c r="B11102" t="str">
        <f>"-0.23"</f>
        <v>-0.23</v>
      </c>
      <c r="C11102" t="str">
        <f>"39"</f>
        <v>39</v>
      </c>
      <c r="D11102" t="str">
        <f>"Wreck"</f>
        <v>Wreck</v>
      </c>
    </row>
    <row r="11103" spans="1:4" x14ac:dyDescent="0.2">
      <c r="A11103" t="str">
        <f>"11102"</f>
        <v>11102</v>
      </c>
      <c r="B11103" t="str">
        <f>"0"</f>
        <v>0</v>
      </c>
      <c r="C11103" t="str">
        <f>"30"</f>
        <v>30</v>
      </c>
      <c r="D11103" t="str">
        <f>"Valentina"</f>
        <v>Valentina</v>
      </c>
    </row>
    <row r="11104" spans="1:4" x14ac:dyDescent="0.2">
      <c r="A11104" t="str">
        <f>"11103"</f>
        <v>11103</v>
      </c>
      <c r="B11104" t="str">
        <f>"0.91"</f>
        <v>0.91</v>
      </c>
      <c r="C11104" t="str">
        <f>"21"</f>
        <v>21</v>
      </c>
      <c r="D11104" t="str">
        <f>"Decade"</f>
        <v>Decade</v>
      </c>
    </row>
    <row r="11105" spans="1:4" x14ac:dyDescent="0.2">
      <c r="A11105" t="str">
        <f>"11104"</f>
        <v>11104</v>
      </c>
      <c r="B11105" t="str">
        <f>"0.2"</f>
        <v>0.2</v>
      </c>
      <c r="C11105" t="str">
        <f>"24"</f>
        <v>24</v>
      </c>
      <c r="D11105" t="str">
        <f>"Trevor Jackson Presents Metal Dance: Industrial/Post-Punk/EBM Classics and Rarities 80 to 88"</f>
        <v>Trevor Jackson Presents Metal Dance: Industrial/Post-Punk/EBM Classics and Rarities 80 to 88</v>
      </c>
    </row>
    <row r="11106" spans="1:4" x14ac:dyDescent="0.2">
      <c r="A11106" t="str">
        <f>"11105"</f>
        <v>11105</v>
      </c>
      <c r="B11106" t="str">
        <f>"0.54"</f>
        <v>0.54</v>
      </c>
      <c r="C11106" t="str">
        <f>"57"</f>
        <v>57</v>
      </c>
      <c r="D11106" t="str">
        <f>"Weed Forestin'"</f>
        <v>Weed Forestin'</v>
      </c>
    </row>
    <row r="11107" spans="1:4" x14ac:dyDescent="0.2">
      <c r="A11107" t="str">
        <f>"11106"</f>
        <v>11106</v>
      </c>
      <c r="B11107" t="str">
        <f>"-1.91"</f>
        <v>-1.91</v>
      </c>
      <c r="C11107" t="str">
        <f>"32"</f>
        <v>32</v>
      </c>
      <c r="D11107" t="str">
        <f>"Bogota Rich: The Prequel"</f>
        <v>Bogota Rich: The Prequel</v>
      </c>
    </row>
    <row r="11108" spans="1:4" x14ac:dyDescent="0.2">
      <c r="A11108" t="str">
        <f>"11107"</f>
        <v>11107</v>
      </c>
      <c r="B11108" t="str">
        <f>"-0.22"</f>
        <v>-0.22</v>
      </c>
      <c r="C11108" t="str">
        <f>"49"</f>
        <v>49</v>
      </c>
      <c r="D11108" t="str">
        <f>"Eternal Turn of the Wheel"</f>
        <v>Eternal Turn of the Wheel</v>
      </c>
    </row>
    <row r="11109" spans="1:4" x14ac:dyDescent="0.2">
      <c r="A11109" t="str">
        <f>"11108"</f>
        <v>11108</v>
      </c>
      <c r="B11109" t="str">
        <f>"-0.71"</f>
        <v>-0.71</v>
      </c>
      <c r="C11109" t="str">
        <f>"32"</f>
        <v>32</v>
      </c>
      <c r="D11109" t="str">
        <f>"Everyday Grace"</f>
        <v>Everyday Grace</v>
      </c>
    </row>
    <row r="11110" spans="1:4" x14ac:dyDescent="0.2">
      <c r="A11110" t="str">
        <f>"11109"</f>
        <v>11109</v>
      </c>
      <c r="B11110" t="str">
        <f>"0.81"</f>
        <v>0.81</v>
      </c>
      <c r="C11110" t="str">
        <f>"32"</f>
        <v>32</v>
      </c>
      <c r="D11110" t="str">
        <f>"Baby"</f>
        <v>Baby</v>
      </c>
    </row>
    <row r="11111" spans="1:4" x14ac:dyDescent="0.2">
      <c r="A11111" t="str">
        <f>"11110"</f>
        <v>11110</v>
      </c>
      <c r="B11111" t="str">
        <f>"0.49"</f>
        <v>0.49</v>
      </c>
      <c r="C11111" t="str">
        <f>"28"</f>
        <v>28</v>
      </c>
      <c r="D11111" t="str">
        <f>"4Eva N a Day"</f>
        <v>4Eva N a Day</v>
      </c>
    </row>
    <row r="11112" spans="1:4" x14ac:dyDescent="0.2">
      <c r="A11112" t="str">
        <f>"11111"</f>
        <v>11111</v>
      </c>
      <c r="B11112" t="str">
        <f>"0.21"</f>
        <v>0.21</v>
      </c>
      <c r="C11112" t="str">
        <f>"26"</f>
        <v>26</v>
      </c>
      <c r="D11112" t="str">
        <f>"Closer EP"</f>
        <v>Closer EP</v>
      </c>
    </row>
    <row r="11113" spans="1:4" x14ac:dyDescent="0.2">
      <c r="A11113" t="str">
        <f>"11112"</f>
        <v>11112</v>
      </c>
      <c r="B11113" t="str">
        <f>"-0.16"</f>
        <v>-0.16</v>
      </c>
      <c r="C11113" t="str">
        <f>"36"</f>
        <v>36</v>
      </c>
      <c r="D11113" t="str">
        <f>"Frying on This Rock"</f>
        <v>Frying on This Rock</v>
      </c>
    </row>
    <row r="11114" spans="1:4" x14ac:dyDescent="0.2">
      <c r="A11114" t="str">
        <f>"11113"</f>
        <v>11113</v>
      </c>
      <c r="B11114" t="str">
        <f>"-0.02"</f>
        <v>-0.02</v>
      </c>
      <c r="C11114" t="str">
        <f>"24"</f>
        <v>24</v>
      </c>
      <c r="D11114" t="str">
        <f>"Pretty Ugly"</f>
        <v>Pretty Ugly</v>
      </c>
    </row>
    <row r="11115" spans="1:4" x14ac:dyDescent="0.2">
      <c r="A11115" t="str">
        <f>"11114"</f>
        <v>11114</v>
      </c>
      <c r="B11115" t="str">
        <f>"0.15"</f>
        <v>0.15</v>
      </c>
      <c r="C11115" t="str">
        <f>"25"</f>
        <v>25</v>
      </c>
      <c r="D11115" t="str">
        <f>"Form &amp; Control"</f>
        <v>Form &amp; Control</v>
      </c>
    </row>
    <row r="11116" spans="1:4" x14ac:dyDescent="0.2">
      <c r="A11116" t="str">
        <f>"11115"</f>
        <v>11115</v>
      </c>
      <c r="B11116" t="str">
        <f>"-0.99"</f>
        <v>-0.99</v>
      </c>
      <c r="C11116" t="str">
        <f>"30"</f>
        <v>30</v>
      </c>
      <c r="D11116" t="str">
        <f>"Always"</f>
        <v>Always</v>
      </c>
    </row>
    <row r="11117" spans="1:4" x14ac:dyDescent="0.2">
      <c r="A11117" t="str">
        <f>"11116"</f>
        <v>11116</v>
      </c>
      <c r="B11117" t="str">
        <f>"0.41"</f>
        <v>0.41</v>
      </c>
      <c r="C11117" t="str">
        <f>"34"</f>
        <v>34</v>
      </c>
      <c r="D11117" t="str">
        <f>"Where the Sands Turn to Gold"</f>
        <v>Where the Sands Turn to Gold</v>
      </c>
    </row>
    <row r="11118" spans="1:4" x14ac:dyDescent="0.2">
      <c r="A11118" t="str">
        <f>"11117"</f>
        <v>11117</v>
      </c>
      <c r="B11118" t="str">
        <f>"0.1"</f>
        <v>0.1</v>
      </c>
      <c r="C11118" t="str">
        <f>"17"</f>
        <v>17</v>
      </c>
      <c r="D11118" t="str">
        <f>"The Shadow Gallery"</f>
        <v>The Shadow Gallery</v>
      </c>
    </row>
    <row r="11119" spans="1:4" x14ac:dyDescent="0.2">
      <c r="A11119" t="str">
        <f>"11118"</f>
        <v>11118</v>
      </c>
      <c r="B11119" t="str">
        <f>"0.53"</f>
        <v>0.53</v>
      </c>
      <c r="C11119" t="str">
        <f>"35"</f>
        <v>35</v>
      </c>
      <c r="D11119" t="str">
        <f>"Noctiluca"</f>
        <v>Noctiluca</v>
      </c>
    </row>
    <row r="11120" spans="1:4" x14ac:dyDescent="0.2">
      <c r="A11120" t="str">
        <f>"11119"</f>
        <v>11119</v>
      </c>
      <c r="B11120" t="str">
        <f>"-0.85"</f>
        <v>-0.85</v>
      </c>
      <c r="C11120" t="str">
        <f>"20"</f>
        <v>20</v>
      </c>
      <c r="D11120" t="str">
        <f>"Phédre"</f>
        <v>Phédre</v>
      </c>
    </row>
    <row r="11121" spans="1:4" x14ac:dyDescent="0.2">
      <c r="A11121" t="str">
        <f>"11120"</f>
        <v>11120</v>
      </c>
      <c r="B11121" t="str">
        <f>"-0.13"</f>
        <v>-0.13</v>
      </c>
      <c r="C11121" t="str">
        <f>"29"</f>
        <v>29</v>
      </c>
      <c r="D11121" t="str">
        <f>"Rocket Juice and the Moon"</f>
        <v>Rocket Juice and the Moon</v>
      </c>
    </row>
    <row r="11122" spans="1:4" x14ac:dyDescent="0.2">
      <c r="A11122" t="str">
        <f>"11121"</f>
        <v>11121</v>
      </c>
      <c r="B11122" t="str">
        <f>"0.72"</f>
        <v>0.72</v>
      </c>
      <c r="C11122" t="str">
        <f>"19"</f>
        <v>19</v>
      </c>
      <c r="D11122" t="str">
        <f>"Muscle Car Chronicles"</f>
        <v>Muscle Car Chronicles</v>
      </c>
    </row>
    <row r="11123" spans="1:4" x14ac:dyDescent="0.2">
      <c r="A11123" t="str">
        <f>"11122"</f>
        <v>11122</v>
      </c>
      <c r="B11123" t="str">
        <f>"0.59"</f>
        <v>0.59</v>
      </c>
      <c r="C11123" t="str">
        <f>"25"</f>
        <v>25</v>
      </c>
      <c r="D11123" t="str">
        <f>"Kingdoms"</f>
        <v>Kingdoms</v>
      </c>
    </row>
    <row r="11124" spans="1:4" x14ac:dyDescent="0.2">
      <c r="A11124" t="str">
        <f>"11123"</f>
        <v>11123</v>
      </c>
      <c r="B11124" t="str">
        <f>"-1.46"</f>
        <v>-1.46</v>
      </c>
      <c r="C11124" t="str">
        <f>"22"</f>
        <v>22</v>
      </c>
      <c r="D11124" t="str">
        <f>"Father Creeper"</f>
        <v>Father Creeper</v>
      </c>
    </row>
    <row r="11125" spans="1:4" x14ac:dyDescent="0.2">
      <c r="A11125" t="str">
        <f>"11124"</f>
        <v>11124</v>
      </c>
      <c r="B11125" t="str">
        <f>"0.26"</f>
        <v>0.26</v>
      </c>
      <c r="C11125" t="str">
        <f>"39"</f>
        <v>39</v>
      </c>
      <c r="D11125" t="str">
        <f>"Limo"</f>
        <v>Limo</v>
      </c>
    </row>
    <row r="11126" spans="1:4" x14ac:dyDescent="0.2">
      <c r="A11126" t="str">
        <f>"11125"</f>
        <v>11125</v>
      </c>
      <c r="B11126" t="str">
        <f>"-0.19"</f>
        <v>-0.19</v>
      </c>
      <c r="C11126" t="str">
        <f>"32"</f>
        <v>32</v>
      </c>
      <c r="D11126" t="str">
        <f>"We All Raise Our Voices to the Air (Live Songs 4.11-8.11)"</f>
        <v>We All Raise Our Voices to the Air (Live Songs 4.11-8.11)</v>
      </c>
    </row>
    <row r="11127" spans="1:4" x14ac:dyDescent="0.2">
      <c r="A11127" t="str">
        <f>"11126"</f>
        <v>11126</v>
      </c>
      <c r="B11127" t="str">
        <f>"-0.03"</f>
        <v>-0.03</v>
      </c>
      <c r="C11127" t="str">
        <f>"29"</f>
        <v>29</v>
      </c>
      <c r="D11127" t="str">
        <f>"Medicine Show #13: Black Tape"</f>
        <v>Medicine Show #13: Black Tape</v>
      </c>
    </row>
    <row r="11128" spans="1:4" x14ac:dyDescent="0.2">
      <c r="A11128" t="str">
        <f>"11127"</f>
        <v>11127</v>
      </c>
      <c r="B11128" t="str">
        <f>"-0.23"</f>
        <v>-0.23</v>
      </c>
      <c r="C11128" t="str">
        <f>"23"</f>
        <v>23</v>
      </c>
      <c r="D11128" t="str">
        <f>"Jewelry"</f>
        <v>Jewelry</v>
      </c>
    </row>
    <row r="11129" spans="1:4" x14ac:dyDescent="0.2">
      <c r="A11129" t="str">
        <f>"11128"</f>
        <v>11128</v>
      </c>
      <c r="B11129" t="str">
        <f>"0.26"</f>
        <v>0.26</v>
      </c>
      <c r="C11129" t="str">
        <f>"27"</f>
        <v>27</v>
      </c>
      <c r="D11129" t="str">
        <f>"Spaced Out"</f>
        <v>Spaced Out</v>
      </c>
    </row>
    <row r="11130" spans="1:4" x14ac:dyDescent="0.2">
      <c r="A11130" t="str">
        <f>"11129"</f>
        <v>11129</v>
      </c>
      <c r="B11130" t="str">
        <f>"-0.75"</f>
        <v>-0.75</v>
      </c>
      <c r="C11130" t="str">
        <f>"34"</f>
        <v>34</v>
      </c>
      <c r="D11130" t="str">
        <f>"Brain Pulse Music"</f>
        <v>Brain Pulse Music</v>
      </c>
    </row>
    <row r="11131" spans="1:4" x14ac:dyDescent="0.2">
      <c r="A11131" t="str">
        <f>"11130"</f>
        <v>11130</v>
      </c>
      <c r="B11131" t="str">
        <f>"0.38"</f>
        <v>0.38</v>
      </c>
      <c r="C11131" t="str">
        <f>"32"</f>
        <v>32</v>
      </c>
      <c r="D11131" t="str">
        <f>"Ssss"</f>
        <v>Ssss</v>
      </c>
    </row>
    <row r="11132" spans="1:4" x14ac:dyDescent="0.2">
      <c r="A11132" t="str">
        <f>"11131"</f>
        <v>11131</v>
      </c>
      <c r="B11132" t="str">
        <f>"-0.44"</f>
        <v>-0.44</v>
      </c>
      <c r="C11132" t="str">
        <f>"48"</f>
        <v>48</v>
      </c>
      <c r="D11132" t="str">
        <f>"Zoo"</f>
        <v>Zoo</v>
      </c>
    </row>
    <row r="11133" spans="1:4" x14ac:dyDescent="0.2">
      <c r="A11133" t="str">
        <f>"11132"</f>
        <v>11132</v>
      </c>
      <c r="B11133" t="str">
        <f>"0.47"</f>
        <v>0.47</v>
      </c>
      <c r="C11133" t="str">
        <f>"20"</f>
        <v>20</v>
      </c>
      <c r="D11133" t="str">
        <f>"The Chap"</f>
        <v>The Chap</v>
      </c>
    </row>
    <row r="11134" spans="1:4" x14ac:dyDescent="0.2">
      <c r="A11134" t="str">
        <f>"11133"</f>
        <v>11133</v>
      </c>
      <c r="B11134" t="str">
        <f>"1"</f>
        <v>1</v>
      </c>
      <c r="C11134" t="str">
        <f>"21"</f>
        <v>21</v>
      </c>
      <c r="D11134" t="str">
        <f>"Faithful Man"</f>
        <v>Faithful Man</v>
      </c>
    </row>
    <row r="11135" spans="1:4" x14ac:dyDescent="0.2">
      <c r="A11135" t="str">
        <f>"11134"</f>
        <v>11134</v>
      </c>
      <c r="B11135" t="str">
        <f>"0.73"</f>
        <v>0.73</v>
      </c>
      <c r="C11135" t="str">
        <f>"25"</f>
        <v>25</v>
      </c>
      <c r="D11135" t="str">
        <f>"Shangaan Shake"</f>
        <v>Shangaan Shake</v>
      </c>
    </row>
    <row r="11136" spans="1:4" x14ac:dyDescent="0.2">
      <c r="A11136" t="str">
        <f>"11135"</f>
        <v>11135</v>
      </c>
      <c r="B11136" t="str">
        <f>"0.75"</f>
        <v>0.75</v>
      </c>
      <c r="C11136" t="str">
        <f>"32"</f>
        <v>32</v>
      </c>
      <c r="D11136" t="str">
        <f>"Love at the Bottom of the Sea"</f>
        <v>Love at the Bottom of the Sea</v>
      </c>
    </row>
    <row r="11137" spans="1:4" x14ac:dyDescent="0.2">
      <c r="A11137" t="str">
        <f>"11136"</f>
        <v>11136</v>
      </c>
      <c r="B11137" t="str">
        <f>"0"</f>
        <v>0</v>
      </c>
      <c r="C11137" t="str">
        <f>"30"</f>
        <v>30</v>
      </c>
      <c r="D11137" t="str">
        <f>"Milk Famous"</f>
        <v>Milk Famous</v>
      </c>
    </row>
    <row r="11138" spans="1:4" x14ac:dyDescent="0.2">
      <c r="A11138" t="str">
        <f>"11137"</f>
        <v>11137</v>
      </c>
      <c r="B11138" t="str">
        <f>"0.49"</f>
        <v>0.49</v>
      </c>
      <c r="C11138" t="str">
        <f>"33"</f>
        <v>33</v>
      </c>
      <c r="D11138" t="str">
        <f>"Careless World: Rise of the Last King"</f>
        <v>Careless World: Rise of the Last King</v>
      </c>
    </row>
    <row r="11139" spans="1:4" x14ac:dyDescent="0.2">
      <c r="A11139" t="str">
        <f>"11138"</f>
        <v>11138</v>
      </c>
      <c r="B11139" t="str">
        <f>"-0.09"</f>
        <v>-0.09</v>
      </c>
      <c r="C11139" t="str">
        <f>"38"</f>
        <v>38</v>
      </c>
      <c r="D11139" t="str">
        <f>"The Aberrant Years"</f>
        <v>The Aberrant Years</v>
      </c>
    </row>
    <row r="11140" spans="1:4" x14ac:dyDescent="0.2">
      <c r="A11140" t="str">
        <f>"11139"</f>
        <v>11139</v>
      </c>
      <c r="B11140" t="str">
        <f>"0.53"</f>
        <v>0.53</v>
      </c>
      <c r="C11140" t="str">
        <f>"21"</f>
        <v>21</v>
      </c>
      <c r="D11140" t="str">
        <f>"Dispossession"</f>
        <v>Dispossession</v>
      </c>
    </row>
    <row r="11141" spans="1:4" x14ac:dyDescent="0.2">
      <c r="A11141" t="str">
        <f>"11140"</f>
        <v>11140</v>
      </c>
      <c r="B11141" t="str">
        <f>"-0.61"</f>
        <v>-0.61</v>
      </c>
      <c r="C11141" t="str">
        <f>"56"</f>
        <v>56</v>
      </c>
      <c r="D11141" t="str">
        <f>"Wrecking Ball"</f>
        <v>Wrecking Ball</v>
      </c>
    </row>
    <row r="11142" spans="1:4" x14ac:dyDescent="0.2">
      <c r="A11142" t="str">
        <f>"11141"</f>
        <v>11141</v>
      </c>
      <c r="B11142" t="str">
        <f>"0.17"</f>
        <v>0.17</v>
      </c>
      <c r="C11142" t="str">
        <f>"29"</f>
        <v>29</v>
      </c>
      <c r="D11142" t="str">
        <f>"The Clearing"</f>
        <v>The Clearing</v>
      </c>
    </row>
    <row r="11143" spans="1:4" x14ac:dyDescent="0.2">
      <c r="A11143" t="str">
        <f>"11142"</f>
        <v>11142</v>
      </c>
      <c r="B11143" t="str">
        <f>"0.32"</f>
        <v>0.32</v>
      </c>
      <c r="C11143" t="str">
        <f>"19"</f>
        <v>19</v>
      </c>
      <c r="D11143" t="str">
        <f>"Untitled EP"</f>
        <v>Untitled EP</v>
      </c>
    </row>
    <row r="11144" spans="1:4" x14ac:dyDescent="0.2">
      <c r="A11144" t="str">
        <f>"11143"</f>
        <v>11143</v>
      </c>
      <c r="B11144" t="str">
        <f>"0.52"</f>
        <v>0.52</v>
      </c>
      <c r="C11144" t="str">
        <f>"26"</f>
        <v>26</v>
      </c>
      <c r="D11144" t="str">
        <f>"King Con"</f>
        <v>King Con</v>
      </c>
    </row>
    <row r="11145" spans="1:4" x14ac:dyDescent="0.2">
      <c r="A11145" t="str">
        <f>"11144"</f>
        <v>11144</v>
      </c>
      <c r="B11145" t="str">
        <f>"-0.62"</f>
        <v>-0.62</v>
      </c>
      <c r="C11145" t="str">
        <f>"46"</f>
        <v>46</v>
      </c>
      <c r="D11145" t="str">
        <f>"Scum.Collapse.Eradication"</f>
        <v>Scum.Collapse.Eradication</v>
      </c>
    </row>
    <row r="11146" spans="1:4" x14ac:dyDescent="0.2">
      <c r="A11146" t="str">
        <f>"11145"</f>
        <v>11145</v>
      </c>
      <c r="B11146" t="str">
        <f>"0.77"</f>
        <v>0.77</v>
      </c>
      <c r="C11146" t="str">
        <f>"24"</f>
        <v>24</v>
      </c>
      <c r="D11146" t="str">
        <f>"Break It Yourself"</f>
        <v>Break It Yourself</v>
      </c>
    </row>
    <row r="11147" spans="1:4" x14ac:dyDescent="0.2">
      <c r="A11147" t="str">
        <f>"11146"</f>
        <v>11146</v>
      </c>
      <c r="B11147" t="str">
        <f>"0.91"</f>
        <v>0.91</v>
      </c>
      <c r="C11147" t="str">
        <f>"43"</f>
        <v>43</v>
      </c>
      <c r="D11147" t="str">
        <f>"All of Me"</f>
        <v>All of Me</v>
      </c>
    </row>
    <row r="11148" spans="1:4" x14ac:dyDescent="0.2">
      <c r="A11148" t="str">
        <f>"11147"</f>
        <v>11147</v>
      </c>
      <c r="B11148" t="str">
        <f>"-0.11"</f>
        <v>-0.11</v>
      </c>
      <c r="C11148" t="str">
        <f>"22"</f>
        <v>22</v>
      </c>
      <c r="D11148" t="str">
        <f>"Fatherland EP"</f>
        <v>Fatherland EP</v>
      </c>
    </row>
    <row r="11149" spans="1:4" x14ac:dyDescent="0.2">
      <c r="A11149" t="str">
        <f>"11148"</f>
        <v>11148</v>
      </c>
      <c r="B11149" t="str">
        <f>"0.17"</f>
        <v>0.17</v>
      </c>
      <c r="C11149" t="str">
        <f>"33"</f>
        <v>33</v>
      </c>
      <c r="D11149" t="str">
        <f>"Ain't Ain't Ain't"</f>
        <v>Ain't Ain't Ain't</v>
      </c>
    </row>
    <row r="11150" spans="1:4" x14ac:dyDescent="0.2">
      <c r="A11150" t="str">
        <f>"11149"</f>
        <v>11149</v>
      </c>
      <c r="B11150" t="str">
        <f>"0.44"</f>
        <v>0.44</v>
      </c>
      <c r="C11150" t="str">
        <f>"22"</f>
        <v>22</v>
      </c>
      <c r="D11150" t="str">
        <f>"Best Behavior"</f>
        <v>Best Behavior</v>
      </c>
    </row>
    <row r="11151" spans="1:4" x14ac:dyDescent="0.2">
      <c r="A11151" t="str">
        <f>"11150"</f>
        <v>11150</v>
      </c>
      <c r="B11151" t="str">
        <f>"-0.1"</f>
        <v>-0.1</v>
      </c>
      <c r="C11151" t="str">
        <f>"56"</f>
        <v>56</v>
      </c>
      <c r="D11151" t="str">
        <f>"Open Your Heart"</f>
        <v>Open Your Heart</v>
      </c>
    </row>
    <row r="11152" spans="1:4" x14ac:dyDescent="0.2">
      <c r="A11152" t="str">
        <f>"11151"</f>
        <v>11151</v>
      </c>
      <c r="B11152" t="str">
        <f>"1.29"</f>
        <v>1.29</v>
      </c>
      <c r="C11152" t="str">
        <f>"29"</f>
        <v>29</v>
      </c>
      <c r="D11152" t="str">
        <f>"One Second of Love"</f>
        <v>One Second of Love</v>
      </c>
    </row>
    <row r="11153" spans="1:4" x14ac:dyDescent="0.2">
      <c r="A11153" t="str">
        <f>"11152"</f>
        <v>11152</v>
      </c>
      <c r="B11153" t="str">
        <f>"0.32"</f>
        <v>0.32</v>
      </c>
      <c r="C11153" t="str">
        <f>"34"</f>
        <v>34</v>
      </c>
      <c r="D11153" t="str">
        <f>"bell hooks"</f>
        <v>bell hooks</v>
      </c>
    </row>
    <row r="11154" spans="1:4" x14ac:dyDescent="0.2">
      <c r="A11154" t="str">
        <f>"11153"</f>
        <v>11153</v>
      </c>
      <c r="B11154" t="str">
        <f>"0.42"</f>
        <v>0.42</v>
      </c>
      <c r="C11154" t="str">
        <f>"27"</f>
        <v>27</v>
      </c>
      <c r="D11154" t="str">
        <f>"The Belbury Tales"</f>
        <v>The Belbury Tales</v>
      </c>
    </row>
    <row r="11155" spans="1:4" x14ac:dyDescent="0.2">
      <c r="A11155" t="str">
        <f>"11154"</f>
        <v>11154</v>
      </c>
      <c r="B11155" t="str">
        <f>"-0.08"</f>
        <v>-0.08</v>
      </c>
      <c r="C11155" t="str">
        <f>"30"</f>
        <v>30</v>
      </c>
      <c r="D11155" t="str">
        <f>"The Minimal Wave Tapes Vol. 2"</f>
        <v>The Minimal Wave Tapes Vol. 2</v>
      </c>
    </row>
    <row r="11156" spans="1:4" x14ac:dyDescent="0.2">
      <c r="A11156" t="str">
        <f>"11155"</f>
        <v>11155</v>
      </c>
      <c r="B11156" t="str">
        <f>"-0.52"</f>
        <v>-0.52</v>
      </c>
      <c r="C11156" t="str">
        <f>"46"</f>
        <v>46</v>
      </c>
      <c r="D11156" t="str">
        <f>"Ekstasis"</f>
        <v>Ekstasis</v>
      </c>
    </row>
    <row r="11157" spans="1:4" x14ac:dyDescent="0.2">
      <c r="A11157" t="str">
        <f>"11156"</f>
        <v>11156</v>
      </c>
      <c r="B11157" t="str">
        <f>"0.23"</f>
        <v>0.23</v>
      </c>
      <c r="C11157" t="str">
        <f>"36"</f>
        <v>36</v>
      </c>
      <c r="D11157" t="str">
        <f>"Personality"</f>
        <v>Personality</v>
      </c>
    </row>
    <row r="11158" spans="1:4" x14ac:dyDescent="0.2">
      <c r="A11158" t="str">
        <f>"11157"</f>
        <v>11157</v>
      </c>
      <c r="B11158" t="str">
        <f>"-0.15"</f>
        <v>-0.15</v>
      </c>
      <c r="C11158" t="str">
        <f>"25"</f>
        <v>25</v>
      </c>
      <c r="D11158" t="str">
        <f>"Possession"</f>
        <v>Possession</v>
      </c>
    </row>
    <row r="11159" spans="1:4" x14ac:dyDescent="0.2">
      <c r="A11159" t="str">
        <f>"11158"</f>
        <v>11158</v>
      </c>
      <c r="B11159" t="str">
        <f>"-0.14"</f>
        <v>-0.14</v>
      </c>
      <c r="C11159" t="str">
        <f>"18"</f>
        <v>18</v>
      </c>
      <c r="D11159" t="str">
        <f>"Into the Waves"</f>
        <v>Into the Waves</v>
      </c>
    </row>
    <row r="11160" spans="1:4" x14ac:dyDescent="0.2">
      <c r="A11160" t="str">
        <f>"11159"</f>
        <v>11159</v>
      </c>
      <c r="B11160" t="str">
        <f>"-0.53"</f>
        <v>-0.53</v>
      </c>
      <c r="C11160" t="str">
        <f>"34"</f>
        <v>34</v>
      </c>
      <c r="D11160" t="str">
        <f>"Killing Time"</f>
        <v>Killing Time</v>
      </c>
    </row>
    <row r="11161" spans="1:4" x14ac:dyDescent="0.2">
      <c r="A11161" t="str">
        <f>"11160"</f>
        <v>11160</v>
      </c>
      <c r="B11161" t="str">
        <f>"0.5"</f>
        <v>0.5</v>
      </c>
      <c r="C11161" t="str">
        <f>"34"</f>
        <v>34</v>
      </c>
      <c r="D11161" t="str">
        <f>"Sorrow and Extinction"</f>
        <v>Sorrow and Extinction</v>
      </c>
    </row>
    <row r="11162" spans="1:4" x14ac:dyDescent="0.2">
      <c r="A11162" t="str">
        <f>"11161"</f>
        <v>11161</v>
      </c>
      <c r="B11162" t="str">
        <f>"0.75"</f>
        <v>0.75</v>
      </c>
      <c r="C11162" t="str">
        <f>"31"</f>
        <v>31</v>
      </c>
      <c r="D11162" t="str">
        <f>"Ghostory"</f>
        <v>Ghostory</v>
      </c>
    </row>
    <row r="11163" spans="1:4" x14ac:dyDescent="0.2">
      <c r="A11163" t="str">
        <f>"11162"</f>
        <v>11162</v>
      </c>
      <c r="B11163" t="str">
        <f>"-1.19"</f>
        <v>-1.19</v>
      </c>
      <c r="C11163" t="str">
        <f>"30"</f>
        <v>30</v>
      </c>
      <c r="D11163" t="str">
        <f>"Sounds From Nowheresville"</f>
        <v>Sounds From Nowheresville</v>
      </c>
    </row>
    <row r="11164" spans="1:4" x14ac:dyDescent="0.2">
      <c r="A11164" t="str">
        <f>"11163"</f>
        <v>11163</v>
      </c>
      <c r="B11164" t="str">
        <f>"-0.25"</f>
        <v>-0.25</v>
      </c>
      <c r="C11164" t="str">
        <f>"23"</f>
        <v>23</v>
      </c>
      <c r="D11164" t="str">
        <f>"Pre Language"</f>
        <v>Pre Language</v>
      </c>
    </row>
    <row r="11165" spans="1:4" x14ac:dyDescent="0.2">
      <c r="A11165" t="str">
        <f>"11164"</f>
        <v>11164</v>
      </c>
      <c r="B11165" t="str">
        <f>"-0.35"</f>
        <v>-0.35</v>
      </c>
      <c r="C11165" t="str">
        <f>"27"</f>
        <v>27</v>
      </c>
      <c r="D11165" t="str">
        <f>"Silica Gel"</f>
        <v>Silica Gel</v>
      </c>
    </row>
    <row r="11166" spans="1:4" x14ac:dyDescent="0.2">
      <c r="A11166" t="str">
        <f>"11165"</f>
        <v>11165</v>
      </c>
      <c r="B11166" t="str">
        <f>"-0.48"</f>
        <v>-0.48</v>
      </c>
      <c r="C11166" t="str">
        <f>"32"</f>
        <v>32</v>
      </c>
      <c r="D11166" t="str">
        <f>"How About I Be Me (And You Be You)?"</f>
        <v>How About I Be Me (And You Be You)?</v>
      </c>
    </row>
    <row r="11167" spans="1:4" x14ac:dyDescent="0.2">
      <c r="A11167" t="str">
        <f>"11166"</f>
        <v>11166</v>
      </c>
      <c r="B11167" t="str">
        <f>"0.23"</f>
        <v>0.23</v>
      </c>
      <c r="C11167" t="str">
        <f>"47"</f>
        <v>47</v>
      </c>
      <c r="D11167" t="str">
        <f>"Vee Vee (Remastered)"</f>
        <v>Vee Vee (Remastered)</v>
      </c>
    </row>
    <row r="11168" spans="1:4" x14ac:dyDescent="0.2">
      <c r="A11168" t="str">
        <f>"11167"</f>
        <v>11167</v>
      </c>
      <c r="B11168" t="str">
        <f>"0.74"</f>
        <v>0.74</v>
      </c>
      <c r="C11168" t="str">
        <f>"18"</f>
        <v>18</v>
      </c>
      <c r="D11168" t="str">
        <f>"The Keychain Collection"</f>
        <v>The Keychain Collection</v>
      </c>
    </row>
    <row r="11169" spans="1:4" x14ac:dyDescent="0.2">
      <c r="A11169" t="str">
        <f>"11168"</f>
        <v>11168</v>
      </c>
      <c r="B11169" t="str">
        <f>"0.83"</f>
        <v>0.83</v>
      </c>
      <c r="C11169" t="str">
        <f>"28"</f>
        <v>28</v>
      </c>
      <c r="D11169" t="s">
        <v>332</v>
      </c>
    </row>
    <row r="11170" spans="1:4" x14ac:dyDescent="0.2">
      <c r="A11170" t="str">
        <f>"11169"</f>
        <v>11169</v>
      </c>
      <c r="B11170" t="str">
        <f>"0.75"</f>
        <v>0.75</v>
      </c>
      <c r="C11170" t="str">
        <f>"34"</f>
        <v>34</v>
      </c>
      <c r="D11170" t="str">
        <f>"When You're Gone EP"</f>
        <v>When You're Gone EP</v>
      </c>
    </row>
    <row r="11171" spans="1:4" x14ac:dyDescent="0.2">
      <c r="A11171" t="str">
        <f>"11170"</f>
        <v>11170</v>
      </c>
      <c r="B11171" t="str">
        <f>"0.23"</f>
        <v>0.23</v>
      </c>
      <c r="C11171" t="str">
        <f>"19"</f>
        <v>19</v>
      </c>
      <c r="D11171" t="str">
        <f>"Toward the Low Sun"</f>
        <v>Toward the Low Sun</v>
      </c>
    </row>
    <row r="11172" spans="1:4" x14ac:dyDescent="0.2">
      <c r="A11172" t="str">
        <f>"11171"</f>
        <v>11171</v>
      </c>
      <c r="B11172" t="str">
        <f>"0.58"</f>
        <v>0.58</v>
      </c>
      <c r="C11172" t="str">
        <f>"20"</f>
        <v>20</v>
      </c>
      <c r="D11172" t="str">
        <f>"The Slideshow Effect"</f>
        <v>The Slideshow Effect</v>
      </c>
    </row>
    <row r="11173" spans="1:4" x14ac:dyDescent="0.2">
      <c r="A11173" t="str">
        <f>"11172"</f>
        <v>11172</v>
      </c>
      <c r="B11173" t="str">
        <f>"1.22"</f>
        <v>1.22</v>
      </c>
      <c r="C11173" t="str">
        <f>"40"</f>
        <v>40</v>
      </c>
      <c r="D11173" t="str">
        <f>"A Victim of Stars: 1982-2012"</f>
        <v>A Victim of Stars: 1982-2012</v>
      </c>
    </row>
    <row r="11174" spans="1:4" x14ac:dyDescent="0.2">
      <c r="A11174" t="str">
        <f>"11173"</f>
        <v>11173</v>
      </c>
      <c r="B11174" t="str">
        <f>"1.21"</f>
        <v>1.21</v>
      </c>
      <c r="C11174" t="str">
        <f>"26"</f>
        <v>26</v>
      </c>
      <c r="D11174" t="str">
        <f>"TRST"</f>
        <v>TRST</v>
      </c>
    </row>
    <row r="11175" spans="1:4" x14ac:dyDescent="0.2">
      <c r="A11175" t="str">
        <f>"11174"</f>
        <v>11174</v>
      </c>
      <c r="B11175" t="str">
        <f>"-0.76"</f>
        <v>-0.76</v>
      </c>
      <c r="C11175" t="str">
        <f>"24"</f>
        <v>24</v>
      </c>
      <c r="D11175" t="str">
        <f>"The End of That"</f>
        <v>The End of That</v>
      </c>
    </row>
    <row r="11176" spans="1:4" x14ac:dyDescent="0.2">
      <c r="A11176" t="str">
        <f>"11175"</f>
        <v>11175</v>
      </c>
      <c r="B11176" t="str">
        <f>"0.19"</f>
        <v>0.19</v>
      </c>
      <c r="C11176" t="str">
        <f>"40"</f>
        <v>40</v>
      </c>
      <c r="D11176" t="str">
        <f>"Put Your Back N 2 It"</f>
        <v>Put Your Back N 2 It</v>
      </c>
    </row>
    <row r="11177" spans="1:4" x14ac:dyDescent="0.2">
      <c r="A11177" t="str">
        <f>"11176"</f>
        <v>11176</v>
      </c>
      <c r="B11177" t="str">
        <f>"0.47"</f>
        <v>0.47</v>
      </c>
      <c r="C11177" t="str">
        <f>"39"</f>
        <v>39</v>
      </c>
      <c r="D11177" t="str">
        <f>"1966"</f>
        <v>1966</v>
      </c>
    </row>
    <row r="11178" spans="1:4" x14ac:dyDescent="0.2">
      <c r="A11178" t="str">
        <f>"11177"</f>
        <v>11177</v>
      </c>
      <c r="B11178" t="str">
        <f>"-0.04"</f>
        <v>-0.04</v>
      </c>
      <c r="C11178" t="str">
        <f>"48"</f>
        <v>48</v>
      </c>
      <c r="D11178" t="str">
        <f>"Corrosion of Conformity"</f>
        <v>Corrosion of Conformity</v>
      </c>
    </row>
    <row r="11179" spans="1:4" x14ac:dyDescent="0.2">
      <c r="A11179" t="str">
        <f>"11178"</f>
        <v>11178</v>
      </c>
      <c r="B11179" t="str">
        <f>"0.73"</f>
        <v>0.73</v>
      </c>
      <c r="C11179" t="str">
        <f>"34"</f>
        <v>34</v>
      </c>
      <c r="D11179" t="str">
        <f>"Splendor Squalor"</f>
        <v>Splendor Squalor</v>
      </c>
    </row>
    <row r="11180" spans="1:4" x14ac:dyDescent="0.2">
      <c r="A11180" t="str">
        <f>"11179"</f>
        <v>11179</v>
      </c>
      <c r="B11180" t="str">
        <f>"-0.05"</f>
        <v>-0.05</v>
      </c>
      <c r="C11180" t="str">
        <f>"31"</f>
        <v>31</v>
      </c>
      <c r="D11180" t="str">
        <f>"Modern Jester"</f>
        <v>Modern Jester</v>
      </c>
    </row>
    <row r="11181" spans="1:4" x14ac:dyDescent="0.2">
      <c r="A11181" t="str">
        <f>"11180"</f>
        <v>11180</v>
      </c>
      <c r="B11181" t="str">
        <f>"0.21"</f>
        <v>0.21</v>
      </c>
      <c r="C11181" t="str">
        <f>"31"</f>
        <v>31</v>
      </c>
      <c r="D11181" t="str">
        <f>"Parastrophics"</f>
        <v>Parastrophics</v>
      </c>
    </row>
    <row r="11182" spans="1:4" x14ac:dyDescent="0.2">
      <c r="A11182" t="str">
        <f>"11181"</f>
        <v>11181</v>
      </c>
      <c r="B11182" t="str">
        <f>"0.54"</f>
        <v>0.54</v>
      </c>
      <c r="C11182" t="str">
        <f>"27"</f>
        <v>27</v>
      </c>
      <c r="D11182" t="str">
        <f>"Recollected"</f>
        <v>Recollected</v>
      </c>
    </row>
    <row r="11183" spans="1:4" x14ac:dyDescent="0.2">
      <c r="A11183" t="str">
        <f>"11182"</f>
        <v>11182</v>
      </c>
      <c r="B11183" t="str">
        <f>"0.67"</f>
        <v>0.67</v>
      </c>
      <c r="C11183" t="str">
        <f>"28"</f>
        <v>28</v>
      </c>
      <c r="D11183" t="str">
        <f>"Audience of One"</f>
        <v>Audience of One</v>
      </c>
    </row>
    <row r="11184" spans="1:4" x14ac:dyDescent="0.2">
      <c r="A11184" t="str">
        <f>"11183"</f>
        <v>11183</v>
      </c>
      <c r="B11184" t="str">
        <f>"0.6"</f>
        <v>0.6</v>
      </c>
      <c r="C11184" t="str">
        <f>"17"</f>
        <v>17</v>
      </c>
      <c r="D11184" t="str">
        <f>"Underrated Silence"</f>
        <v>Underrated Silence</v>
      </c>
    </row>
    <row r="11185" spans="1:4" x14ac:dyDescent="0.2">
      <c r="A11185" t="str">
        <f>"11184"</f>
        <v>11184</v>
      </c>
      <c r="B11185" t="str">
        <f>"-0.04"</f>
        <v>-0.04</v>
      </c>
      <c r="C11185" t="str">
        <f>"24"</f>
        <v>24</v>
      </c>
      <c r="D11185" t="str">
        <f>"Hairdresser Blues"</f>
        <v>Hairdresser Blues</v>
      </c>
    </row>
    <row r="11186" spans="1:4" x14ac:dyDescent="0.2">
      <c r="A11186" t="str">
        <f>"11185"</f>
        <v>11185</v>
      </c>
      <c r="B11186" t="str">
        <f>"-0.38"</f>
        <v>-0.38</v>
      </c>
      <c r="C11186" t="str">
        <f>"21"</f>
        <v>21</v>
      </c>
      <c r="D11186" t="str">
        <f>"The Something Rain"</f>
        <v>The Something Rain</v>
      </c>
    </row>
    <row r="11187" spans="1:4" x14ac:dyDescent="0.2">
      <c r="A11187" t="str">
        <f>"11186"</f>
        <v>11186</v>
      </c>
      <c r="B11187" t="str">
        <f>"-0.64"</f>
        <v>-0.64</v>
      </c>
      <c r="C11187" t="str">
        <f>"37"</f>
        <v>37</v>
      </c>
      <c r="D11187" t="s">
        <v>333</v>
      </c>
    </row>
    <row r="11188" spans="1:4" x14ac:dyDescent="0.2">
      <c r="A11188" t="str">
        <f>"11187"</f>
        <v>11187</v>
      </c>
      <c r="B11188" t="str">
        <f>"0.73"</f>
        <v>0.73</v>
      </c>
      <c r="C11188" t="str">
        <f>"20"</f>
        <v>20</v>
      </c>
      <c r="D11188" t="str">
        <f>"The Narrow Garden"</f>
        <v>The Narrow Garden</v>
      </c>
    </row>
    <row r="11189" spans="1:4" x14ac:dyDescent="0.2">
      <c r="A11189" t="str">
        <f>"11188"</f>
        <v>11188</v>
      </c>
      <c r="B11189" t="str">
        <f>"-0.58"</f>
        <v>-0.58</v>
      </c>
      <c r="C11189" t="str">
        <f>"30"</f>
        <v>30</v>
      </c>
      <c r="D11189" t="str">
        <f>"Go Fly a Kite"</f>
        <v>Go Fly a Kite</v>
      </c>
    </row>
    <row r="11190" spans="1:4" x14ac:dyDescent="0.2">
      <c r="A11190" t="str">
        <f>"11189"</f>
        <v>11189</v>
      </c>
      <c r="B11190" t="str">
        <f>"-0.13"</f>
        <v>-0.13</v>
      </c>
      <c r="C11190" t="str">
        <f>"23"</f>
        <v>23</v>
      </c>
      <c r="D11190" t="str">
        <f>"808 Mafia"</f>
        <v>808 Mafia</v>
      </c>
    </row>
    <row r="11191" spans="1:4" x14ac:dyDescent="0.2">
      <c r="A11191" t="str">
        <f>"11190"</f>
        <v>11190</v>
      </c>
      <c r="B11191" t="str">
        <f>"-0.74"</f>
        <v>-0.74</v>
      </c>
      <c r="C11191" t="str">
        <f>"43"</f>
        <v>43</v>
      </c>
      <c r="D11191" t="str">
        <f>"Mr. M"</f>
        <v>Mr. M</v>
      </c>
    </row>
    <row r="11192" spans="1:4" x14ac:dyDescent="0.2">
      <c r="A11192" t="str">
        <f>"11191"</f>
        <v>11191</v>
      </c>
      <c r="B11192" t="str">
        <f>"0.88"</f>
        <v>0.88</v>
      </c>
      <c r="C11192" t="str">
        <f>"25"</f>
        <v>25</v>
      </c>
      <c r="D11192" t="str">
        <f>"Concerning the Entrance Into Eternity"</f>
        <v>Concerning the Entrance Into Eternity</v>
      </c>
    </row>
    <row r="11193" spans="1:4" x14ac:dyDescent="0.2">
      <c r="A11193" t="str">
        <f>"11192"</f>
        <v>11192</v>
      </c>
      <c r="B11193" t="str">
        <f>"0.14"</f>
        <v>0.14</v>
      </c>
      <c r="C11193" t="str">
        <f>"31"</f>
        <v>31</v>
      </c>
      <c r="D11193" t="str">
        <f>"Maraqopa"</f>
        <v>Maraqopa</v>
      </c>
    </row>
    <row r="11194" spans="1:4" x14ac:dyDescent="0.2">
      <c r="A11194" t="str">
        <f>"11193"</f>
        <v>11193</v>
      </c>
      <c r="B11194" t="str">
        <f>"-0.69"</f>
        <v>-0.69</v>
      </c>
      <c r="C11194" t="str">
        <f>"30"</f>
        <v>30</v>
      </c>
      <c r="D11194" t="str">
        <f>"Blood for the Master"</f>
        <v>Blood for the Master</v>
      </c>
    </row>
    <row r="11195" spans="1:4" x14ac:dyDescent="0.2">
      <c r="A11195" t="str">
        <f>"11194"</f>
        <v>11194</v>
      </c>
      <c r="B11195" t="str">
        <f>"-0.15"</f>
        <v>-0.15</v>
      </c>
      <c r="C11195" t="str">
        <f>"20"</f>
        <v>20</v>
      </c>
      <c r="D11195" t="str">
        <f>"Lilacs &amp; Champagne"</f>
        <v>Lilacs &amp; Champagne</v>
      </c>
    </row>
    <row r="11196" spans="1:4" x14ac:dyDescent="0.2">
      <c r="A11196" t="str">
        <f>"11195"</f>
        <v>11195</v>
      </c>
      <c r="B11196" t="str">
        <f>"0.94"</f>
        <v>0.94</v>
      </c>
      <c r="C11196" t="str">
        <f>"27"</f>
        <v>27</v>
      </c>
      <c r="D11196" t="str">
        <f>"Interstellar"</f>
        <v>Interstellar</v>
      </c>
    </row>
    <row r="11197" spans="1:4" x14ac:dyDescent="0.2">
      <c r="A11197" t="str">
        <f>"11196"</f>
        <v>11196</v>
      </c>
      <c r="B11197" t="str">
        <f>"-0.86"</f>
        <v>-0.86</v>
      </c>
      <c r="C11197" t="str">
        <f>"28"</f>
        <v>28</v>
      </c>
      <c r="D11197" t="str">
        <f>"Generators"</f>
        <v>Generators</v>
      </c>
    </row>
    <row r="11198" spans="1:4" x14ac:dyDescent="0.2">
      <c r="A11198" t="str">
        <f>"11197"</f>
        <v>11197</v>
      </c>
      <c r="B11198" t="str">
        <f>"0.28"</f>
        <v>0.28</v>
      </c>
      <c r="C11198" t="str">
        <f>"30"</f>
        <v>30</v>
      </c>
      <c r="D11198" t="str">
        <f>"After Hours"</f>
        <v>After Hours</v>
      </c>
    </row>
    <row r="11199" spans="1:4" x14ac:dyDescent="0.2">
      <c r="A11199" t="str">
        <f>"11198"</f>
        <v>11198</v>
      </c>
      <c r="B11199" t="str">
        <f>"0.81"</f>
        <v>0.81</v>
      </c>
      <c r="C11199" t="str">
        <f>"20"</f>
        <v>20</v>
      </c>
      <c r="D11199" t="str">
        <f>"Dub the World! Actually Remixed"</f>
        <v>Dub the World! Actually Remixed</v>
      </c>
    </row>
    <row r="11200" spans="1:4" x14ac:dyDescent="0.2">
      <c r="A11200" t="str">
        <f>"11199"</f>
        <v>11199</v>
      </c>
      <c r="B11200" t="str">
        <f>"0.04"</f>
        <v>0.04</v>
      </c>
      <c r="C11200" t="str">
        <f>"39"</f>
        <v>39</v>
      </c>
      <c r="D11200" t="str">
        <f>"Meltdown"</f>
        <v>Meltdown</v>
      </c>
    </row>
    <row r="11201" spans="1:4" x14ac:dyDescent="0.2">
      <c r="A11201" t="str">
        <f>"11200"</f>
        <v>11200</v>
      </c>
      <c r="B11201" t="str">
        <f>"-0.51"</f>
        <v>-0.51</v>
      </c>
      <c r="C11201" t="str">
        <f>"32"</f>
        <v>32</v>
      </c>
      <c r="D11201" t="str">
        <f>"Reign of Terror"</f>
        <v>Reign of Terror</v>
      </c>
    </row>
    <row r="11202" spans="1:4" x14ac:dyDescent="0.2">
      <c r="A11202" t="str">
        <f>"11201"</f>
        <v>11201</v>
      </c>
      <c r="B11202" t="str">
        <f>"0.56"</f>
        <v>0.56</v>
      </c>
      <c r="C11202" t="str">
        <f>"31"</f>
        <v>31</v>
      </c>
      <c r="D11202" t="str">
        <f>"Hive Mind"</f>
        <v>Hive Mind</v>
      </c>
    </row>
    <row r="11203" spans="1:4" x14ac:dyDescent="0.2">
      <c r="A11203" t="str">
        <f>"11202"</f>
        <v>11202</v>
      </c>
      <c r="B11203" t="str">
        <f>"-0.03"</f>
        <v>-0.03</v>
      </c>
      <c r="C11203" t="str">
        <f>"26"</f>
        <v>26</v>
      </c>
      <c r="D11203" t="str">
        <f>"In Ghostlike Fading"</f>
        <v>In Ghostlike Fading</v>
      </c>
    </row>
    <row r="11204" spans="1:4" x14ac:dyDescent="0.2">
      <c r="A11204" t="str">
        <f>"11203"</f>
        <v>11203</v>
      </c>
      <c r="B11204" t="str">
        <f>"0.22"</f>
        <v>0.22</v>
      </c>
      <c r="C11204" t="str">
        <f>"33"</f>
        <v>33</v>
      </c>
      <c r="D11204" t="str">
        <f>"Misery Wizard"</f>
        <v>Misery Wizard</v>
      </c>
    </row>
    <row r="11205" spans="1:4" x14ac:dyDescent="0.2">
      <c r="A11205" t="str">
        <f>"11204"</f>
        <v>11204</v>
      </c>
      <c r="B11205" t="str">
        <f>"-0.63"</f>
        <v>-0.63</v>
      </c>
      <c r="C11205" t="str">
        <f>"30"</f>
        <v>30</v>
      </c>
      <c r="D11205" t="str">
        <f>"I Am Gemini"</f>
        <v>I Am Gemini</v>
      </c>
    </row>
    <row r="11206" spans="1:4" x14ac:dyDescent="0.2">
      <c r="A11206" t="str">
        <f>"11205"</f>
        <v>11205</v>
      </c>
      <c r="B11206" t="str">
        <f>"-0.11"</f>
        <v>-0.11</v>
      </c>
      <c r="C11206" t="str">
        <f>"32"</f>
        <v>32</v>
      </c>
      <c r="D11206" t="str">
        <f>"Visions"</f>
        <v>Visions</v>
      </c>
    </row>
    <row r="11207" spans="1:4" x14ac:dyDescent="0.2">
      <c r="A11207" t="str">
        <f>"11206"</f>
        <v>11206</v>
      </c>
      <c r="B11207" t="str">
        <f>"-0.26"</f>
        <v>-0.26</v>
      </c>
      <c r="C11207" t="str">
        <f>"29"</f>
        <v>29</v>
      </c>
      <c r="D11207" t="str">
        <f>"The Broken Man"</f>
        <v>The Broken Man</v>
      </c>
    </row>
    <row r="11208" spans="1:4" x14ac:dyDescent="0.2">
      <c r="A11208" t="str">
        <f>"11207"</f>
        <v>11207</v>
      </c>
      <c r="B11208" t="str">
        <f>"0.13"</f>
        <v>0.13</v>
      </c>
      <c r="C11208" t="str">
        <f>"41"</f>
        <v>41</v>
      </c>
      <c r="D11208" t="str">
        <f>"The Russian Wilds"</f>
        <v>The Russian Wilds</v>
      </c>
    </row>
    <row r="11209" spans="1:4" x14ac:dyDescent="0.2">
      <c r="A11209" t="str">
        <f>"11208"</f>
        <v>11208</v>
      </c>
      <c r="B11209" t="str">
        <f>"-0.77"</f>
        <v>-0.77</v>
      </c>
      <c r="C11209" t="str">
        <f>"30"</f>
        <v>30</v>
      </c>
      <c r="D11209" t="str">
        <f>"Better to Die on Your Feet Than Live on Your Knees"</f>
        <v>Better to Die on Your Feet Than Live on Your Knees</v>
      </c>
    </row>
    <row r="11210" spans="1:4" x14ac:dyDescent="0.2">
      <c r="A11210" t="str">
        <f>"11209"</f>
        <v>11209</v>
      </c>
      <c r="B11210" t="str">
        <f>"-0.51"</f>
        <v>-0.51</v>
      </c>
      <c r="C11210" t="str">
        <f>"28"</f>
        <v>28</v>
      </c>
      <c r="D11210" t="str">
        <f>"Existers"</f>
        <v>Existers</v>
      </c>
    </row>
    <row r="11211" spans="1:4" x14ac:dyDescent="0.2">
      <c r="A11211" t="str">
        <f>"11210"</f>
        <v>11210</v>
      </c>
      <c r="B11211" t="str">
        <f>"0.42"</f>
        <v>0.42</v>
      </c>
      <c r="C11211" t="str">
        <f>"24"</f>
        <v>24</v>
      </c>
      <c r="D11211" t="str">
        <f>"Animal Joy"</f>
        <v>Animal Joy</v>
      </c>
    </row>
    <row r="11212" spans="1:4" x14ac:dyDescent="0.2">
      <c r="A11212" t="str">
        <f>"11211"</f>
        <v>11211</v>
      </c>
      <c r="B11212" t="str">
        <f>"0.28"</f>
        <v>0.28</v>
      </c>
      <c r="C11212" t="str">
        <f>"34"</f>
        <v>34</v>
      </c>
      <c r="D11212" t="str">
        <f>"Trap Back"</f>
        <v>Trap Back</v>
      </c>
    </row>
    <row r="11213" spans="1:4" x14ac:dyDescent="0.2">
      <c r="A11213" t="str">
        <f>"11212"</f>
        <v>11212</v>
      </c>
      <c r="B11213" t="str">
        <f>"0.53"</f>
        <v>0.53</v>
      </c>
      <c r="C11213" t="str">
        <f>"42"</f>
        <v>42</v>
      </c>
      <c r="D11213" t="str">
        <f>"The Hotel Sessions"</f>
        <v>The Hotel Sessions</v>
      </c>
    </row>
    <row r="11214" spans="1:4" x14ac:dyDescent="0.2">
      <c r="A11214" t="str">
        <f>"11213"</f>
        <v>11213</v>
      </c>
      <c r="B11214" t="str">
        <f>"0"</f>
        <v>0</v>
      </c>
      <c r="C11214" t="str">
        <f>"15"</f>
        <v>15</v>
      </c>
      <c r="D11214" t="str">
        <f>"Orcas"</f>
        <v>Orcas</v>
      </c>
    </row>
    <row r="11215" spans="1:4" x14ac:dyDescent="0.2">
      <c r="A11215" t="str">
        <f>"11214"</f>
        <v>11214</v>
      </c>
      <c r="B11215" t="str">
        <f>"0.51"</f>
        <v>0.51</v>
      </c>
      <c r="C11215" t="str">
        <f>"29"</f>
        <v>29</v>
      </c>
      <c r="D11215" t="str">
        <f>"Living Room Songs"</f>
        <v>Living Room Songs</v>
      </c>
    </row>
    <row r="11216" spans="1:4" x14ac:dyDescent="0.2">
      <c r="A11216" t="str">
        <f>"11215"</f>
        <v>11215</v>
      </c>
      <c r="B11216" t="str">
        <f>"-0.32"</f>
        <v>-0.32</v>
      </c>
      <c r="C11216" t="str">
        <f>"34"</f>
        <v>34</v>
      </c>
      <c r="D11216" t="str">
        <f>"Kindred EP"</f>
        <v>Kindred EP</v>
      </c>
    </row>
    <row r="11217" spans="1:4" x14ac:dyDescent="0.2">
      <c r="A11217" t="str">
        <f>"11216"</f>
        <v>11216</v>
      </c>
      <c r="B11217" t="str">
        <f>"-0.02"</f>
        <v>-0.02</v>
      </c>
      <c r="C11217" t="str">
        <f>"26"</f>
        <v>26</v>
      </c>
      <c r="D11217" t="str">
        <f>"A Sleep &amp; a Forgetting"</f>
        <v>A Sleep &amp; a Forgetting</v>
      </c>
    </row>
    <row r="11218" spans="1:4" x14ac:dyDescent="0.2">
      <c r="A11218" t="str">
        <f>"11217"</f>
        <v>11217</v>
      </c>
      <c r="B11218" t="str">
        <f>"1.06"</f>
        <v>1.06</v>
      </c>
      <c r="C11218" t="str">
        <f>"31"</f>
        <v>31</v>
      </c>
      <c r="D11218" t="str">
        <f>"Lixiviation"</f>
        <v>Lixiviation</v>
      </c>
    </row>
    <row r="11219" spans="1:4" x14ac:dyDescent="0.2">
      <c r="A11219" t="str">
        <f>"11218"</f>
        <v>11218</v>
      </c>
      <c r="B11219" t="str">
        <f>"-0.2"</f>
        <v>-0.2</v>
      </c>
      <c r="C11219" t="str">
        <f>"36"</f>
        <v>36</v>
      </c>
      <c r="D11219" t="str">
        <f>"Les Voyages de l'Âme"</f>
        <v>Les Voyages de l'Âme</v>
      </c>
    </row>
    <row r="11220" spans="1:4" x14ac:dyDescent="0.2">
      <c r="A11220" t="str">
        <f>"11219"</f>
        <v>11219</v>
      </c>
      <c r="B11220" t="str">
        <f>"-1.46"</f>
        <v>-1.46</v>
      </c>
      <c r="C11220" t="str">
        <f>"23"</f>
        <v>23</v>
      </c>
      <c r="D11220" t="str">
        <f>"Arrow"</f>
        <v>Arrow</v>
      </c>
    </row>
    <row r="11221" spans="1:4" x14ac:dyDescent="0.2">
      <c r="A11221" t="str">
        <f>"11220"</f>
        <v>11220</v>
      </c>
      <c r="B11221" t="str">
        <f>"0.26"</f>
        <v>0.26</v>
      </c>
      <c r="C11221" t="str">
        <f>"36"</f>
        <v>36</v>
      </c>
      <c r="D11221" t="s">
        <v>334</v>
      </c>
    </row>
    <row r="11222" spans="1:4" x14ac:dyDescent="0.2">
      <c r="A11222" t="str">
        <f>"11221"</f>
        <v>11221</v>
      </c>
      <c r="B11222" t="str">
        <f>"-0.43"</f>
        <v>-0.43</v>
      </c>
      <c r="C11222" t="str">
        <f>"45"</f>
        <v>45</v>
      </c>
      <c r="D11222" t="str">
        <f>"Biokinetics"</f>
        <v>Biokinetics</v>
      </c>
    </row>
    <row r="11223" spans="1:4" x14ac:dyDescent="0.2">
      <c r="A11223" t="str">
        <f>"11222"</f>
        <v>11222</v>
      </c>
      <c r="B11223" t="str">
        <f>"1.13"</f>
        <v>1.13</v>
      </c>
      <c r="C11223" t="str">
        <f>"18"</f>
        <v>18</v>
      </c>
      <c r="D11223" t="str">
        <f>"White Flame"</f>
        <v>White Flame</v>
      </c>
    </row>
    <row r="11224" spans="1:4" x14ac:dyDescent="0.2">
      <c r="A11224" t="str">
        <f>"11223"</f>
        <v>11223</v>
      </c>
      <c r="B11224" t="str">
        <f>"-0.41"</f>
        <v>-0.41</v>
      </c>
      <c r="C11224" t="str">
        <f>"28"</f>
        <v>28</v>
      </c>
      <c r="D11224" t="str">
        <f>"We Are the Works in Progress"</f>
        <v>We Are the Works in Progress</v>
      </c>
    </row>
    <row r="11225" spans="1:4" x14ac:dyDescent="0.2">
      <c r="A11225" t="str">
        <f>"11224"</f>
        <v>11224</v>
      </c>
      <c r="B11225" t="str">
        <f>"0.36"</f>
        <v>0.36</v>
      </c>
      <c r="C11225" t="str">
        <f>"25"</f>
        <v>25</v>
      </c>
      <c r="D11225" t="str">
        <f>"Everything You Always Wanted to Know About Sea Lions But Were Afraid to Ask"</f>
        <v>Everything You Always Wanted to Know About Sea Lions But Were Afraid to Ask</v>
      </c>
    </row>
    <row r="11226" spans="1:4" x14ac:dyDescent="0.2">
      <c r="A11226" t="str">
        <f>"11225"</f>
        <v>11225</v>
      </c>
      <c r="B11226" t="str">
        <f>"0.24"</f>
        <v>0.24</v>
      </c>
      <c r="C11226" t="str">
        <f>"32"</f>
        <v>32</v>
      </c>
      <c r="D11226" t="str">
        <f>"Young and Old"</f>
        <v>Young and Old</v>
      </c>
    </row>
    <row r="11227" spans="1:4" x14ac:dyDescent="0.2">
      <c r="A11227" t="str">
        <f>"11226"</f>
        <v>11226</v>
      </c>
      <c r="B11227" t="str">
        <f>"0.13"</f>
        <v>0.13</v>
      </c>
      <c r="C11227" t="str">
        <f>"28"</f>
        <v>28</v>
      </c>
      <c r="D11227" t="str">
        <f>"And Never Ending Nights"</f>
        <v>And Never Ending Nights</v>
      </c>
    </row>
    <row r="11228" spans="1:4" x14ac:dyDescent="0.2">
      <c r="A11228" t="str">
        <f>"11227"</f>
        <v>11227</v>
      </c>
      <c r="B11228" t="str">
        <f>"0.09"</f>
        <v>0.09</v>
      </c>
      <c r="C11228" t="str">
        <f>"26"</f>
        <v>26</v>
      </c>
      <c r="D11228" t="str">
        <f>"Given to the Wild"</f>
        <v>Given to the Wild</v>
      </c>
    </row>
    <row r="11229" spans="1:4" x14ac:dyDescent="0.2">
      <c r="A11229" t="str">
        <f>"11228"</f>
        <v>11228</v>
      </c>
      <c r="B11229" t="str">
        <f>"0.42"</f>
        <v>0.42</v>
      </c>
      <c r="C11229" t="str">
        <f>"28"</f>
        <v>28</v>
      </c>
      <c r="D11229" t="str">
        <f>"Plumb"</f>
        <v>Plumb</v>
      </c>
    </row>
    <row r="11230" spans="1:4" x14ac:dyDescent="0.2">
      <c r="A11230" t="str">
        <f>"11229"</f>
        <v>11229</v>
      </c>
      <c r="B11230" t="str">
        <f>"-0.66"</f>
        <v>-0.66</v>
      </c>
      <c r="C11230" t="str">
        <f>"23"</f>
        <v>23</v>
      </c>
      <c r="D11230" t="str">
        <f>"""Evidence"" 12"""</f>
        <v>"Evidence" 12"</v>
      </c>
    </row>
    <row r="11231" spans="1:4" x14ac:dyDescent="0.2">
      <c r="A11231" t="str">
        <f>"11230"</f>
        <v>11230</v>
      </c>
      <c r="B11231" t="str">
        <f>"-1.34"</f>
        <v>-1.34</v>
      </c>
      <c r="C11231" t="str">
        <f>"34"</f>
        <v>34</v>
      </c>
      <c r="D11231" t="str">
        <f>"Ten$ion"</f>
        <v>Ten$ion</v>
      </c>
    </row>
    <row r="11232" spans="1:4" x14ac:dyDescent="0.2">
      <c r="A11232" t="str">
        <f>"11231"</f>
        <v>11231</v>
      </c>
      <c r="B11232" t="str">
        <f>"-1.22"</f>
        <v>-1.22</v>
      </c>
      <c r="C11232" t="str">
        <f>"27"</f>
        <v>27</v>
      </c>
      <c r="D11232" t="str">
        <f>"Year of the Tiger"</f>
        <v>Year of the Tiger</v>
      </c>
    </row>
    <row r="11233" spans="1:4" x14ac:dyDescent="0.2">
      <c r="A11233" t="str">
        <f>"11232"</f>
        <v>11232</v>
      </c>
      <c r="B11233" t="str">
        <f>"0.62"</f>
        <v>0.62</v>
      </c>
      <c r="C11233" t="str">
        <f>"31"</f>
        <v>31</v>
      </c>
      <c r="D11233" t="str">
        <f>"Melt"</f>
        <v>Melt</v>
      </c>
    </row>
    <row r="11234" spans="1:4" x14ac:dyDescent="0.2">
      <c r="A11234" t="str">
        <f>"11233"</f>
        <v>11233</v>
      </c>
      <c r="B11234" t="str">
        <f>"0.38"</f>
        <v>0.38</v>
      </c>
      <c r="C11234" t="str">
        <f>"24"</f>
        <v>24</v>
      </c>
      <c r="D11234" t="str">
        <f>"Hotel Amour"</f>
        <v>Hotel Amour</v>
      </c>
    </row>
    <row r="11235" spans="1:4" x14ac:dyDescent="0.2">
      <c r="A11235" t="str">
        <f>"11234"</f>
        <v>11234</v>
      </c>
      <c r="B11235" t="str">
        <f>"-0.77"</f>
        <v>-0.77</v>
      </c>
      <c r="C11235" t="str">
        <f>"20"</f>
        <v>20</v>
      </c>
      <c r="D11235" t="str">
        <f>"And They Turned Not When They Went"</f>
        <v>And They Turned Not When They Went</v>
      </c>
    </row>
    <row r="11236" spans="1:4" x14ac:dyDescent="0.2">
      <c r="A11236" t="str">
        <f>"11235"</f>
        <v>11235</v>
      </c>
      <c r="B11236" t="str">
        <f>"1.06"</f>
        <v>1.06</v>
      </c>
      <c r="C11236" t="str">
        <f>"24"</f>
        <v>24</v>
      </c>
      <c r="D11236" t="str">
        <f>"The Singles"</f>
        <v>The Singles</v>
      </c>
    </row>
    <row r="11237" spans="1:4" x14ac:dyDescent="0.2">
      <c r="A11237" t="str">
        <f>"11236"</f>
        <v>11236</v>
      </c>
      <c r="B11237" t="str">
        <f>"-0.76"</f>
        <v>-0.76</v>
      </c>
      <c r="C11237" t="str">
        <f>"27"</f>
        <v>27</v>
      </c>
      <c r="D11237" t="str">
        <f>"Six Cups of Rebel"</f>
        <v>Six Cups of Rebel</v>
      </c>
    </row>
    <row r="11238" spans="1:4" x14ac:dyDescent="0.2">
      <c r="A11238" t="str">
        <f>"11237"</f>
        <v>11237</v>
      </c>
      <c r="B11238" t="str">
        <f>"0.56"</f>
        <v>0.56</v>
      </c>
      <c r="C11238" t="str">
        <f>"54"</f>
        <v>54</v>
      </c>
      <c r="D11238" t="str">
        <f>"Subject: Matter"</f>
        <v>Subject: Matter</v>
      </c>
    </row>
    <row r="11239" spans="1:4" x14ac:dyDescent="0.2">
      <c r="A11239" t="str">
        <f>"11238"</f>
        <v>11238</v>
      </c>
      <c r="B11239" t="str">
        <f>"0.64"</f>
        <v>0.64</v>
      </c>
      <c r="C11239" t="str">
        <f>"36"</f>
        <v>36</v>
      </c>
      <c r="D11239" t="str">
        <f>"Be the Void"</f>
        <v>Be the Void</v>
      </c>
    </row>
    <row r="11240" spans="1:4" x14ac:dyDescent="0.2">
      <c r="A11240" t="str">
        <f>"11239"</f>
        <v>11239</v>
      </c>
      <c r="B11240" t="str">
        <f>"1.16"</f>
        <v>1.16</v>
      </c>
      <c r="C11240" t="str">
        <f>"23"</f>
        <v>23</v>
      </c>
      <c r="D11240" t="str">
        <f>"Lineage"</f>
        <v>Lineage</v>
      </c>
    </row>
    <row r="11241" spans="1:4" x14ac:dyDescent="0.2">
      <c r="A11241" t="str">
        <f>"11240"</f>
        <v>11240</v>
      </c>
      <c r="B11241" t="str">
        <f>"0.48"</f>
        <v>0.48</v>
      </c>
      <c r="C11241" t="str">
        <f>"43"</f>
        <v>43</v>
      </c>
      <c r="D11241" t="str">
        <f>"Le Voyage Dans la Lune"</f>
        <v>Le Voyage Dans la Lune</v>
      </c>
    </row>
    <row r="11242" spans="1:4" x14ac:dyDescent="0.2">
      <c r="A11242" t="str">
        <f>"11241"</f>
        <v>11241</v>
      </c>
      <c r="B11242" t="str">
        <f>"0.3"</f>
        <v>0.3</v>
      </c>
      <c r="C11242" t="str">
        <f>"20"</f>
        <v>20</v>
      </c>
      <c r="D11242" t="str">
        <f>"Live From the Kitchen"</f>
        <v>Live From the Kitchen</v>
      </c>
    </row>
    <row r="11243" spans="1:4" x14ac:dyDescent="0.2">
      <c r="A11243" t="str">
        <f>"11242"</f>
        <v>11242</v>
      </c>
      <c r="B11243" t="str">
        <f>"-0.16"</f>
        <v>-0.16</v>
      </c>
      <c r="C11243" t="str">
        <f>"61"</f>
        <v>61</v>
      </c>
      <c r="D11243" t="s">
        <v>335</v>
      </c>
    </row>
    <row r="11244" spans="1:4" x14ac:dyDescent="0.2">
      <c r="A11244" t="str">
        <f>"11243"</f>
        <v>11243</v>
      </c>
      <c r="B11244" t="str">
        <f>"-0.56"</f>
        <v>-0.56</v>
      </c>
      <c r="C11244" t="str">
        <f>"34"</f>
        <v>34</v>
      </c>
      <c r="D11244" t="str">
        <f>"After the Graveyard"</f>
        <v>After the Graveyard</v>
      </c>
    </row>
    <row r="11245" spans="1:4" x14ac:dyDescent="0.2">
      <c r="A11245" t="str">
        <f>"11244"</f>
        <v>11244</v>
      </c>
      <c r="B11245" t="str">
        <f>"0.58"</f>
        <v>0.58</v>
      </c>
      <c r="C11245" t="str">
        <f>"18"</f>
        <v>18</v>
      </c>
      <c r="D11245" t="s">
        <v>336</v>
      </c>
    </row>
    <row r="11246" spans="1:4" x14ac:dyDescent="0.2">
      <c r="A11246" t="str">
        <f>"11245"</f>
        <v>11245</v>
      </c>
      <c r="B11246" t="str">
        <f>"0.32"</f>
        <v>0.32</v>
      </c>
      <c r="C11246" t="str">
        <f>"43"</f>
        <v>43</v>
      </c>
      <c r="D11246" t="str">
        <f>"ƒIN"</f>
        <v>ƒIN</v>
      </c>
    </row>
    <row r="11247" spans="1:4" x14ac:dyDescent="0.2">
      <c r="A11247" t="str">
        <f>"11246"</f>
        <v>11246</v>
      </c>
      <c r="B11247" t="str">
        <f>"-0.44"</f>
        <v>-0.44</v>
      </c>
      <c r="C11247" t="str">
        <f>"27"</f>
        <v>27</v>
      </c>
      <c r="D11247" t="str">
        <f>"Blues Funeral"</f>
        <v>Blues Funeral</v>
      </c>
    </row>
    <row r="11248" spans="1:4" x14ac:dyDescent="0.2">
      <c r="A11248" t="str">
        <f>"11247"</f>
        <v>11247</v>
      </c>
      <c r="B11248" t="str">
        <f>"-0.8"</f>
        <v>-0.8</v>
      </c>
      <c r="C11248" t="str">
        <f>"22"</f>
        <v>22</v>
      </c>
      <c r="D11248" t="s">
        <v>337</v>
      </c>
    </row>
    <row r="11249" spans="1:4" x14ac:dyDescent="0.2">
      <c r="A11249" t="str">
        <f>"11248"</f>
        <v>11248</v>
      </c>
      <c r="B11249" t="str">
        <f>"-0.76"</f>
        <v>-0.76</v>
      </c>
      <c r="C11249" t="str">
        <f>"17"</f>
        <v>17</v>
      </c>
      <c r="D11249" t="str">
        <f>"Planet High School"</f>
        <v>Planet High School</v>
      </c>
    </row>
    <row r="11250" spans="1:4" x14ac:dyDescent="0.2">
      <c r="A11250" t="str">
        <f>"11249"</f>
        <v>11249</v>
      </c>
      <c r="B11250" t="str">
        <f>"0.88"</f>
        <v>0.88</v>
      </c>
      <c r="C11250" t="str">
        <f>"24"</f>
        <v>24</v>
      </c>
      <c r="D11250" t="str">
        <f>"Feel the Sound"</f>
        <v>Feel the Sound</v>
      </c>
    </row>
    <row r="11251" spans="1:4" x14ac:dyDescent="0.2">
      <c r="A11251" t="str">
        <f>"11250"</f>
        <v>11250</v>
      </c>
      <c r="B11251" t="str">
        <f>"-0.45"</f>
        <v>-0.45</v>
      </c>
      <c r="C11251" t="str">
        <f>"32"</f>
        <v>32</v>
      </c>
      <c r="D11251" t="str">
        <f>"Paralytic Stalks"</f>
        <v>Paralytic Stalks</v>
      </c>
    </row>
    <row r="11252" spans="1:4" x14ac:dyDescent="0.2">
      <c r="A11252" t="str">
        <f>"11251"</f>
        <v>11251</v>
      </c>
      <c r="B11252" t="str">
        <f>"-1.09"</f>
        <v>-1.09</v>
      </c>
      <c r="C11252" t="str">
        <f>"27"</f>
        <v>27</v>
      </c>
      <c r="D11252" t="str">
        <f>"Onwards to the Wall EP"</f>
        <v>Onwards to the Wall EP</v>
      </c>
    </row>
    <row r="11253" spans="1:4" x14ac:dyDescent="0.2">
      <c r="A11253" t="str">
        <f>"11252"</f>
        <v>11252</v>
      </c>
      <c r="B11253" t="str">
        <f>"0.27"</f>
        <v>0.27</v>
      </c>
      <c r="C11253" t="str">
        <f>"28"</f>
        <v>28</v>
      </c>
      <c r="D11253" t="str">
        <f>"Keep it Together"</f>
        <v>Keep it Together</v>
      </c>
    </row>
    <row r="11254" spans="1:4" x14ac:dyDescent="0.2">
      <c r="A11254" t="str">
        <f>"11253"</f>
        <v>11253</v>
      </c>
      <c r="B11254" t="str">
        <f>"-1"</f>
        <v>-1</v>
      </c>
      <c r="C11254" t="str">
        <f>"30"</f>
        <v>30</v>
      </c>
      <c r="D11254" t="str">
        <f>"Man With Potential"</f>
        <v>Man With Potential</v>
      </c>
    </row>
    <row r="11255" spans="1:4" x14ac:dyDescent="0.2">
      <c r="A11255" t="str">
        <f>"11254"</f>
        <v>11254</v>
      </c>
      <c r="B11255" t="str">
        <f>"-0.91"</f>
        <v>-0.91</v>
      </c>
      <c r="C11255" t="str">
        <f>"30"</f>
        <v>30</v>
      </c>
      <c r="D11255" t="str">
        <f>"Better Luck Next Life"</f>
        <v>Better Luck Next Life</v>
      </c>
    </row>
    <row r="11256" spans="1:4" x14ac:dyDescent="0.2">
      <c r="A11256" t="str">
        <f>"11255"</f>
        <v>11255</v>
      </c>
      <c r="B11256" t="str">
        <f>"-0.17"</f>
        <v>-0.17</v>
      </c>
      <c r="C11256" t="str">
        <f>"26"</f>
        <v>26</v>
      </c>
      <c r="D11256" t="str">
        <f>"Instrumental University"</f>
        <v>Instrumental University</v>
      </c>
    </row>
    <row r="11257" spans="1:4" x14ac:dyDescent="0.2">
      <c r="A11257" t="str">
        <f>"11256"</f>
        <v>11256</v>
      </c>
      <c r="B11257" t="str">
        <f>"0.68"</f>
        <v>0.68</v>
      </c>
      <c r="C11257" t="str">
        <f>"26"</f>
        <v>26</v>
      </c>
      <c r="D11257" t="str">
        <f>"Blondes"</f>
        <v>Blondes</v>
      </c>
    </row>
    <row r="11258" spans="1:4" x14ac:dyDescent="0.2">
      <c r="A11258" t="str">
        <f>"11257"</f>
        <v>11257</v>
      </c>
      <c r="B11258" t="str">
        <f>"0.03"</f>
        <v>0.03</v>
      </c>
      <c r="C11258" t="str">
        <f>"25"</f>
        <v>25</v>
      </c>
      <c r="D11258" t="str">
        <f>"Ester"</f>
        <v>Ester</v>
      </c>
    </row>
    <row r="11259" spans="1:4" x14ac:dyDescent="0.2">
      <c r="A11259" t="str">
        <f>"11258"</f>
        <v>11258</v>
      </c>
      <c r="B11259" t="str">
        <f>"-0.73"</f>
        <v>-0.73</v>
      </c>
      <c r="C11259" t="str">
        <f>"19"</f>
        <v>19</v>
      </c>
      <c r="D11259" t="str">
        <f>"Clay Class"</f>
        <v>Clay Class</v>
      </c>
    </row>
    <row r="11260" spans="1:4" x14ac:dyDescent="0.2">
      <c r="A11260" t="str">
        <f>"11259"</f>
        <v>11259</v>
      </c>
      <c r="B11260" t="str">
        <f>"-1.35"</f>
        <v>-1.35</v>
      </c>
      <c r="C11260" t="str">
        <f>"18"</f>
        <v>18</v>
      </c>
      <c r="D11260" t="str">
        <f>"The Horror"</f>
        <v>The Horror</v>
      </c>
    </row>
    <row r="11261" spans="1:4" x14ac:dyDescent="0.2">
      <c r="A11261" t="str">
        <f>"11260"</f>
        <v>11260</v>
      </c>
      <c r="B11261" t="str">
        <f>"1.06"</f>
        <v>1.06</v>
      </c>
      <c r="C11261" t="str">
        <f>"26"</f>
        <v>26</v>
      </c>
      <c r="D11261" t="str">
        <f>"iTunes Session"</f>
        <v>iTunes Session</v>
      </c>
    </row>
    <row r="11262" spans="1:4" x14ac:dyDescent="0.2">
      <c r="A11262" t="str">
        <f>"11261"</f>
        <v>11261</v>
      </c>
      <c r="B11262" t="str">
        <f>"0.55"</f>
        <v>0.55</v>
      </c>
      <c r="C11262" t="str">
        <f>"33"</f>
        <v>33</v>
      </c>
      <c r="D11262" t="str">
        <f>"We Will Always Be"</f>
        <v>We Will Always Be</v>
      </c>
    </row>
    <row r="11263" spans="1:4" x14ac:dyDescent="0.2">
      <c r="A11263" t="str">
        <f>"11262"</f>
        <v>11262</v>
      </c>
      <c r="B11263" t="str">
        <f>"-0.46"</f>
        <v>-0.46</v>
      </c>
      <c r="C11263" t="str">
        <f>"31"</f>
        <v>31</v>
      </c>
      <c r="D11263" t="str">
        <f>"No One Can Ever Know"</f>
        <v>No One Can Ever Know</v>
      </c>
    </row>
    <row r="11264" spans="1:4" x14ac:dyDescent="0.2">
      <c r="A11264" t="str">
        <f>"11263"</f>
        <v>11263</v>
      </c>
      <c r="B11264" t="str">
        <f>"0.26"</f>
        <v>0.26</v>
      </c>
      <c r="C11264" t="str">
        <f>"22"</f>
        <v>22</v>
      </c>
      <c r="D11264" t="str">
        <f>"Tally Ho! Flying Nun's Greatest Bits"</f>
        <v>Tally Ho! Flying Nun's Greatest Bits</v>
      </c>
    </row>
    <row r="11265" spans="1:4" x14ac:dyDescent="0.2">
      <c r="A11265" t="str">
        <f>"11264"</f>
        <v>11264</v>
      </c>
      <c r="B11265" t="str">
        <f>"0.1"</f>
        <v>0.1</v>
      </c>
      <c r="C11265" t="str">
        <f>"20"</f>
        <v>20</v>
      </c>
      <c r="D11265" t="str">
        <f>"They!Live"</f>
        <v>They!Live</v>
      </c>
    </row>
    <row r="11266" spans="1:4" x14ac:dyDescent="0.2">
      <c r="A11266" t="str">
        <f>"11265"</f>
        <v>11265</v>
      </c>
      <c r="B11266" t="str">
        <f>"0.24"</f>
        <v>0.24</v>
      </c>
      <c r="C11266" t="str">
        <f>"36"</f>
        <v>36</v>
      </c>
      <c r="D11266" t="str">
        <f>"Old Ideas"</f>
        <v>Old Ideas</v>
      </c>
    </row>
    <row r="11267" spans="1:4" x14ac:dyDescent="0.2">
      <c r="A11267" t="str">
        <f>"11266"</f>
        <v>11266</v>
      </c>
      <c r="B11267" t="str">
        <f>"0.06"</f>
        <v>0.06</v>
      </c>
      <c r="C11267" t="str">
        <f>"23"</f>
        <v>23</v>
      </c>
      <c r="D11267" t="str">
        <f>"Rad Times Xpress IV"</f>
        <v>Rad Times Xpress IV</v>
      </c>
    </row>
    <row r="11268" spans="1:4" x14ac:dyDescent="0.2">
      <c r="A11268" t="str">
        <f>"11267"</f>
        <v>11267</v>
      </c>
      <c r="B11268" t="str">
        <f>"0.38"</f>
        <v>0.38</v>
      </c>
      <c r="C11268" t="str">
        <f>"26"</f>
        <v>26</v>
      </c>
      <c r="D11268" t="str">
        <f>"I Love You"</f>
        <v>I Love You</v>
      </c>
    </row>
    <row r="11269" spans="1:4" x14ac:dyDescent="0.2">
      <c r="A11269" t="str">
        <f>"11268"</f>
        <v>11268</v>
      </c>
      <c r="B11269" t="str">
        <f>"-0.36"</f>
        <v>-0.36</v>
      </c>
      <c r="C11269" t="str">
        <f>"18"</f>
        <v>18</v>
      </c>
      <c r="D11269" t="str">
        <f>"Lock Out"</f>
        <v>Lock Out</v>
      </c>
    </row>
    <row r="11270" spans="1:4" x14ac:dyDescent="0.2">
      <c r="A11270" t="str">
        <f>"11269"</f>
        <v>11269</v>
      </c>
      <c r="B11270" t="str">
        <f>"-0.72"</f>
        <v>-0.72</v>
      </c>
      <c r="C11270" t="str">
        <f>"34"</f>
        <v>34</v>
      </c>
      <c r="D11270" t="str">
        <f>"Probably Love"</f>
        <v>Probably Love</v>
      </c>
    </row>
    <row r="11271" spans="1:4" x14ac:dyDescent="0.2">
      <c r="A11271" t="str">
        <f>"11270"</f>
        <v>11270</v>
      </c>
      <c r="B11271" t="str">
        <f>"0.37"</f>
        <v>0.37</v>
      </c>
      <c r="C11271" t="str">
        <f>"45"</f>
        <v>45</v>
      </c>
      <c r="D11271" t="str">
        <f>"Tramp"</f>
        <v>Tramp</v>
      </c>
    </row>
    <row r="11272" spans="1:4" x14ac:dyDescent="0.2">
      <c r="A11272" t="str">
        <f>"11271"</f>
        <v>11271</v>
      </c>
      <c r="B11272" t="str">
        <f>"-0.17"</f>
        <v>-0.17</v>
      </c>
      <c r="C11272" t="str">
        <f>"38"</f>
        <v>38</v>
      </c>
      <c r="D11272" t="str">
        <f>"Anthology: 1992 to 2012"</f>
        <v>Anthology: 1992 to 2012</v>
      </c>
    </row>
    <row r="11273" spans="1:4" x14ac:dyDescent="0.2">
      <c r="A11273" t="str">
        <f>"11272"</f>
        <v>11272</v>
      </c>
      <c r="B11273" t="str">
        <f>"0.52"</f>
        <v>0.52</v>
      </c>
      <c r="C11273" t="str">
        <f>"28"</f>
        <v>28</v>
      </c>
      <c r="D11273" t="str">
        <f>"936 Remixes 12"""</f>
        <v>936 Remixes 12"</v>
      </c>
    </row>
    <row r="11274" spans="1:4" x14ac:dyDescent="0.2">
      <c r="A11274" t="str">
        <f>"11273"</f>
        <v>11273</v>
      </c>
      <c r="B11274" t="str">
        <f>"0.25"</f>
        <v>0.25</v>
      </c>
      <c r="C11274" t="str">
        <f>"24"</f>
        <v>24</v>
      </c>
      <c r="D11274" t="str">
        <f>"Earth Has Doors"</f>
        <v>Earth Has Doors</v>
      </c>
    </row>
    <row r="11275" spans="1:4" x14ac:dyDescent="0.2">
      <c r="A11275" t="str">
        <f>"11274"</f>
        <v>11274</v>
      </c>
      <c r="B11275" t="str">
        <f>"1.12"</f>
        <v>1.12</v>
      </c>
      <c r="C11275" t="str">
        <f>"23"</f>
        <v>23</v>
      </c>
      <c r="D11275" t="str">
        <f>"La Grande"</f>
        <v>La Grande</v>
      </c>
    </row>
    <row r="11276" spans="1:4" x14ac:dyDescent="0.2">
      <c r="A11276" t="str">
        <f>"11275"</f>
        <v>11275</v>
      </c>
      <c r="B11276" t="str">
        <f>"-0.33"</f>
        <v>-0.33</v>
      </c>
      <c r="C11276" t="str">
        <f>"31"</f>
        <v>31</v>
      </c>
      <c r="D11276" t="str">
        <f>"Born to Die"</f>
        <v>Born to Die</v>
      </c>
    </row>
    <row r="11277" spans="1:4" x14ac:dyDescent="0.2">
      <c r="A11277" t="str">
        <f>"11276"</f>
        <v>11276</v>
      </c>
      <c r="B11277" t="str">
        <f>"1.11"</f>
        <v>1.11</v>
      </c>
      <c r="C11277" t="str">
        <f>"17"</f>
        <v>17</v>
      </c>
      <c r="D11277" t="str">
        <f>"Strange Weekend"</f>
        <v>Strange Weekend</v>
      </c>
    </row>
    <row r="11278" spans="1:4" x14ac:dyDescent="0.2">
      <c r="A11278" t="str">
        <f>"11277"</f>
        <v>11277</v>
      </c>
      <c r="B11278" t="str">
        <f>"1.42"</f>
        <v>1.42</v>
      </c>
      <c r="C11278" t="str">
        <f>"16"</f>
        <v>16</v>
      </c>
      <c r="D11278" t="str">
        <f>"Vacation EP"</f>
        <v>Vacation EP</v>
      </c>
    </row>
    <row r="11279" spans="1:4" x14ac:dyDescent="0.2">
      <c r="A11279" t="str">
        <f>"11278"</f>
        <v>11278</v>
      </c>
      <c r="B11279" t="str">
        <f>"1.6"</f>
        <v>1.6</v>
      </c>
      <c r="C11279" t="str">
        <f>"20"</f>
        <v>20</v>
      </c>
      <c r="D11279" t="str">
        <f>"Be Strong"</f>
        <v>Be Strong</v>
      </c>
    </row>
    <row r="11280" spans="1:4" x14ac:dyDescent="0.2">
      <c r="A11280" t="str">
        <f>"11279"</f>
        <v>11279</v>
      </c>
      <c r="B11280" t="str">
        <f>"0.58"</f>
        <v>0.58</v>
      </c>
      <c r="C11280" t="str">
        <f>"18"</f>
        <v>18</v>
      </c>
      <c r="D11280" t="str">
        <f>"Astronaut Status"</f>
        <v>Astronaut Status</v>
      </c>
    </row>
    <row r="11281" spans="1:4" x14ac:dyDescent="0.2">
      <c r="A11281" t="str">
        <f>"11280"</f>
        <v>11280</v>
      </c>
      <c r="B11281" t="str">
        <f>"-0.64"</f>
        <v>-0.64</v>
      </c>
      <c r="C11281" t="str">
        <f>"32"</f>
        <v>32</v>
      </c>
      <c r="D11281" t="str">
        <f>"Habits &amp; Contradictions"</f>
        <v>Habits &amp; Contradictions</v>
      </c>
    </row>
    <row r="11282" spans="1:4" x14ac:dyDescent="0.2">
      <c r="A11282" t="str">
        <f>"11281"</f>
        <v>11281</v>
      </c>
      <c r="B11282" t="str">
        <f>"-0.84"</f>
        <v>-0.84</v>
      </c>
      <c r="C11282" t="str">
        <f>"28"</f>
        <v>28</v>
      </c>
      <c r="D11282" t="str">
        <f>"Patience (After Sebald)"</f>
        <v>Patience (After Sebald)</v>
      </c>
    </row>
    <row r="11283" spans="1:4" x14ac:dyDescent="0.2">
      <c r="A11283" t="str">
        <f>"11282"</f>
        <v>11282</v>
      </c>
      <c r="B11283" t="str">
        <f>"1.17"</f>
        <v>1.17</v>
      </c>
      <c r="C11283" t="str">
        <f>"18"</f>
        <v>18</v>
      </c>
      <c r="D11283" t="str">
        <f>"To Solemn Ash"</f>
        <v>To Solemn Ash</v>
      </c>
    </row>
    <row r="11284" spans="1:4" x14ac:dyDescent="0.2">
      <c r="A11284" t="str">
        <f>"11283"</f>
        <v>11283</v>
      </c>
      <c r="B11284" t="str">
        <f>"-0.6"</f>
        <v>-0.6</v>
      </c>
      <c r="C11284" t="str">
        <f>"31"</f>
        <v>31</v>
      </c>
      <c r="D11284" t="str">
        <f>"U&amp;I"</f>
        <v>U&amp;I</v>
      </c>
    </row>
    <row r="11285" spans="1:4" x14ac:dyDescent="0.2">
      <c r="A11285" t="str">
        <f>"11284"</f>
        <v>11284</v>
      </c>
      <c r="B11285" t="str">
        <f>"-0.69"</f>
        <v>-0.69</v>
      </c>
      <c r="C11285" t="str">
        <f>"18"</f>
        <v>18</v>
      </c>
      <c r="D11285" t="str">
        <f>"Feel Me EP"</f>
        <v>Feel Me EP</v>
      </c>
    </row>
    <row r="11286" spans="1:4" x14ac:dyDescent="0.2">
      <c r="A11286" t="str">
        <f>"11285"</f>
        <v>11285</v>
      </c>
      <c r="B11286" t="str">
        <f>"-0.14"</f>
        <v>-0.14</v>
      </c>
      <c r="C11286" t="str">
        <f>"34"</f>
        <v>34</v>
      </c>
      <c r="D11286" t="str">
        <f>"Nehru Jackets"</f>
        <v>Nehru Jackets</v>
      </c>
    </row>
    <row r="11287" spans="1:4" x14ac:dyDescent="0.2">
      <c r="A11287" t="str">
        <f>"11286"</f>
        <v>11286</v>
      </c>
      <c r="B11287" t="str">
        <f>"-0.5"</f>
        <v>-0.5</v>
      </c>
      <c r="C11287" t="str">
        <f>"31"</f>
        <v>31</v>
      </c>
      <c r="D11287" t="str">
        <f>"Hospitality"</f>
        <v>Hospitality</v>
      </c>
    </row>
    <row r="11288" spans="1:4" x14ac:dyDescent="0.2">
      <c r="A11288" t="str">
        <f>"11287"</f>
        <v>11287</v>
      </c>
      <c r="B11288" t="str">
        <f>"0.2"</f>
        <v>0.2</v>
      </c>
      <c r="C11288" t="str">
        <f>"24"</f>
        <v>24</v>
      </c>
      <c r="D11288" t="str">
        <f>"America Give Up"</f>
        <v>America Give Up</v>
      </c>
    </row>
    <row r="11289" spans="1:4" x14ac:dyDescent="0.2">
      <c r="A11289" t="str">
        <f>"11288"</f>
        <v>11288</v>
      </c>
      <c r="B11289" t="str">
        <f>"-0.4"</f>
        <v>-0.4</v>
      </c>
      <c r="C11289" t="str">
        <f>"29"</f>
        <v>29</v>
      </c>
      <c r="D11289" t="str">
        <f>"A Throne Without a King"</f>
        <v>A Throne Without a King</v>
      </c>
    </row>
    <row r="11290" spans="1:4" x14ac:dyDescent="0.2">
      <c r="A11290" t="str">
        <f>"11289"</f>
        <v>11289</v>
      </c>
      <c r="B11290" t="str">
        <f>"-0.26"</f>
        <v>-0.26</v>
      </c>
      <c r="C11290" t="str">
        <f>"36"</f>
        <v>36</v>
      </c>
      <c r="D11290" t="s">
        <v>338</v>
      </c>
    </row>
    <row r="11291" spans="1:4" x14ac:dyDescent="0.2">
      <c r="A11291" t="str">
        <f>"11290"</f>
        <v>11290</v>
      </c>
      <c r="B11291" t="str">
        <f>"-0.87"</f>
        <v>-0.87</v>
      </c>
      <c r="C11291" t="str">
        <f>"28"</f>
        <v>28</v>
      </c>
      <c r="D11291" t="str">
        <f>"MU.ZZ.LE"</f>
        <v>MU.ZZ.LE</v>
      </c>
    </row>
    <row r="11292" spans="1:4" x14ac:dyDescent="0.2">
      <c r="A11292" t="str">
        <f>"11291"</f>
        <v>11291</v>
      </c>
      <c r="B11292" t="str">
        <f>"1.16"</f>
        <v>1.16</v>
      </c>
      <c r="C11292" t="str">
        <f>"27"</f>
        <v>27</v>
      </c>
      <c r="D11292" t="str">
        <f>"Concealer EP"</f>
        <v>Concealer EP</v>
      </c>
    </row>
    <row r="11293" spans="1:4" x14ac:dyDescent="0.2">
      <c r="A11293" t="str">
        <f>"11292"</f>
        <v>11292</v>
      </c>
      <c r="B11293" t="str">
        <f>"0.1"</f>
        <v>0.1</v>
      </c>
      <c r="C11293" t="str">
        <f>"27"</f>
        <v>27</v>
      </c>
      <c r="D11293" t="str">
        <f>"File Under Sacred Music: Early Singles 1978-1981"</f>
        <v>File Under Sacred Music: Early Singles 1978-1981</v>
      </c>
    </row>
    <row r="11294" spans="1:4" x14ac:dyDescent="0.2">
      <c r="A11294" t="str">
        <f>"11293"</f>
        <v>11293</v>
      </c>
      <c r="B11294" t="str">
        <f>"0.2"</f>
        <v>0.2</v>
      </c>
      <c r="C11294" t="str">
        <f>"25"</f>
        <v>25</v>
      </c>
      <c r="D11294" t="str">
        <f>"Wilson Semiconductors"</f>
        <v>Wilson Semiconductors</v>
      </c>
    </row>
    <row r="11295" spans="1:4" x14ac:dyDescent="0.2">
      <c r="A11295" t="str">
        <f>"11294"</f>
        <v>11294</v>
      </c>
      <c r="B11295" t="str">
        <f>"-0.14"</f>
        <v>-0.14</v>
      </c>
      <c r="C11295" t="str">
        <f>"33"</f>
        <v>33</v>
      </c>
      <c r="D11295" t="str">
        <f>"Pop Ambient 2012"</f>
        <v>Pop Ambient 2012</v>
      </c>
    </row>
    <row r="11296" spans="1:4" x14ac:dyDescent="0.2">
      <c r="A11296" t="str">
        <f>"11295"</f>
        <v>11295</v>
      </c>
      <c r="B11296" t="str">
        <f>"0.09"</f>
        <v>0.09</v>
      </c>
      <c r="C11296" t="str">
        <f>"30"</f>
        <v>30</v>
      </c>
      <c r="D11296" t="str">
        <f>"Clear Heart Full Eyes"</f>
        <v>Clear Heart Full Eyes</v>
      </c>
    </row>
    <row r="11297" spans="1:4" x14ac:dyDescent="0.2">
      <c r="A11297" t="str">
        <f>"11296"</f>
        <v>11296</v>
      </c>
      <c r="B11297" t="str">
        <f>"-1.16"</f>
        <v>-1.16</v>
      </c>
      <c r="C11297" t="str">
        <f>"20"</f>
        <v>20</v>
      </c>
      <c r="D11297" t="str">
        <f>"Furthur"</f>
        <v>Furthur</v>
      </c>
    </row>
    <row r="11298" spans="1:4" x14ac:dyDescent="0.2">
      <c r="A11298" t="str">
        <f>"11297"</f>
        <v>11297</v>
      </c>
      <c r="B11298" t="str">
        <f>"-0.47"</f>
        <v>-0.47</v>
      </c>
      <c r="C11298" t="str">
        <f>"22"</f>
        <v>22</v>
      </c>
      <c r="D11298" t="str">
        <f>"Resolution"</f>
        <v>Resolution</v>
      </c>
    </row>
    <row r="11299" spans="1:4" x14ac:dyDescent="0.2">
      <c r="A11299" t="str">
        <f>"11298"</f>
        <v>11298</v>
      </c>
      <c r="B11299" t="str">
        <f>"0.77"</f>
        <v>0.77</v>
      </c>
      <c r="C11299" t="str">
        <f>"32"</f>
        <v>32</v>
      </c>
      <c r="D11299" t="str">
        <f>"The Lion's Roar"</f>
        <v>The Lion's Roar</v>
      </c>
    </row>
    <row r="11300" spans="1:4" x14ac:dyDescent="0.2">
      <c r="A11300" t="str">
        <f>"11299"</f>
        <v>11299</v>
      </c>
      <c r="B11300" t="str">
        <f>"0.85"</f>
        <v>0.85</v>
      </c>
      <c r="C11300" t="str">
        <f>"31"</f>
        <v>31</v>
      </c>
      <c r="D11300" t="str">
        <f>"Amaranthine"</f>
        <v>Amaranthine</v>
      </c>
    </row>
    <row r="11301" spans="1:4" x14ac:dyDescent="0.2">
      <c r="A11301" t="str">
        <f>"11300"</f>
        <v>11300</v>
      </c>
      <c r="B11301" t="str">
        <f>"-0.45"</f>
        <v>-0.45</v>
      </c>
      <c r="C11301" t="str">
        <f>"44"</f>
        <v>44</v>
      </c>
      <c r="D11301" t="str">
        <f>"Attack on Memory"</f>
        <v>Attack on Memory</v>
      </c>
    </row>
    <row r="11302" spans="1:4" x14ac:dyDescent="0.2">
      <c r="A11302" t="str">
        <f>"11301"</f>
        <v>11301</v>
      </c>
      <c r="B11302" t="str">
        <f>"0.32"</f>
        <v>0.32</v>
      </c>
      <c r="C11302" t="str">
        <f>"35"</f>
        <v>35</v>
      </c>
      <c r="D11302" t="str">
        <f>"DirteeTV.com"</f>
        <v>DirteeTV.com</v>
      </c>
    </row>
    <row r="11303" spans="1:4" x14ac:dyDescent="0.2">
      <c r="A11303" t="str">
        <f>"11302"</f>
        <v>11302</v>
      </c>
      <c r="B11303" t="str">
        <f>"0.21"</f>
        <v>0.21</v>
      </c>
      <c r="C11303" t="str">
        <f>"22"</f>
        <v>22</v>
      </c>
      <c r="D11303" t="str">
        <f>"The Stars Are Indifferent to Astronomy"</f>
        <v>The Stars Are Indifferent to Astronomy</v>
      </c>
    </row>
    <row r="11304" spans="1:4" x14ac:dyDescent="0.2">
      <c r="A11304" t="str">
        <f>"11303"</f>
        <v>11303</v>
      </c>
      <c r="B11304" t="str">
        <f>"-0.92"</f>
        <v>-0.92</v>
      </c>
      <c r="C11304" t="str">
        <f>"22"</f>
        <v>22</v>
      </c>
      <c r="D11304" t="str">
        <f>"Vodka &amp; Ayahuasca"</f>
        <v>Vodka &amp; Ayahuasca</v>
      </c>
    </row>
    <row r="11305" spans="1:4" x14ac:dyDescent="0.2">
      <c r="A11305" t="str">
        <f>"11304"</f>
        <v>11304</v>
      </c>
      <c r="B11305" t="str">
        <f>"0.17"</f>
        <v>0.17</v>
      </c>
      <c r="C11305" t="str">
        <f>"17"</f>
        <v>17</v>
      </c>
      <c r="D11305" t="str">
        <f>"Hubble Drums"</f>
        <v>Hubble Drums</v>
      </c>
    </row>
    <row r="11306" spans="1:4" x14ac:dyDescent="0.2">
      <c r="A11306" t="str">
        <f>"11305"</f>
        <v>11305</v>
      </c>
      <c r="B11306" t="str">
        <f>"1.64"</f>
        <v>1.64</v>
      </c>
      <c r="C11306" t="str">
        <f>"26"</f>
        <v>26</v>
      </c>
      <c r="D11306" t="str">
        <f>"Something"</f>
        <v>Something</v>
      </c>
    </row>
    <row r="11307" spans="1:4" x14ac:dyDescent="0.2">
      <c r="A11307" t="str">
        <f>"11306"</f>
        <v>11306</v>
      </c>
      <c r="B11307" t="str">
        <f>"-0.13"</f>
        <v>-0.13</v>
      </c>
      <c r="C11307" t="str">
        <f>"20"</f>
        <v>20</v>
      </c>
      <c r="D11307" t="str">
        <f>"SXLND EP"</f>
        <v>SXLND EP</v>
      </c>
    </row>
    <row r="11308" spans="1:4" x14ac:dyDescent="0.2">
      <c r="A11308" t="str">
        <f>"11307"</f>
        <v>11307</v>
      </c>
      <c r="B11308" t="str">
        <f>"0.47"</f>
        <v>0.47</v>
      </c>
      <c r="C11308" t="str">
        <f>"35"</f>
        <v>35</v>
      </c>
      <c r="D11308" t="str">
        <f>"Unemployed"</f>
        <v>Unemployed</v>
      </c>
    </row>
    <row r="11309" spans="1:4" x14ac:dyDescent="0.2">
      <c r="A11309" t="str">
        <f>"11308"</f>
        <v>11308</v>
      </c>
      <c r="B11309" t="str">
        <f>"0.92"</f>
        <v>0.92</v>
      </c>
      <c r="C11309" t="str">
        <f>"22"</f>
        <v>22</v>
      </c>
      <c r="D11309" t="str">
        <f>"Praktica"</f>
        <v>Praktica</v>
      </c>
    </row>
    <row r="11310" spans="1:4" x14ac:dyDescent="0.2">
      <c r="A11310" t="str">
        <f>"11309"</f>
        <v>11309</v>
      </c>
      <c r="B11310" t="str">
        <f>"-0.12"</f>
        <v>-0.12</v>
      </c>
      <c r="C11310" t="str">
        <f>"34"</f>
        <v>34</v>
      </c>
      <c r="D11310" t="str">
        <f>"Back on Time"</f>
        <v>Back on Time</v>
      </c>
    </row>
    <row r="11311" spans="1:4" x14ac:dyDescent="0.2">
      <c r="A11311" t="str">
        <f>"11310"</f>
        <v>11310</v>
      </c>
      <c r="B11311" t="str">
        <f>"0.85"</f>
        <v>0.85</v>
      </c>
      <c r="C11311" t="str">
        <f>"25"</f>
        <v>25</v>
      </c>
      <c r="D11311" t="str">
        <f>"Headcage EP"</f>
        <v>Headcage EP</v>
      </c>
    </row>
    <row r="11312" spans="1:4" x14ac:dyDescent="0.2">
      <c r="A11312" t="str">
        <f>"11311"</f>
        <v>11311</v>
      </c>
      <c r="B11312" t="str">
        <f>"0.5"</f>
        <v>0.5</v>
      </c>
      <c r="C11312" t="str">
        <f>"24"</f>
        <v>24</v>
      </c>
      <c r="D11312" t="str">
        <f>"Fallen Empires"</f>
        <v>Fallen Empires</v>
      </c>
    </row>
    <row r="11313" spans="1:4" x14ac:dyDescent="0.2">
      <c r="A11313" t="str">
        <f>"11312"</f>
        <v>11312</v>
      </c>
      <c r="B11313" t="str">
        <f>"1.61"</f>
        <v>1.61</v>
      </c>
      <c r="C11313" t="str">
        <f>"28"</f>
        <v>28</v>
      </c>
      <c r="D11313" t="str">
        <f>"Kinks in Mono"</f>
        <v>Kinks in Mono</v>
      </c>
    </row>
    <row r="11314" spans="1:4" x14ac:dyDescent="0.2">
      <c r="A11314" t="str">
        <f>"11313"</f>
        <v>11313</v>
      </c>
      <c r="B11314" t="str">
        <f>"-0.81"</f>
        <v>-0.81</v>
      </c>
      <c r="C11314" t="str">
        <f>"32"</f>
        <v>32</v>
      </c>
      <c r="D11314" t="str">
        <f>"Freermasonry"</f>
        <v>Freermasonry</v>
      </c>
    </row>
    <row r="11315" spans="1:4" x14ac:dyDescent="0.2">
      <c r="A11315" t="str">
        <f>"11314"</f>
        <v>11314</v>
      </c>
      <c r="B11315" t="str">
        <f>"-0.41"</f>
        <v>-0.41</v>
      </c>
      <c r="C11315" t="str">
        <f>"29"</f>
        <v>29</v>
      </c>
      <c r="D11315" t="str">
        <f>"Dimensional Rip 7: Thee Physical Remixes"</f>
        <v>Dimensional Rip 7: Thee Physical Remixes</v>
      </c>
    </row>
    <row r="11316" spans="1:4" x14ac:dyDescent="0.2">
      <c r="A11316" t="str">
        <f>"11315"</f>
        <v>11315</v>
      </c>
      <c r="B11316" t="str">
        <f>"-0.32"</f>
        <v>-0.32</v>
      </c>
      <c r="C11316" t="str">
        <f>"27"</f>
        <v>27</v>
      </c>
      <c r="D11316" t="str">
        <f>"Voyageur"</f>
        <v>Voyageur</v>
      </c>
    </row>
    <row r="11317" spans="1:4" x14ac:dyDescent="0.2">
      <c r="A11317" t="str">
        <f>"11316"</f>
        <v>11316</v>
      </c>
      <c r="B11317" t="str">
        <f>"0.69"</f>
        <v>0.69</v>
      </c>
      <c r="C11317" t="str">
        <f>"15"</f>
        <v>15</v>
      </c>
      <c r="D11317" t="str">
        <f>"CYRK"</f>
        <v>CYRK</v>
      </c>
    </row>
    <row r="11318" spans="1:4" x14ac:dyDescent="0.2">
      <c r="A11318" t="str">
        <f>"11317"</f>
        <v>11317</v>
      </c>
      <c r="B11318" t="str">
        <f>"-0.86"</f>
        <v>-0.86</v>
      </c>
      <c r="C11318" t="str">
        <f>"33"</f>
        <v>33</v>
      </c>
      <c r="D11318" t="str">
        <f>"Friend of the People"</f>
        <v>Friend of the People</v>
      </c>
    </row>
    <row r="11319" spans="1:4" x14ac:dyDescent="0.2">
      <c r="A11319" t="str">
        <f>"11318"</f>
        <v>11318</v>
      </c>
      <c r="B11319" t="str">
        <f>"-0.36"</f>
        <v>-0.36</v>
      </c>
      <c r="C11319" t="str">
        <f>"43"</f>
        <v>43</v>
      </c>
      <c r="D11319" t="str">
        <f>"Iron Balls of Steel"</f>
        <v>Iron Balls of Steel</v>
      </c>
    </row>
    <row r="11320" spans="1:4" x14ac:dyDescent="0.2">
      <c r="A11320" t="str">
        <f>"11319"</f>
        <v>11319</v>
      </c>
      <c r="B11320" t="str">
        <f>"-0.29"</f>
        <v>-0.29</v>
      </c>
      <c r="C11320" t="str">
        <f>"25"</f>
        <v>25</v>
      </c>
      <c r="D11320" t="str">
        <f>"Dark Matters"</f>
        <v>Dark Matters</v>
      </c>
    </row>
    <row r="11321" spans="1:4" x14ac:dyDescent="0.2">
      <c r="A11321" t="str">
        <f>"11320"</f>
        <v>11320</v>
      </c>
      <c r="B11321" t="str">
        <f>"0.2"</f>
        <v>0.2</v>
      </c>
      <c r="C11321" t="str">
        <f>"32"</f>
        <v>32</v>
      </c>
      <c r="D11321" t="str">
        <f>"The Girl With the Dragon Tattoo OST"</f>
        <v>The Girl With the Dragon Tattoo OST</v>
      </c>
    </row>
    <row r="11322" spans="1:4" x14ac:dyDescent="0.2">
      <c r="A11322" t="str">
        <f>"11321"</f>
        <v>11321</v>
      </c>
      <c r="B11322" t="str">
        <f>"-1.13"</f>
        <v>-1.13</v>
      </c>
      <c r="C11322" t="str">
        <f>"34"</f>
        <v>34</v>
      </c>
      <c r="D11322" t="str">
        <f>"Fuck Da City Up"</f>
        <v>Fuck Da City Up</v>
      </c>
    </row>
    <row r="11323" spans="1:4" x14ac:dyDescent="0.2">
      <c r="A11323" t="str">
        <f>"11322"</f>
        <v>11322</v>
      </c>
      <c r="B11323" t="str">
        <f>"-0.2"</f>
        <v>-0.2</v>
      </c>
      <c r="C11323" t="str">
        <f>"37"</f>
        <v>37</v>
      </c>
      <c r="D11323" t="str">
        <f>"Evolve or Be Extinct"</f>
        <v>Evolve or Be Extinct</v>
      </c>
    </row>
    <row r="11324" spans="1:4" x14ac:dyDescent="0.2">
      <c r="A11324" t="str">
        <f>"11323"</f>
        <v>11323</v>
      </c>
      <c r="B11324" t="str">
        <f>"0.88"</f>
        <v>0.88</v>
      </c>
      <c r="C11324" t="str">
        <f>"23"</f>
        <v>23</v>
      </c>
      <c r="D11324" t="str">
        <f>"Hymns"</f>
        <v>Hymns</v>
      </c>
    </row>
    <row r="11325" spans="1:4" x14ac:dyDescent="0.2">
      <c r="A11325" t="str">
        <f>"11324"</f>
        <v>11324</v>
      </c>
      <c r="B11325" t="str">
        <f>"0.53"</f>
        <v>0.53</v>
      </c>
      <c r="C11325" t="str">
        <f>"24"</f>
        <v>24</v>
      </c>
      <c r="D11325" t="str">
        <f>"Blue Dream &amp; Lean"</f>
        <v>Blue Dream &amp; Lean</v>
      </c>
    </row>
    <row r="11326" spans="1:4" x14ac:dyDescent="0.2">
      <c r="A11326" t="str">
        <f>"11325"</f>
        <v>11325</v>
      </c>
      <c r="B11326" t="str">
        <f>"-1.88"</f>
        <v>-1.88</v>
      </c>
      <c r="C11326" t="str">
        <f>"19"</f>
        <v>19</v>
      </c>
      <c r="D11326" t="str">
        <f>"Future This"</f>
        <v>Future This</v>
      </c>
    </row>
    <row r="11327" spans="1:4" x14ac:dyDescent="0.2">
      <c r="A11327" t="str">
        <f>"11326"</f>
        <v>11326</v>
      </c>
      <c r="B11327" t="str">
        <f>"0.11"</f>
        <v>0.11</v>
      </c>
      <c r="C11327" t="str">
        <f>"45"</f>
        <v>45</v>
      </c>
      <c r="D11327" t="str">
        <f>"Unexpected Victory"</f>
        <v>Unexpected Victory</v>
      </c>
    </row>
    <row r="11328" spans="1:4" x14ac:dyDescent="0.2">
      <c r="A11328" t="str">
        <f>"11327"</f>
        <v>11327</v>
      </c>
      <c r="B11328" t="str">
        <f>"-0.24"</f>
        <v>-0.24</v>
      </c>
      <c r="C11328" t="str">
        <f>"29"</f>
        <v>29</v>
      </c>
      <c r="D11328" t="str">
        <f>"It's the Arps"</f>
        <v>It's the Arps</v>
      </c>
    </row>
    <row r="11329" spans="1:4" x14ac:dyDescent="0.2">
      <c r="A11329" t="str">
        <f>"11328"</f>
        <v>11328</v>
      </c>
      <c r="B11329" t="str">
        <f>"1.08"</f>
        <v>1.08</v>
      </c>
      <c r="C11329" t="str">
        <f>"22"</f>
        <v>22</v>
      </c>
      <c r="D11329" t="str">
        <f>"Natural Traits"</f>
        <v>Natural Traits</v>
      </c>
    </row>
    <row r="11330" spans="1:4" x14ac:dyDescent="0.2">
      <c r="A11330" t="str">
        <f>"11329"</f>
        <v>11329</v>
      </c>
      <c r="B11330" t="str">
        <f>"0.78"</f>
        <v>0.78</v>
      </c>
      <c r="C11330" t="str">
        <f>"21"</f>
        <v>21</v>
      </c>
      <c r="D11330" t="str">
        <f>"Morning &amp; Sunrise"</f>
        <v>Morning &amp; Sunrise</v>
      </c>
    </row>
    <row r="11331" spans="1:4" x14ac:dyDescent="0.2">
      <c r="A11331" t="str">
        <f>"11330"</f>
        <v>11330</v>
      </c>
      <c r="B11331" t="str">
        <f>"0.21"</f>
        <v>0.21</v>
      </c>
      <c r="C11331" t="str">
        <f>"31"</f>
        <v>31</v>
      </c>
      <c r="D11331" t="str">
        <f>"Rich Forever"</f>
        <v>Rich Forever</v>
      </c>
    </row>
    <row r="11332" spans="1:4" x14ac:dyDescent="0.2">
      <c r="A11332" t="str">
        <f>"11331"</f>
        <v>11331</v>
      </c>
      <c r="B11332" t="str">
        <f>"0.06"</f>
        <v>0.06</v>
      </c>
      <c r="C11332" t="str">
        <f>"63"</f>
        <v>63</v>
      </c>
      <c r="D11332" t="str">
        <f>"Journey of the Deep Sea Dweller I"</f>
        <v>Journey of the Deep Sea Dweller I</v>
      </c>
    </row>
    <row r="11333" spans="1:4" x14ac:dyDescent="0.2">
      <c r="A11333" t="str">
        <f>"11332"</f>
        <v>11332</v>
      </c>
      <c r="B11333" t="str">
        <f>"-0.47"</f>
        <v>-0.47</v>
      </c>
      <c r="C11333" t="str">
        <f>"44"</f>
        <v>44</v>
      </c>
      <c r="D11333" t="str">
        <f>"Inhale C-4 $$$$$"</f>
        <v>Inhale C-4 $$$$$</v>
      </c>
    </row>
    <row r="11334" spans="1:4" x14ac:dyDescent="0.2">
      <c r="A11334" t="str">
        <f>"11333"</f>
        <v>11333</v>
      </c>
      <c r="B11334" t="str">
        <f>"0.36"</f>
        <v>0.36</v>
      </c>
      <c r="C11334" t="str">
        <f>"27"</f>
        <v>27</v>
      </c>
      <c r="D11334" t="str">
        <f>"Fabriclive 61"</f>
        <v>Fabriclive 61</v>
      </c>
    </row>
    <row r="11335" spans="1:4" x14ac:dyDescent="0.2">
      <c r="A11335" t="str">
        <f>"11334"</f>
        <v>11334</v>
      </c>
      <c r="B11335" t="str">
        <f>"0.1"</f>
        <v>0.1</v>
      </c>
      <c r="C11335" t="str">
        <f>"46"</f>
        <v>46</v>
      </c>
      <c r="D11335" t="str">
        <f>"Five Years With the Sun EP"</f>
        <v>Five Years With the Sun EP</v>
      </c>
    </row>
    <row r="11336" spans="1:4" x14ac:dyDescent="0.2">
      <c r="A11336" t="str">
        <f>"11335"</f>
        <v>11335</v>
      </c>
      <c r="B11336" t="str">
        <f>"0.26"</f>
        <v>0.26</v>
      </c>
      <c r="C11336" t="str">
        <f>"35"</f>
        <v>35</v>
      </c>
      <c r="D11336" t="str">
        <f>"Alone III: The Pinkerton Years"</f>
        <v>Alone III: The Pinkerton Years</v>
      </c>
    </row>
    <row r="11337" spans="1:4" x14ac:dyDescent="0.2">
      <c r="A11337" t="str">
        <f>"11336"</f>
        <v>11336</v>
      </c>
      <c r="B11337" t="str">
        <f>"-0.11"</f>
        <v>-0.11</v>
      </c>
      <c r="C11337" t="str">
        <f>"29"</f>
        <v>29</v>
      </c>
      <c r="D11337" t="str">
        <f>"OvalDNA"</f>
        <v>OvalDNA</v>
      </c>
    </row>
    <row r="11338" spans="1:4" x14ac:dyDescent="0.2">
      <c r="A11338" t="str">
        <f>"11337"</f>
        <v>11337</v>
      </c>
      <c r="B11338" t="str">
        <f>"-0.19"</f>
        <v>-0.19</v>
      </c>
      <c r="C11338" t="str">
        <f>"28"</f>
        <v>28</v>
      </c>
      <c r="D11338" t="str">
        <f>"Slime Flu 2"</f>
        <v>Slime Flu 2</v>
      </c>
    </row>
    <row r="11339" spans="1:4" x14ac:dyDescent="0.2">
      <c r="A11339" t="str">
        <f>"11338"</f>
        <v>11338</v>
      </c>
      <c r="B11339" t="str">
        <f>"-0.49"</f>
        <v>-0.49</v>
      </c>
      <c r="C11339" t="str">
        <f>"30"</f>
        <v>30</v>
      </c>
      <c r="D11339" t="str">
        <f>"Live at Artists Space"</f>
        <v>Live at Artists Space</v>
      </c>
    </row>
    <row r="11340" spans="1:4" x14ac:dyDescent="0.2">
      <c r="A11340" t="str">
        <f>"11339"</f>
        <v>11339</v>
      </c>
      <c r="B11340" t="str">
        <f>"0.27"</f>
        <v>0.27</v>
      </c>
      <c r="C11340" t="str">
        <f>"21"</f>
        <v>21</v>
      </c>
      <c r="D11340" t="str">
        <f>"Rush Hour Presents Amsterdam All Stars"</f>
        <v>Rush Hour Presents Amsterdam All Stars</v>
      </c>
    </row>
    <row r="11341" spans="1:4" x14ac:dyDescent="0.2">
      <c r="A11341" t="str">
        <f>"11340"</f>
        <v>11340</v>
      </c>
      <c r="B11341" t="str">
        <f>"0.29"</f>
        <v>0.29</v>
      </c>
      <c r="C11341" t="str">
        <f>"35"</f>
        <v>35</v>
      </c>
      <c r="D11341" t="str">
        <f>"Live at the Paramount"</f>
        <v>Live at the Paramount</v>
      </c>
    </row>
    <row r="11342" spans="1:4" x14ac:dyDescent="0.2">
      <c r="A11342" t="str">
        <f>"11341"</f>
        <v>11341</v>
      </c>
      <c r="B11342" t="str">
        <f>"0.66"</f>
        <v>0.66</v>
      </c>
      <c r="C11342" t="str">
        <f>"36"</f>
        <v>36</v>
      </c>
      <c r="D11342" t="str">
        <f>"Henge Beat"</f>
        <v>Henge Beat</v>
      </c>
    </row>
    <row r="11343" spans="1:4" x14ac:dyDescent="0.2">
      <c r="A11343" t="str">
        <f>"11342"</f>
        <v>11342</v>
      </c>
      <c r="B11343" t="str">
        <f>"0.3"</f>
        <v>0.3</v>
      </c>
      <c r="C11343" t="str">
        <f>"22"</f>
        <v>22</v>
      </c>
      <c r="D11343" t="str">
        <f>"Shadows EP"</f>
        <v>Shadows EP</v>
      </c>
    </row>
    <row r="11344" spans="1:4" x14ac:dyDescent="0.2">
      <c r="A11344" t="str">
        <f>"11343"</f>
        <v>11343</v>
      </c>
      <c r="B11344" t="str">
        <f>"1.06"</f>
        <v>1.06</v>
      </c>
      <c r="C11344" t="str">
        <f>"40"</f>
        <v>40</v>
      </c>
      <c r="D11344" t="str">
        <f>"Escort"</f>
        <v>Escort</v>
      </c>
    </row>
    <row r="11345" spans="1:4" x14ac:dyDescent="0.2">
      <c r="A11345" t="str">
        <f>"11344"</f>
        <v>11344</v>
      </c>
      <c r="B11345" t="str">
        <f>"-0.71"</f>
        <v>-0.71</v>
      </c>
      <c r="C11345" t="str">
        <f>"22"</f>
        <v>22</v>
      </c>
      <c r="D11345" t="str">
        <f>"Black Cocaine EP"</f>
        <v>Black Cocaine EP</v>
      </c>
    </row>
    <row r="11346" spans="1:4" x14ac:dyDescent="0.2">
      <c r="A11346" t="str">
        <f>"11345"</f>
        <v>11345</v>
      </c>
      <c r="B11346" t="str">
        <f>"0.05"</f>
        <v>0.05</v>
      </c>
      <c r="C11346" t="str">
        <f>"31"</f>
        <v>31</v>
      </c>
      <c r="D11346" t="str">
        <f>"The Dreamer/The Believer"</f>
        <v>The Dreamer/The Believer</v>
      </c>
    </row>
    <row r="11347" spans="1:4" x14ac:dyDescent="0.2">
      <c r="A11347" t="str">
        <f>"11346"</f>
        <v>11346</v>
      </c>
      <c r="B11347" t="str">
        <f>"-1.12"</f>
        <v>-1.12</v>
      </c>
      <c r="C11347" t="str">
        <f>"42"</f>
        <v>42</v>
      </c>
      <c r="D11347" t="str">
        <f>"Elemental Parts 1 &amp; 2"</f>
        <v>Elemental Parts 1 &amp; 2</v>
      </c>
    </row>
    <row r="11348" spans="1:4" x14ac:dyDescent="0.2">
      <c r="A11348" t="str">
        <f>"11347"</f>
        <v>11347</v>
      </c>
      <c r="B11348" t="str">
        <f>"0.66"</f>
        <v>0.66</v>
      </c>
      <c r="C11348" t="str">
        <f>"34"</f>
        <v>34</v>
      </c>
      <c r="D11348" t="str">
        <f>"Bobby Charles"</f>
        <v>Bobby Charles</v>
      </c>
    </row>
    <row r="11349" spans="1:4" x14ac:dyDescent="0.2">
      <c r="A11349" t="str">
        <f>"11348"</f>
        <v>11348</v>
      </c>
      <c r="B11349" t="str">
        <f>"-0.91"</f>
        <v>-0.91</v>
      </c>
      <c r="C11349" t="str">
        <f>"27"</f>
        <v>27</v>
      </c>
      <c r="D11349" t="str">
        <f>"Items"</f>
        <v>Items</v>
      </c>
    </row>
    <row r="11350" spans="1:4" x14ac:dyDescent="0.2">
      <c r="A11350" t="str">
        <f>"11349"</f>
        <v>11349</v>
      </c>
      <c r="B11350" t="str">
        <f>"0.08"</f>
        <v>0.08</v>
      </c>
      <c r="C11350" t="str">
        <f>"34"</f>
        <v>34</v>
      </c>
      <c r="D11350" t="str">
        <f>"Vienna Blue"</f>
        <v>Vienna Blue</v>
      </c>
    </row>
    <row r="11351" spans="1:4" x14ac:dyDescent="0.2">
      <c r="A11351" t="str">
        <f>"11350"</f>
        <v>11350</v>
      </c>
      <c r="B11351" t="str">
        <f>"0.67"</f>
        <v>0.67</v>
      </c>
      <c r="C11351" t="str">
        <f>"78"</f>
        <v>78</v>
      </c>
      <c r="D11351" t="str">
        <f>"Box Set"</f>
        <v>Box Set</v>
      </c>
    </row>
    <row r="11352" spans="1:4" x14ac:dyDescent="0.2">
      <c r="A11352" t="str">
        <f>"11351"</f>
        <v>11351</v>
      </c>
      <c r="B11352" t="str">
        <f>"-0.1"</f>
        <v>-0.1</v>
      </c>
      <c r="C11352" t="str">
        <f>"22"</f>
        <v>22</v>
      </c>
      <c r="D11352" t="str">
        <f>"Boss of All Bosses 3"</f>
        <v>Boss of All Bosses 3</v>
      </c>
    </row>
    <row r="11353" spans="1:4" x14ac:dyDescent="0.2">
      <c r="A11353" t="str">
        <f>"11352"</f>
        <v>11352</v>
      </c>
      <c r="B11353" t="str">
        <f>"0.16"</f>
        <v>0.16</v>
      </c>
      <c r="C11353" t="str">
        <f>"38"</f>
        <v>38</v>
      </c>
      <c r="D11353" t="str">
        <f>"Free Again: The ""1970"" Sessions"</f>
        <v>Free Again: The "1970" Sessions</v>
      </c>
    </row>
    <row r="11354" spans="1:4" x14ac:dyDescent="0.2">
      <c r="A11354" t="str">
        <f>"11353"</f>
        <v>11353</v>
      </c>
      <c r="B11354" t="str">
        <f>"-0.11"</f>
        <v>-0.11</v>
      </c>
      <c r="C11354" t="str">
        <f>"24"</f>
        <v>24</v>
      </c>
      <c r="D11354" t="str">
        <f>"Black Flute"</f>
        <v>Black Flute</v>
      </c>
    </row>
    <row r="11355" spans="1:4" x14ac:dyDescent="0.2">
      <c r="A11355" t="str">
        <f>"11354"</f>
        <v>11354</v>
      </c>
      <c r="B11355" t="str">
        <f>"0.51"</f>
        <v>0.51</v>
      </c>
      <c r="C11355" t="str">
        <f>"29"</f>
        <v>29</v>
      </c>
      <c r="D11355" t="str">
        <f>"Glimmer"</f>
        <v>Glimmer</v>
      </c>
    </row>
    <row r="11356" spans="1:4" x14ac:dyDescent="0.2">
      <c r="A11356" t="str">
        <f>"11355"</f>
        <v>11355</v>
      </c>
      <c r="B11356" t="str">
        <f>"-0.85"</f>
        <v>-0.85</v>
      </c>
      <c r="C11356" t="str">
        <f>"32"</f>
        <v>32</v>
      </c>
      <c r="D11356" t="str">
        <f>"Themes For an Imaginary Film"</f>
        <v>Themes For an Imaginary Film</v>
      </c>
    </row>
    <row r="11357" spans="1:4" x14ac:dyDescent="0.2">
      <c r="A11357" t="str">
        <f>"11356"</f>
        <v>11356</v>
      </c>
      <c r="B11357" t="str">
        <f>"0.98"</f>
        <v>0.98</v>
      </c>
      <c r="C11357" t="str">
        <f>"35"</f>
        <v>35</v>
      </c>
      <c r="D11357" t="str">
        <f>"Bestival Live 2011"</f>
        <v>Bestival Live 2011</v>
      </c>
    </row>
    <row r="11358" spans="1:4" x14ac:dyDescent="0.2">
      <c r="A11358" t="str">
        <f>"11357"</f>
        <v>11357</v>
      </c>
      <c r="B11358" t="str">
        <f>"-0.19"</f>
        <v>-0.19</v>
      </c>
      <c r="C11358" t="str">
        <f>"27"</f>
        <v>27</v>
      </c>
      <c r="D11358" t="str">
        <f>"Back $ellin' Crack"</f>
        <v>Back $ellin' Crack</v>
      </c>
    </row>
    <row r="11359" spans="1:4" x14ac:dyDescent="0.2">
      <c r="A11359" t="str">
        <f>"11358"</f>
        <v>11358</v>
      </c>
      <c r="B11359" t="str">
        <f>"-0.42"</f>
        <v>-0.42</v>
      </c>
      <c r="C11359" t="str">
        <f>"39"</f>
        <v>39</v>
      </c>
      <c r="D11359" t="str">
        <f>"Jet World Order"</f>
        <v>Jet World Order</v>
      </c>
    </row>
    <row r="11360" spans="1:4" x14ac:dyDescent="0.2">
      <c r="A11360" t="str">
        <f>"11359"</f>
        <v>11359</v>
      </c>
      <c r="B11360" t="str">
        <f>"0.36"</f>
        <v>0.36</v>
      </c>
      <c r="C11360" t="str">
        <f>"20"</f>
        <v>20</v>
      </c>
      <c r="D11360" t="str">
        <f>"Spills Out"</f>
        <v>Spills Out</v>
      </c>
    </row>
    <row r="11361" spans="1:4" x14ac:dyDescent="0.2">
      <c r="A11361" t="str">
        <f>"11360"</f>
        <v>11360</v>
      </c>
      <c r="B11361" t="str">
        <f>"0.62"</f>
        <v>0.62</v>
      </c>
      <c r="C11361" t="str">
        <f>"29"</f>
        <v>29</v>
      </c>
      <c r="D11361" t="str">
        <f>"Love What Happened Here EP"</f>
        <v>Love What Happened Here EP</v>
      </c>
    </row>
    <row r="11362" spans="1:4" x14ac:dyDescent="0.2">
      <c r="A11362" t="str">
        <f>"11361"</f>
        <v>11361</v>
      </c>
      <c r="B11362" t="str">
        <f>"-0.24"</f>
        <v>-0.24</v>
      </c>
      <c r="C11362" t="str">
        <f>"28"</f>
        <v>28</v>
      </c>
      <c r="D11362" t="str">
        <f>"Merry eXmas &amp; Suck My Dick"</f>
        <v>Merry eXmas &amp; Suck My Dick</v>
      </c>
    </row>
    <row r="11363" spans="1:4" x14ac:dyDescent="0.2">
      <c r="A11363" t="str">
        <f>"11362"</f>
        <v>11362</v>
      </c>
      <c r="B11363" t="str">
        <f>"0.45"</f>
        <v>0.45</v>
      </c>
      <c r="C11363" t="str">
        <f>"34"</f>
        <v>34</v>
      </c>
      <c r="D11363" t="str">
        <f>"BAYTL"</f>
        <v>BAYTL</v>
      </c>
    </row>
    <row r="11364" spans="1:4" x14ac:dyDescent="0.2">
      <c r="A11364" t="str">
        <f>"11363"</f>
        <v>11363</v>
      </c>
      <c r="B11364" t="str">
        <f>"-0.45"</f>
        <v>-0.45</v>
      </c>
      <c r="C11364" t="str">
        <f>"28"</f>
        <v>28</v>
      </c>
      <c r="D11364" t="str">
        <f>"I Want What You Want"</f>
        <v>I Want What You Want</v>
      </c>
    </row>
    <row r="11365" spans="1:4" x14ac:dyDescent="0.2">
      <c r="A11365" t="str">
        <f>"11364"</f>
        <v>11364</v>
      </c>
      <c r="B11365" t="str">
        <f>"-0.62"</f>
        <v>-0.62</v>
      </c>
      <c r="C11365" t="str">
        <f>"25"</f>
        <v>25</v>
      </c>
      <c r="D11365" t="str">
        <f>"Stay Asleep (Regression Vol. 2)"</f>
        <v>Stay Asleep (Regression Vol. 2)</v>
      </c>
    </row>
    <row r="11366" spans="1:4" x14ac:dyDescent="0.2">
      <c r="A11366" t="str">
        <f>"11365"</f>
        <v>11365</v>
      </c>
      <c r="B11366" t="str">
        <f>"0.78"</f>
        <v>0.78</v>
      </c>
      <c r="C11366" t="str">
        <f>"53"</f>
        <v>53</v>
      </c>
      <c r="D11366" t="str">
        <f>"Let's Go Eat the Factory"</f>
        <v>Let's Go Eat the Factory</v>
      </c>
    </row>
    <row r="11367" spans="1:4" x14ac:dyDescent="0.2">
      <c r="A11367" t="str">
        <f>"11366"</f>
        <v>11366</v>
      </c>
      <c r="B11367" t="str">
        <f>"-0.45"</f>
        <v>-0.45</v>
      </c>
      <c r="C11367" t="str">
        <f>"25"</f>
        <v>25</v>
      </c>
      <c r="D11367" t="str">
        <f>"Purple Naked Ladies"</f>
        <v>Purple Naked Ladies</v>
      </c>
    </row>
    <row r="11368" spans="1:4" x14ac:dyDescent="0.2">
      <c r="A11368" t="str">
        <f>"11367"</f>
        <v>11367</v>
      </c>
      <c r="B11368" t="str">
        <f>"0.23"</f>
        <v>0.23</v>
      </c>
      <c r="C11368" t="str">
        <f>"27"</f>
        <v>27</v>
      </c>
      <c r="D11368" t="str">
        <f>"Fabriclive 60"</f>
        <v>Fabriclive 60</v>
      </c>
    </row>
    <row r="11369" spans="1:4" x14ac:dyDescent="0.2">
      <c r="A11369" t="str">
        <f>"11368"</f>
        <v>11368</v>
      </c>
      <c r="B11369" t="str">
        <f>"-0.43"</f>
        <v>-0.43</v>
      </c>
      <c r="C11369" t="str">
        <f>"22"</f>
        <v>22</v>
      </c>
      <c r="D11369" t="str">
        <f>"Both Ways Open Jaws"</f>
        <v>Both Ways Open Jaws</v>
      </c>
    </row>
    <row r="11370" spans="1:4" x14ac:dyDescent="0.2">
      <c r="A11370" t="str">
        <f>"11369"</f>
        <v>11369</v>
      </c>
      <c r="B11370" t="str">
        <f>"0.5"</f>
        <v>0.5</v>
      </c>
      <c r="C11370" t="str">
        <f>"19"</f>
        <v>19</v>
      </c>
      <c r="D11370" t="str">
        <f>"Vantaa"</f>
        <v>Vantaa</v>
      </c>
    </row>
    <row r="11371" spans="1:4" x14ac:dyDescent="0.2">
      <c r="A11371" t="str">
        <f>"11370"</f>
        <v>11370</v>
      </c>
      <c r="B11371" t="str">
        <f>"-0.28"</f>
        <v>-0.28</v>
      </c>
      <c r="C11371" t="str">
        <f>"34"</f>
        <v>34</v>
      </c>
      <c r="D11371" t="str">
        <f>"Echoes of Silence"</f>
        <v>Echoes of Silence</v>
      </c>
    </row>
    <row r="11372" spans="1:4" x14ac:dyDescent="0.2">
      <c r="A11372" t="str">
        <f>"11371"</f>
        <v>11371</v>
      </c>
      <c r="B11372" t="str">
        <f>"0.22"</f>
        <v>0.22</v>
      </c>
      <c r="C11372" t="str">
        <f>"33"</f>
        <v>33</v>
      </c>
      <c r="D11372" t="str">
        <f>"Thug Motivation 103: Hustlerz Ambition"</f>
        <v>Thug Motivation 103: Hustlerz Ambition</v>
      </c>
    </row>
    <row r="11373" spans="1:4" x14ac:dyDescent="0.2">
      <c r="A11373" t="str">
        <f>"11372"</f>
        <v>11372</v>
      </c>
      <c r="B11373" t="str">
        <f>"-0.39"</f>
        <v>-0.39</v>
      </c>
      <c r="C11373" t="str">
        <f>"37"</f>
        <v>37</v>
      </c>
      <c r="D11373" t="str">
        <f>"ØØ VOID"</f>
        <v>ØØ VOID</v>
      </c>
    </row>
    <row r="11374" spans="1:4" x14ac:dyDescent="0.2">
      <c r="A11374" t="str">
        <f>"11373"</f>
        <v>11373</v>
      </c>
      <c r="B11374" t="str">
        <f>"0.52"</f>
        <v>0.52</v>
      </c>
      <c r="C11374" t="str">
        <f>"23"</f>
        <v>23</v>
      </c>
      <c r="D11374" t="str">
        <f>"Grimm Reality"</f>
        <v>Grimm Reality</v>
      </c>
    </row>
    <row r="11375" spans="1:4" x14ac:dyDescent="0.2">
      <c r="A11375" t="str">
        <f>"11374"</f>
        <v>11374</v>
      </c>
      <c r="B11375" t="str">
        <f>"0.01"</f>
        <v>0.01</v>
      </c>
      <c r="C11375" t="str">
        <f>"55"</f>
        <v>55</v>
      </c>
      <c r="D11375" t="str">
        <f>"Works: Selected Remixes 2006-2010"</f>
        <v>Works: Selected Remixes 2006-2010</v>
      </c>
    </row>
    <row r="11376" spans="1:4" x14ac:dyDescent="0.2">
      <c r="A11376" t="str">
        <f>"11375"</f>
        <v>11375</v>
      </c>
      <c r="B11376" t="str">
        <f>"0.93"</f>
        <v>0.93</v>
      </c>
      <c r="C11376" t="str">
        <f>"24"</f>
        <v>24</v>
      </c>
      <c r="D11376" t="str">
        <f>"Free All the Monsters"</f>
        <v>Free All the Monsters</v>
      </c>
    </row>
    <row r="11377" spans="1:4" x14ac:dyDescent="0.2">
      <c r="A11377" t="str">
        <f>"11376"</f>
        <v>11376</v>
      </c>
      <c r="B11377" t="str">
        <f>"-0.44"</f>
        <v>-0.44</v>
      </c>
      <c r="C11377" t="str">
        <f>"18"</f>
        <v>18</v>
      </c>
      <c r="D11377" t="str">
        <f>"Big Bells and Dime Songs"</f>
        <v>Big Bells and Dime Songs</v>
      </c>
    </row>
    <row r="11378" spans="1:4" x14ac:dyDescent="0.2">
      <c r="A11378" t="str">
        <f>"11377"</f>
        <v>11377</v>
      </c>
      <c r="B11378" t="str">
        <f>"-0.03"</f>
        <v>-0.03</v>
      </c>
      <c r="C11378" t="str">
        <f>"21"</f>
        <v>21</v>
      </c>
      <c r="D11378" t="str">
        <f>"Nothing EP"</f>
        <v>Nothing EP</v>
      </c>
    </row>
    <row r="11379" spans="1:4" x14ac:dyDescent="0.2">
      <c r="A11379" t="str">
        <f>"11378"</f>
        <v>11378</v>
      </c>
      <c r="B11379" t="str">
        <f>"-0.14"</f>
        <v>-0.14</v>
      </c>
      <c r="C11379" t="str">
        <f>"20"</f>
        <v>20</v>
      </c>
      <c r="D11379" t="str">
        <f>"Live in New York"</f>
        <v>Live in New York</v>
      </c>
    </row>
    <row r="11380" spans="1:4" x14ac:dyDescent="0.2">
      <c r="A11380" t="str">
        <f>"11379"</f>
        <v>11379</v>
      </c>
      <c r="B11380" t="str">
        <f>"-0.27"</f>
        <v>-0.27</v>
      </c>
      <c r="C11380" t="str">
        <f>"20"</f>
        <v>20</v>
      </c>
      <c r="D11380" t="str">
        <f>"Brumalia EP"</f>
        <v>Brumalia EP</v>
      </c>
    </row>
    <row r="11381" spans="1:4" x14ac:dyDescent="0.2">
      <c r="A11381" t="str">
        <f>"11380"</f>
        <v>11380</v>
      </c>
      <c r="B11381" t="str">
        <f>"0.45"</f>
        <v>0.45</v>
      </c>
      <c r="C11381" t="str">
        <f>"17"</f>
        <v>17</v>
      </c>
      <c r="D11381" t="str">
        <f>"Sacred &amp; Profane Love EP"</f>
        <v>Sacred &amp; Profane Love EP</v>
      </c>
    </row>
    <row r="11382" spans="1:4" x14ac:dyDescent="0.2">
      <c r="A11382" t="str">
        <f>"11381"</f>
        <v>11381</v>
      </c>
      <c r="B11382" t="str">
        <f>"-1.02"</f>
        <v>-1.02</v>
      </c>
      <c r="C11382" t="str">
        <f>"31"</f>
        <v>31</v>
      </c>
      <c r="D11382" t="str">
        <f>"Starting Over"</f>
        <v>Starting Over</v>
      </c>
    </row>
    <row r="11383" spans="1:4" x14ac:dyDescent="0.2">
      <c r="A11383" t="str">
        <f>"11382"</f>
        <v>11382</v>
      </c>
      <c r="B11383" t="str">
        <f>"0.09"</f>
        <v>0.09</v>
      </c>
      <c r="C11383" t="str">
        <f>"22"</f>
        <v>22</v>
      </c>
      <c r="D11383" t="str">
        <f>"Tragedy &amp; Geometry"</f>
        <v>Tragedy &amp; Geometry</v>
      </c>
    </row>
    <row r="11384" spans="1:4" x14ac:dyDescent="0.2">
      <c r="A11384" t="str">
        <f>"11383"</f>
        <v>11383</v>
      </c>
      <c r="B11384" t="str">
        <f>"0.58"</f>
        <v>0.58</v>
      </c>
      <c r="C11384" t="str">
        <f>"30"</f>
        <v>30</v>
      </c>
      <c r="D11384" t="str">
        <f>"Lioness: Hidden Treasures"</f>
        <v>Lioness: Hidden Treasures</v>
      </c>
    </row>
    <row r="11385" spans="1:4" x14ac:dyDescent="0.2">
      <c r="A11385" t="str">
        <f>"11384"</f>
        <v>11384</v>
      </c>
      <c r="B11385" t="str">
        <f>"0.35"</f>
        <v>0.35</v>
      </c>
      <c r="C11385" t="str">
        <f>"34"</f>
        <v>34</v>
      </c>
      <c r="D11385" t="str">
        <f>"Tago Mago [40th Anniversary Edition]"</f>
        <v>Tago Mago [40th Anniversary Edition]</v>
      </c>
    </row>
    <row r="11386" spans="1:4" x14ac:dyDescent="0.2">
      <c r="A11386" t="str">
        <f>"11385"</f>
        <v>11385</v>
      </c>
      <c r="B11386" t="str">
        <f>"-0.26"</f>
        <v>-0.26</v>
      </c>
      <c r="C11386" t="str">
        <f>"31"</f>
        <v>31</v>
      </c>
      <c r="D11386" t="str">
        <f>"Darkside EP"</f>
        <v>Darkside EP</v>
      </c>
    </row>
    <row r="11387" spans="1:4" x14ac:dyDescent="0.2">
      <c r="A11387" t="str">
        <f>"11386"</f>
        <v>11386</v>
      </c>
      <c r="B11387" t="str">
        <f>"0.48"</f>
        <v>0.48</v>
      </c>
      <c r="C11387" t="str">
        <f>"21"</f>
        <v>21</v>
      </c>
      <c r="D11387" t="str">
        <f>"Live Music"</f>
        <v>Live Music</v>
      </c>
    </row>
    <row r="11388" spans="1:4" x14ac:dyDescent="0.2">
      <c r="A11388" t="str">
        <f>"11387"</f>
        <v>11387</v>
      </c>
      <c r="B11388" t="str">
        <f>"-0.61"</f>
        <v>-0.61</v>
      </c>
      <c r="C11388" t="str">
        <f>"29"</f>
        <v>29</v>
      </c>
      <c r="D11388" t="str">
        <f>"The Award Tour EP"</f>
        <v>The Award Tour EP</v>
      </c>
    </row>
    <row r="11389" spans="1:4" x14ac:dyDescent="0.2">
      <c r="A11389" t="str">
        <f>"11388"</f>
        <v>11388</v>
      </c>
      <c r="B11389" t="str">
        <f>"0.29"</f>
        <v>0.29</v>
      </c>
      <c r="C11389" t="str">
        <f>"30"</f>
        <v>30</v>
      </c>
      <c r="D11389" t="str">
        <f>"HDCD Box Set"</f>
        <v>HDCD Box Set</v>
      </c>
    </row>
    <row r="11390" spans="1:4" x14ac:dyDescent="0.2">
      <c r="A11390" t="str">
        <f>"11389"</f>
        <v>11389</v>
      </c>
      <c r="B11390" t="str">
        <f>"-0.35"</f>
        <v>-0.35</v>
      </c>
      <c r="C11390" t="str">
        <f>"35"</f>
        <v>35</v>
      </c>
      <c r="D11390" t="str">
        <f>"Emika"</f>
        <v>Emika</v>
      </c>
    </row>
    <row r="11391" spans="1:4" x14ac:dyDescent="0.2">
      <c r="A11391" t="str">
        <f>"11390"</f>
        <v>11390</v>
      </c>
      <c r="B11391" t="str">
        <f>"-0.38"</f>
        <v>-0.38</v>
      </c>
      <c r="C11391" t="str">
        <f>"31"</f>
        <v>31</v>
      </c>
      <c r="D11391" t="str">
        <f>"Blue Slide Park"</f>
        <v>Blue Slide Park</v>
      </c>
    </row>
    <row r="11392" spans="1:4" x14ac:dyDescent="0.2">
      <c r="A11392" t="str">
        <f>"11391"</f>
        <v>11391</v>
      </c>
      <c r="B11392" t="str">
        <f>"0.71"</f>
        <v>0.71</v>
      </c>
      <c r="C11392" t="str">
        <f>"44"</f>
        <v>44</v>
      </c>
      <c r="D11392" t="str">
        <f>"Bambara Mystic Soul: The Raw Sound of Burkina Faso 1974-1979"</f>
        <v>Bambara Mystic Soul: The Raw Sound of Burkina Faso 1974-1979</v>
      </c>
    </row>
    <row r="11393" spans="1:4" x14ac:dyDescent="0.2">
      <c r="A11393" t="str">
        <f>"11392"</f>
        <v>11392</v>
      </c>
      <c r="B11393" t="str">
        <f>"-0.86"</f>
        <v>-0.86</v>
      </c>
      <c r="C11393" t="str">
        <f>"32"</f>
        <v>32</v>
      </c>
      <c r="D11393" t="str">
        <f>"Dust Collision"</f>
        <v>Dust Collision</v>
      </c>
    </row>
    <row r="11394" spans="1:4" x14ac:dyDescent="0.2">
      <c r="A11394" t="str">
        <f>"11393"</f>
        <v>11393</v>
      </c>
      <c r="B11394" t="str">
        <f>"-0.56"</f>
        <v>-0.56</v>
      </c>
      <c r="C11394" t="str">
        <f>"103"</f>
        <v>103</v>
      </c>
      <c r="D11394" t="str">
        <f>"The Second Annual Report of Throbbing Gristle"</f>
        <v>The Second Annual Report of Throbbing Gristle</v>
      </c>
    </row>
    <row r="11395" spans="1:4" x14ac:dyDescent="0.2">
      <c r="A11395" t="str">
        <f>"11394"</f>
        <v>11394</v>
      </c>
      <c r="B11395" t="str">
        <f>"0.83"</f>
        <v>0.83</v>
      </c>
      <c r="C11395" t="str">
        <f>"21"</f>
        <v>21</v>
      </c>
      <c r="D11395" t="str">
        <f>"Stage Whisper"</f>
        <v>Stage Whisper</v>
      </c>
    </row>
    <row r="11396" spans="1:4" x14ac:dyDescent="0.2">
      <c r="A11396" t="str">
        <f>"11395"</f>
        <v>11395</v>
      </c>
      <c r="B11396" t="str">
        <f>"0.45"</f>
        <v>0.45</v>
      </c>
      <c r="C11396" t="str">
        <f>"21"</f>
        <v>21</v>
      </c>
      <c r="D11396" t="str">
        <f>"Campus Martius"</f>
        <v>Campus Martius</v>
      </c>
    </row>
    <row r="11397" spans="1:4" x14ac:dyDescent="0.2">
      <c r="A11397" t="str">
        <f>"11396"</f>
        <v>11396</v>
      </c>
      <c r="B11397" t="str">
        <f>"-0.54"</f>
        <v>-0.54</v>
      </c>
      <c r="C11397" t="str">
        <f>"19"</f>
        <v>19</v>
      </c>
      <c r="D11397" t="str">
        <f>"The Roy Tapes"</f>
        <v>The Roy Tapes</v>
      </c>
    </row>
    <row r="11398" spans="1:4" x14ac:dyDescent="0.2">
      <c r="A11398" t="str">
        <f>"11397"</f>
        <v>11397</v>
      </c>
      <c r="B11398" t="str">
        <f>"-0.17"</f>
        <v>-0.17</v>
      </c>
      <c r="C11398" t="str">
        <f>"35"</f>
        <v>35</v>
      </c>
      <c r="D11398" t="str">
        <f>"So Many Things"</f>
        <v>So Many Things</v>
      </c>
    </row>
    <row r="11399" spans="1:4" x14ac:dyDescent="0.2">
      <c r="A11399" t="str">
        <f>"11398"</f>
        <v>11398</v>
      </c>
      <c r="B11399" t="str">
        <f>"-1.29"</f>
        <v>-1.29</v>
      </c>
      <c r="C11399" t="str">
        <f>"38"</f>
        <v>38</v>
      </c>
      <c r="D11399" t="str">
        <f>"Undun"</f>
        <v>Undun</v>
      </c>
    </row>
    <row r="11400" spans="1:4" x14ac:dyDescent="0.2">
      <c r="A11400" t="str">
        <f>"11399"</f>
        <v>11399</v>
      </c>
      <c r="B11400" t="str">
        <f>"0.38"</f>
        <v>0.38</v>
      </c>
      <c r="C11400" t="str">
        <f>"21"</f>
        <v>21</v>
      </c>
      <c r="D11400" t="str">
        <f>"Flumina"</f>
        <v>Flumina</v>
      </c>
    </row>
    <row r="11401" spans="1:4" x14ac:dyDescent="0.2">
      <c r="A11401" t="str">
        <f>"11400"</f>
        <v>11400</v>
      </c>
      <c r="B11401" t="str">
        <f>"0.19"</f>
        <v>0.19</v>
      </c>
      <c r="C11401" t="str">
        <f>"17"</f>
        <v>17</v>
      </c>
      <c r="D11401" t="str">
        <f>"Tumble Bee"</f>
        <v>Tumble Bee</v>
      </c>
    </row>
    <row r="11402" spans="1:4" x14ac:dyDescent="0.2">
      <c r="A11402" t="str">
        <f>"11401"</f>
        <v>11401</v>
      </c>
      <c r="B11402" t="str">
        <f>"0.5"</f>
        <v>0.5</v>
      </c>
      <c r="C11402" t="str">
        <f>"21"</f>
        <v>21</v>
      </c>
      <c r="D11402" t="str">
        <f>"Part IV"</f>
        <v>Part IV</v>
      </c>
    </row>
    <row r="11403" spans="1:4" x14ac:dyDescent="0.2">
      <c r="A11403" t="str">
        <f>"11402"</f>
        <v>11402</v>
      </c>
      <c r="B11403" t="str">
        <f>"0.4"</f>
        <v>0.4</v>
      </c>
      <c r="C11403" t="str">
        <f>"28"</f>
        <v>28</v>
      </c>
      <c r="D11403" t="str">
        <f>"Drawing of Threes"</f>
        <v>Drawing of Threes</v>
      </c>
    </row>
    <row r="11404" spans="1:4" x14ac:dyDescent="0.2">
      <c r="A11404" t="str">
        <f>"11403"</f>
        <v>11403</v>
      </c>
      <c r="B11404" t="str">
        <f>"1.3"</f>
        <v>1.3</v>
      </c>
      <c r="C11404" t="str">
        <f>"31"</f>
        <v>31</v>
      </c>
      <c r="D11404" t="str">
        <f>"We Bought a Zoo OST"</f>
        <v>We Bought a Zoo OST</v>
      </c>
    </row>
    <row r="11405" spans="1:4" x14ac:dyDescent="0.2">
      <c r="A11405" t="str">
        <f>"11404"</f>
        <v>11404</v>
      </c>
      <c r="B11405" t="str">
        <f>"0.43"</f>
        <v>0.43</v>
      </c>
      <c r="C11405" t="str">
        <f>"15"</f>
        <v>15</v>
      </c>
      <c r="D11405" t="str">
        <f>"Yamantaka // Sonic Titan"</f>
        <v>Yamantaka // Sonic Titan</v>
      </c>
    </row>
    <row r="11406" spans="1:4" x14ac:dyDescent="0.2">
      <c r="A11406" t="str">
        <f>"11405"</f>
        <v>11405</v>
      </c>
      <c r="B11406" t="str">
        <f>"0.47"</f>
        <v>0.47</v>
      </c>
      <c r="C11406" t="str">
        <f>"18"</f>
        <v>18</v>
      </c>
      <c r="D11406" t="str">
        <f>"Kiss &amp; Tell EP"</f>
        <v>Kiss &amp; Tell EP</v>
      </c>
    </row>
    <row r="11407" spans="1:4" x14ac:dyDescent="0.2">
      <c r="A11407" t="str">
        <f>"11406"</f>
        <v>11406</v>
      </c>
      <c r="B11407" t="str">
        <f>"0.5"</f>
        <v>0.5</v>
      </c>
      <c r="C11407" t="str">
        <f>"42"</f>
        <v>42</v>
      </c>
      <c r="D11407" t="str">
        <f>"Daydream Repeater"</f>
        <v>Daydream Repeater</v>
      </c>
    </row>
    <row r="11408" spans="1:4" x14ac:dyDescent="0.2">
      <c r="A11408" t="str">
        <f>"11407"</f>
        <v>11407</v>
      </c>
      <c r="B11408" t="str">
        <f>"-0.33"</f>
        <v>-0.33</v>
      </c>
      <c r="C11408" t="str">
        <f>"23"</f>
        <v>23</v>
      </c>
      <c r="D11408" t="str">
        <f>"Quilt"</f>
        <v>Quilt</v>
      </c>
    </row>
    <row r="11409" spans="1:4" x14ac:dyDescent="0.2">
      <c r="A11409" t="str">
        <f>"11408"</f>
        <v>11408</v>
      </c>
      <c r="B11409" t="str">
        <f>"0"</f>
        <v>0</v>
      </c>
      <c r="C11409" t="str">
        <f>"50"</f>
        <v>50</v>
      </c>
      <c r="D11409" t="str">
        <f>"El Camino"</f>
        <v>El Camino</v>
      </c>
    </row>
    <row r="11410" spans="1:4" x14ac:dyDescent="0.2">
      <c r="A11410" t="str">
        <f>"11409"</f>
        <v>11409</v>
      </c>
      <c r="B11410" t="str">
        <f>"-1.21"</f>
        <v>-1.21</v>
      </c>
      <c r="C11410" t="str">
        <f>"35"</f>
        <v>35</v>
      </c>
      <c r="D11410" t="str">
        <f>"Camp"</f>
        <v>Camp</v>
      </c>
    </row>
    <row r="11411" spans="1:4" x14ac:dyDescent="0.2">
      <c r="A11411" t="str">
        <f>"11410"</f>
        <v>11410</v>
      </c>
      <c r="B11411" t="str">
        <f>"0.35"</f>
        <v>0.35</v>
      </c>
      <c r="C11411" t="str">
        <f>"28"</f>
        <v>28</v>
      </c>
      <c r="D11411" t="str">
        <f>"Well-Done"</f>
        <v>Well-Done</v>
      </c>
    </row>
    <row r="11412" spans="1:4" x14ac:dyDescent="0.2">
      <c r="A11412" t="str">
        <f>"11411"</f>
        <v>11411</v>
      </c>
      <c r="B11412" t="str">
        <f>"1.75"</f>
        <v>1.75</v>
      </c>
      <c r="C11412" t="str">
        <f>"23"</f>
        <v>23</v>
      </c>
      <c r="D11412" t="str">
        <f>"Radiant Door EP"</f>
        <v>Radiant Door EP</v>
      </c>
    </row>
    <row r="11413" spans="1:4" x14ac:dyDescent="0.2">
      <c r="A11413" t="str">
        <f>"11412"</f>
        <v>11412</v>
      </c>
      <c r="B11413" t="str">
        <f>"0.37"</f>
        <v>0.37</v>
      </c>
      <c r="C11413" t="str">
        <f>"33"</f>
        <v>33</v>
      </c>
      <c r="D11413" t="s">
        <v>339</v>
      </c>
    </row>
    <row r="11414" spans="1:4" x14ac:dyDescent="0.2">
      <c r="A11414" t="str">
        <f>"11413"</f>
        <v>11413</v>
      </c>
      <c r="B11414" t="str">
        <f>"0.31"</f>
        <v>0.31</v>
      </c>
      <c r="C11414" t="str">
        <f>"34"</f>
        <v>34</v>
      </c>
      <c r="D11414" t="str">
        <f>"Radioactive"</f>
        <v>Radioactive</v>
      </c>
    </row>
    <row r="11415" spans="1:4" x14ac:dyDescent="0.2">
      <c r="A11415" t="str">
        <f>"11414"</f>
        <v>11414</v>
      </c>
      <c r="B11415" t="str">
        <f>"-1.24"</f>
        <v>-1.24</v>
      </c>
      <c r="C11415" t="str">
        <f>"29"</f>
        <v>29</v>
      </c>
      <c r="D11415" t="str">
        <f>"Ersatz G.B."</f>
        <v>Ersatz G.B.</v>
      </c>
    </row>
    <row r="11416" spans="1:4" x14ac:dyDescent="0.2">
      <c r="A11416" t="str">
        <f>"11415"</f>
        <v>11415</v>
      </c>
      <c r="B11416" t="str">
        <f>"0.76"</f>
        <v>0.76</v>
      </c>
      <c r="C11416" t="str">
        <f>"23"</f>
        <v>23</v>
      </c>
      <c r="D11416" t="str">
        <f>"The Singles Collection 2001-2011"</f>
        <v>The Singles Collection 2001-2011</v>
      </c>
    </row>
    <row r="11417" spans="1:4" x14ac:dyDescent="0.2">
      <c r="A11417" t="str">
        <f>"11416"</f>
        <v>11416</v>
      </c>
      <c r="B11417" t="str">
        <f>"-0.26"</f>
        <v>-0.26</v>
      </c>
      <c r="C11417" t="str">
        <f>"34"</f>
        <v>34</v>
      </c>
      <c r="D11417" t="str">
        <f>"BasedGod Velli"</f>
        <v>BasedGod Velli</v>
      </c>
    </row>
    <row r="11418" spans="1:4" x14ac:dyDescent="0.2">
      <c r="A11418" t="str">
        <f>"11417"</f>
        <v>11417</v>
      </c>
      <c r="B11418" t="str">
        <f>"-1.19"</f>
        <v>-1.19</v>
      </c>
      <c r="C11418" t="str">
        <f>"19"</f>
        <v>19</v>
      </c>
      <c r="D11418" t="str">
        <f>"I'm Still in the Night EP"</f>
        <v>I'm Still in the Night EP</v>
      </c>
    </row>
    <row r="11419" spans="1:4" x14ac:dyDescent="0.2">
      <c r="A11419" t="str">
        <f>"11418"</f>
        <v>11418</v>
      </c>
      <c r="B11419" t="str">
        <f>"-0.77"</f>
        <v>-0.77</v>
      </c>
      <c r="C11419" t="str">
        <f>"44"</f>
        <v>44</v>
      </c>
      <c r="D11419" t="str">
        <f>"Satan Is Real"</f>
        <v>Satan Is Real</v>
      </c>
    </row>
    <row r="11420" spans="1:4" x14ac:dyDescent="0.2">
      <c r="A11420" t="str">
        <f>"11419"</f>
        <v>11419</v>
      </c>
      <c r="B11420" t="str">
        <f>"0.97"</f>
        <v>0.97</v>
      </c>
      <c r="C11420" t="str">
        <f>"27"</f>
        <v>27</v>
      </c>
      <c r="D11420" t="str">
        <f>"Classic"</f>
        <v>Classic</v>
      </c>
    </row>
    <row r="11421" spans="1:4" x14ac:dyDescent="0.2">
      <c r="A11421" t="str">
        <f>"11420"</f>
        <v>11420</v>
      </c>
      <c r="B11421" t="str">
        <f>"0.53"</f>
        <v>0.53</v>
      </c>
      <c r="C11421" t="str">
        <f>"37"</f>
        <v>37</v>
      </c>
      <c r="D11421" t="str">
        <f>"Gish [Deluxe Edition]"</f>
        <v>Gish [Deluxe Edition]</v>
      </c>
    </row>
    <row r="11422" spans="1:4" x14ac:dyDescent="0.2">
      <c r="A11422" t="str">
        <f>"11421"</f>
        <v>11421</v>
      </c>
      <c r="B11422" t="str">
        <f>"-0.32"</f>
        <v>-0.32</v>
      </c>
      <c r="C11422" t="str">
        <f>"24"</f>
        <v>24</v>
      </c>
      <c r="D11422" t="str">
        <f>"Dreama EP"</f>
        <v>Dreama EP</v>
      </c>
    </row>
    <row r="11423" spans="1:4" x14ac:dyDescent="0.2">
      <c r="A11423" t="str">
        <f>"11422"</f>
        <v>11422</v>
      </c>
      <c r="B11423" t="str">
        <f>"1.3"</f>
        <v>1.3</v>
      </c>
      <c r="C11423" t="str">
        <f>"24"</f>
        <v>24</v>
      </c>
      <c r="D11423" t="str">
        <f>"Dive"</f>
        <v>Dive</v>
      </c>
    </row>
    <row r="11424" spans="1:4" x14ac:dyDescent="0.2">
      <c r="A11424" t="str">
        <f>"11423"</f>
        <v>11423</v>
      </c>
      <c r="B11424" t="str">
        <f>"0.24"</f>
        <v>0.24</v>
      </c>
      <c r="C11424" t="str">
        <f>"24"</f>
        <v>24</v>
      </c>
      <c r="D11424" t="str">
        <f>"No Kings"</f>
        <v>No Kings</v>
      </c>
    </row>
    <row r="11425" spans="1:4" x14ac:dyDescent="0.2">
      <c r="A11425" t="str">
        <f>"11424"</f>
        <v>11424</v>
      </c>
      <c r="B11425" t="str">
        <f>"-0.58"</f>
        <v>-0.58</v>
      </c>
      <c r="C11425" t="str">
        <f>"48"</f>
        <v>48</v>
      </c>
      <c r="D11425" t="str">
        <f>"Keep Your Dreams"</f>
        <v>Keep Your Dreams</v>
      </c>
    </row>
    <row r="11426" spans="1:4" x14ac:dyDescent="0.2">
      <c r="A11426" t="str">
        <f>"11425"</f>
        <v>11425</v>
      </c>
      <c r="B11426" t="str">
        <f>"0.47"</f>
        <v>0.47</v>
      </c>
      <c r="C11426" t="str">
        <f>"35"</f>
        <v>35</v>
      </c>
      <c r="D11426" t="str">
        <f>"Talk That Talk"</f>
        <v>Talk That Talk</v>
      </c>
    </row>
    <row r="11427" spans="1:4" x14ac:dyDescent="0.2">
      <c r="A11427" t="str">
        <f>"11426"</f>
        <v>11426</v>
      </c>
      <c r="B11427" t="str">
        <f>"0.5"</f>
        <v>0.5</v>
      </c>
      <c r="C11427" t="str">
        <f>"48"</f>
        <v>48</v>
      </c>
      <c r="D11427" t="str">
        <f>"Singles: 2007-2010"</f>
        <v>Singles: 2007-2010</v>
      </c>
    </row>
    <row r="11428" spans="1:4" x14ac:dyDescent="0.2">
      <c r="A11428" t="str">
        <f>"11427"</f>
        <v>11427</v>
      </c>
      <c r="B11428" t="str">
        <f>"0.05"</f>
        <v>0.05</v>
      </c>
      <c r="C11428" t="str">
        <f>"48"</f>
        <v>48</v>
      </c>
      <c r="D11428" t="s">
        <v>340</v>
      </c>
    </row>
    <row r="11429" spans="1:4" x14ac:dyDescent="0.2">
      <c r="A11429" t="str">
        <f>"11428"</f>
        <v>11428</v>
      </c>
      <c r="B11429" t="str">
        <f>"0.94"</f>
        <v>0.94</v>
      </c>
      <c r="C11429" t="str">
        <f>"22"</f>
        <v>22</v>
      </c>
      <c r="D11429" t="str">
        <f>"Wild One"</f>
        <v>Wild One</v>
      </c>
    </row>
    <row r="11430" spans="1:4" x14ac:dyDescent="0.2">
      <c r="A11430" t="str">
        <f>"11429"</f>
        <v>11429</v>
      </c>
      <c r="B11430" t="str">
        <f>"0.22"</f>
        <v>0.22</v>
      </c>
      <c r="C11430" t="str">
        <f>"28"</f>
        <v>28</v>
      </c>
      <c r="D11430" t="str">
        <f>"Welcome to Condale"</f>
        <v>Welcome to Condale</v>
      </c>
    </row>
    <row r="11431" spans="1:4" x14ac:dyDescent="0.2">
      <c r="A11431" t="str">
        <f>"11430"</f>
        <v>11430</v>
      </c>
      <c r="B11431" t="str">
        <f>"0.21"</f>
        <v>0.21</v>
      </c>
      <c r="C11431" t="str">
        <f>"36"</f>
        <v>36</v>
      </c>
      <c r="D11431" t="str">
        <f>"Sepalcure"</f>
        <v>Sepalcure</v>
      </c>
    </row>
    <row r="11432" spans="1:4" x14ac:dyDescent="0.2">
      <c r="A11432" t="str">
        <f>"11431"</f>
        <v>11431</v>
      </c>
      <c r="B11432" t="str">
        <f>"-0.07"</f>
        <v>-0.07</v>
      </c>
      <c r="C11432" t="str">
        <f>"32"</f>
        <v>32</v>
      </c>
      <c r="D11432" t="str">
        <f>"Carrion Crawler/The Dream"</f>
        <v>Carrion Crawler/The Dream</v>
      </c>
    </row>
    <row r="11433" spans="1:4" x14ac:dyDescent="0.2">
      <c r="A11433" t="str">
        <f>"11432"</f>
        <v>11432</v>
      </c>
      <c r="B11433" t="str">
        <f>"0.27"</f>
        <v>0.27</v>
      </c>
      <c r="C11433" t="str">
        <f>"35"</f>
        <v>35</v>
      </c>
      <c r="D11433" t="str">
        <f>"New Album"</f>
        <v>New Album</v>
      </c>
    </row>
    <row r="11434" spans="1:4" x14ac:dyDescent="0.2">
      <c r="A11434" t="str">
        <f>"11433"</f>
        <v>11433</v>
      </c>
      <c r="B11434" t="str">
        <f>"0.85"</f>
        <v>0.85</v>
      </c>
      <c r="C11434" t="str">
        <f>"31"</f>
        <v>31</v>
      </c>
      <c r="D11434" t="str">
        <f>"U.S. Girls on KRAAK"</f>
        <v>U.S. Girls on KRAAK</v>
      </c>
    </row>
    <row r="11435" spans="1:4" x14ac:dyDescent="0.2">
      <c r="A11435" t="str">
        <f>"11434"</f>
        <v>11434</v>
      </c>
      <c r="B11435" t="str">
        <f>"-0.54"</f>
        <v>-0.54</v>
      </c>
      <c r="C11435" t="str">
        <f>"33"</f>
        <v>33</v>
      </c>
      <c r="D11435" t="str">
        <f>"Selections From Road Atlas 1998-2011"</f>
        <v>Selections From Road Atlas 1998-2011</v>
      </c>
    </row>
    <row r="11436" spans="1:4" x14ac:dyDescent="0.2">
      <c r="A11436" t="str">
        <f>"11435"</f>
        <v>11435</v>
      </c>
      <c r="B11436" t="str">
        <f>"0.47"</f>
        <v>0.47</v>
      </c>
      <c r="C11436" t="str">
        <f>"58"</f>
        <v>58</v>
      </c>
      <c r="D11436" t="str">
        <f>"50 Words for Snow"</f>
        <v>50 Words for Snow</v>
      </c>
    </row>
    <row r="11437" spans="1:4" x14ac:dyDescent="0.2">
      <c r="A11437" t="str">
        <f>"11436"</f>
        <v>11436</v>
      </c>
      <c r="B11437" t="str">
        <f>"-0.5"</f>
        <v>-0.5</v>
      </c>
      <c r="C11437" t="str">
        <f>"31"</f>
        <v>31</v>
      </c>
      <c r="D11437" t="str">
        <f>"iSLAND"</f>
        <v>iSLAND</v>
      </c>
    </row>
    <row r="11438" spans="1:4" x14ac:dyDescent="0.2">
      <c r="A11438" t="str">
        <f>"11437"</f>
        <v>11437</v>
      </c>
      <c r="B11438" t="str">
        <f>"-0.73"</f>
        <v>-0.73</v>
      </c>
      <c r="C11438" t="str">
        <f>"34"</f>
        <v>34</v>
      </c>
      <c r="D11438" t="str">
        <f>"(together) EP"</f>
        <v>(together) EP</v>
      </c>
    </row>
    <row r="11439" spans="1:4" x14ac:dyDescent="0.2">
      <c r="A11439" t="str">
        <f>"11438"</f>
        <v>11438</v>
      </c>
      <c r="B11439" t="str">
        <f>"0.43"</f>
        <v>0.43</v>
      </c>
      <c r="C11439" t="str">
        <f>"23"</f>
        <v>23</v>
      </c>
      <c r="D11439" t="str">
        <f>"FRKWYS Vol. 8"</f>
        <v>FRKWYS Vol. 8</v>
      </c>
    </row>
    <row r="11440" spans="1:4" x14ac:dyDescent="0.2">
      <c r="A11440" t="str">
        <f>"11439"</f>
        <v>11439</v>
      </c>
      <c r="B11440" t="str">
        <f>"-0.28"</f>
        <v>-0.28</v>
      </c>
      <c r="C11440" t="str">
        <f>"20"</f>
        <v>20</v>
      </c>
      <c r="D11440" t="str">
        <f>"Youth II EP"</f>
        <v>Youth II EP</v>
      </c>
    </row>
    <row r="11441" spans="1:4" x14ac:dyDescent="0.2">
      <c r="A11441" t="str">
        <f>"11440"</f>
        <v>11440</v>
      </c>
      <c r="B11441" t="str">
        <f>"-0.01"</f>
        <v>-0.01</v>
      </c>
      <c r="C11441" t="str">
        <f>"83"</f>
        <v>83</v>
      </c>
      <c r="D11441" t="str">
        <f>"The Smiths Complete"</f>
        <v>The Smiths Complete</v>
      </c>
    </row>
    <row r="11442" spans="1:4" x14ac:dyDescent="0.2">
      <c r="A11442" t="str">
        <f>"11441"</f>
        <v>11441</v>
      </c>
      <c r="B11442" t="str">
        <f>"-0.21"</f>
        <v>-0.21</v>
      </c>
      <c r="C11442" t="str">
        <f>"47"</f>
        <v>47</v>
      </c>
      <c r="D11442" t="str">
        <f>"Live at the South Bank"</f>
        <v>Live at the South Bank</v>
      </c>
    </row>
    <row r="11443" spans="1:4" x14ac:dyDescent="0.2">
      <c r="A11443" t="str">
        <f>"11442"</f>
        <v>11442</v>
      </c>
      <c r="B11443" t="str">
        <f>"0.81"</f>
        <v>0.81</v>
      </c>
      <c r="C11443" t="str">
        <f>"20"</f>
        <v>20</v>
      </c>
      <c r="D11443" t="str">
        <f>"Freeclouds"</f>
        <v>Freeclouds</v>
      </c>
    </row>
    <row r="11444" spans="1:4" x14ac:dyDescent="0.2">
      <c r="A11444" t="str">
        <f>"11443"</f>
        <v>11443</v>
      </c>
      <c r="B11444" t="str">
        <f>"-0.02"</f>
        <v>-0.02</v>
      </c>
      <c r="C11444" t="str">
        <f>"24"</f>
        <v>24</v>
      </c>
      <c r="D11444" t="str">
        <f>"Pinch &amp; Shackleton"</f>
        <v>Pinch &amp; Shackleton</v>
      </c>
    </row>
    <row r="11445" spans="1:4" x14ac:dyDescent="0.2">
      <c r="A11445" t="str">
        <f>"11444"</f>
        <v>11444</v>
      </c>
      <c r="B11445" t="str">
        <f>"-0.31"</f>
        <v>-0.31</v>
      </c>
      <c r="C11445" t="str">
        <f>"31"</f>
        <v>31</v>
      </c>
      <c r="D11445" t="str">
        <f>"Glossolalia EP"</f>
        <v>Glossolalia EP</v>
      </c>
    </row>
    <row r="11446" spans="1:4" x14ac:dyDescent="0.2">
      <c r="A11446" t="str">
        <f>"11445"</f>
        <v>11445</v>
      </c>
      <c r="B11446" t="str">
        <f>"0.48"</f>
        <v>0.48</v>
      </c>
      <c r="C11446" t="str">
        <f>"62"</f>
        <v>62</v>
      </c>
      <c r="D11446" t="str">
        <f>"Music From the Unrealized Film Script: Dusk at Cubist Castle"</f>
        <v>Music From the Unrealized Film Script: Dusk at Cubist Castle</v>
      </c>
    </row>
    <row r="11447" spans="1:4" x14ac:dyDescent="0.2">
      <c r="A11447" t="str">
        <f>"11446"</f>
        <v>11446</v>
      </c>
      <c r="B11447" t="str">
        <f>"0.75"</f>
        <v>0.75</v>
      </c>
      <c r="C11447" t="str">
        <f>"30"</f>
        <v>30</v>
      </c>
      <c r="D11447" t="str">
        <f>"Streetz Calling"</f>
        <v>Streetz Calling</v>
      </c>
    </row>
    <row r="11448" spans="1:4" x14ac:dyDescent="0.2">
      <c r="A11448" t="str">
        <f>"11447"</f>
        <v>11447</v>
      </c>
      <c r="B11448" t="str">
        <f>"-0.68"</f>
        <v>-0.68</v>
      </c>
      <c r="C11448" t="str">
        <f>"35"</f>
        <v>35</v>
      </c>
      <c r="D11448" t="str">
        <f>"777: The Desanctification"</f>
        <v>777: The Desanctification</v>
      </c>
    </row>
    <row r="11449" spans="1:4" x14ac:dyDescent="0.2">
      <c r="A11449" t="str">
        <f>"11448"</f>
        <v>11448</v>
      </c>
      <c r="B11449" t="str">
        <f>"-0.24"</f>
        <v>-0.24</v>
      </c>
      <c r="C11449" t="str">
        <f>"26"</f>
        <v>26</v>
      </c>
      <c r="D11449" t="str">
        <f>"Biasonic Hotsauce: Birth of the Nanocloud"</f>
        <v>Biasonic Hotsauce: Birth of the Nanocloud</v>
      </c>
    </row>
    <row r="11450" spans="1:4" x14ac:dyDescent="0.2">
      <c r="A11450" t="str">
        <f>"11449"</f>
        <v>11449</v>
      </c>
      <c r="B11450" t="str">
        <f>"-0.38"</f>
        <v>-0.38</v>
      </c>
      <c r="C11450" t="str">
        <f>"23"</f>
        <v>23</v>
      </c>
      <c r="D11450" t="s">
        <v>341</v>
      </c>
    </row>
    <row r="11451" spans="1:4" x14ac:dyDescent="0.2">
      <c r="A11451" t="str">
        <f>"11450"</f>
        <v>11450</v>
      </c>
      <c r="B11451" t="str">
        <f>"0.64"</f>
        <v>0.64</v>
      </c>
      <c r="C11451" t="str">
        <f>"26"</f>
        <v>26</v>
      </c>
      <c r="D11451" t="str">
        <f>"Inni"</f>
        <v>Inni</v>
      </c>
    </row>
    <row r="11452" spans="1:4" x14ac:dyDescent="0.2">
      <c r="A11452" t="str">
        <f>"11451"</f>
        <v>11451</v>
      </c>
      <c r="B11452" t="str">
        <f>"-0.07"</f>
        <v>-0.07</v>
      </c>
      <c r="C11452" t="str">
        <f>"34"</f>
        <v>34</v>
      </c>
      <c r="D11452" t="str">
        <f>"Hello Sadness"</f>
        <v>Hello Sadness</v>
      </c>
    </row>
    <row r="11453" spans="1:4" x14ac:dyDescent="0.2">
      <c r="A11453" t="str">
        <f>"11452"</f>
        <v>11452</v>
      </c>
      <c r="B11453" t="str">
        <f>"0.44"</f>
        <v>0.44</v>
      </c>
      <c r="C11453" t="str">
        <f>"21"</f>
        <v>21</v>
      </c>
      <c r="D11453" t="str">
        <f>"An Album by Korallreven"</f>
        <v>An Album by Korallreven</v>
      </c>
    </row>
    <row r="11454" spans="1:4" x14ac:dyDescent="0.2">
      <c r="A11454" t="str">
        <f>"11453"</f>
        <v>11453</v>
      </c>
      <c r="B11454" t="str">
        <f>"-0.64"</f>
        <v>-0.64</v>
      </c>
      <c r="C11454" t="str">
        <f>"19"</f>
        <v>19</v>
      </c>
      <c r="D11454" t="str">
        <f>"Hexagons EP"</f>
        <v>Hexagons EP</v>
      </c>
    </row>
    <row r="11455" spans="1:4" x14ac:dyDescent="0.2">
      <c r="A11455" t="str">
        <f>"11454"</f>
        <v>11454</v>
      </c>
      <c r="B11455" t="str">
        <f>"0.2"</f>
        <v>0.2</v>
      </c>
      <c r="C11455" t="str">
        <f>"27"</f>
        <v>27</v>
      </c>
      <c r="D11455" t="str">
        <f>"Sonne = Blackbox"</f>
        <v>Sonne = Blackbox</v>
      </c>
    </row>
    <row r="11456" spans="1:4" x14ac:dyDescent="0.2">
      <c r="A11456" t="str">
        <f>"11455"</f>
        <v>11455</v>
      </c>
      <c r="B11456" t="str">
        <f>"1.34"</f>
        <v>1.34</v>
      </c>
      <c r="C11456" t="str">
        <f>"23"</f>
        <v>23</v>
      </c>
      <c r="D11456" t="s">
        <v>342</v>
      </c>
    </row>
    <row r="11457" spans="1:4" x14ac:dyDescent="0.2">
      <c r="A11457" t="str">
        <f>"11456"</f>
        <v>11456</v>
      </c>
      <c r="B11457" t="str">
        <f>"-0.29"</f>
        <v>-0.29</v>
      </c>
      <c r="C11457" t="str">
        <f>"35"</f>
        <v>35</v>
      </c>
      <c r="D11457" t="str">
        <f>"Cold Day in Hell"</f>
        <v>Cold Day in Hell</v>
      </c>
    </row>
    <row r="11458" spans="1:4" x14ac:dyDescent="0.2">
      <c r="A11458" t="str">
        <f>"11457"</f>
        <v>11457</v>
      </c>
      <c r="B11458" t="str">
        <f>"-0.86"</f>
        <v>-0.86</v>
      </c>
      <c r="C11458" t="str">
        <f>"35"</f>
        <v>35</v>
      </c>
      <c r="D11458" t="str">
        <f>"The 9th Inning EP"</f>
        <v>The 9th Inning EP</v>
      </c>
    </row>
    <row r="11459" spans="1:4" x14ac:dyDescent="0.2">
      <c r="A11459" t="str">
        <f>"11458"</f>
        <v>11458</v>
      </c>
      <c r="B11459" t="str">
        <f>"0.82"</f>
        <v>0.82</v>
      </c>
      <c r="C11459" t="str">
        <f>"26"</f>
        <v>26</v>
      </c>
      <c r="D11459" t="str">
        <f>"Black Square"</f>
        <v>Black Square</v>
      </c>
    </row>
    <row r="11460" spans="1:4" x14ac:dyDescent="0.2">
      <c r="A11460" t="str">
        <f>"11459"</f>
        <v>11459</v>
      </c>
      <c r="B11460" t="str">
        <f>"0.82"</f>
        <v>0.82</v>
      </c>
      <c r="C11460" t="str">
        <f>"57"</f>
        <v>57</v>
      </c>
      <c r="D11460" t="str">
        <f>"Carbon-Based Anatomy EP"</f>
        <v>Carbon-Based Anatomy EP</v>
      </c>
    </row>
    <row r="11461" spans="1:4" x14ac:dyDescent="0.2">
      <c r="A11461" t="str">
        <f>"11460"</f>
        <v>11460</v>
      </c>
      <c r="B11461" t="str">
        <f>"0.23"</f>
        <v>0.23</v>
      </c>
      <c r="C11461" t="str">
        <f>"46"</f>
        <v>46</v>
      </c>
      <c r="D11461" t="str">
        <f>"Take Care"</f>
        <v>Take Care</v>
      </c>
    </row>
    <row r="11462" spans="1:4" x14ac:dyDescent="0.2">
      <c r="A11462" t="str">
        <f>"11461"</f>
        <v>11461</v>
      </c>
      <c r="B11462" t="str">
        <f>"-0.32"</f>
        <v>-0.32</v>
      </c>
      <c r="C11462" t="str">
        <f>"28"</f>
        <v>28</v>
      </c>
      <c r="D11462" t="str">
        <f>"Bangs &amp; Works Vol. 2"</f>
        <v>Bangs &amp; Works Vol. 2</v>
      </c>
    </row>
    <row r="11463" spans="1:4" x14ac:dyDescent="0.2">
      <c r="A11463" t="str">
        <f>"11462"</f>
        <v>11462</v>
      </c>
      <c r="B11463" t="str">
        <f>"-0.07"</f>
        <v>-0.07</v>
      </c>
      <c r="C11463" t="str">
        <f>"40"</f>
        <v>40</v>
      </c>
      <c r="D11463" t="str">
        <f>"Fuck Death"</f>
        <v>Fuck Death</v>
      </c>
    </row>
    <row r="11464" spans="1:4" x14ac:dyDescent="0.2">
      <c r="A11464" t="str">
        <f>"11463"</f>
        <v>11463</v>
      </c>
      <c r="B11464" t="str">
        <f>"-0.21"</f>
        <v>-0.21</v>
      </c>
      <c r="C11464" t="str">
        <f>"23"</f>
        <v>23</v>
      </c>
      <c r="D11464" t="str">
        <f>"Pan Am Stories"</f>
        <v>Pan Am Stories</v>
      </c>
    </row>
    <row r="11465" spans="1:4" x14ac:dyDescent="0.2">
      <c r="A11465" t="str">
        <f>"11464"</f>
        <v>11464</v>
      </c>
      <c r="B11465" t="str">
        <f>"-1.86"</f>
        <v>-1.86</v>
      </c>
      <c r="C11465" t="str">
        <f>"43"</f>
        <v>43</v>
      </c>
      <c r="D11465" t="s">
        <v>343</v>
      </c>
    </row>
    <row r="11466" spans="1:4" x14ac:dyDescent="0.2">
      <c r="A11466" t="str">
        <f>"11465"</f>
        <v>11465</v>
      </c>
      <c r="B11466" t="str">
        <f>"0.04"</f>
        <v>0.04</v>
      </c>
      <c r="C11466" t="str">
        <f>"43"</f>
        <v>43</v>
      </c>
      <c r="D11466" t="str">
        <f>"Replica"</f>
        <v>Replica</v>
      </c>
    </row>
    <row r="11467" spans="1:4" x14ac:dyDescent="0.2">
      <c r="A11467" t="str">
        <f>"11466"</f>
        <v>11466</v>
      </c>
      <c r="B11467" t="str">
        <f>"-0.93"</f>
        <v>-0.93</v>
      </c>
      <c r="C11467" t="str">
        <f>"28"</f>
        <v>28</v>
      </c>
      <c r="D11467" t="str">
        <f>"King Krule EP"</f>
        <v>King Krule EP</v>
      </c>
    </row>
    <row r="11468" spans="1:4" x14ac:dyDescent="0.2">
      <c r="A11468" t="str">
        <f>"11467"</f>
        <v>11467</v>
      </c>
      <c r="B11468" t="str">
        <f>"0.31"</f>
        <v>0.31</v>
      </c>
      <c r="C11468" t="str">
        <f>"25"</f>
        <v>25</v>
      </c>
      <c r="D11468" t="str">
        <f>"Atlantis"</f>
        <v>Atlantis</v>
      </c>
    </row>
    <row r="11469" spans="1:4" x14ac:dyDescent="0.2">
      <c r="A11469" t="str">
        <f>"11468"</f>
        <v>11468</v>
      </c>
      <c r="B11469" t="str">
        <f>"0.41"</f>
        <v>0.41</v>
      </c>
      <c r="C11469" t="str">
        <f>"22"</f>
        <v>22</v>
      </c>
      <c r="D11469" t="str">
        <f>"Empros"</f>
        <v>Empros</v>
      </c>
    </row>
    <row r="11470" spans="1:4" x14ac:dyDescent="0.2">
      <c r="A11470" t="str">
        <f>"11469"</f>
        <v>11469</v>
      </c>
      <c r="B11470" t="str">
        <f>"0.29"</f>
        <v>0.29</v>
      </c>
      <c r="C11470" t="str">
        <f>"21"</f>
        <v>21</v>
      </c>
      <c r="D11470" t="str">
        <f>"Collections 01"</f>
        <v>Collections 01</v>
      </c>
    </row>
    <row r="11471" spans="1:4" x14ac:dyDescent="0.2">
      <c r="A11471" t="str">
        <f>"11470"</f>
        <v>11470</v>
      </c>
      <c r="B11471" t="str">
        <f>"-0.47"</f>
        <v>-0.47</v>
      </c>
      <c r="C11471" t="str">
        <f>"68"</f>
        <v>68</v>
      </c>
      <c r="D11471" t="str">
        <f>"LIVELOVEA$AP"</f>
        <v>LIVELOVEA$AP</v>
      </c>
    </row>
    <row r="11472" spans="1:4" x14ac:dyDescent="0.2">
      <c r="A11472" t="str">
        <f>"11471"</f>
        <v>11471</v>
      </c>
      <c r="B11472" t="str">
        <f>"-0.24"</f>
        <v>-0.24</v>
      </c>
      <c r="C11472" t="str">
        <f>"29"</f>
        <v>29</v>
      </c>
      <c r="D11472" t="s">
        <v>344</v>
      </c>
    </row>
    <row r="11473" spans="1:4" x14ac:dyDescent="0.2">
      <c r="A11473" t="str">
        <f>"11472"</f>
        <v>11472</v>
      </c>
      <c r="B11473" t="str">
        <f>"-0.16"</f>
        <v>-0.16</v>
      </c>
      <c r="C11473" t="str">
        <f>"19"</f>
        <v>19</v>
      </c>
      <c r="D11473" t="str">
        <f>"Polymers Are Forever EP"</f>
        <v>Polymers Are Forever EP</v>
      </c>
    </row>
    <row r="11474" spans="1:4" x14ac:dyDescent="0.2">
      <c r="A11474" t="str">
        <f>"11473"</f>
        <v>11473</v>
      </c>
      <c r="B11474" t="str">
        <f>"0.1"</f>
        <v>0.1</v>
      </c>
      <c r="C11474" t="str">
        <f>"38"</f>
        <v>38</v>
      </c>
      <c r="D11474" t="str">
        <f>"1x1x1"</f>
        <v>1x1x1</v>
      </c>
    </row>
    <row r="11475" spans="1:4" x14ac:dyDescent="0.2">
      <c r="A11475" t="str">
        <f>"11474"</f>
        <v>11474</v>
      </c>
      <c r="B11475" t="str">
        <f>"0.37"</f>
        <v>0.37</v>
      </c>
      <c r="C11475" t="str">
        <f>"31"</f>
        <v>31</v>
      </c>
      <c r="D11475" t="str">
        <f>"Bad Penny"</f>
        <v>Bad Penny</v>
      </c>
    </row>
    <row r="11476" spans="1:4" x14ac:dyDescent="0.2">
      <c r="A11476" t="str">
        <f>"11475"</f>
        <v>11475</v>
      </c>
      <c r="B11476" t="str">
        <f>"0.34"</f>
        <v>0.34</v>
      </c>
      <c r="C11476" t="str">
        <f>"68"</f>
        <v>68</v>
      </c>
      <c r="D11476" t="str">
        <f>"Achtung Baby [Super Deluxe Edition]"</f>
        <v>Achtung Baby [Super Deluxe Edition]</v>
      </c>
    </row>
    <row r="11477" spans="1:4" x14ac:dyDescent="0.2">
      <c r="A11477" t="str">
        <f>"11476"</f>
        <v>11476</v>
      </c>
      <c r="B11477" t="str">
        <f>"0.27"</f>
        <v>0.27</v>
      </c>
      <c r="C11477" t="str">
        <f>"25"</f>
        <v>25</v>
      </c>
      <c r="D11477" t="str">
        <f>"Humor Risk"</f>
        <v>Humor Risk</v>
      </c>
    </row>
    <row r="11478" spans="1:4" x14ac:dyDescent="0.2">
      <c r="A11478" t="str">
        <f>"11477"</f>
        <v>11477</v>
      </c>
      <c r="B11478" t="str">
        <f>"0.55"</f>
        <v>0.55</v>
      </c>
      <c r="C11478" t="str">
        <f>"32"</f>
        <v>32</v>
      </c>
      <c r="D11478" t="str">
        <f>"You're Never Going Back"</f>
        <v>You're Never Going Back</v>
      </c>
    </row>
    <row r="11479" spans="1:4" x14ac:dyDescent="0.2">
      <c r="A11479" t="str">
        <f>"11478"</f>
        <v>11478</v>
      </c>
      <c r="B11479" t="str">
        <f>"1.64"</f>
        <v>1.64</v>
      </c>
      <c r="C11479" t="str">
        <f>"23"</f>
        <v>23</v>
      </c>
      <c r="D11479" t="str">
        <f>"200 Years"</f>
        <v>200 Years</v>
      </c>
    </row>
    <row r="11480" spans="1:4" x14ac:dyDescent="0.2">
      <c r="A11480" t="str">
        <f>"11479"</f>
        <v>11479</v>
      </c>
      <c r="B11480" t="str">
        <f>"0"</f>
        <v>0</v>
      </c>
      <c r="C11480" t="str">
        <f>"21"</f>
        <v>21</v>
      </c>
      <c r="D11480" t="str">
        <f>"Genre-Specific Xperience"</f>
        <v>Genre-Specific Xperience</v>
      </c>
    </row>
    <row r="11481" spans="1:4" x14ac:dyDescent="0.2">
      <c r="A11481" t="str">
        <f>"11480"</f>
        <v>11480</v>
      </c>
      <c r="B11481" t="str">
        <f>"-0.41"</f>
        <v>-0.41</v>
      </c>
      <c r="C11481" t="str">
        <f>"47"</f>
        <v>47</v>
      </c>
      <c r="D11481" t="str">
        <f>"Crazy Clown Time"</f>
        <v>Crazy Clown Time</v>
      </c>
    </row>
    <row r="11482" spans="1:4" x14ac:dyDescent="0.2">
      <c r="A11482" t="str">
        <f>"11481"</f>
        <v>11481</v>
      </c>
      <c r="B11482" t="str">
        <f>"0.08"</f>
        <v>0.08</v>
      </c>
      <c r="C11482" t="str">
        <f>"26"</f>
        <v>26</v>
      </c>
      <c r="D11482" t="str">
        <f>"Fear of God II: Let Us Pray"</f>
        <v>Fear of God II: Let Us Pray</v>
      </c>
    </row>
    <row r="11483" spans="1:4" x14ac:dyDescent="0.2">
      <c r="A11483" t="str">
        <f>"11482"</f>
        <v>11482</v>
      </c>
      <c r="B11483" t="str">
        <f>"-0.49"</f>
        <v>-0.49</v>
      </c>
      <c r="C11483" t="str">
        <f>"30"</f>
        <v>30</v>
      </c>
      <c r="D11483" t="str">
        <f>"Panic of Looking"</f>
        <v>Panic of Looking</v>
      </c>
    </row>
    <row r="11484" spans="1:4" x14ac:dyDescent="0.2">
      <c r="A11484" t="str">
        <f>"11483"</f>
        <v>11483</v>
      </c>
      <c r="B11484" t="str">
        <f>"-0.37"</f>
        <v>-0.37</v>
      </c>
      <c r="C11484" t="str">
        <f>"48"</f>
        <v>48</v>
      </c>
      <c r="D11484" t="str">
        <f>"For the Glory"</f>
        <v>For the Glory</v>
      </c>
    </row>
    <row r="11485" spans="1:4" x14ac:dyDescent="0.2">
      <c r="A11485" t="str">
        <f>"11484"</f>
        <v>11484</v>
      </c>
      <c r="B11485" t="str">
        <f>"-1.07"</f>
        <v>-1.07</v>
      </c>
      <c r="C11485" t="str">
        <f>"24"</f>
        <v>24</v>
      </c>
      <c r="D11485" t="str">
        <f>"The Devil's Rain"</f>
        <v>The Devil's Rain</v>
      </c>
    </row>
    <row r="11486" spans="1:4" x14ac:dyDescent="0.2">
      <c r="A11486" t="str">
        <f>"11485"</f>
        <v>11485</v>
      </c>
      <c r="B11486" t="str">
        <f>"0.59"</f>
        <v>0.59</v>
      </c>
      <c r="C11486" t="str">
        <f>"48"</f>
        <v>48</v>
      </c>
      <c r="D11486" t="str">
        <f>"Parallax"</f>
        <v>Parallax</v>
      </c>
    </row>
    <row r="11487" spans="1:4" x14ac:dyDescent="0.2">
      <c r="A11487" t="str">
        <f>"11486"</f>
        <v>11486</v>
      </c>
      <c r="B11487" t="str">
        <f>"-0.15"</f>
        <v>-0.15</v>
      </c>
      <c r="C11487" t="str">
        <f>"20"</f>
        <v>20</v>
      </c>
      <c r="D11487" t="str">
        <f>"So Outta Reach EP"</f>
        <v>So Outta Reach EP</v>
      </c>
    </row>
    <row r="11488" spans="1:4" x14ac:dyDescent="0.2">
      <c r="A11488" t="str">
        <f>"11487"</f>
        <v>11487</v>
      </c>
      <c r="B11488" t="str">
        <f>"0.62"</f>
        <v>0.62</v>
      </c>
      <c r="C11488" t="str">
        <f>"21"</f>
        <v>21</v>
      </c>
      <c r="D11488" t="str">
        <f>"Everybody Get Close"</f>
        <v>Everybody Get Close</v>
      </c>
    </row>
    <row r="11489" spans="1:4" x14ac:dyDescent="0.2">
      <c r="A11489" t="str">
        <f>"11488"</f>
        <v>11488</v>
      </c>
      <c r="B11489" t="str">
        <f>"0.89"</f>
        <v>0.89</v>
      </c>
      <c r="C11489" t="str">
        <f>"26"</f>
        <v>26</v>
      </c>
      <c r="D11489" t="str">
        <f>"IOTDXI"</f>
        <v>IOTDXI</v>
      </c>
    </row>
    <row r="11490" spans="1:4" x14ac:dyDescent="0.2">
      <c r="A11490" t="str">
        <f>"11489"</f>
        <v>11489</v>
      </c>
      <c r="B11490" t="str">
        <f>"0.09"</f>
        <v>0.09</v>
      </c>
      <c r="C11490" t="str">
        <f>"29"</f>
        <v>29</v>
      </c>
      <c r="D11490" t="str">
        <f>"GLAQJO XAACSSO"</f>
        <v>GLAQJO XAACSSO</v>
      </c>
    </row>
    <row r="11491" spans="1:4" x14ac:dyDescent="0.2">
      <c r="A11491" t="str">
        <f>"11490"</f>
        <v>11490</v>
      </c>
      <c r="B11491" t="str">
        <f>"-0.2"</f>
        <v>-0.2</v>
      </c>
      <c r="C11491" t="str">
        <f>"46"</f>
        <v>46</v>
      </c>
      <c r="D11491" t="str">
        <f>"The Vision"</f>
        <v>The Vision</v>
      </c>
    </row>
    <row r="11492" spans="1:4" x14ac:dyDescent="0.2">
      <c r="A11492" t="str">
        <f>"11491"</f>
        <v>11491</v>
      </c>
      <c r="B11492" t="str">
        <f>"-0.33"</f>
        <v>-0.33</v>
      </c>
      <c r="C11492" t="str">
        <f>"40"</f>
        <v>40</v>
      </c>
      <c r="D11492" t="str">
        <f>"Ambition"</f>
        <v>Ambition</v>
      </c>
    </row>
    <row r="11493" spans="1:4" x14ac:dyDescent="0.2">
      <c r="A11493" t="str">
        <f>"11492"</f>
        <v>11492</v>
      </c>
      <c r="B11493" t="str">
        <f>"0.06"</f>
        <v>0.06</v>
      </c>
      <c r="C11493" t="str">
        <f>"33"</f>
        <v>33</v>
      </c>
      <c r="D11493" t="str">
        <f>"Uget"</f>
        <v>Uget</v>
      </c>
    </row>
    <row r="11494" spans="1:4" x14ac:dyDescent="0.2">
      <c r="A11494" t="str">
        <f>"11493"</f>
        <v>11493</v>
      </c>
      <c r="B11494" t="str">
        <f>"-0.77"</f>
        <v>-0.77</v>
      </c>
      <c r="C11494" t="str">
        <f>"25"</f>
        <v>25</v>
      </c>
      <c r="D11494" t="str">
        <f>"Far Side Virtual"</f>
        <v>Far Side Virtual</v>
      </c>
    </row>
    <row r="11495" spans="1:4" x14ac:dyDescent="0.2">
      <c r="A11495" t="str">
        <f>"11494"</f>
        <v>11494</v>
      </c>
      <c r="B11495" t="str">
        <f>"-0.56"</f>
        <v>-0.56</v>
      </c>
      <c r="C11495" t="str">
        <f>"20"</f>
        <v>20</v>
      </c>
      <c r="D11495" t="str">
        <f>"In Animal Tongue"</f>
        <v>In Animal Tongue</v>
      </c>
    </row>
    <row r="11496" spans="1:4" x14ac:dyDescent="0.2">
      <c r="A11496" t="str">
        <f>"11495"</f>
        <v>11495</v>
      </c>
      <c r="B11496" t="str">
        <f>"0.01"</f>
        <v>0.01</v>
      </c>
      <c r="C11496" t="str">
        <f>"48"</f>
        <v>48</v>
      </c>
      <c r="D11496" t="str">
        <f>"Ceremonials"</f>
        <v>Ceremonials</v>
      </c>
    </row>
    <row r="11497" spans="1:4" x14ac:dyDescent="0.2">
      <c r="A11497" t="str">
        <f>"11496"</f>
        <v>11496</v>
      </c>
      <c r="B11497" t="str">
        <f>"0.82"</f>
        <v>0.82</v>
      </c>
      <c r="C11497" t="str">
        <f>"28"</f>
        <v>28</v>
      </c>
      <c r="D11497" t="str">
        <f>"Blouse"</f>
        <v>Blouse</v>
      </c>
    </row>
    <row r="11498" spans="1:4" x14ac:dyDescent="0.2">
      <c r="A11498" t="str">
        <f>"11497"</f>
        <v>11497</v>
      </c>
      <c r="B11498" t="str">
        <f>"0.48"</f>
        <v>0.48</v>
      </c>
      <c r="C11498" t="str">
        <f>"26"</f>
        <v>26</v>
      </c>
      <c r="D11498" t="str">
        <f>"Fatty Folders"</f>
        <v>Fatty Folders</v>
      </c>
    </row>
    <row r="11499" spans="1:4" x14ac:dyDescent="0.2">
      <c r="A11499" t="str">
        <f>"11498"</f>
        <v>11498</v>
      </c>
      <c r="B11499" t="str">
        <f>"-1.1"</f>
        <v>-1.1</v>
      </c>
      <c r="C11499" t="str">
        <f>"20"</f>
        <v>20</v>
      </c>
      <c r="D11499" t="str">
        <f>"Time's Arrow EP"</f>
        <v>Time's Arrow EP</v>
      </c>
    </row>
    <row r="11500" spans="1:4" x14ac:dyDescent="0.2">
      <c r="A11500" t="str">
        <f>"11499"</f>
        <v>11499</v>
      </c>
      <c r="B11500" t="str">
        <f>"0.74"</f>
        <v>0.74</v>
      </c>
      <c r="C11500" t="str">
        <f>"42"</f>
        <v>42</v>
      </c>
      <c r="D11500" t="str">
        <f>"Neverendless"</f>
        <v>Neverendless</v>
      </c>
    </row>
    <row r="11501" spans="1:4" x14ac:dyDescent="0.2">
      <c r="A11501" t="str">
        <f>"11500"</f>
        <v>11500</v>
      </c>
      <c r="B11501" t="str">
        <f>"1.31"</f>
        <v>1.31</v>
      </c>
      <c r="C11501" t="str">
        <f>"73"</f>
        <v>73</v>
      </c>
      <c r="D11501" t="str">
        <f>"The Smile Sessions"</f>
        <v>The Smile Sessions</v>
      </c>
    </row>
    <row r="11502" spans="1:4" x14ac:dyDescent="0.2">
      <c r="A11502" t="str">
        <f>"11501"</f>
        <v>11501</v>
      </c>
      <c r="B11502" t="str">
        <f>"-0.38"</f>
        <v>-0.38</v>
      </c>
      <c r="C11502" t="str">
        <f>"25"</f>
        <v>25</v>
      </c>
      <c r="D11502" t="str">
        <f>"Without You"</f>
        <v>Without You</v>
      </c>
    </row>
    <row r="11503" spans="1:4" x14ac:dyDescent="0.2">
      <c r="A11503" t="str">
        <f>"11502"</f>
        <v>11502</v>
      </c>
      <c r="B11503" t="str">
        <f>"1.3"</f>
        <v>1.3</v>
      </c>
      <c r="C11503" t="str">
        <f>"29"</f>
        <v>29</v>
      </c>
      <c r="D11503" t="str">
        <f>"Meçhul: Singles &amp; Rarities"</f>
        <v>Meçhul: Singles &amp; Rarities</v>
      </c>
    </row>
    <row r="11504" spans="1:4" x14ac:dyDescent="0.2">
      <c r="A11504" t="str">
        <f>"11503"</f>
        <v>11503</v>
      </c>
      <c r="B11504" t="str">
        <f>"-0.47"</f>
        <v>-0.47</v>
      </c>
      <c r="C11504" t="str">
        <f>"23"</f>
        <v>23</v>
      </c>
      <c r="D11504" t="str">
        <f>"The Clearing"</f>
        <v>The Clearing</v>
      </c>
    </row>
    <row r="11505" spans="1:4" x14ac:dyDescent="0.2">
      <c r="A11505" t="str">
        <f>"11504"</f>
        <v>11504</v>
      </c>
      <c r="B11505" t="str">
        <f>"-1.13"</f>
        <v>-1.13</v>
      </c>
      <c r="C11505" t="str">
        <f>"22"</f>
        <v>22</v>
      </c>
      <c r="D11505" t="str">
        <f>"Some Motherfuckers Gonna Be Walking 'Round With a Size 9 Diehard up Their Ass..."</f>
        <v>Some Motherfuckers Gonna Be Walking 'Round With a Size 9 Diehard up Their Ass...</v>
      </c>
    </row>
    <row r="11506" spans="1:4" x14ac:dyDescent="0.2">
      <c r="A11506" t="str">
        <f>"11505"</f>
        <v>11505</v>
      </c>
      <c r="B11506" t="str">
        <f>"-1.14"</f>
        <v>-1.14</v>
      </c>
      <c r="C11506" t="str">
        <f>"40"</f>
        <v>40</v>
      </c>
      <c r="D11506" t="str">
        <f>"Lulu"</f>
        <v>Lulu</v>
      </c>
    </row>
    <row r="11507" spans="1:4" x14ac:dyDescent="0.2">
      <c r="A11507" t="str">
        <f>"11506"</f>
        <v>11506</v>
      </c>
      <c r="B11507" t="str">
        <f>"-0.05"</f>
        <v>-0.05</v>
      </c>
      <c r="C11507" t="str">
        <f>"22"</f>
        <v>22</v>
      </c>
      <c r="D11507" t="str">
        <f>"DJ-Kicks"</f>
        <v>DJ-Kicks</v>
      </c>
    </row>
    <row r="11508" spans="1:4" x14ac:dyDescent="0.2">
      <c r="A11508" t="str">
        <f>"11507"</f>
        <v>11507</v>
      </c>
      <c r="B11508" t="str">
        <f>"0.94"</f>
        <v>0.94</v>
      </c>
      <c r="C11508" t="str">
        <f>"25"</f>
        <v>25</v>
      </c>
      <c r="D11508" t="str">
        <f>"Eyes on You EP"</f>
        <v>Eyes on You EP</v>
      </c>
    </row>
    <row r="11509" spans="1:4" x14ac:dyDescent="0.2">
      <c r="A11509" t="str">
        <f>"11508"</f>
        <v>11508</v>
      </c>
      <c r="B11509" t="str">
        <f>"-1.26"</f>
        <v>-1.26</v>
      </c>
      <c r="C11509" t="str">
        <f>"36"</f>
        <v>36</v>
      </c>
      <c r="D11509" t="str">
        <f>"Scion A/V Presents: The King Khan Experience"</f>
        <v>Scion A/V Presents: The King Khan Experience</v>
      </c>
    </row>
    <row r="11510" spans="1:4" x14ac:dyDescent="0.2">
      <c r="A11510" t="str">
        <f>"11509"</f>
        <v>11509</v>
      </c>
      <c r="B11510" t="str">
        <f>"0.94"</f>
        <v>0.94</v>
      </c>
      <c r="C11510" t="str">
        <f>"21"</f>
        <v>21</v>
      </c>
      <c r="D11510" t="str">
        <f>"Nightlife EP"</f>
        <v>Nightlife EP</v>
      </c>
    </row>
    <row r="11511" spans="1:4" x14ac:dyDescent="0.2">
      <c r="A11511" t="str">
        <f>"11510"</f>
        <v>11510</v>
      </c>
      <c r="B11511" t="str">
        <f>"-0.53"</f>
        <v>-0.53</v>
      </c>
      <c r="C11511" t="str">
        <f>"42"</f>
        <v>42</v>
      </c>
      <c r="D11511" t="str">
        <f>"Long Live the King EP"</f>
        <v>Long Live the King EP</v>
      </c>
    </row>
    <row r="11512" spans="1:4" x14ac:dyDescent="0.2">
      <c r="A11512" t="str">
        <f>"11511"</f>
        <v>11511</v>
      </c>
      <c r="B11512" t="str">
        <f>"-0.48"</f>
        <v>-0.48</v>
      </c>
      <c r="C11512" t="str">
        <f>"24"</f>
        <v>24</v>
      </c>
      <c r="D11512" t="str">
        <f>"Black and Brown"</f>
        <v>Black and Brown</v>
      </c>
    </row>
    <row r="11513" spans="1:4" x14ac:dyDescent="0.2">
      <c r="A11513" t="str">
        <f>"11512"</f>
        <v>11512</v>
      </c>
      <c r="B11513" t="str">
        <f>"0.38"</f>
        <v>0.38</v>
      </c>
      <c r="C11513" t="str">
        <f>"31"</f>
        <v>31</v>
      </c>
      <c r="D11513" t="str">
        <f>"17th Street"</f>
        <v>17th Street</v>
      </c>
    </row>
    <row r="11514" spans="1:4" x14ac:dyDescent="0.2">
      <c r="A11514" t="str">
        <f>"11513"</f>
        <v>11513</v>
      </c>
      <c r="B11514" t="str">
        <f>"-0.73"</f>
        <v>-0.73</v>
      </c>
      <c r="C11514" t="str">
        <f>"29"</f>
        <v>29</v>
      </c>
      <c r="D11514" t="str">
        <f>"Total Decay EP"</f>
        <v>Total Decay EP</v>
      </c>
    </row>
    <row r="11515" spans="1:4" x14ac:dyDescent="0.2">
      <c r="A11515" t="str">
        <f>"11514"</f>
        <v>11514</v>
      </c>
      <c r="B11515" t="str">
        <f>"-0.3"</f>
        <v>-0.3</v>
      </c>
      <c r="C11515" t="str">
        <f>"28"</f>
        <v>28</v>
      </c>
      <c r="D11515" t="str">
        <f>"Neon Dreams"</f>
        <v>Neon Dreams</v>
      </c>
    </row>
    <row r="11516" spans="1:4" x14ac:dyDescent="0.2">
      <c r="A11516" t="str">
        <f>"11515"</f>
        <v>11515</v>
      </c>
      <c r="B11516" t="str">
        <f>"-0.28"</f>
        <v>-0.28</v>
      </c>
      <c r="C11516" t="str">
        <f>"42"</f>
        <v>42</v>
      </c>
      <c r="D11516" t="str">
        <f>"A Very She &amp; Him Christmas"</f>
        <v>A Very She &amp; Him Christmas</v>
      </c>
    </row>
    <row r="11517" spans="1:4" x14ac:dyDescent="0.2">
      <c r="A11517" t="str">
        <f>"11516"</f>
        <v>11516</v>
      </c>
      <c r="B11517" t="str">
        <f>"-0.4"</f>
        <v>-0.4</v>
      </c>
      <c r="C11517" t="str">
        <f>"59"</f>
        <v>59</v>
      </c>
      <c r="D11517" t="str">
        <f>"Sessions 1981–83"</f>
        <v>Sessions 1981–83</v>
      </c>
    </row>
    <row r="11518" spans="1:4" x14ac:dyDescent="0.2">
      <c r="A11518" t="str">
        <f>"11517"</f>
        <v>11517</v>
      </c>
      <c r="B11518" t="str">
        <f>"1.25"</f>
        <v>1.25</v>
      </c>
      <c r="C11518" t="str">
        <f>"26"</f>
        <v>26</v>
      </c>
      <c r="D11518" t="str">
        <f>"Preserved"</f>
        <v>Preserved</v>
      </c>
    </row>
    <row r="11519" spans="1:4" x14ac:dyDescent="0.2">
      <c r="A11519" t="str">
        <f>"11518"</f>
        <v>11518</v>
      </c>
      <c r="B11519" t="str">
        <f>"-0.51"</f>
        <v>-0.51</v>
      </c>
      <c r="C11519" t="str">
        <f>"18"</f>
        <v>18</v>
      </c>
      <c r="D11519" t="str">
        <f>"Hazed Dream"</f>
        <v>Hazed Dream</v>
      </c>
    </row>
    <row r="11520" spans="1:4" x14ac:dyDescent="0.2">
      <c r="A11520" t="str">
        <f>"11519"</f>
        <v>11519</v>
      </c>
      <c r="B11520" t="str">
        <f>"1.53"</f>
        <v>1.53</v>
      </c>
      <c r="C11520" t="str">
        <f>"20"</f>
        <v>20</v>
      </c>
      <c r="D11520" t="str">
        <f>"Schlungs"</f>
        <v>Schlungs</v>
      </c>
    </row>
    <row r="11521" spans="1:4" x14ac:dyDescent="0.2">
      <c r="A11521" t="str">
        <f>"11520"</f>
        <v>11520</v>
      </c>
      <c r="B11521" t="str">
        <f>"0.1"</f>
        <v>0.1</v>
      </c>
      <c r="C11521" t="str">
        <f>"46"</f>
        <v>46</v>
      </c>
      <c r="D11521" t="str">
        <f>"Your Past Comes Back to Haunt You: The Fonotone Years (1958¬–1965)"</f>
        <v>Your Past Comes Back to Haunt You: The Fonotone Years (1958¬–1965)</v>
      </c>
    </row>
    <row r="11522" spans="1:4" x14ac:dyDescent="0.2">
      <c r="A11522" t="str">
        <f>"11521"</f>
        <v>11521</v>
      </c>
      <c r="B11522" t="str">
        <f>"-1.31"</f>
        <v>-1.31</v>
      </c>
      <c r="C11522" t="str">
        <f>"33"</f>
        <v>33</v>
      </c>
      <c r="D11522" t="str">
        <f>"We Stay Together"</f>
        <v>We Stay Together</v>
      </c>
    </row>
    <row r="11523" spans="1:4" x14ac:dyDescent="0.2">
      <c r="A11523" t="str">
        <f>"11522"</f>
        <v>11522</v>
      </c>
      <c r="B11523" t="str">
        <f>"0.33"</f>
        <v>0.33</v>
      </c>
      <c r="C11523" t="str">
        <f>"29"</f>
        <v>29</v>
      </c>
      <c r="D11523" t="str">
        <f>"Dreamchasers"</f>
        <v>Dreamchasers</v>
      </c>
    </row>
    <row r="11524" spans="1:4" x14ac:dyDescent="0.2">
      <c r="A11524" t="str">
        <f>"11523"</f>
        <v>11523</v>
      </c>
      <c r="B11524" t="str">
        <f>"-1.09"</f>
        <v>-1.09</v>
      </c>
      <c r="C11524" t="str">
        <f>"31"</f>
        <v>31</v>
      </c>
      <c r="D11524" t="str">
        <f>"Divine Providence"</f>
        <v>Divine Providence</v>
      </c>
    </row>
    <row r="11525" spans="1:4" x14ac:dyDescent="0.2">
      <c r="A11525" t="str">
        <f>"11524"</f>
        <v>11524</v>
      </c>
      <c r="B11525" t="str">
        <f>"0.85"</f>
        <v>0.85</v>
      </c>
      <c r="C11525" t="str">
        <f>"24"</f>
        <v>24</v>
      </c>
      <c r="D11525" t="str">
        <f>"Waterworx EP"</f>
        <v>Waterworx EP</v>
      </c>
    </row>
    <row r="11526" spans="1:4" x14ac:dyDescent="0.2">
      <c r="A11526" t="str">
        <f>"11525"</f>
        <v>11525</v>
      </c>
      <c r="B11526" t="str">
        <f>"0.37"</f>
        <v>0.37</v>
      </c>
      <c r="C11526" t="str">
        <f>"41"</f>
        <v>41</v>
      </c>
      <c r="D11526" t="str">
        <f>"Mylo Xyloto"</f>
        <v>Mylo Xyloto</v>
      </c>
    </row>
    <row r="11527" spans="1:4" x14ac:dyDescent="0.2">
      <c r="A11527" t="str">
        <f>"11526"</f>
        <v>11526</v>
      </c>
      <c r="B11527" t="str">
        <f>"-0.52"</f>
        <v>-0.52</v>
      </c>
      <c r="C11527" t="str">
        <f>"35"</f>
        <v>35</v>
      </c>
      <c r="D11527" t="str">
        <f>"FAC. DANCE: Factory Records 12"" Mixes &amp; Rarities 1980-1987"</f>
        <v>FAC. DANCE: Factory Records 12" Mixes &amp; Rarities 1980-1987</v>
      </c>
    </row>
    <row r="11528" spans="1:4" x14ac:dyDescent="0.2">
      <c r="A11528" t="str">
        <f>"11527"</f>
        <v>11527</v>
      </c>
      <c r="B11528" t="str">
        <f>"0.39"</f>
        <v>0.39</v>
      </c>
      <c r="C11528" t="str">
        <f>"32"</f>
        <v>32</v>
      </c>
      <c r="D11528" t="str">
        <f>"Unto the Locust"</f>
        <v>Unto the Locust</v>
      </c>
    </row>
    <row r="11529" spans="1:4" x14ac:dyDescent="0.2">
      <c r="A11529" t="str">
        <f>"11528"</f>
        <v>11528</v>
      </c>
      <c r="B11529" t="str">
        <f>"1.23"</f>
        <v>1.23</v>
      </c>
      <c r="C11529" t="str">
        <f>"13"</f>
        <v>13</v>
      </c>
      <c r="D11529" t="str">
        <f>"Bruiser"</f>
        <v>Bruiser</v>
      </c>
    </row>
    <row r="11530" spans="1:4" x14ac:dyDescent="0.2">
      <c r="A11530" t="str">
        <f>"11529"</f>
        <v>11529</v>
      </c>
      <c r="B11530" t="str">
        <f>"0.65"</f>
        <v>0.65</v>
      </c>
      <c r="C11530" t="str">
        <f>"23"</f>
        <v>23</v>
      </c>
      <c r="D11530" t="str">
        <f>"Wasser Im Wind"</f>
        <v>Wasser Im Wind</v>
      </c>
    </row>
    <row r="11531" spans="1:4" x14ac:dyDescent="0.2">
      <c r="A11531" t="str">
        <f>"11530"</f>
        <v>11530</v>
      </c>
      <c r="B11531" t="str">
        <f>"-0.44"</f>
        <v>-0.44</v>
      </c>
      <c r="C11531" t="str">
        <f>"38"</f>
        <v>38</v>
      </c>
      <c r="D11531" t="s">
        <v>345</v>
      </c>
    </row>
    <row r="11532" spans="1:4" x14ac:dyDescent="0.2">
      <c r="A11532" t="str">
        <f>"11531"</f>
        <v>11531</v>
      </c>
      <c r="B11532" t="str">
        <f>"0.02"</f>
        <v>0.02</v>
      </c>
      <c r="C11532" t="str">
        <f>"29"</f>
        <v>29</v>
      </c>
      <c r="D11532" t="str">
        <f>"DJ-Kicks"</f>
        <v>DJ-Kicks</v>
      </c>
    </row>
    <row r="11533" spans="1:4" x14ac:dyDescent="0.2">
      <c r="A11533" t="str">
        <f>"11532"</f>
        <v>11532</v>
      </c>
      <c r="B11533" t="str">
        <f>"-0.65"</f>
        <v>-0.65</v>
      </c>
      <c r="C11533" t="str">
        <f>"23"</f>
        <v>23</v>
      </c>
      <c r="D11533" t="str">
        <f>"Eyewash Silver"</f>
        <v>Eyewash Silver</v>
      </c>
    </row>
    <row r="11534" spans="1:4" x14ac:dyDescent="0.2">
      <c r="A11534" t="str">
        <f>"11533"</f>
        <v>11533</v>
      </c>
      <c r="B11534" t="str">
        <f>"0.4"</f>
        <v>0.4</v>
      </c>
      <c r="C11534" t="str">
        <f>"27"</f>
        <v>27</v>
      </c>
      <c r="D11534" t="str">
        <f>"The Ann Steel Album"</f>
        <v>The Ann Steel Album</v>
      </c>
    </row>
    <row r="11535" spans="1:4" x14ac:dyDescent="0.2">
      <c r="A11535" t="str">
        <f>"11534"</f>
        <v>11534</v>
      </c>
      <c r="B11535" t="str">
        <f>"1.06"</f>
        <v>1.06</v>
      </c>
      <c r="C11535" t="str">
        <f>"28"</f>
        <v>28</v>
      </c>
      <c r="D11535" t="str">
        <f>"He Thinks He's People"</f>
        <v>He Thinks He's People</v>
      </c>
    </row>
    <row r="11536" spans="1:4" x14ac:dyDescent="0.2">
      <c r="A11536" t="str">
        <f>"11535"</f>
        <v>11535</v>
      </c>
      <c r="B11536" t="str">
        <f>"-0.48"</f>
        <v>-0.48</v>
      </c>
      <c r="C11536" t="str">
        <f>"26"</f>
        <v>26</v>
      </c>
      <c r="D11536" t="str">
        <f>"Bad as Me"</f>
        <v>Bad as Me</v>
      </c>
    </row>
    <row r="11537" spans="1:4" x14ac:dyDescent="0.2">
      <c r="A11537" t="str">
        <f>"11536"</f>
        <v>11536</v>
      </c>
      <c r="B11537" t="str">
        <f>"0.88"</f>
        <v>0.88</v>
      </c>
      <c r="C11537" t="str">
        <f>"24"</f>
        <v>24</v>
      </c>
      <c r="D11537" t="str">
        <f>"Tarot Classics EP"</f>
        <v>Tarot Classics EP</v>
      </c>
    </row>
    <row r="11538" spans="1:4" x14ac:dyDescent="0.2">
      <c r="A11538" t="str">
        <f>"11537"</f>
        <v>11537</v>
      </c>
      <c r="B11538" t="str">
        <f>"0.62"</f>
        <v>0.62</v>
      </c>
      <c r="C11538" t="str">
        <f>"23"</f>
        <v>23</v>
      </c>
      <c r="D11538" t="str">
        <f>"Let the Poison Out"</f>
        <v>Let the Poison Out</v>
      </c>
    </row>
    <row r="11539" spans="1:4" x14ac:dyDescent="0.2">
      <c r="A11539" t="str">
        <f>"11538"</f>
        <v>11538</v>
      </c>
      <c r="B11539" t="str">
        <f>"-0.88"</f>
        <v>-0.88</v>
      </c>
      <c r="C11539" t="str">
        <f>"13"</f>
        <v>13</v>
      </c>
      <c r="D11539" t="str">
        <f>"Rising Doom"</f>
        <v>Rising Doom</v>
      </c>
    </row>
    <row r="11540" spans="1:4" x14ac:dyDescent="0.2">
      <c r="A11540" t="str">
        <f>"11539"</f>
        <v>11539</v>
      </c>
      <c r="B11540" t="str">
        <f>"0.33"</f>
        <v>0.33</v>
      </c>
      <c r="C11540" t="str">
        <f>"24"</f>
        <v>24</v>
      </c>
      <c r="D11540" t="str">
        <f>"(I Can't Get No) Stevie Jackson"</f>
        <v>(I Can't Get No) Stevie Jackson</v>
      </c>
    </row>
    <row r="11541" spans="1:4" x14ac:dyDescent="0.2">
      <c r="A11541" t="str">
        <f>"11540"</f>
        <v>11540</v>
      </c>
      <c r="B11541" t="str">
        <f>"0.02"</f>
        <v>0.02</v>
      </c>
      <c r="C11541" t="str">
        <f>"74"</f>
        <v>74</v>
      </c>
      <c r="D11541" t="str">
        <f>"Laughing Stock"</f>
        <v>Laughing Stock</v>
      </c>
    </row>
    <row r="11542" spans="1:4" x14ac:dyDescent="0.2">
      <c r="A11542" t="str">
        <f>"11541"</f>
        <v>11541</v>
      </c>
      <c r="B11542" t="str">
        <f>"1.4"</f>
        <v>1.4</v>
      </c>
      <c r="C11542" t="str">
        <f>"21"</f>
        <v>21</v>
      </c>
      <c r="D11542" t="str">
        <f>"Impossible Spaces"</f>
        <v>Impossible Spaces</v>
      </c>
    </row>
    <row r="11543" spans="1:4" x14ac:dyDescent="0.2">
      <c r="A11543" t="str">
        <f>"11542"</f>
        <v>11542</v>
      </c>
      <c r="B11543" t="str">
        <f>"1.31"</f>
        <v>1.31</v>
      </c>
      <c r="C11543" t="str">
        <f>"21"</f>
        <v>21</v>
      </c>
      <c r="D11543" t="str">
        <f>"Takes Place in Your Work Space EP"</f>
        <v>Takes Place in Your Work Space EP</v>
      </c>
    </row>
    <row r="11544" spans="1:4" x14ac:dyDescent="0.2">
      <c r="A11544" t="str">
        <f>"11543"</f>
        <v>11543</v>
      </c>
      <c r="B11544" t="str">
        <f>"0.07"</f>
        <v>0.07</v>
      </c>
      <c r="C11544" t="str">
        <f>"21"</f>
        <v>21</v>
      </c>
      <c r="D11544" t="str">
        <f>"Follow Your Heart"</f>
        <v>Follow Your Heart</v>
      </c>
    </row>
    <row r="11545" spans="1:4" x14ac:dyDescent="0.2">
      <c r="A11545" t="str">
        <f>"11544"</f>
        <v>11544</v>
      </c>
      <c r="B11545" t="str">
        <f>"0.82"</f>
        <v>0.82</v>
      </c>
      <c r="C11545" t="str">
        <f>"21"</f>
        <v>21</v>
      </c>
      <c r="D11545" t="str">
        <f>"Glowing Mouth"</f>
        <v>Glowing Mouth</v>
      </c>
    </row>
    <row r="11546" spans="1:4" x14ac:dyDescent="0.2">
      <c r="A11546" t="str">
        <f>"11545"</f>
        <v>11545</v>
      </c>
      <c r="B11546" t="str">
        <f>"1.19"</f>
        <v>1.19</v>
      </c>
      <c r="C11546" t="str">
        <f>"33"</f>
        <v>33</v>
      </c>
      <c r="D11546" t="str">
        <f>"Life Is Full of Possibilities"</f>
        <v>Life Is Full of Possibilities</v>
      </c>
    </row>
    <row r="11547" spans="1:4" x14ac:dyDescent="0.2">
      <c r="A11547" t="str">
        <f>"11546"</f>
        <v>11546</v>
      </c>
      <c r="B11547" t="str">
        <f>"1.27"</f>
        <v>1.27</v>
      </c>
      <c r="C11547" t="str">
        <f>"26"</f>
        <v>26</v>
      </c>
      <c r="D11547" t="str">
        <f>"Rapprocher"</f>
        <v>Rapprocher</v>
      </c>
    </row>
    <row r="11548" spans="1:4" x14ac:dyDescent="0.2">
      <c r="A11548" t="str">
        <f>"11547"</f>
        <v>11547</v>
      </c>
      <c r="B11548" t="str">
        <f>"0.84"</f>
        <v>0.84</v>
      </c>
      <c r="C11548" t="str">
        <f>"25"</f>
        <v>25</v>
      </c>
      <c r="D11548" t="str">
        <f>"Creatures of an Hour"</f>
        <v>Creatures of an Hour</v>
      </c>
    </row>
    <row r="11549" spans="1:4" x14ac:dyDescent="0.2">
      <c r="A11549" t="str">
        <f>"11548"</f>
        <v>11548</v>
      </c>
      <c r="B11549" t="str">
        <f>"-0.06"</f>
        <v>-0.06</v>
      </c>
      <c r="C11549" t="str">
        <f>"23"</f>
        <v>23</v>
      </c>
      <c r="D11549" t="str">
        <f>"Twerps"</f>
        <v>Twerps</v>
      </c>
    </row>
    <row r="11550" spans="1:4" x14ac:dyDescent="0.2">
      <c r="A11550" t="str">
        <f>"11549"</f>
        <v>11549</v>
      </c>
      <c r="B11550" t="str">
        <f>"0.13"</f>
        <v>0.13</v>
      </c>
      <c r="C11550" t="str">
        <f>"21"</f>
        <v>21</v>
      </c>
      <c r="D11550" t="str">
        <f>"Harbored Mantras"</f>
        <v>Harbored Mantras</v>
      </c>
    </row>
    <row r="11551" spans="1:4" x14ac:dyDescent="0.2">
      <c r="A11551" t="str">
        <f>"11550"</f>
        <v>11550</v>
      </c>
      <c r="B11551" t="str">
        <f>"-0.29"</f>
        <v>-0.29</v>
      </c>
      <c r="C11551" t="str">
        <f>"31"</f>
        <v>31</v>
      </c>
      <c r="D11551" t="str">
        <f>"Norman OST"</f>
        <v>Norman OST</v>
      </c>
    </row>
    <row r="11552" spans="1:4" x14ac:dyDescent="0.2">
      <c r="A11552" t="str">
        <f>"11551"</f>
        <v>11551</v>
      </c>
      <c r="B11552" t="str">
        <f>"-0.33"</f>
        <v>-0.33</v>
      </c>
      <c r="C11552" t="str">
        <f>"24"</f>
        <v>24</v>
      </c>
      <c r="D11552" t="str">
        <f>"Tragedy"</f>
        <v>Tragedy</v>
      </c>
    </row>
    <row r="11553" spans="1:4" x14ac:dyDescent="0.2">
      <c r="A11553" t="str">
        <f>"11552"</f>
        <v>11552</v>
      </c>
      <c r="B11553" t="str">
        <f>"0.77"</f>
        <v>0.77</v>
      </c>
      <c r="C11553" t="str">
        <f>"20"</f>
        <v>20</v>
      </c>
      <c r="D11553" t="str">
        <f>"All Things Will Unwind"</f>
        <v>All Things Will Unwind</v>
      </c>
    </row>
    <row r="11554" spans="1:4" x14ac:dyDescent="0.2">
      <c r="A11554" t="str">
        <f>"11553"</f>
        <v>11553</v>
      </c>
      <c r="B11554" t="str">
        <f>"-0.39"</f>
        <v>-0.39</v>
      </c>
      <c r="C11554" t="str">
        <f>"28"</f>
        <v>28</v>
      </c>
      <c r="D11554" t="str">
        <f>"Gauntlet Hair"</f>
        <v>Gauntlet Hair</v>
      </c>
    </row>
    <row r="11555" spans="1:4" x14ac:dyDescent="0.2">
      <c r="A11555" t="str">
        <f>"11554"</f>
        <v>11554</v>
      </c>
      <c r="B11555" t="str">
        <f>"-0.28"</f>
        <v>-0.28</v>
      </c>
      <c r="C11555" t="str">
        <f>"22"</f>
        <v>22</v>
      </c>
      <c r="D11555" t="str">
        <f>"Trust Now"</f>
        <v>Trust Now</v>
      </c>
    </row>
    <row r="11556" spans="1:4" x14ac:dyDescent="0.2">
      <c r="A11556" t="str">
        <f>"11555"</f>
        <v>11555</v>
      </c>
      <c r="B11556" t="str">
        <f>"0.88"</f>
        <v>0.88</v>
      </c>
      <c r="C11556" t="str">
        <f>"31"</f>
        <v>31</v>
      </c>
      <c r="D11556" t="str">
        <f>"Days"</f>
        <v>Days</v>
      </c>
    </row>
    <row r="11557" spans="1:4" x14ac:dyDescent="0.2">
      <c r="A11557" t="str">
        <f>"11556"</f>
        <v>11556</v>
      </c>
      <c r="B11557" t="str">
        <f>"0.04"</f>
        <v>0.04</v>
      </c>
      <c r="C11557" t="str">
        <f>"26"</f>
        <v>26</v>
      </c>
      <c r="D11557" t="str">
        <f>"Noel Gallagher's High Flying Birds"</f>
        <v>Noel Gallagher's High Flying Birds</v>
      </c>
    </row>
    <row r="11558" spans="1:4" x14ac:dyDescent="0.2">
      <c r="A11558" t="str">
        <f>"11557"</f>
        <v>11557</v>
      </c>
      <c r="B11558" t="str">
        <f>"0.53"</f>
        <v>0.53</v>
      </c>
      <c r="C11558" t="str">
        <f>"34"</f>
        <v>34</v>
      </c>
      <c r="D11558" t="str">
        <f>"Glass Swords"</f>
        <v>Glass Swords</v>
      </c>
    </row>
    <row r="11559" spans="1:4" x14ac:dyDescent="0.2">
      <c r="A11559" t="str">
        <f>"11558"</f>
        <v>11558</v>
      </c>
      <c r="B11559" t="str">
        <f>"0.57"</f>
        <v>0.57</v>
      </c>
      <c r="C11559" t="str">
        <f>"29"</f>
        <v>29</v>
      </c>
      <c r="D11559" t="str">
        <f>"Severant"</f>
        <v>Severant</v>
      </c>
    </row>
    <row r="11560" spans="1:4" x14ac:dyDescent="0.2">
      <c r="A11560" t="str">
        <f>"11559"</f>
        <v>11559</v>
      </c>
      <c r="B11560" t="str">
        <f>"-0.47"</f>
        <v>-0.47</v>
      </c>
      <c r="C11560" t="str">
        <f>"33"</f>
        <v>33</v>
      </c>
      <c r="D11560" t="str">
        <f>"Whatever/Whenever"</f>
        <v>Whatever/Whenever</v>
      </c>
    </row>
    <row r="11561" spans="1:4" x14ac:dyDescent="0.2">
      <c r="A11561" t="str">
        <f>"11560"</f>
        <v>11560</v>
      </c>
      <c r="B11561" t="str">
        <f>"1.15"</f>
        <v>1.15</v>
      </c>
      <c r="C11561" t="str">
        <f>"43"</f>
        <v>43</v>
      </c>
      <c r="D11561" t="s">
        <v>346</v>
      </c>
    </row>
    <row r="11562" spans="1:4" x14ac:dyDescent="0.2">
      <c r="A11562" t="str">
        <f>"11561"</f>
        <v>11561</v>
      </c>
      <c r="B11562" t="str">
        <f>"0.39"</f>
        <v>0.39</v>
      </c>
      <c r="C11562" t="str">
        <f>"25"</f>
        <v>25</v>
      </c>
      <c r="D11562" t="str">
        <f>"The Great Escape Artist"</f>
        <v>The Great Escape Artist</v>
      </c>
    </row>
    <row r="11563" spans="1:4" x14ac:dyDescent="0.2">
      <c r="A11563" t="str">
        <f>"11562"</f>
        <v>11562</v>
      </c>
      <c r="B11563" t="str">
        <f>"-0.16"</f>
        <v>-0.16</v>
      </c>
      <c r="C11563" t="str">
        <f>"30"</f>
        <v>30</v>
      </c>
      <c r="D11563" t="str">
        <f>"An Ache for the Distance"</f>
        <v>An Ache for the Distance</v>
      </c>
    </row>
    <row r="11564" spans="1:4" x14ac:dyDescent="0.2">
      <c r="A11564" t="str">
        <f>"11563"</f>
        <v>11563</v>
      </c>
      <c r="B11564" t="str">
        <f>"0.08"</f>
        <v>0.08</v>
      </c>
      <c r="C11564" t="str">
        <f>"26"</f>
        <v>26</v>
      </c>
      <c r="D11564" t="str">
        <f>"Staring at the X"</f>
        <v>Staring at the X</v>
      </c>
    </row>
    <row r="11565" spans="1:4" x14ac:dyDescent="0.2">
      <c r="A11565" t="str">
        <f>"11564"</f>
        <v>11564</v>
      </c>
      <c r="B11565" t="str">
        <f>"-0.69"</f>
        <v>-0.69</v>
      </c>
      <c r="C11565" t="str">
        <f>"24"</f>
        <v>24</v>
      </c>
      <c r="D11565" t="str">
        <f>"Twirligig"</f>
        <v>Twirligig</v>
      </c>
    </row>
    <row r="11566" spans="1:4" x14ac:dyDescent="0.2">
      <c r="A11566" t="str">
        <f>"11565"</f>
        <v>11565</v>
      </c>
      <c r="B11566" t="str">
        <f>"-0.72"</f>
        <v>-0.72</v>
      </c>
      <c r="C11566" t="str">
        <f>"25"</f>
        <v>25</v>
      </c>
      <c r="D11566" t="str">
        <f>"Awake EP"</f>
        <v>Awake EP</v>
      </c>
    </row>
    <row r="11567" spans="1:4" x14ac:dyDescent="0.2">
      <c r="A11567" t="str">
        <f>"11566"</f>
        <v>11566</v>
      </c>
      <c r="B11567" t="str">
        <f>"-0.99"</f>
        <v>-0.99</v>
      </c>
      <c r="C11567" t="str">
        <f>"28"</f>
        <v>28</v>
      </c>
      <c r="D11567" t="str">
        <f>"One Pig"</f>
        <v>One Pig</v>
      </c>
    </row>
    <row r="11568" spans="1:4" x14ac:dyDescent="0.2">
      <c r="A11568" t="str">
        <f>"11567"</f>
        <v>11567</v>
      </c>
      <c r="B11568" t="str">
        <f>"0.44"</f>
        <v>0.44</v>
      </c>
      <c r="C11568" t="str">
        <f>"34"</f>
        <v>34</v>
      </c>
      <c r="D11568" t="str">
        <f>"Aabenbaringen Over Aaskammen"</f>
        <v>Aabenbaringen Over Aaskammen</v>
      </c>
    </row>
    <row r="11569" spans="1:4" x14ac:dyDescent="0.2">
      <c r="A11569" t="str">
        <f>"11568"</f>
        <v>11568</v>
      </c>
      <c r="B11569" t="str">
        <f>"0.46"</f>
        <v>0.46</v>
      </c>
      <c r="C11569" t="str">
        <f>"24"</f>
        <v>24</v>
      </c>
      <c r="D11569" t="str">
        <f>"The Abandoned Lullaby"</f>
        <v>The Abandoned Lullaby</v>
      </c>
    </row>
    <row r="11570" spans="1:4" x14ac:dyDescent="0.2">
      <c r="A11570" t="str">
        <f>"11569"</f>
        <v>11569</v>
      </c>
      <c r="B11570" t="str">
        <f>"0.54"</f>
        <v>0.54</v>
      </c>
      <c r="C11570" t="str">
        <f>"35"</f>
        <v>35</v>
      </c>
      <c r="D11570" t="str">
        <f>"Enemy/Lover"</f>
        <v>Enemy/Lover</v>
      </c>
    </row>
    <row r="11571" spans="1:4" x14ac:dyDescent="0.2">
      <c r="A11571" t="str">
        <f>"11570"</f>
        <v>11570</v>
      </c>
      <c r="B11571" t="str">
        <f>"-0.09"</f>
        <v>-0.09</v>
      </c>
      <c r="C11571" t="str">
        <f>"38"</f>
        <v>38</v>
      </c>
      <c r="D11571" t="str">
        <f>"Biophilia"</f>
        <v>Biophilia</v>
      </c>
    </row>
    <row r="11572" spans="1:4" x14ac:dyDescent="0.2">
      <c r="A11572" t="str">
        <f>"11571"</f>
        <v>11571</v>
      </c>
      <c r="B11572" t="str">
        <f>"-0.03"</f>
        <v>-0.03</v>
      </c>
      <c r="C11572" t="str">
        <f>"32"</f>
        <v>32</v>
      </c>
      <c r="D11572" t="str">
        <f>"Original Colors"</f>
        <v>Original Colors</v>
      </c>
    </row>
    <row r="11573" spans="1:4" x14ac:dyDescent="0.2">
      <c r="A11573" t="str">
        <f>"11572"</f>
        <v>11572</v>
      </c>
      <c r="B11573" t="str">
        <f>"0.56"</f>
        <v>0.56</v>
      </c>
      <c r="C11573" t="str">
        <f>"20"</f>
        <v>20</v>
      </c>
      <c r="D11573" t="str">
        <f>"The Matrimony Remixes EP"</f>
        <v>The Matrimony Remixes EP</v>
      </c>
    </row>
    <row r="11574" spans="1:4" x14ac:dyDescent="0.2">
      <c r="A11574" t="str">
        <f>"11573"</f>
        <v>11573</v>
      </c>
      <c r="B11574" t="str">
        <f>"-0.08"</f>
        <v>-0.08</v>
      </c>
      <c r="C11574" t="str">
        <f>"17"</f>
        <v>17</v>
      </c>
      <c r="D11574" t="str">
        <f>"Sets &amp; Lights"</f>
        <v>Sets &amp; Lights</v>
      </c>
    </row>
    <row r="11575" spans="1:4" x14ac:dyDescent="0.2">
      <c r="A11575" t="str">
        <f>"11574"</f>
        <v>11574</v>
      </c>
      <c r="B11575" t="str">
        <f>"-0.07"</f>
        <v>-0.07</v>
      </c>
      <c r="C11575" t="str">
        <f>"34"</f>
        <v>34</v>
      </c>
      <c r="D11575" t="str">
        <f>"Beyond the Lightless Sky"</f>
        <v>Beyond the Lightless Sky</v>
      </c>
    </row>
    <row r="11576" spans="1:4" x14ac:dyDescent="0.2">
      <c r="A11576" t="str">
        <f>"11575"</f>
        <v>11575</v>
      </c>
      <c r="B11576" t="str">
        <f>"-0.03"</f>
        <v>-0.03</v>
      </c>
      <c r="C11576" t="str">
        <f>"39"</f>
        <v>39</v>
      </c>
      <c r="D11576" t="str">
        <f>"Wolfroy Goes to Town"</f>
        <v>Wolfroy Goes to Town</v>
      </c>
    </row>
    <row r="11577" spans="1:4" x14ac:dyDescent="0.2">
      <c r="A11577" t="str">
        <f>"11576"</f>
        <v>11576</v>
      </c>
      <c r="B11577" t="str">
        <f>"0.48"</f>
        <v>0.48</v>
      </c>
      <c r="C11577" t="str">
        <f>"27"</f>
        <v>27</v>
      </c>
      <c r="D11577" t="str">
        <f>"A Different Kind of Fix"</f>
        <v>A Different Kind of Fix</v>
      </c>
    </row>
    <row r="11578" spans="1:4" x14ac:dyDescent="0.2">
      <c r="A11578" t="str">
        <f>"11577"</f>
        <v>11577</v>
      </c>
      <c r="B11578" t="str">
        <f>"-0.98"</f>
        <v>-0.98</v>
      </c>
      <c r="C11578" t="str">
        <f>"20"</f>
        <v>20</v>
      </c>
      <c r="D11578" t="str">
        <f>"Breaks in the Armor"</f>
        <v>Breaks in the Armor</v>
      </c>
    </row>
    <row r="11579" spans="1:4" x14ac:dyDescent="0.2">
      <c r="A11579" t="str">
        <f>"11578"</f>
        <v>11578</v>
      </c>
      <c r="B11579" t="str">
        <f>"0.7"</f>
        <v>0.7</v>
      </c>
      <c r="C11579" t="str">
        <f>"33"</f>
        <v>33</v>
      </c>
      <c r="D11579" t="str">
        <f>"Forever Abomination"</f>
        <v>Forever Abomination</v>
      </c>
    </row>
    <row r="11580" spans="1:4" x14ac:dyDescent="0.2">
      <c r="A11580" t="str">
        <f>"11579"</f>
        <v>11579</v>
      </c>
      <c r="B11580" t="str">
        <f>"0.64"</f>
        <v>0.64</v>
      </c>
      <c r="C11580" t="str">
        <f>"20"</f>
        <v>20</v>
      </c>
      <c r="D11580" t="str">
        <f>"The Sea of Memories"</f>
        <v>The Sea of Memories</v>
      </c>
    </row>
    <row r="11581" spans="1:4" x14ac:dyDescent="0.2">
      <c r="A11581" t="str">
        <f>"11580"</f>
        <v>11580</v>
      </c>
      <c r="B11581" t="str">
        <f>"0.33"</f>
        <v>0.33</v>
      </c>
      <c r="C11581" t="str">
        <f>"40"</f>
        <v>40</v>
      </c>
      <c r="D11581" t="str">
        <f>"Ashes &amp; Fire"</f>
        <v>Ashes &amp; Fire</v>
      </c>
    </row>
    <row r="11582" spans="1:4" x14ac:dyDescent="0.2">
      <c r="A11582" t="str">
        <f>"11581"</f>
        <v>11581</v>
      </c>
      <c r="B11582" t="str">
        <f>"0.02"</f>
        <v>0.02</v>
      </c>
      <c r="C11582" t="str">
        <f>"31"</f>
        <v>31</v>
      </c>
      <c r="D11582" t="str">
        <f>"Drive OST"</f>
        <v>Drive OST</v>
      </c>
    </row>
    <row r="11583" spans="1:4" x14ac:dyDescent="0.2">
      <c r="A11583" t="str">
        <f>"11582"</f>
        <v>11582</v>
      </c>
      <c r="B11583" t="str">
        <f>"0.5"</f>
        <v>0.5</v>
      </c>
      <c r="C11583" t="str">
        <f>"35"</f>
        <v>35</v>
      </c>
      <c r="D11583" t="str">
        <f>"Abzu"</f>
        <v>Abzu</v>
      </c>
    </row>
    <row r="11584" spans="1:4" x14ac:dyDescent="0.2">
      <c r="A11584" t="str">
        <f>"11583"</f>
        <v>11583</v>
      </c>
      <c r="B11584" t="str">
        <f>"-0.58"</f>
        <v>-0.58</v>
      </c>
      <c r="C11584" t="str">
        <f>"24"</f>
        <v>24</v>
      </c>
      <c r="D11584" t="str">
        <f>"Swimming Through Sunlight"</f>
        <v>Swimming Through Sunlight</v>
      </c>
    </row>
    <row r="11585" spans="1:4" x14ac:dyDescent="0.2">
      <c r="A11585" t="str">
        <f>"11584"</f>
        <v>11584</v>
      </c>
      <c r="B11585" t="str">
        <f>"-1.13"</f>
        <v>-1.13</v>
      </c>
      <c r="C11585" t="str">
        <f>"21"</f>
        <v>21</v>
      </c>
      <c r="D11585" t="str">
        <f>"Blue Hour"</f>
        <v>Blue Hour</v>
      </c>
    </row>
    <row r="11586" spans="1:4" x14ac:dyDescent="0.2">
      <c r="A11586" t="str">
        <f>"11585"</f>
        <v>11585</v>
      </c>
      <c r="B11586" t="str">
        <f>"-0.22"</f>
        <v>-0.22</v>
      </c>
      <c r="C11586" t="str">
        <f>"23"</f>
        <v>23</v>
      </c>
      <c r="D11586" t="str">
        <f>"TKOL RMX 1234567"</f>
        <v>TKOL RMX 1234567</v>
      </c>
    </row>
    <row r="11587" spans="1:4" x14ac:dyDescent="0.2">
      <c r="A11587" t="str">
        <f>"11586"</f>
        <v>11586</v>
      </c>
      <c r="B11587" t="str">
        <f>"0.5"</f>
        <v>0.5</v>
      </c>
      <c r="C11587" t="str">
        <f>"26"</f>
        <v>26</v>
      </c>
      <c r="D11587" t="str">
        <f>"Dropped Pianos"</f>
        <v>Dropped Pianos</v>
      </c>
    </row>
    <row r="11588" spans="1:4" x14ac:dyDescent="0.2">
      <c r="A11588" t="str">
        <f>"11587"</f>
        <v>11587</v>
      </c>
      <c r="B11588" t="str">
        <f>"-0.41"</f>
        <v>-0.41</v>
      </c>
      <c r="C11588" t="str">
        <f>"28"</f>
        <v>28</v>
      </c>
      <c r="D11588" t="str">
        <f>"On the Water"</f>
        <v>On the Water</v>
      </c>
    </row>
    <row r="11589" spans="1:4" x14ac:dyDescent="0.2">
      <c r="A11589" t="str">
        <f>"11588"</f>
        <v>11588</v>
      </c>
      <c r="B11589" t="str">
        <f>"0.37"</f>
        <v>0.37</v>
      </c>
      <c r="C11589" t="str">
        <f>"19"</f>
        <v>19</v>
      </c>
      <c r="D11589" t="str">
        <f>"Coracle"</f>
        <v>Coracle</v>
      </c>
    </row>
    <row r="11590" spans="1:4" x14ac:dyDescent="0.2">
      <c r="A11590" t="str">
        <f>"11589"</f>
        <v>11589</v>
      </c>
      <c r="B11590" t="str">
        <f>"0.54"</f>
        <v>0.54</v>
      </c>
      <c r="C11590" t="str">
        <f>"25"</f>
        <v>25</v>
      </c>
      <c r="D11590" t="str">
        <f>"You Drive Me to Plastic"</f>
        <v>You Drive Me to Plastic</v>
      </c>
    </row>
    <row r="11591" spans="1:4" x14ac:dyDescent="0.2">
      <c r="A11591" t="str">
        <f>"11590"</f>
        <v>11590</v>
      </c>
      <c r="B11591" t="str">
        <f>"0.38"</f>
        <v>0.38</v>
      </c>
      <c r="C11591" t="str">
        <f>"45"</f>
        <v>45</v>
      </c>
      <c r="D11591" t="str">
        <f>"Enough Thunder EP"</f>
        <v>Enough Thunder EP</v>
      </c>
    </row>
    <row r="11592" spans="1:4" x14ac:dyDescent="0.2">
      <c r="A11592" t="str">
        <f>"11591"</f>
        <v>11591</v>
      </c>
      <c r="B11592" t="str">
        <f>"-0.41"</f>
        <v>-0.41</v>
      </c>
      <c r="C11592" t="str">
        <f>"28"</f>
        <v>28</v>
      </c>
      <c r="D11592" t="str">
        <f>"The Sunday Gift"</f>
        <v>The Sunday Gift</v>
      </c>
    </row>
    <row r="11593" spans="1:4" x14ac:dyDescent="0.2">
      <c r="A11593" t="str">
        <f>"11592"</f>
        <v>11592</v>
      </c>
      <c r="B11593" t="str">
        <f>"0.48"</f>
        <v>0.48</v>
      </c>
      <c r="C11593" t="str">
        <f>"25"</f>
        <v>25</v>
      </c>
      <c r="D11593" t="str">
        <f>"WARN-U EP"</f>
        <v>WARN-U EP</v>
      </c>
    </row>
    <row r="11594" spans="1:4" x14ac:dyDescent="0.2">
      <c r="A11594" t="str">
        <f>"11593"</f>
        <v>11593</v>
      </c>
      <c r="B11594" t="str">
        <f>"0.35"</f>
        <v>0.35</v>
      </c>
      <c r="C11594" t="str">
        <f>"25"</f>
        <v>25</v>
      </c>
      <c r="D11594" t="str">
        <f>"Tropical 2"</f>
        <v>Tropical 2</v>
      </c>
    </row>
    <row r="11595" spans="1:4" x14ac:dyDescent="0.2">
      <c r="A11595" t="str">
        <f>"11594"</f>
        <v>11594</v>
      </c>
      <c r="B11595" t="str">
        <f>"0.25"</f>
        <v>0.25</v>
      </c>
      <c r="C11595" t="str">
        <f>"22"</f>
        <v>22</v>
      </c>
      <c r="D11595" t="str">
        <f>"Ghost People"</f>
        <v>Ghost People</v>
      </c>
    </row>
    <row r="11596" spans="1:4" x14ac:dyDescent="0.2">
      <c r="A11596" t="str">
        <f>"11595"</f>
        <v>11595</v>
      </c>
      <c r="B11596" t="str">
        <f>"0.13"</f>
        <v>0.13</v>
      </c>
      <c r="C11596" t="str">
        <f>"47"</f>
        <v>47</v>
      </c>
      <c r="D11596" t="s">
        <v>347</v>
      </c>
    </row>
    <row r="11597" spans="1:4" x14ac:dyDescent="0.2">
      <c r="A11597" t="str">
        <f>"11596"</f>
        <v>11596</v>
      </c>
      <c r="B11597" t="str">
        <f>"0.64"</f>
        <v>0.64</v>
      </c>
      <c r="C11597" t="str">
        <f>"71"</f>
        <v>71</v>
      </c>
      <c r="D11597" t="s">
        <v>348</v>
      </c>
    </row>
    <row r="11598" spans="1:4" x14ac:dyDescent="0.2">
      <c r="A11598" t="str">
        <f>"11597"</f>
        <v>11597</v>
      </c>
      <c r="B11598" t="str">
        <f>"0.27"</f>
        <v>0.27</v>
      </c>
      <c r="C11598" t="str">
        <f>"16"</f>
        <v>16</v>
      </c>
      <c r="D11598" t="str">
        <f>"Extra Playful EP"</f>
        <v>Extra Playful EP</v>
      </c>
    </row>
    <row r="11599" spans="1:4" x14ac:dyDescent="0.2">
      <c r="A11599" t="str">
        <f>"11598"</f>
        <v>11598</v>
      </c>
      <c r="B11599" t="str">
        <f>"0.15"</f>
        <v>0.15</v>
      </c>
      <c r="C11599" t="str">
        <f>"21"</f>
        <v>21</v>
      </c>
      <c r="D11599" t="str">
        <f>"Apokalypsis"</f>
        <v>Apokalypsis</v>
      </c>
    </row>
    <row r="11600" spans="1:4" x14ac:dyDescent="0.2">
      <c r="A11600" t="str">
        <f>"11599"</f>
        <v>11599</v>
      </c>
      <c r="B11600" t="str">
        <f>"0.61"</f>
        <v>0.61</v>
      </c>
      <c r="C11600" t="str">
        <f>"28"</f>
        <v>28</v>
      </c>
      <c r="D11600" t="str">
        <f>"Hall Music"</f>
        <v>Hall Music</v>
      </c>
    </row>
    <row r="11601" spans="1:4" x14ac:dyDescent="0.2">
      <c r="A11601" t="str">
        <f>"11600"</f>
        <v>11600</v>
      </c>
      <c r="B11601" t="str">
        <f>"-0.04"</f>
        <v>-0.04</v>
      </c>
      <c r="C11601" t="str">
        <f>"32"</f>
        <v>32</v>
      </c>
      <c r="D11601" t="str">
        <f>"Conatus"</f>
        <v>Conatus</v>
      </c>
    </row>
    <row r="11602" spans="1:4" x14ac:dyDescent="0.2">
      <c r="A11602" t="str">
        <f>"11601"</f>
        <v>11601</v>
      </c>
      <c r="B11602" t="str">
        <f>"0.93"</f>
        <v>0.93</v>
      </c>
      <c r="C11602" t="str">
        <f>"18"</f>
        <v>18</v>
      </c>
      <c r="D11602" t="str">
        <f>"LateNightTales"</f>
        <v>LateNightTales</v>
      </c>
    </row>
    <row r="11603" spans="1:4" x14ac:dyDescent="0.2">
      <c r="A11603" t="str">
        <f>"11602"</f>
        <v>11602</v>
      </c>
      <c r="B11603" t="str">
        <f>"1.05"</f>
        <v>1.05</v>
      </c>
      <c r="C11603" t="str">
        <f>"21"</f>
        <v>21</v>
      </c>
      <c r="D11603" t="str">
        <f>"III"</f>
        <v>III</v>
      </c>
    </row>
    <row r="11604" spans="1:4" x14ac:dyDescent="0.2">
      <c r="A11604" t="str">
        <f>"11603"</f>
        <v>11603</v>
      </c>
      <c r="B11604" t="str">
        <f>"-0.81"</f>
        <v>-0.81</v>
      </c>
      <c r="C11604" t="str">
        <f>"19"</f>
        <v>19</v>
      </c>
      <c r="D11604" t="str">
        <f>"Lose Today"</f>
        <v>Lose Today</v>
      </c>
    </row>
    <row r="11605" spans="1:4" x14ac:dyDescent="0.2">
      <c r="A11605" t="str">
        <f>"11604"</f>
        <v>11604</v>
      </c>
      <c r="B11605" t="str">
        <f>"1.1"</f>
        <v>1.1</v>
      </c>
      <c r="C11605" t="str">
        <f>"39"</f>
        <v>39</v>
      </c>
      <c r="D11605" t="str">
        <f>"Ideas of Distance"</f>
        <v>Ideas of Distance</v>
      </c>
    </row>
    <row r="11606" spans="1:4" x14ac:dyDescent="0.2">
      <c r="A11606" t="str">
        <f>"11605"</f>
        <v>11605</v>
      </c>
      <c r="B11606" t="str">
        <f>"0.5"</f>
        <v>0.5</v>
      </c>
      <c r="C11606" t="str">
        <f>"36"</f>
        <v>36</v>
      </c>
      <c r="D11606" t="str">
        <f>"Kinshasa One Two"</f>
        <v>Kinshasa One Two</v>
      </c>
    </row>
    <row r="11607" spans="1:4" x14ac:dyDescent="0.2">
      <c r="A11607" t="str">
        <f>"11606"</f>
        <v>11606</v>
      </c>
      <c r="B11607" t="str">
        <f>"-0.17"</f>
        <v>-0.17</v>
      </c>
      <c r="C11607" t="str">
        <f>"41"</f>
        <v>41</v>
      </c>
      <c r="D11607" t="str">
        <f>"Foolish"</f>
        <v>Foolish</v>
      </c>
    </row>
    <row r="11608" spans="1:4" x14ac:dyDescent="0.2">
      <c r="A11608" t="str">
        <f>"11607"</f>
        <v>11607</v>
      </c>
      <c r="B11608" t="str">
        <f>"0.89"</f>
        <v>0.89</v>
      </c>
      <c r="C11608" t="str">
        <f>"31"</f>
        <v>31</v>
      </c>
      <c r="D11608" t="str">
        <f>"Life in the Trenches"</f>
        <v>Life in the Trenches</v>
      </c>
    </row>
    <row r="11609" spans="1:4" x14ac:dyDescent="0.2">
      <c r="A11609" t="str">
        <f>"11608"</f>
        <v>11608</v>
      </c>
      <c r="B11609" t="str">
        <f>"0.44"</f>
        <v>0.44</v>
      </c>
      <c r="C11609" t="str">
        <f>"13"</f>
        <v>13</v>
      </c>
      <c r="D11609" t="str">
        <f>"Forever"</f>
        <v>Forever</v>
      </c>
    </row>
    <row r="11610" spans="1:4" x14ac:dyDescent="0.2">
      <c r="A11610" t="str">
        <f>"11609"</f>
        <v>11609</v>
      </c>
      <c r="B11610" t="str">
        <f>"0.42"</f>
        <v>0.42</v>
      </c>
      <c r="C11610" t="str">
        <f>"22"</f>
        <v>22</v>
      </c>
      <c r="D11610" t="str">
        <f>"Plus"</f>
        <v>Plus</v>
      </c>
    </row>
    <row r="11611" spans="1:4" x14ac:dyDescent="0.2">
      <c r="A11611" t="str">
        <f>"11610"</f>
        <v>11610</v>
      </c>
      <c r="B11611" t="str">
        <f>"0.42"</f>
        <v>0.42</v>
      </c>
      <c r="C11611" t="str">
        <f>"34"</f>
        <v>34</v>
      </c>
      <c r="D11611" t="str">
        <f>"Metals"</f>
        <v>Metals</v>
      </c>
    </row>
    <row r="11612" spans="1:4" x14ac:dyDescent="0.2">
      <c r="A11612" t="str">
        <f>"11611"</f>
        <v>11611</v>
      </c>
      <c r="B11612" t="str">
        <f>"0.16"</f>
        <v>0.16</v>
      </c>
      <c r="C11612" t="str">
        <f>"29"</f>
        <v>29</v>
      </c>
      <c r="D11612" t="str">
        <f>"Those Who Didn't Run"</f>
        <v>Those Who Didn't Run</v>
      </c>
    </row>
    <row r="11613" spans="1:4" x14ac:dyDescent="0.2">
      <c r="A11613" t="str">
        <f>"11612"</f>
        <v>11612</v>
      </c>
      <c r="B11613" t="str">
        <f>"-0.38"</f>
        <v>-0.38</v>
      </c>
      <c r="C11613" t="str">
        <f>"22"</f>
        <v>22</v>
      </c>
      <c r="D11613" t="str">
        <f>"Monkeytown"</f>
        <v>Monkeytown</v>
      </c>
    </row>
    <row r="11614" spans="1:4" x14ac:dyDescent="0.2">
      <c r="A11614" t="str">
        <f>"11613"</f>
        <v>11613</v>
      </c>
      <c r="B11614" t="str">
        <f>"-0.6"</f>
        <v>-0.6</v>
      </c>
      <c r="C11614" t="str">
        <f>"28"</f>
        <v>28</v>
      </c>
      <c r="D11614" t="str">
        <f>"In the Pit of the Stomach"</f>
        <v>In the Pit of the Stomach</v>
      </c>
    </row>
    <row r="11615" spans="1:4" x14ac:dyDescent="0.2">
      <c r="A11615" t="str">
        <f>"11614"</f>
        <v>11614</v>
      </c>
      <c r="B11615" t="str">
        <f>"0.01"</f>
        <v>0.01</v>
      </c>
      <c r="C11615" t="str">
        <f>"23"</f>
        <v>23</v>
      </c>
      <c r="D11615" t="str">
        <f>"Eager to Tear Apart the Stars"</f>
        <v>Eager to Tear Apart the Stars</v>
      </c>
    </row>
    <row r="11616" spans="1:4" x14ac:dyDescent="0.2">
      <c r="A11616" t="str">
        <f>"11615"</f>
        <v>11615</v>
      </c>
      <c r="B11616" t="str">
        <f>"-0.02"</f>
        <v>-0.02</v>
      </c>
      <c r="C11616" t="str">
        <f>"35"</f>
        <v>35</v>
      </c>
      <c r="D11616" t="str">
        <f>"The Hunter"</f>
        <v>The Hunter</v>
      </c>
    </row>
    <row r="11617" spans="1:4" x14ac:dyDescent="0.2">
      <c r="A11617" t="str">
        <f>"11616"</f>
        <v>11616</v>
      </c>
      <c r="B11617" t="str">
        <f>"-0.36"</f>
        <v>-0.36</v>
      </c>
      <c r="C11617" t="str">
        <f>"35"</f>
        <v>35</v>
      </c>
      <c r="D11617" t="str">
        <f>"Everything Is Boring &amp; Everyone Is a Fucking Liar"</f>
        <v>Everything Is Boring &amp; Everyone Is a Fucking Liar</v>
      </c>
    </row>
    <row r="11618" spans="1:4" x14ac:dyDescent="0.2">
      <c r="A11618" t="str">
        <f>"11617"</f>
        <v>11617</v>
      </c>
      <c r="B11618" t="str">
        <f>"-0.11"</f>
        <v>-0.11</v>
      </c>
      <c r="C11618" t="str">
        <f>"27"</f>
        <v>27</v>
      </c>
      <c r="D11618" t="str">
        <f>"Cole World: The Sideline Story"</f>
        <v>Cole World: The Sideline Story</v>
      </c>
    </row>
    <row r="11619" spans="1:4" x14ac:dyDescent="0.2">
      <c r="A11619" t="str">
        <f>"11618"</f>
        <v>11618</v>
      </c>
      <c r="B11619" t="str">
        <f>"-0.08"</f>
        <v>-0.08</v>
      </c>
      <c r="C11619" t="str">
        <f>"27"</f>
        <v>27</v>
      </c>
      <c r="D11619" t="str">
        <f>"WAND"</f>
        <v>WAND</v>
      </c>
    </row>
    <row r="11620" spans="1:4" x14ac:dyDescent="0.2">
      <c r="A11620" t="str">
        <f>"11619"</f>
        <v>11619</v>
      </c>
      <c r="B11620" t="str">
        <f>"-0.35"</f>
        <v>-0.35</v>
      </c>
      <c r="C11620" t="str">
        <f>"23"</f>
        <v>23</v>
      </c>
      <c r="D11620" t="str">
        <f>"How the Thing Sings"</f>
        <v>How the Thing Sings</v>
      </c>
    </row>
    <row r="11621" spans="1:4" x14ac:dyDescent="0.2">
      <c r="A11621" t="str">
        <f>"11620"</f>
        <v>11620</v>
      </c>
      <c r="B11621" t="str">
        <f>"0.58"</f>
        <v>0.58</v>
      </c>
      <c r="C11621" t="str">
        <f>"24"</f>
        <v>24</v>
      </c>
      <c r="D11621" t="str">
        <f>"The Year of Hibernation"</f>
        <v>The Year of Hibernation</v>
      </c>
    </row>
    <row r="11622" spans="1:4" x14ac:dyDescent="0.2">
      <c r="A11622" t="str">
        <f>"11621"</f>
        <v>11621</v>
      </c>
      <c r="B11622" t="str">
        <f>"-1.08"</f>
        <v>-1.08</v>
      </c>
      <c r="C11622" t="str">
        <f>"31"</f>
        <v>31</v>
      </c>
      <c r="D11622" t="str">
        <f>"Lost in Translation"</f>
        <v>Lost in Translation</v>
      </c>
    </row>
    <row r="11623" spans="1:4" x14ac:dyDescent="0.2">
      <c r="A11623" t="str">
        <f>"11622"</f>
        <v>11622</v>
      </c>
      <c r="B11623" t="str">
        <f>"0"</f>
        <v>0</v>
      </c>
      <c r="C11623" t="str">
        <f>"33"</f>
        <v>33</v>
      </c>
      <c r="D11623" t="str">
        <f>"Cabaret Cixous"</f>
        <v>Cabaret Cixous</v>
      </c>
    </row>
    <row r="11624" spans="1:4" x14ac:dyDescent="0.2">
      <c r="A11624" t="str">
        <f>"11623"</f>
        <v>11623</v>
      </c>
      <c r="B11624" t="str">
        <f>"-0.42"</f>
        <v>-0.42</v>
      </c>
      <c r="C11624" t="str">
        <f>"38"</f>
        <v>38</v>
      </c>
      <c r="D11624" t="str">
        <f>"This May Be My Last Time Singing"</f>
        <v>This May Be My Last Time Singing</v>
      </c>
    </row>
    <row r="11625" spans="1:4" x14ac:dyDescent="0.2">
      <c r="A11625" t="str">
        <f>"11624"</f>
        <v>11624</v>
      </c>
      <c r="B11625" t="str">
        <f>"-0.25"</f>
        <v>-0.25</v>
      </c>
      <c r="C11625" t="str">
        <f>"17"</f>
        <v>17</v>
      </c>
      <c r="D11625" t="str">
        <f>"Cerebral Ballzy"</f>
        <v>Cerebral Ballzy</v>
      </c>
    </row>
    <row r="11626" spans="1:4" x14ac:dyDescent="0.2">
      <c r="A11626" t="str">
        <f>"11625"</f>
        <v>11625</v>
      </c>
      <c r="B11626" t="str">
        <f>"0.41"</f>
        <v>0.41</v>
      </c>
      <c r="C11626" t="str">
        <f>"45"</f>
        <v>45</v>
      </c>
      <c r="D11626" t="str">
        <f>"Only in Dreams"</f>
        <v>Only in Dreams</v>
      </c>
    </row>
    <row r="11627" spans="1:4" x14ac:dyDescent="0.2">
      <c r="A11627" t="str">
        <f>"11626"</f>
        <v>11626</v>
      </c>
      <c r="B11627" t="str">
        <f>"-0.84"</f>
        <v>-0.84</v>
      </c>
      <c r="C11627" t="str">
        <f>"26"</f>
        <v>26</v>
      </c>
      <c r="D11627" t="str">
        <f>"Rest"</f>
        <v>Rest</v>
      </c>
    </row>
    <row r="11628" spans="1:4" x14ac:dyDescent="0.2">
      <c r="A11628" t="str">
        <f>"11627"</f>
        <v>11627</v>
      </c>
      <c r="B11628" t="str">
        <f>"0.99"</f>
        <v>0.99</v>
      </c>
      <c r="C11628" t="str">
        <f>"18"</f>
        <v>18</v>
      </c>
      <c r="D11628" t="str">
        <f>"The Stepkids"</f>
        <v>The Stepkids</v>
      </c>
    </row>
    <row r="11629" spans="1:4" x14ac:dyDescent="0.2">
      <c r="A11629" t="str">
        <f>"11628"</f>
        <v>11628</v>
      </c>
      <c r="B11629" t="str">
        <f>"0.05"</f>
        <v>0.05</v>
      </c>
      <c r="C11629" t="str">
        <f>"31"</f>
        <v>31</v>
      </c>
      <c r="D11629" t="str">
        <f>"Mekons: Ancient &amp; Modern 1911-2011"</f>
        <v>Mekons: Ancient &amp; Modern 1911-2011</v>
      </c>
    </row>
    <row r="11630" spans="1:4" x14ac:dyDescent="0.2">
      <c r="A11630" t="str">
        <f>"11629"</f>
        <v>11629</v>
      </c>
      <c r="B11630" t="str">
        <f>"-0.36"</f>
        <v>-0.36</v>
      </c>
      <c r="C11630" t="str">
        <f>"27"</f>
        <v>27</v>
      </c>
      <c r="D11630" t="str">
        <f>"Scintilli"</f>
        <v>Scintilli</v>
      </c>
    </row>
    <row r="11631" spans="1:4" x14ac:dyDescent="0.2">
      <c r="A11631" t="str">
        <f>"11630"</f>
        <v>11630</v>
      </c>
      <c r="B11631" t="str">
        <f>"-0.05"</f>
        <v>-0.05</v>
      </c>
      <c r="C11631" t="str">
        <f>"59"</f>
        <v>59</v>
      </c>
      <c r="D11631" t="str">
        <f>"Nevermind [20th Anniversary Edition]"</f>
        <v>Nevermind [20th Anniversary Edition]</v>
      </c>
    </row>
    <row r="11632" spans="1:4" x14ac:dyDescent="0.2">
      <c r="A11632" t="str">
        <f>"11631"</f>
        <v>11631</v>
      </c>
      <c r="B11632" t="str">
        <f>"0.75"</f>
        <v>0.75</v>
      </c>
      <c r="C11632" t="str">
        <f>"29"</f>
        <v>29</v>
      </c>
      <c r="D11632" t="str">
        <f>"Heritage"</f>
        <v>Heritage</v>
      </c>
    </row>
    <row r="11633" spans="1:4" x14ac:dyDescent="0.2">
      <c r="A11633" t="str">
        <f>"11632"</f>
        <v>11632</v>
      </c>
      <c r="B11633" t="str">
        <f>"-1.06"</f>
        <v>-1.06</v>
      </c>
      <c r="C11633" t="str">
        <f>"18"</f>
        <v>18</v>
      </c>
      <c r="D11633" t="str">
        <f>"Black Rainbows"</f>
        <v>Black Rainbows</v>
      </c>
    </row>
    <row r="11634" spans="1:4" x14ac:dyDescent="0.2">
      <c r="A11634" t="str">
        <f>"11633"</f>
        <v>11633</v>
      </c>
      <c r="B11634" t="str">
        <f>"0.3"</f>
        <v>0.3</v>
      </c>
      <c r="C11634" t="str">
        <f>"21"</f>
        <v>21</v>
      </c>
      <c r="D11634" t="str">
        <f>"Nice"</f>
        <v>Nice</v>
      </c>
    </row>
    <row r="11635" spans="1:4" x14ac:dyDescent="0.2">
      <c r="A11635" t="str">
        <f>"11634"</f>
        <v>11634</v>
      </c>
      <c r="B11635" t="str">
        <f>"0.01"</f>
        <v>0.01</v>
      </c>
      <c r="C11635" t="str">
        <f>"38"</f>
        <v>38</v>
      </c>
      <c r="D11635" t="str">
        <f>"Thrashin'"</f>
        <v>Thrashin'</v>
      </c>
    </row>
    <row r="11636" spans="1:4" x14ac:dyDescent="0.2">
      <c r="A11636" t="str">
        <f>"11635"</f>
        <v>11635</v>
      </c>
      <c r="B11636" t="str">
        <f>"0.53"</f>
        <v>0.53</v>
      </c>
      <c r="C11636" t="str">
        <f>"41"</f>
        <v>41</v>
      </c>
      <c r="D11636" t="str">
        <f>"The Whole Love"</f>
        <v>The Whole Love</v>
      </c>
    </row>
    <row r="11637" spans="1:4" x14ac:dyDescent="0.2">
      <c r="A11637" t="str">
        <f>"11636"</f>
        <v>11636</v>
      </c>
      <c r="B11637" t="str">
        <f>"1.13"</f>
        <v>1.13</v>
      </c>
      <c r="C11637" t="str">
        <f>"31"</f>
        <v>31</v>
      </c>
      <c r="D11637" t="str">
        <f>"In Heaven"</f>
        <v>In Heaven</v>
      </c>
    </row>
    <row r="11638" spans="1:4" x14ac:dyDescent="0.2">
      <c r="A11638" t="str">
        <f>"11637"</f>
        <v>11637</v>
      </c>
      <c r="B11638" t="str">
        <f>"0.35"</f>
        <v>0.35</v>
      </c>
      <c r="C11638" t="str">
        <f>"31"</f>
        <v>31</v>
      </c>
      <c r="D11638" t="str">
        <f>"Get Lost"</f>
        <v>Get Lost</v>
      </c>
    </row>
    <row r="11639" spans="1:4" x14ac:dyDescent="0.2">
      <c r="A11639" t="str">
        <f>"11638"</f>
        <v>11638</v>
      </c>
      <c r="B11639" t="str">
        <f>"-0.05"</f>
        <v>-0.05</v>
      </c>
      <c r="C11639" t="str">
        <f>"23"</f>
        <v>23</v>
      </c>
      <c r="D11639" t="str">
        <f>"Breakers"</f>
        <v>Breakers</v>
      </c>
    </row>
    <row r="11640" spans="1:4" x14ac:dyDescent="0.2">
      <c r="A11640" t="str">
        <f>"11639"</f>
        <v>11639</v>
      </c>
      <c r="B11640" t="str">
        <f>"0.91"</f>
        <v>0.91</v>
      </c>
      <c r="C11640" t="str">
        <f>"16"</f>
        <v>16</v>
      </c>
      <c r="D11640" t="str">
        <f>"Romantic Comedy"</f>
        <v>Romantic Comedy</v>
      </c>
    </row>
    <row r="11641" spans="1:4" x14ac:dyDescent="0.2">
      <c r="A11641" t="str">
        <f>"11640"</f>
        <v>11640</v>
      </c>
      <c r="B11641" t="str">
        <f>"0.51"</f>
        <v>0.51</v>
      </c>
      <c r="C11641" t="str">
        <f>"42"</f>
        <v>42</v>
      </c>
      <c r="D11641" t="str">
        <f>"Celestial Lineage"</f>
        <v>Celestial Lineage</v>
      </c>
    </row>
    <row r="11642" spans="1:4" x14ac:dyDescent="0.2">
      <c r="A11642" t="str">
        <f>"11641"</f>
        <v>11641</v>
      </c>
      <c r="B11642" t="str">
        <f>"0.33"</f>
        <v>0.33</v>
      </c>
      <c r="C11642" t="str">
        <f>"27"</f>
        <v>27</v>
      </c>
      <c r="D11642" t="str">
        <f>"""Witchhunt Suite for WWIII"""</f>
        <v>"Witchhunt Suite for WWIII"</v>
      </c>
    </row>
    <row r="11643" spans="1:4" x14ac:dyDescent="0.2">
      <c r="A11643" t="str">
        <f>"11642"</f>
        <v>11642</v>
      </c>
      <c r="B11643" t="str">
        <f>"0.35"</f>
        <v>0.35</v>
      </c>
      <c r="C11643" t="str">
        <f>"34"</f>
        <v>34</v>
      </c>
      <c r="D11643" t="str">
        <f>"The Alan Lomax Recordings"</f>
        <v>The Alan Lomax Recordings</v>
      </c>
    </row>
    <row r="11644" spans="1:4" x14ac:dyDescent="0.2">
      <c r="A11644" t="str">
        <f>"11643"</f>
        <v>11643</v>
      </c>
      <c r="B11644" t="str">
        <f>"0.35"</f>
        <v>0.35</v>
      </c>
      <c r="C11644" t="str">
        <f>"17"</f>
        <v>17</v>
      </c>
      <c r="D11644" t="str">
        <f>"Rat City"</f>
        <v>Rat City</v>
      </c>
    </row>
    <row r="11645" spans="1:4" x14ac:dyDescent="0.2">
      <c r="A11645" t="str">
        <f>"11644"</f>
        <v>11644</v>
      </c>
      <c r="B11645" t="str">
        <f>"-0.65"</f>
        <v>-0.65</v>
      </c>
      <c r="C11645" t="str">
        <f>"19"</f>
        <v>19</v>
      </c>
      <c r="D11645" t="str">
        <f>"I Remember"</f>
        <v>I Remember</v>
      </c>
    </row>
    <row r="11646" spans="1:4" x14ac:dyDescent="0.2">
      <c r="A11646" t="str">
        <f>"11645"</f>
        <v>11645</v>
      </c>
      <c r="B11646" t="str">
        <f>"1"</f>
        <v>1</v>
      </c>
      <c r="C11646" t="str">
        <f>"48"</f>
        <v>48</v>
      </c>
      <c r="D11646" t="str">
        <f>"An Argument With Myself"</f>
        <v>An Argument With Myself</v>
      </c>
    </row>
    <row r="11647" spans="1:4" x14ac:dyDescent="0.2">
      <c r="A11647" t="str">
        <f>"11646"</f>
        <v>11646</v>
      </c>
      <c r="B11647" t="str">
        <f>"0.92"</f>
        <v>0.92</v>
      </c>
      <c r="C11647" t="str">
        <f>"38"</f>
        <v>38</v>
      </c>
      <c r="D11647" t="s">
        <v>349</v>
      </c>
    </row>
    <row r="11648" spans="1:4" x14ac:dyDescent="0.2">
      <c r="A11648" t="str">
        <f>"11647"</f>
        <v>11647</v>
      </c>
      <c r="B11648" t="str">
        <f>"-0.29"</f>
        <v>-0.29</v>
      </c>
      <c r="C11648" t="str">
        <f>"21"</f>
        <v>21</v>
      </c>
      <c r="D11648" t="str">
        <f>"Rapping With Paul White"</f>
        <v>Rapping With Paul White</v>
      </c>
    </row>
    <row r="11649" spans="1:4" x14ac:dyDescent="0.2">
      <c r="A11649" t="str">
        <f>"11648"</f>
        <v>11648</v>
      </c>
      <c r="B11649" t="str">
        <f>"1.6"</f>
        <v>1.6</v>
      </c>
      <c r="C11649" t="str">
        <f>"29"</f>
        <v>29</v>
      </c>
      <c r="D11649" t="str">
        <f>"Fatou"</f>
        <v>Fatou</v>
      </c>
    </row>
    <row r="11650" spans="1:4" x14ac:dyDescent="0.2">
      <c r="A11650" t="str">
        <f>"11649"</f>
        <v>11649</v>
      </c>
      <c r="B11650" t="str">
        <f>"1.64"</f>
        <v>1.64</v>
      </c>
      <c r="C11650" t="str">
        <f>"21"</f>
        <v>21</v>
      </c>
      <c r="D11650" t="str">
        <f>"Parodia Flare"</f>
        <v>Parodia Flare</v>
      </c>
    </row>
    <row r="11651" spans="1:4" x14ac:dyDescent="0.2">
      <c r="A11651" t="str">
        <f>"11650"</f>
        <v>11650</v>
      </c>
      <c r="B11651" t="str">
        <f>"0.41"</f>
        <v>0.41</v>
      </c>
      <c r="C11651" t="str">
        <f>"40"</f>
        <v>40</v>
      </c>
      <c r="D11651" t="str">
        <f>"Fabriclive 59"</f>
        <v>Fabriclive 59</v>
      </c>
    </row>
    <row r="11652" spans="1:4" x14ac:dyDescent="0.2">
      <c r="A11652" t="str">
        <f>"11651"</f>
        <v>11651</v>
      </c>
      <c r="B11652" t="str">
        <f>"0"</f>
        <v>0</v>
      </c>
      <c r="C11652" t="str">
        <f>"30"</f>
        <v>30</v>
      </c>
      <c r="D11652" t="str">
        <f>"Mikal Cronin"</f>
        <v>Mikal Cronin</v>
      </c>
    </row>
    <row r="11653" spans="1:4" x14ac:dyDescent="0.2">
      <c r="A11653" t="str">
        <f>"11652"</f>
        <v>11652</v>
      </c>
      <c r="B11653" t="str">
        <f>"0.95"</f>
        <v>0.95</v>
      </c>
      <c r="C11653" t="str">
        <f>"17"</f>
        <v>17</v>
      </c>
      <c r="D11653" t="str">
        <f>"Red EP"</f>
        <v>Red EP</v>
      </c>
    </row>
    <row r="11654" spans="1:4" x14ac:dyDescent="0.2">
      <c r="A11654" t="str">
        <f>"11653"</f>
        <v>11653</v>
      </c>
      <c r="B11654" t="str">
        <f>"-0.34"</f>
        <v>-0.34</v>
      </c>
      <c r="C11654" t="str">
        <f>"27"</f>
        <v>27</v>
      </c>
      <c r="D11654" t="str">
        <f>"Zig Zaj"</f>
        <v>Zig Zaj</v>
      </c>
    </row>
    <row r="11655" spans="1:4" x14ac:dyDescent="0.2">
      <c r="A11655" t="str">
        <f>"11654"</f>
        <v>11654</v>
      </c>
      <c r="B11655" t="str">
        <f>"0.17"</f>
        <v>0.17</v>
      </c>
      <c r="C11655" t="str">
        <f>"14"</f>
        <v>14</v>
      </c>
      <c r="D11655" t="str">
        <f>"Again Into Eyes"</f>
        <v>Again Into Eyes</v>
      </c>
    </row>
    <row r="11656" spans="1:4" x14ac:dyDescent="0.2">
      <c r="A11656" t="str">
        <f>"11655"</f>
        <v>11655</v>
      </c>
      <c r="B11656" t="str">
        <f>"-0.81"</f>
        <v>-0.81</v>
      </c>
      <c r="C11656" t="str">
        <f>"66"</f>
        <v>66</v>
      </c>
      <c r="D11656" t="str">
        <f>"The 5 EPs"</f>
        <v>The 5 EPs</v>
      </c>
    </row>
    <row r="11657" spans="1:4" x14ac:dyDescent="0.2">
      <c r="A11657" t="str">
        <f>"11656"</f>
        <v>11656</v>
      </c>
      <c r="B11657" t="str">
        <f>"0.66"</f>
        <v>0.66</v>
      </c>
      <c r="C11657" t="str">
        <f>"22"</f>
        <v>22</v>
      </c>
      <c r="D11657" t="str">
        <f>"Pop Music / False B-Sides"</f>
        <v>Pop Music / False B-Sides</v>
      </c>
    </row>
    <row r="11658" spans="1:4" x14ac:dyDescent="0.2">
      <c r="A11658" t="str">
        <f>"11657"</f>
        <v>11657</v>
      </c>
      <c r="B11658" t="str">
        <f>"1.21"</f>
        <v>1.21</v>
      </c>
      <c r="C11658" t="str">
        <f>"21"</f>
        <v>21</v>
      </c>
      <c r="D11658" t="str">
        <f>"The Devil's Walk"</f>
        <v>The Devil's Walk</v>
      </c>
    </row>
    <row r="11659" spans="1:4" x14ac:dyDescent="0.2">
      <c r="A11659" t="str">
        <f>"11658"</f>
        <v>11658</v>
      </c>
      <c r="B11659" t="str">
        <f>"0.18"</f>
        <v>0.18</v>
      </c>
      <c r="C11659" t="str">
        <f>"23"</f>
        <v>23</v>
      </c>
      <c r="D11659" t="str">
        <f>"American Goldwing"</f>
        <v>American Goldwing</v>
      </c>
    </row>
    <row r="11660" spans="1:4" x14ac:dyDescent="0.2">
      <c r="A11660" t="str">
        <f>"11659"</f>
        <v>11659</v>
      </c>
      <c r="B11660" t="str">
        <f>"1.11"</f>
        <v>1.11</v>
      </c>
      <c r="C11660" t="str">
        <f>"30"</f>
        <v>30</v>
      </c>
      <c r="D11660" t="str">
        <f>"Visits"</f>
        <v>Visits</v>
      </c>
    </row>
    <row r="11661" spans="1:4" x14ac:dyDescent="0.2">
      <c r="A11661" t="str">
        <f>"11660"</f>
        <v>11660</v>
      </c>
      <c r="B11661" t="str">
        <f>"-1.26"</f>
        <v>-1.26</v>
      </c>
      <c r="C11661" t="str">
        <f>"23"</f>
        <v>23</v>
      </c>
      <c r="D11661" t="str">
        <f>"Life Sux EP"</f>
        <v>Life Sux EP</v>
      </c>
    </row>
    <row r="11662" spans="1:4" x14ac:dyDescent="0.2">
      <c r="A11662" t="str">
        <f>"11661"</f>
        <v>11661</v>
      </c>
      <c r="B11662" t="str">
        <f>"0.9"</f>
        <v>0.9</v>
      </c>
      <c r="C11662" t="str">
        <f>"21"</f>
        <v>21</v>
      </c>
      <c r="D11662" t="str">
        <f>"Megafaun"</f>
        <v>Megafaun</v>
      </c>
    </row>
    <row r="11663" spans="1:4" x14ac:dyDescent="0.2">
      <c r="A11663" t="str">
        <f>"11662"</f>
        <v>11662</v>
      </c>
      <c r="B11663" t="str">
        <f>"0.18"</f>
        <v>0.18</v>
      </c>
      <c r="C11663" t="str">
        <f>"23"</f>
        <v>23</v>
      </c>
      <c r="D11663" t="str">
        <f>"Veronica Falls"</f>
        <v>Veronica Falls</v>
      </c>
    </row>
    <row r="11664" spans="1:4" x14ac:dyDescent="0.2">
      <c r="A11664" t="str">
        <f>"11663"</f>
        <v>11663</v>
      </c>
      <c r="B11664" t="str">
        <f>"0.39"</f>
        <v>0.39</v>
      </c>
      <c r="C11664" t="str">
        <f>"26"</f>
        <v>26</v>
      </c>
      <c r="D11664" t="str">
        <f>"Haven"</f>
        <v>Haven</v>
      </c>
    </row>
    <row r="11665" spans="1:4" x14ac:dyDescent="0.2">
      <c r="A11665" t="str">
        <f>"11664"</f>
        <v>11664</v>
      </c>
      <c r="B11665" t="str">
        <f>"0.76"</f>
        <v>0.76</v>
      </c>
      <c r="C11665" t="str">
        <f>"23"</f>
        <v>23</v>
      </c>
      <c r="D11665" t="str">
        <f>"Soita Mulle"</f>
        <v>Soita Mulle</v>
      </c>
    </row>
    <row r="11666" spans="1:4" x14ac:dyDescent="0.2">
      <c r="A11666" t="str">
        <f>"11665"</f>
        <v>11665</v>
      </c>
      <c r="B11666" t="str">
        <f>"-0.56"</f>
        <v>-0.56</v>
      </c>
      <c r="C11666" t="str">
        <f>"39"</f>
        <v>39</v>
      </c>
      <c r="D11666" t="str">
        <f>"Relax"</f>
        <v>Relax</v>
      </c>
    </row>
    <row r="11667" spans="1:4" x14ac:dyDescent="0.2">
      <c r="A11667" t="str">
        <f>"11666"</f>
        <v>11666</v>
      </c>
      <c r="B11667" t="str">
        <f>"0.26"</f>
        <v>0.26</v>
      </c>
      <c r="C11667" t="str">
        <f>"29"</f>
        <v>29</v>
      </c>
      <c r="D11667" t="str">
        <f>"Portamento"</f>
        <v>Portamento</v>
      </c>
    </row>
    <row r="11668" spans="1:4" x14ac:dyDescent="0.2">
      <c r="A11668" t="str">
        <f>"11667"</f>
        <v>11667</v>
      </c>
      <c r="B11668" t="str">
        <f>"-0.02"</f>
        <v>-0.02</v>
      </c>
      <c r="C11668" t="str">
        <f>"36"</f>
        <v>36</v>
      </c>
      <c r="D11668" t="s">
        <v>350</v>
      </c>
    </row>
    <row r="11669" spans="1:4" x14ac:dyDescent="0.2">
      <c r="A11669" t="str">
        <f>"11668"</f>
        <v>11668</v>
      </c>
      <c r="B11669" t="str">
        <f>"1.02"</f>
        <v>1.02</v>
      </c>
      <c r="C11669" t="str">
        <f>"23"</f>
        <v>23</v>
      </c>
      <c r="D11669" t="str">
        <f>"Paradise"</f>
        <v>Paradise</v>
      </c>
    </row>
    <row r="11670" spans="1:4" x14ac:dyDescent="0.2">
      <c r="A11670" t="str">
        <f>"11669"</f>
        <v>11669</v>
      </c>
      <c r="B11670" t="str">
        <f>"1.14"</f>
        <v>1.14</v>
      </c>
      <c r="C11670" t="str">
        <f>"28"</f>
        <v>28</v>
      </c>
      <c r="D11670" t="str">
        <f>"Some Easy Magic"</f>
        <v>Some Easy Magic</v>
      </c>
    </row>
    <row r="11671" spans="1:4" x14ac:dyDescent="0.2">
      <c r="A11671" t="str">
        <f>"11670"</f>
        <v>11670</v>
      </c>
      <c r="B11671" t="str">
        <f>"0.65"</f>
        <v>0.65</v>
      </c>
      <c r="C11671" t="str">
        <f>"33"</f>
        <v>33</v>
      </c>
      <c r="D11671" t="str">
        <f>"Era Extraña"</f>
        <v>Era Extraña</v>
      </c>
    </row>
    <row r="11672" spans="1:4" x14ac:dyDescent="0.2">
      <c r="A11672" t="str">
        <f>"11671"</f>
        <v>11671</v>
      </c>
      <c r="B11672" t="str">
        <f>"-0.49"</f>
        <v>-0.49</v>
      </c>
      <c r="C11672" t="str">
        <f>"22"</f>
        <v>22</v>
      </c>
      <c r="D11672" t="str">
        <f>"Hysterical"</f>
        <v>Hysterical</v>
      </c>
    </row>
    <row r="11673" spans="1:4" x14ac:dyDescent="0.2">
      <c r="A11673" t="str">
        <f>"11672"</f>
        <v>11672</v>
      </c>
      <c r="B11673" t="str">
        <f>"0.88"</f>
        <v>0.88</v>
      </c>
      <c r="C11673" t="str">
        <f>"23"</f>
        <v>23</v>
      </c>
      <c r="D11673" t="str">
        <f>"Feast or Famine EP"</f>
        <v>Feast or Famine EP</v>
      </c>
    </row>
    <row r="11674" spans="1:4" x14ac:dyDescent="0.2">
      <c r="A11674" t="str">
        <f>"11673"</f>
        <v>11673</v>
      </c>
      <c r="B11674" t="str">
        <f>"0.73"</f>
        <v>0.73</v>
      </c>
      <c r="C11674" t="str">
        <f>"32"</f>
        <v>32</v>
      </c>
      <c r="D11674" t="str">
        <f>"Blueprint: The Best of 808 State"</f>
        <v>Blueprint: The Best of 808 State</v>
      </c>
    </row>
    <row r="11675" spans="1:4" x14ac:dyDescent="0.2">
      <c r="A11675" t="str">
        <f>"11674"</f>
        <v>11674</v>
      </c>
      <c r="B11675" t="str">
        <f>"-0.16"</f>
        <v>-0.16</v>
      </c>
      <c r="C11675" t="str">
        <f>"21"</f>
        <v>21</v>
      </c>
      <c r="D11675" t="str">
        <f>"Chartreuse Bull"</f>
        <v>Chartreuse Bull</v>
      </c>
    </row>
    <row r="11676" spans="1:4" x14ac:dyDescent="0.2">
      <c r="A11676" t="str">
        <f>"11675"</f>
        <v>11675</v>
      </c>
      <c r="B11676" t="str">
        <f>"0.19"</f>
        <v>0.19</v>
      </c>
      <c r="C11676" t="str">
        <f>"24"</f>
        <v>24</v>
      </c>
      <c r="D11676" t="str">
        <f>"Wild Flag"</f>
        <v>Wild Flag</v>
      </c>
    </row>
    <row r="11677" spans="1:4" x14ac:dyDescent="0.2">
      <c r="A11677" t="str">
        <f>"11676"</f>
        <v>11676</v>
      </c>
      <c r="B11677" t="str">
        <f>"-0.43"</f>
        <v>-0.43</v>
      </c>
      <c r="C11677" t="str">
        <f>"24"</f>
        <v>24</v>
      </c>
      <c r="D11677" t="str">
        <f>"Verde Terrace"</f>
        <v>Verde Terrace</v>
      </c>
    </row>
    <row r="11678" spans="1:4" x14ac:dyDescent="0.2">
      <c r="A11678" t="str">
        <f>"11677"</f>
        <v>11677</v>
      </c>
      <c r="B11678" t="str">
        <f>"-0.01"</f>
        <v>-0.01</v>
      </c>
      <c r="C11678" t="str">
        <f>"23"</f>
        <v>23</v>
      </c>
      <c r="D11678" t="str">
        <f>"Gravity the Seducer"</f>
        <v>Gravity the Seducer</v>
      </c>
    </row>
    <row r="11679" spans="1:4" x14ac:dyDescent="0.2">
      <c r="A11679" t="str">
        <f>"11678"</f>
        <v>11678</v>
      </c>
      <c r="B11679" t="str">
        <f>"0.33"</f>
        <v>0.33</v>
      </c>
      <c r="C11679" t="str">
        <f>"23"</f>
        <v>23</v>
      </c>
      <c r="D11679" t="str">
        <f>"A Winged Victory for the Sullen"</f>
        <v>A Winged Victory for the Sullen</v>
      </c>
    </row>
    <row r="11680" spans="1:4" x14ac:dyDescent="0.2">
      <c r="A11680" t="str">
        <f>"11679"</f>
        <v>11679</v>
      </c>
      <c r="B11680" t="str">
        <f>"0.45"</f>
        <v>0.45</v>
      </c>
      <c r="C11680" t="str">
        <f>"22"</f>
        <v>22</v>
      </c>
      <c r="D11680" t="str">
        <f>"Psychic Welfare"</f>
        <v>Psychic Welfare</v>
      </c>
    </row>
    <row r="11681" spans="1:4" x14ac:dyDescent="0.2">
      <c r="A11681" t="str">
        <f>"11680"</f>
        <v>11680</v>
      </c>
      <c r="B11681" t="str">
        <f>"-0.56"</f>
        <v>-0.56</v>
      </c>
      <c r="C11681" t="str">
        <f>"48"</f>
        <v>48</v>
      </c>
      <c r="D11681" t="str">
        <f>"Strange Mercy"</f>
        <v>Strange Mercy</v>
      </c>
    </row>
    <row r="11682" spans="1:4" x14ac:dyDescent="0.2">
      <c r="A11682" t="str">
        <f>"11681"</f>
        <v>11681</v>
      </c>
      <c r="B11682" t="str">
        <f>"1.06"</f>
        <v>1.06</v>
      </c>
      <c r="C11682" t="str">
        <f>"18"</f>
        <v>18</v>
      </c>
      <c r="D11682" t="str">
        <f>"Earth Division EP"</f>
        <v>Earth Division EP</v>
      </c>
    </row>
    <row r="11683" spans="1:4" x14ac:dyDescent="0.2">
      <c r="A11683" t="str">
        <f>"11682"</f>
        <v>11682</v>
      </c>
      <c r="B11683" t="str">
        <f>"-0.16"</f>
        <v>-0.16</v>
      </c>
      <c r="C11683" t="str">
        <f>"38"</f>
        <v>38</v>
      </c>
      <c r="D11683" t="str">
        <f>"Eleven Fingers"</f>
        <v>Eleven Fingers</v>
      </c>
    </row>
    <row r="11684" spans="1:4" x14ac:dyDescent="0.2">
      <c r="A11684" t="str">
        <f>"11683"</f>
        <v>11683</v>
      </c>
      <c r="B11684" t="str">
        <f>"0.02"</f>
        <v>0.02</v>
      </c>
      <c r="C11684" t="str">
        <f>"19"</f>
        <v>19</v>
      </c>
      <c r="D11684" t="str">
        <f>"Dreams Come True"</f>
        <v>Dreams Come True</v>
      </c>
    </row>
    <row r="11685" spans="1:4" x14ac:dyDescent="0.2">
      <c r="A11685" t="str">
        <f>"11684"</f>
        <v>11684</v>
      </c>
      <c r="B11685" t="str">
        <f>"-0.64"</f>
        <v>-0.64</v>
      </c>
      <c r="C11685" t="str">
        <f>"21"</f>
        <v>21</v>
      </c>
      <c r="D11685" t="str">
        <f>"A Creature I Don't Know"</f>
        <v>A Creature I Don't Know</v>
      </c>
    </row>
    <row r="11686" spans="1:4" x14ac:dyDescent="0.2">
      <c r="A11686" t="str">
        <f>"11685"</f>
        <v>11685</v>
      </c>
      <c r="B11686" t="str">
        <f>"0.69"</f>
        <v>0.69</v>
      </c>
      <c r="C11686" t="str">
        <f>"55"</f>
        <v>55</v>
      </c>
      <c r="D11686" t="s">
        <v>351</v>
      </c>
    </row>
    <row r="11687" spans="1:4" x14ac:dyDescent="0.2">
      <c r="A11687" t="str">
        <f>"11686"</f>
        <v>11686</v>
      </c>
      <c r="B11687" t="str">
        <f>"0.9"</f>
        <v>0.9</v>
      </c>
      <c r="C11687" t="str">
        <f>"21"</f>
        <v>21</v>
      </c>
      <c r="D11687" t="str">
        <f>"Freaking Out EP"</f>
        <v>Freaking Out EP</v>
      </c>
    </row>
    <row r="11688" spans="1:4" x14ac:dyDescent="0.2">
      <c r="A11688" t="str">
        <f>"11687"</f>
        <v>11687</v>
      </c>
      <c r="B11688" t="str">
        <f>"-0.18"</f>
        <v>-0.18</v>
      </c>
      <c r="C11688" t="str">
        <f>"23"</f>
        <v>23</v>
      </c>
      <c r="D11688" t="str">
        <f>"Tripper"</f>
        <v>Tripper</v>
      </c>
    </row>
    <row r="11689" spans="1:4" x14ac:dyDescent="0.2">
      <c r="A11689" t="str">
        <f>"11688"</f>
        <v>11688</v>
      </c>
      <c r="B11689" t="str">
        <f>"-0.44"</f>
        <v>-0.44</v>
      </c>
      <c r="C11689" t="str">
        <f>"32"</f>
        <v>32</v>
      </c>
      <c r="D11689" t="str">
        <f>"Odyshape"</f>
        <v>Odyshape</v>
      </c>
    </row>
    <row r="11690" spans="1:4" x14ac:dyDescent="0.2">
      <c r="A11690" t="str">
        <f>"11689"</f>
        <v>11689</v>
      </c>
      <c r="B11690" t="str">
        <f>"0.21"</f>
        <v>0.21</v>
      </c>
      <c r="C11690" t="str">
        <f>"29"</f>
        <v>29</v>
      </c>
      <c r="D11690" t="str">
        <f>"Mountaintops"</f>
        <v>Mountaintops</v>
      </c>
    </row>
    <row r="11691" spans="1:4" x14ac:dyDescent="0.2">
      <c r="A11691" t="str">
        <f>"11690"</f>
        <v>11690</v>
      </c>
      <c r="B11691" t="str">
        <f>"0.24"</f>
        <v>0.24</v>
      </c>
      <c r="C11691" t="str">
        <f>"40"</f>
        <v>40</v>
      </c>
      <c r="D11691" t="str">
        <f>"Re: ECM"</f>
        <v>Re: ECM</v>
      </c>
    </row>
    <row r="11692" spans="1:4" x14ac:dyDescent="0.2">
      <c r="A11692" t="str">
        <f>"11691"</f>
        <v>11691</v>
      </c>
      <c r="B11692" t="str">
        <f>"-0.12"</f>
        <v>-0.12</v>
      </c>
      <c r="C11692" t="str">
        <f>"27"</f>
        <v>27</v>
      </c>
      <c r="D11692" t="str">
        <f>"Who's Afraid of the Art of Noise [Deluxe Edition]"</f>
        <v>Who's Afraid of the Art of Noise [Deluxe Edition]</v>
      </c>
    </row>
    <row r="11693" spans="1:4" x14ac:dyDescent="0.2">
      <c r="A11693" t="str">
        <f>"11692"</f>
        <v>11692</v>
      </c>
      <c r="B11693" t="str">
        <f>"-0.26"</f>
        <v>-0.26</v>
      </c>
      <c r="C11693" t="str">
        <f>"40"</f>
        <v>40</v>
      </c>
      <c r="D11693" t="str">
        <f>"WTC 9/11"</f>
        <v>WTC 9/11</v>
      </c>
    </row>
    <row r="11694" spans="1:4" x14ac:dyDescent="0.2">
      <c r="A11694" t="str">
        <f>"11693"</f>
        <v>11693</v>
      </c>
      <c r="B11694" t="str">
        <f>"0.33"</f>
        <v>0.33</v>
      </c>
      <c r="C11694" t="str">
        <f>"23"</f>
        <v>23</v>
      </c>
      <c r="D11694" t="str">
        <f>"Whatever Brains"</f>
        <v>Whatever Brains</v>
      </c>
    </row>
    <row r="11695" spans="1:4" x14ac:dyDescent="0.2">
      <c r="A11695" t="str">
        <f>"11694"</f>
        <v>11694</v>
      </c>
      <c r="B11695" t="str">
        <f>"0.23"</f>
        <v>0.23</v>
      </c>
      <c r="C11695" t="str">
        <f>"21"</f>
        <v>21</v>
      </c>
      <c r="D11695" t="str">
        <f>"Making Mirrors"</f>
        <v>Making Mirrors</v>
      </c>
    </row>
    <row r="11696" spans="1:4" x14ac:dyDescent="0.2">
      <c r="A11696" t="str">
        <f>"11695"</f>
        <v>11695</v>
      </c>
      <c r="B11696" t="str">
        <f>"-0.72"</f>
        <v>-0.72</v>
      </c>
      <c r="C11696" t="str">
        <f>"54"</f>
        <v>54</v>
      </c>
      <c r="D11696" t="str">
        <f>"1977"</f>
        <v>1977</v>
      </c>
    </row>
    <row r="11697" spans="1:4" x14ac:dyDescent="0.2">
      <c r="A11697" t="str">
        <f>"11696"</f>
        <v>11696</v>
      </c>
      <c r="B11697" t="str">
        <f>"0.09"</f>
        <v>0.09</v>
      </c>
      <c r="C11697" t="str">
        <f>"30"</f>
        <v>30</v>
      </c>
      <c r="D11697" t="str">
        <f>"Atma"</f>
        <v>Atma</v>
      </c>
    </row>
    <row r="11698" spans="1:4" x14ac:dyDescent="0.2">
      <c r="A11698" t="str">
        <f>"11697"</f>
        <v>11697</v>
      </c>
      <c r="B11698" t="str">
        <f>"-1.24"</f>
        <v>-1.24</v>
      </c>
      <c r="C11698" t="str">
        <f>"33"</f>
        <v>33</v>
      </c>
      <c r="D11698" t="str">
        <f>"Red Sugar"</f>
        <v>Red Sugar</v>
      </c>
    </row>
    <row r="11699" spans="1:4" x14ac:dyDescent="0.2">
      <c r="A11699" t="str">
        <f>"11698"</f>
        <v>11698</v>
      </c>
      <c r="B11699" t="str">
        <f>"0.64"</f>
        <v>0.64</v>
      </c>
      <c r="C11699" t="str">
        <f>"25"</f>
        <v>25</v>
      </c>
      <c r="D11699" t="str">
        <f>"808s &amp; Dark Grapes II"</f>
        <v>808s &amp; Dark Grapes II</v>
      </c>
    </row>
    <row r="11700" spans="1:4" x14ac:dyDescent="0.2">
      <c r="A11700" t="str">
        <f>"11699"</f>
        <v>11699</v>
      </c>
      <c r="B11700" t="str">
        <f>"-0.65"</f>
        <v>-0.65</v>
      </c>
      <c r="C11700" t="str">
        <f>"15"</f>
        <v>15</v>
      </c>
      <c r="D11700" t="str">
        <f>"La Liberación"</f>
        <v>La Liberación</v>
      </c>
    </row>
    <row r="11701" spans="1:4" x14ac:dyDescent="0.2">
      <c r="A11701" t="str">
        <f>"11700"</f>
        <v>11700</v>
      </c>
      <c r="B11701" t="str">
        <f>"0.87"</f>
        <v>0.87</v>
      </c>
      <c r="C11701" t="str">
        <f>"32"</f>
        <v>32</v>
      </c>
      <c r="D11701" t="str">
        <f>"Looping State of Mind"</f>
        <v>Looping State of Mind</v>
      </c>
    </row>
    <row r="11702" spans="1:4" x14ac:dyDescent="0.2">
      <c r="A11702" t="str">
        <f>"11701"</f>
        <v>11701</v>
      </c>
      <c r="B11702" t="str">
        <f>"-0.88"</f>
        <v>-0.88</v>
      </c>
      <c r="C11702" t="str">
        <f>"37"</f>
        <v>37</v>
      </c>
      <c r="D11702" t="str">
        <f>"Lenses Alien"</f>
        <v>Lenses Alien</v>
      </c>
    </row>
    <row r="11703" spans="1:4" x14ac:dyDescent="0.2">
      <c r="A11703" t="str">
        <f>"11702"</f>
        <v>11702</v>
      </c>
      <c r="B11703" t="str">
        <f>"0.52"</f>
        <v>0.52</v>
      </c>
      <c r="C11703" t="str">
        <f>"21"</f>
        <v>21</v>
      </c>
      <c r="D11703" t="str">
        <f>"The Years EP"</f>
        <v>The Years EP</v>
      </c>
    </row>
    <row r="11704" spans="1:4" x14ac:dyDescent="0.2">
      <c r="A11704" t="str">
        <f>"11703"</f>
        <v>11703</v>
      </c>
      <c r="B11704" t="str">
        <f>"1.04"</f>
        <v>1.04</v>
      </c>
      <c r="C11704" t="str">
        <f>"33"</f>
        <v>33</v>
      </c>
      <c r="D11704" t="str">
        <f>"Geidi Primes"</f>
        <v>Geidi Primes</v>
      </c>
    </row>
    <row r="11705" spans="1:4" x14ac:dyDescent="0.2">
      <c r="A11705" t="str">
        <f>"11704"</f>
        <v>11704</v>
      </c>
      <c r="B11705" t="str">
        <f>"0.46"</f>
        <v>0.46</v>
      </c>
      <c r="C11705" t="str">
        <f>"28"</f>
        <v>28</v>
      </c>
      <c r="D11705" t="str">
        <f>"Garden of Arms"</f>
        <v>Garden of Arms</v>
      </c>
    </row>
    <row r="11706" spans="1:4" x14ac:dyDescent="0.2">
      <c r="A11706" t="str">
        <f>"11705"</f>
        <v>11705</v>
      </c>
      <c r="B11706" t="str">
        <f>"0.88"</f>
        <v>0.88</v>
      </c>
      <c r="C11706" t="str">
        <f>"40"</f>
        <v>40</v>
      </c>
      <c r="D11706" t="str">
        <f>"In the Grace of Your Love"</f>
        <v>In the Grace of Your Love</v>
      </c>
    </row>
    <row r="11707" spans="1:4" x14ac:dyDescent="0.2">
      <c r="A11707" t="str">
        <f>"11706"</f>
        <v>11706</v>
      </c>
      <c r="B11707" t="str">
        <f>"-0.52"</f>
        <v>-0.52</v>
      </c>
      <c r="C11707" t="str">
        <f>"30"</f>
        <v>30</v>
      </c>
      <c r="D11707" t="str">
        <f>"Ruin"</f>
        <v>Ruin</v>
      </c>
    </row>
    <row r="11708" spans="1:4" x14ac:dyDescent="0.2">
      <c r="A11708" t="str">
        <f>"11707"</f>
        <v>11707</v>
      </c>
      <c r="B11708" t="str">
        <f>"-0.96"</f>
        <v>-0.96</v>
      </c>
      <c r="C11708" t="str">
        <f>"16"</f>
        <v>16</v>
      </c>
      <c r="D11708" t="str">
        <f>"Violent Hearts"</f>
        <v>Violent Hearts</v>
      </c>
    </row>
    <row r="11709" spans="1:4" x14ac:dyDescent="0.2">
      <c r="A11709" t="str">
        <f>"11708"</f>
        <v>11708</v>
      </c>
      <c r="B11709" t="str">
        <f>"0.81"</f>
        <v>0.81</v>
      </c>
      <c r="C11709" t="str">
        <f>"33"</f>
        <v>33</v>
      </c>
      <c r="D11709" t="str">
        <f>"Anthology"</f>
        <v>Anthology</v>
      </c>
    </row>
    <row r="11710" spans="1:4" x14ac:dyDescent="0.2">
      <c r="A11710" t="str">
        <f>"11709"</f>
        <v>11709</v>
      </c>
      <c r="B11710" t="str">
        <f>"-0.36"</f>
        <v>-0.36</v>
      </c>
      <c r="C11710" t="str">
        <f>"23"</f>
        <v>23</v>
      </c>
      <c r="D11710" t="s">
        <v>352</v>
      </c>
    </row>
    <row r="11711" spans="1:4" x14ac:dyDescent="0.2">
      <c r="A11711" t="str">
        <f>"11710"</f>
        <v>11710</v>
      </c>
      <c r="B11711" t="str">
        <f>"0.98"</f>
        <v>0.98</v>
      </c>
      <c r="C11711" t="str">
        <f>"29"</f>
        <v>29</v>
      </c>
      <c r="D11711" t="str">
        <f>"The Golden Age of Apocalypse"</f>
        <v>The Golden Age of Apocalypse</v>
      </c>
    </row>
    <row r="11712" spans="1:4" x14ac:dyDescent="0.2">
      <c r="A11712" t="str">
        <f>"11711"</f>
        <v>11711</v>
      </c>
      <c r="B11712" t="str">
        <f>"1.21"</f>
        <v>1.21</v>
      </c>
      <c r="C11712" t="str">
        <f>"26"</f>
        <v>26</v>
      </c>
      <c r="D11712" t="str">
        <f>"Azari &amp; III"</f>
        <v>Azari &amp; III</v>
      </c>
    </row>
    <row r="11713" spans="1:4" x14ac:dyDescent="0.2">
      <c r="A11713" t="str">
        <f>"11712"</f>
        <v>11712</v>
      </c>
      <c r="B11713" t="str">
        <f>"-0.35"</f>
        <v>-0.35</v>
      </c>
      <c r="C11713" t="str">
        <f>"42"</f>
        <v>42</v>
      </c>
      <c r="D11713" t="str">
        <f>"Young People's Church of the Air"</f>
        <v>Young People's Church of the Air</v>
      </c>
    </row>
    <row r="11714" spans="1:4" x14ac:dyDescent="0.2">
      <c r="A11714" t="str">
        <f>"11713"</f>
        <v>11713</v>
      </c>
      <c r="B11714" t="str">
        <f>"-0.69"</f>
        <v>-0.69</v>
      </c>
      <c r="C11714" t="str">
        <f>"19"</f>
        <v>19</v>
      </c>
      <c r="D11714" t="str">
        <f>"Forget"</f>
        <v>Forget</v>
      </c>
    </row>
    <row r="11715" spans="1:4" x14ac:dyDescent="0.2">
      <c r="A11715" t="str">
        <f>"11714"</f>
        <v>11714</v>
      </c>
      <c r="B11715" t="str">
        <f>"0.61"</f>
        <v>0.61</v>
      </c>
      <c r="C11715" t="str">
        <f>"27"</f>
        <v>27</v>
      </c>
      <c r="D11715" t="str">
        <f>"Glazin'"</f>
        <v>Glazin'</v>
      </c>
    </row>
    <row r="11716" spans="1:4" x14ac:dyDescent="0.2">
      <c r="A11716" t="str">
        <f>"11715"</f>
        <v>11715</v>
      </c>
      <c r="B11716" t="str">
        <f>"0.68"</f>
        <v>0.68</v>
      </c>
      <c r="C11716" t="str">
        <f>"36"</f>
        <v>36</v>
      </c>
      <c r="D11716" t="str">
        <f>"Obscurities"</f>
        <v>Obscurities</v>
      </c>
    </row>
    <row r="11717" spans="1:4" x14ac:dyDescent="0.2">
      <c r="A11717" t="str">
        <f>"11716"</f>
        <v>11716</v>
      </c>
      <c r="B11717" t="str">
        <f>"0.2"</f>
        <v>0.2</v>
      </c>
      <c r="C11717" t="str">
        <f>"42"</f>
        <v>42</v>
      </c>
      <c r="D11717" t="str">
        <f>"I'm With You"</f>
        <v>I'm With You</v>
      </c>
    </row>
    <row r="11718" spans="1:4" x14ac:dyDescent="0.2">
      <c r="A11718" t="str">
        <f>"11717"</f>
        <v>11717</v>
      </c>
      <c r="B11718" t="str">
        <f>"-0.07"</f>
        <v>-0.07</v>
      </c>
      <c r="C11718" t="str">
        <f>"28"</f>
        <v>28</v>
      </c>
      <c r="D11718" t="str">
        <f>"The World Is Just a Shape to Fill the Night"</f>
        <v>The World Is Just a Shape to Fill the Night</v>
      </c>
    </row>
    <row r="11719" spans="1:4" x14ac:dyDescent="0.2">
      <c r="A11719" t="str">
        <f>"11718"</f>
        <v>11718</v>
      </c>
      <c r="B11719" t="str">
        <f>"0.53"</f>
        <v>0.53</v>
      </c>
      <c r="C11719" t="str">
        <f>"17"</f>
        <v>17</v>
      </c>
      <c r="D11719" t="str">
        <f>"Luminaries &amp; Synastry"</f>
        <v>Luminaries &amp; Synastry</v>
      </c>
    </row>
    <row r="11720" spans="1:4" x14ac:dyDescent="0.2">
      <c r="A11720" t="str">
        <f>"11719"</f>
        <v>11719</v>
      </c>
      <c r="B11720" t="str">
        <f>"0.4"</f>
        <v>0.4</v>
      </c>
      <c r="C11720" t="str">
        <f>"24"</f>
        <v>24</v>
      </c>
      <c r="D11720" t="str">
        <f>"Simulat"</f>
        <v>Simulat</v>
      </c>
    </row>
    <row r="11721" spans="1:4" x14ac:dyDescent="0.2">
      <c r="A11721" t="str">
        <f>"11720"</f>
        <v>11720</v>
      </c>
      <c r="B11721" t="str">
        <f>"-0.45"</f>
        <v>-0.45</v>
      </c>
      <c r="C11721" t="str">
        <f>"46"</f>
        <v>46</v>
      </c>
      <c r="D11721" t="str">
        <f>"The Sophtware Slump"</f>
        <v>The Sophtware Slump</v>
      </c>
    </row>
    <row r="11722" spans="1:4" x14ac:dyDescent="0.2">
      <c r="A11722" t="str">
        <f>"11721"</f>
        <v>11721</v>
      </c>
      <c r="B11722" t="str">
        <f>"-0.46"</f>
        <v>-0.46</v>
      </c>
      <c r="C11722" t="str">
        <f>"27"</f>
        <v>27</v>
      </c>
      <c r="D11722" t="str">
        <f>"Last King 2: God's Machine"</f>
        <v>Last King 2: God's Machine</v>
      </c>
    </row>
    <row r="11723" spans="1:4" x14ac:dyDescent="0.2">
      <c r="A11723" t="str">
        <f>"11722"</f>
        <v>11722</v>
      </c>
      <c r="B11723" t="str">
        <f>"-0.19"</f>
        <v>-0.19</v>
      </c>
      <c r="C11723" t="str">
        <f>"24"</f>
        <v>24</v>
      </c>
      <c r="D11723" t="str">
        <f>"Fever Dream"</f>
        <v>Fever Dream</v>
      </c>
    </row>
    <row r="11724" spans="1:4" x14ac:dyDescent="0.2">
      <c r="A11724" t="str">
        <f>"11723"</f>
        <v>11723</v>
      </c>
      <c r="B11724" t="str">
        <f>"-0.81"</f>
        <v>-0.81</v>
      </c>
      <c r="C11724" t="str">
        <f>"23"</f>
        <v>23</v>
      </c>
      <c r="D11724" t="str">
        <f>"Ghost on the Canvas"</f>
        <v>Ghost on the Canvas</v>
      </c>
    </row>
    <row r="11725" spans="1:4" x14ac:dyDescent="0.2">
      <c r="A11725" t="str">
        <f>"11724"</f>
        <v>11724</v>
      </c>
      <c r="B11725" t="str">
        <f>"1.15"</f>
        <v>1.15</v>
      </c>
      <c r="C11725" t="str">
        <f>"27"</f>
        <v>27</v>
      </c>
      <c r="D11725" t="str">
        <f>"Ancient Romans"</f>
        <v>Ancient Romans</v>
      </c>
    </row>
    <row r="11726" spans="1:4" x14ac:dyDescent="0.2">
      <c r="A11726" t="str">
        <f>"11725"</f>
        <v>11725</v>
      </c>
      <c r="B11726" t="str">
        <f>"0.71"</f>
        <v>0.71</v>
      </c>
      <c r="C11726" t="str">
        <f>"54"</f>
        <v>54</v>
      </c>
      <c r="D11726" t="str">
        <f>"Tha Carter IV"</f>
        <v>Tha Carter IV</v>
      </c>
    </row>
    <row r="11727" spans="1:4" x14ac:dyDescent="0.2">
      <c r="A11727" t="str">
        <f>"11726"</f>
        <v>11726</v>
      </c>
      <c r="B11727" t="str">
        <f>"-0.81"</f>
        <v>-0.81</v>
      </c>
      <c r="C11727" t="str">
        <f>"26"</f>
        <v>26</v>
      </c>
      <c r="D11727" t="str">
        <f>"Endless Now"</f>
        <v>Endless Now</v>
      </c>
    </row>
    <row r="11728" spans="1:4" x14ac:dyDescent="0.2">
      <c r="A11728" t="str">
        <f>"11727"</f>
        <v>11727</v>
      </c>
      <c r="B11728" t="str">
        <f>"1.11"</f>
        <v>1.11</v>
      </c>
      <c r="C11728" t="str">
        <f>"21"</f>
        <v>21</v>
      </c>
      <c r="D11728" t="str">
        <f>"Outside Society"</f>
        <v>Outside Society</v>
      </c>
    </row>
    <row r="11729" spans="1:4" x14ac:dyDescent="0.2">
      <c r="A11729" t="str">
        <f>"11728"</f>
        <v>11728</v>
      </c>
      <c r="B11729" t="str">
        <f>"1.24"</f>
        <v>1.24</v>
      </c>
      <c r="C11729" t="str">
        <f>"28"</f>
        <v>28</v>
      </c>
      <c r="D11729" t="str">
        <f>"The Glad Birth of Love"</f>
        <v>The Glad Birth of Love</v>
      </c>
    </row>
    <row r="11730" spans="1:4" x14ac:dyDescent="0.2">
      <c r="A11730" t="str">
        <f>"11729"</f>
        <v>11729</v>
      </c>
      <c r="B11730" t="str">
        <f>"-0.05"</f>
        <v>-0.05</v>
      </c>
      <c r="C11730" t="str">
        <f>"22"</f>
        <v>22</v>
      </c>
      <c r="D11730" t="str">
        <f>"Quadruple Single EP"</f>
        <v>Quadruple Single EP</v>
      </c>
    </row>
    <row r="11731" spans="1:4" x14ac:dyDescent="0.2">
      <c r="A11731" t="str">
        <f>"11730"</f>
        <v>11730</v>
      </c>
      <c r="B11731" t="str">
        <f>"0.08"</f>
        <v>0.08</v>
      </c>
      <c r="C11731" t="str">
        <f>"34"</f>
        <v>34</v>
      </c>
      <c r="D11731" t="str">
        <f>"Wander / Wonder"</f>
        <v>Wander / Wonder</v>
      </c>
    </row>
    <row r="11732" spans="1:4" x14ac:dyDescent="0.2">
      <c r="A11732" t="str">
        <f>"11731"</f>
        <v>11731</v>
      </c>
      <c r="B11732" t="str">
        <f>"-0.56"</f>
        <v>-0.56</v>
      </c>
      <c r="C11732" t="str">
        <f>"39"</f>
        <v>39</v>
      </c>
      <c r="D11732" t="str">
        <f>"The R.E.D. Album"</f>
        <v>The R.E.D. Album</v>
      </c>
    </row>
    <row r="11733" spans="1:4" x14ac:dyDescent="0.2">
      <c r="A11733" t="str">
        <f>"11732"</f>
        <v>11732</v>
      </c>
      <c r="B11733" t="str">
        <f>"0.2"</f>
        <v>0.2</v>
      </c>
      <c r="C11733" t="str">
        <f>"26"</f>
        <v>26</v>
      </c>
      <c r="D11733" t="str">
        <f>"Tassili"</f>
        <v>Tassili</v>
      </c>
    </row>
    <row r="11734" spans="1:4" x14ac:dyDescent="0.2">
      <c r="A11734" t="str">
        <f>"11733"</f>
        <v>11733</v>
      </c>
      <c r="B11734" t="str">
        <f>"-0.87"</f>
        <v>-0.87</v>
      </c>
      <c r="C11734" t="str">
        <f>"28"</f>
        <v>28</v>
      </c>
      <c r="D11734" t="str">
        <f>"Lounge Lizards EP"</f>
        <v>Lounge Lizards EP</v>
      </c>
    </row>
    <row r="11735" spans="1:4" x14ac:dyDescent="0.2">
      <c r="A11735" t="str">
        <f>"11734"</f>
        <v>11734</v>
      </c>
      <c r="B11735" t="str">
        <f>"0.91"</f>
        <v>0.91</v>
      </c>
      <c r="C11735" t="str">
        <f>"16"</f>
        <v>16</v>
      </c>
      <c r="D11735" t="str">
        <f>"Figure It Out"</f>
        <v>Figure It Out</v>
      </c>
    </row>
    <row r="11736" spans="1:4" x14ac:dyDescent="0.2">
      <c r="A11736" t="str">
        <f>"11735"</f>
        <v>11735</v>
      </c>
      <c r="B11736" t="str">
        <f>"-0.52"</f>
        <v>-0.52</v>
      </c>
      <c r="C11736" t="str">
        <f>"35"</f>
        <v>35</v>
      </c>
      <c r="D11736" t="str">
        <f>"XXX"</f>
        <v>XXX</v>
      </c>
    </row>
    <row r="11737" spans="1:4" x14ac:dyDescent="0.2">
      <c r="A11737" t="str">
        <f>"11736"</f>
        <v>11736</v>
      </c>
      <c r="B11737" t="str">
        <f>"0.89"</f>
        <v>0.89</v>
      </c>
      <c r="C11737" t="str">
        <f>"26"</f>
        <v>26</v>
      </c>
      <c r="D11737" t="str">
        <f>"You Are All I See"</f>
        <v>You Are All I See</v>
      </c>
    </row>
    <row r="11738" spans="1:4" x14ac:dyDescent="0.2">
      <c r="A11738" t="str">
        <f>"11737"</f>
        <v>11737</v>
      </c>
      <c r="B11738" t="str">
        <f>"0.33"</f>
        <v>0.33</v>
      </c>
      <c r="C11738" t="str">
        <f>"18"</f>
        <v>18</v>
      </c>
      <c r="D11738" t="str">
        <f>"Coastal Grooves"</f>
        <v>Coastal Grooves</v>
      </c>
    </row>
    <row r="11739" spans="1:4" x14ac:dyDescent="0.2">
      <c r="A11739" t="str">
        <f>"11738"</f>
        <v>11738</v>
      </c>
      <c r="B11739" t="str">
        <f>"1.1"</f>
        <v>1.1</v>
      </c>
      <c r="C11739" t="str">
        <f>"21"</f>
        <v>21</v>
      </c>
      <c r="D11739" t="str">
        <f>"I Am an Attic"</f>
        <v>I Am an Attic</v>
      </c>
    </row>
    <row r="11740" spans="1:4" x14ac:dyDescent="0.2">
      <c r="A11740" t="str">
        <f>"11739"</f>
        <v>11739</v>
      </c>
      <c r="B11740" t="str">
        <f>"0.4"</f>
        <v>0.4</v>
      </c>
      <c r="C11740" t="str">
        <f>"25"</f>
        <v>25</v>
      </c>
      <c r="D11740" t="str">
        <f>"Through Donkey Jaw"</f>
        <v>Through Donkey Jaw</v>
      </c>
    </row>
    <row r="11741" spans="1:4" x14ac:dyDescent="0.2">
      <c r="A11741" t="str">
        <f>"11740"</f>
        <v>11740</v>
      </c>
      <c r="B11741" t="str">
        <f>"-0.86"</f>
        <v>-0.86</v>
      </c>
      <c r="C11741" t="str">
        <f>"36"</f>
        <v>36</v>
      </c>
      <c r="D11741" t="str">
        <f>"Thursday"</f>
        <v>Thursday</v>
      </c>
    </row>
    <row r="11742" spans="1:4" x14ac:dyDescent="0.2">
      <c r="A11742" t="str">
        <f>"11741"</f>
        <v>11741</v>
      </c>
      <c r="B11742" t="str">
        <f>"0"</f>
        <v>0</v>
      </c>
      <c r="C11742" t="str">
        <f>"31"</f>
        <v>31</v>
      </c>
      <c r="D11742" t="str">
        <f>"Hearts"</f>
        <v>Hearts</v>
      </c>
    </row>
    <row r="11743" spans="1:4" x14ac:dyDescent="0.2">
      <c r="A11743" t="str">
        <f>"11742"</f>
        <v>11742</v>
      </c>
      <c r="B11743" t="str">
        <f>"0.63"</f>
        <v>0.63</v>
      </c>
      <c r="C11743" t="str">
        <f>"36"</f>
        <v>36</v>
      </c>
      <c r="D11743" t="str">
        <f>"West"</f>
        <v>West</v>
      </c>
    </row>
    <row r="11744" spans="1:4" x14ac:dyDescent="0.2">
      <c r="A11744" t="str">
        <f>"11743"</f>
        <v>11743</v>
      </c>
      <c r="B11744" t="str">
        <f>"1.44"</f>
        <v>1.44</v>
      </c>
      <c r="C11744" t="str">
        <f>"23"</f>
        <v>23</v>
      </c>
      <c r="D11744" t="str">
        <f>"The Ornament"</f>
        <v>The Ornament</v>
      </c>
    </row>
    <row r="11745" spans="1:4" x14ac:dyDescent="0.2">
      <c r="A11745" t="str">
        <f>"11744"</f>
        <v>11744</v>
      </c>
      <c r="B11745" t="str">
        <f>"0.94"</f>
        <v>0.94</v>
      </c>
      <c r="C11745" t="str">
        <f>"22"</f>
        <v>22</v>
      </c>
      <c r="D11745" t="str">
        <f>"Still Living"</f>
        <v>Still Living</v>
      </c>
    </row>
    <row r="11746" spans="1:4" x14ac:dyDescent="0.2">
      <c r="A11746" t="str">
        <f>"11745"</f>
        <v>11745</v>
      </c>
      <c r="B11746" t="str">
        <f>"-0.1"</f>
        <v>-0.1</v>
      </c>
      <c r="C11746" t="str">
        <f>"21"</f>
        <v>21</v>
      </c>
      <c r="D11746" t="str">
        <f>"Out of Love"</f>
        <v>Out of Love</v>
      </c>
    </row>
    <row r="11747" spans="1:4" x14ac:dyDescent="0.2">
      <c r="A11747" t="str">
        <f>"11746"</f>
        <v>11746</v>
      </c>
      <c r="B11747" t="str">
        <f>"0.79"</f>
        <v>0.79</v>
      </c>
      <c r="C11747" t="str">
        <f>"22"</f>
        <v>22</v>
      </c>
      <c r="D11747" t="str">
        <f>"Widowspeak"</f>
        <v>Widowspeak</v>
      </c>
    </row>
    <row r="11748" spans="1:4" x14ac:dyDescent="0.2">
      <c r="A11748" t="str">
        <f>"11747"</f>
        <v>11747</v>
      </c>
      <c r="B11748" t="str">
        <f>"-0.97"</f>
        <v>-0.97</v>
      </c>
      <c r="C11748" t="str">
        <f>"23"</f>
        <v>23</v>
      </c>
      <c r="D11748" t="s">
        <v>353</v>
      </c>
    </row>
    <row r="11749" spans="1:4" x14ac:dyDescent="0.2">
      <c r="A11749" t="str">
        <f>"11748"</f>
        <v>11748</v>
      </c>
      <c r="B11749" t="str">
        <f>"-0.05"</f>
        <v>-0.05</v>
      </c>
      <c r="C11749" t="str">
        <f>"22"</f>
        <v>22</v>
      </c>
      <c r="D11749" t="str">
        <f>"Wigry"</f>
        <v>Wigry</v>
      </c>
    </row>
    <row r="11750" spans="1:4" x14ac:dyDescent="0.2">
      <c r="A11750" t="str">
        <f>"11749"</f>
        <v>11749</v>
      </c>
      <c r="B11750" t="str">
        <f>"-1.03"</f>
        <v>-1.03</v>
      </c>
      <c r="C11750" t="str">
        <f>"21"</f>
        <v>21</v>
      </c>
      <c r="D11750" t="str">
        <f>"Don't Act Like You Don't Care"</f>
        <v>Don't Act Like You Don't Care</v>
      </c>
    </row>
    <row r="11751" spans="1:4" x14ac:dyDescent="0.2">
      <c r="A11751" t="str">
        <f>"11750"</f>
        <v>11750</v>
      </c>
      <c r="B11751" t="str">
        <f>"0.54"</f>
        <v>0.54</v>
      </c>
      <c r="C11751" t="str">
        <f>"29"</f>
        <v>29</v>
      </c>
      <c r="D11751" t="str">
        <f>"Slave Ambient"</f>
        <v>Slave Ambient</v>
      </c>
    </row>
    <row r="11752" spans="1:4" x14ac:dyDescent="0.2">
      <c r="A11752" t="str">
        <f>"11751"</f>
        <v>11751</v>
      </c>
      <c r="B11752" t="str">
        <f>"0.09"</f>
        <v>0.09</v>
      </c>
      <c r="C11752" t="str">
        <f>"38"</f>
        <v>38</v>
      </c>
      <c r="D11752" t="str">
        <f>"Ferrari Boyz"</f>
        <v>Ferrari Boyz</v>
      </c>
    </row>
    <row r="11753" spans="1:4" x14ac:dyDescent="0.2">
      <c r="A11753" t="str">
        <f>"11752"</f>
        <v>11752</v>
      </c>
      <c r="B11753" t="str">
        <f>"0.21"</f>
        <v>0.21</v>
      </c>
      <c r="C11753" t="str">
        <f>"18"</f>
        <v>18</v>
      </c>
      <c r="D11753" t="str">
        <f>"Hollow"</f>
        <v>Hollow</v>
      </c>
    </row>
    <row r="11754" spans="1:4" x14ac:dyDescent="0.2">
      <c r="A11754" t="str">
        <f>"11753"</f>
        <v>11753</v>
      </c>
      <c r="B11754" t="str">
        <f>"-0.12"</f>
        <v>-0.12</v>
      </c>
      <c r="C11754" t="str">
        <f>"19"</f>
        <v>19</v>
      </c>
      <c r="D11754" t="str">
        <f>"Tripper"</f>
        <v>Tripper</v>
      </c>
    </row>
    <row r="11755" spans="1:4" x14ac:dyDescent="0.2">
      <c r="A11755" t="str">
        <f>"11754"</f>
        <v>11754</v>
      </c>
      <c r="B11755" t="str">
        <f>"0.33"</f>
        <v>0.33</v>
      </c>
      <c r="C11755" t="str">
        <f>"16"</f>
        <v>16</v>
      </c>
      <c r="D11755" t="str">
        <f>"Program 91"</f>
        <v>Program 91</v>
      </c>
    </row>
    <row r="11756" spans="1:4" x14ac:dyDescent="0.2">
      <c r="A11756" t="str">
        <f>"11755"</f>
        <v>11755</v>
      </c>
      <c r="B11756" t="str">
        <f>"0.44"</f>
        <v>0.44</v>
      </c>
      <c r="C11756" t="str">
        <f>"28"</f>
        <v>28</v>
      </c>
      <c r="D11756" t="str">
        <f>"Mirror Traffic"</f>
        <v>Mirror Traffic</v>
      </c>
    </row>
    <row r="11757" spans="1:4" x14ac:dyDescent="0.2">
      <c r="A11757" t="str">
        <f>"11756"</f>
        <v>11756</v>
      </c>
      <c r="B11757" t="str">
        <f>"0.21"</f>
        <v>0.21</v>
      </c>
      <c r="C11757" t="str">
        <f>"19"</f>
        <v>19</v>
      </c>
      <c r="D11757" t="str">
        <f>"Leave No Trace"</f>
        <v>Leave No Trace</v>
      </c>
    </row>
    <row r="11758" spans="1:4" x14ac:dyDescent="0.2">
      <c r="A11758" t="str">
        <f>"11757"</f>
        <v>11757</v>
      </c>
      <c r="B11758" t="str">
        <f>"0.1"</f>
        <v>0.1</v>
      </c>
      <c r="C11758" t="str">
        <f>"30"</f>
        <v>30</v>
      </c>
      <c r="D11758" t="str">
        <f>"Revisited &amp; Remixed (1970-1999)"</f>
        <v>Revisited &amp; Remixed (1970-1999)</v>
      </c>
    </row>
    <row r="11759" spans="1:4" x14ac:dyDescent="0.2">
      <c r="A11759" t="str">
        <f>"11758"</f>
        <v>11758</v>
      </c>
      <c r="B11759" t="str">
        <f>"0.9"</f>
        <v>0.9</v>
      </c>
      <c r="C11759" t="str">
        <f>"19"</f>
        <v>19</v>
      </c>
      <c r="D11759" t="str">
        <f>"Watch Me Dance"</f>
        <v>Watch Me Dance</v>
      </c>
    </row>
    <row r="11760" spans="1:4" x14ac:dyDescent="0.2">
      <c r="A11760" t="str">
        <f>"11759"</f>
        <v>11759</v>
      </c>
      <c r="B11760" t="str">
        <f>"-0.14"</f>
        <v>-0.14</v>
      </c>
      <c r="C11760" t="str">
        <f>"14"</f>
        <v>14</v>
      </c>
      <c r="D11760" t="str">
        <f>"Atlantic EP"</f>
        <v>Atlantic EP</v>
      </c>
    </row>
    <row r="11761" spans="1:4" x14ac:dyDescent="0.2">
      <c r="A11761" t="str">
        <f>"11760"</f>
        <v>11760</v>
      </c>
      <c r="B11761" t="str">
        <f>"0.53"</f>
        <v>0.53</v>
      </c>
      <c r="C11761" t="str">
        <f>"56"</f>
        <v>56</v>
      </c>
      <c r="D11761" t="s">
        <v>354</v>
      </c>
    </row>
    <row r="11762" spans="1:4" x14ac:dyDescent="0.2">
      <c r="A11762" t="str">
        <f>"11761"</f>
        <v>11761</v>
      </c>
      <c r="B11762" t="str">
        <f>"-0.92"</f>
        <v>-0.92</v>
      </c>
      <c r="C11762" t="str">
        <f>"32"</f>
        <v>32</v>
      </c>
      <c r="D11762" t="str">
        <f>"Closer to Closed"</f>
        <v>Closer to Closed</v>
      </c>
    </row>
    <row r="11763" spans="1:4" x14ac:dyDescent="0.2">
      <c r="A11763" t="str">
        <f>"11762"</f>
        <v>11762</v>
      </c>
      <c r="B11763" t="str">
        <f>"-0.85"</f>
        <v>-0.85</v>
      </c>
      <c r="C11763" t="str">
        <f>"20"</f>
        <v>20</v>
      </c>
      <c r="D11763" t="str">
        <f>"Yucca"</f>
        <v>Yucca</v>
      </c>
    </row>
    <row r="11764" spans="1:4" x14ac:dyDescent="0.2">
      <c r="A11764" t="str">
        <f>"11763"</f>
        <v>11763</v>
      </c>
      <c r="B11764" t="str">
        <f>"0.33"</f>
        <v>0.33</v>
      </c>
      <c r="C11764" t="str">
        <f>"27"</f>
        <v>27</v>
      </c>
      <c r="D11764" t="str">
        <f>"Amplifying Host"</f>
        <v>Amplifying Host</v>
      </c>
    </row>
    <row r="11765" spans="1:4" x14ac:dyDescent="0.2">
      <c r="A11765" t="str">
        <f>"11764"</f>
        <v>11764</v>
      </c>
      <c r="B11765" t="str">
        <f>"-0.04"</f>
        <v>-0.04</v>
      </c>
      <c r="C11765" t="str">
        <f>"26"</f>
        <v>26</v>
      </c>
      <c r="D11765" t="str">
        <f>"Marble Son"</f>
        <v>Marble Son</v>
      </c>
    </row>
    <row r="11766" spans="1:4" x14ac:dyDescent="0.2">
      <c r="A11766" t="str">
        <f>"11765"</f>
        <v>11765</v>
      </c>
      <c r="B11766" t="str">
        <f>"0.08"</f>
        <v>0.08</v>
      </c>
      <c r="C11766" t="str">
        <f>"50"</f>
        <v>50</v>
      </c>
      <c r="D11766" t="str">
        <f>"Watch the Throne"</f>
        <v>Watch the Throne</v>
      </c>
    </row>
    <row r="11767" spans="1:4" x14ac:dyDescent="0.2">
      <c r="A11767" t="str">
        <f>"11766"</f>
        <v>11766</v>
      </c>
      <c r="B11767" t="str">
        <f>"1.4"</f>
        <v>1.4</v>
      </c>
      <c r="C11767" t="str">
        <f>"44"</f>
        <v>44</v>
      </c>
      <c r="D11767" t="str">
        <f>"Gainsbourg Percussions"</f>
        <v>Gainsbourg Percussions</v>
      </c>
    </row>
    <row r="11768" spans="1:4" x14ac:dyDescent="0.2">
      <c r="A11768" t="str">
        <f>"11767"</f>
        <v>11767</v>
      </c>
      <c r="B11768" t="str">
        <f>"-0.39"</f>
        <v>-0.39</v>
      </c>
      <c r="C11768" t="str">
        <f>"16"</f>
        <v>16</v>
      </c>
      <c r="D11768" t="str">
        <f>"Bad Vibes"</f>
        <v>Bad Vibes</v>
      </c>
    </row>
    <row r="11769" spans="1:4" x14ac:dyDescent="0.2">
      <c r="A11769" t="str">
        <f>"11768"</f>
        <v>11768</v>
      </c>
      <c r="B11769" t="str">
        <f>"0.94"</f>
        <v>0.94</v>
      </c>
      <c r="C11769" t="str">
        <f>"26"</f>
        <v>26</v>
      </c>
      <c r="D11769" t="str">
        <f>"GIVING"</f>
        <v>GIVING</v>
      </c>
    </row>
    <row r="11770" spans="1:4" x14ac:dyDescent="0.2">
      <c r="A11770" t="str">
        <f>"11769"</f>
        <v>11769</v>
      </c>
      <c r="B11770" t="str">
        <f>"-0.82"</f>
        <v>-0.82</v>
      </c>
      <c r="C11770" t="str">
        <f>"14"</f>
        <v>14</v>
      </c>
      <c r="D11770" t="str">
        <f>"Breaking the Frame"</f>
        <v>Breaking the Frame</v>
      </c>
    </row>
    <row r="11771" spans="1:4" x14ac:dyDescent="0.2">
      <c r="A11771" t="str">
        <f>"11770"</f>
        <v>11770</v>
      </c>
      <c r="B11771" t="str">
        <f>"-0.27"</f>
        <v>-0.27</v>
      </c>
      <c r="C11771" t="str">
        <f>"28"</f>
        <v>28</v>
      </c>
      <c r="D11771" t="str">
        <f>"Family of Love EP"</f>
        <v>Family of Love EP</v>
      </c>
    </row>
    <row r="11772" spans="1:4" x14ac:dyDescent="0.2">
      <c r="A11772" t="str">
        <f>"11771"</f>
        <v>11771</v>
      </c>
      <c r="B11772" t="str">
        <f>"-0.46"</f>
        <v>-0.46</v>
      </c>
      <c r="C11772" t="str">
        <f>"28"</f>
        <v>28</v>
      </c>
      <c r="D11772" t="str">
        <f>"Greneberg"</f>
        <v>Greneberg</v>
      </c>
    </row>
    <row r="11773" spans="1:4" x14ac:dyDescent="0.2">
      <c r="A11773" t="str">
        <f>"11772"</f>
        <v>11772</v>
      </c>
      <c r="B11773" t="str">
        <f>"-0.22"</f>
        <v>-0.22</v>
      </c>
      <c r="C11773" t="str">
        <f>"30"</f>
        <v>30</v>
      </c>
      <c r="D11773" t="str">
        <f>"Ghosts Outside"</f>
        <v>Ghosts Outside</v>
      </c>
    </row>
    <row r="11774" spans="1:4" x14ac:dyDescent="0.2">
      <c r="A11774" t="str">
        <f>"11773"</f>
        <v>11773</v>
      </c>
      <c r="B11774" t="str">
        <f>"1.46"</f>
        <v>1.46</v>
      </c>
      <c r="C11774" t="str">
        <f>"27"</f>
        <v>27</v>
      </c>
      <c r="D11774" t="str">
        <f>"Love Has Made Me Stronger"</f>
        <v>Love Has Made Me Stronger</v>
      </c>
    </row>
    <row r="11775" spans="1:4" x14ac:dyDescent="0.2">
      <c r="A11775" t="str">
        <f>"11774"</f>
        <v>11774</v>
      </c>
      <c r="B11775" t="str">
        <f>"0.2"</f>
        <v>0.2</v>
      </c>
      <c r="C11775" t="str">
        <f>"15"</f>
        <v>15</v>
      </c>
      <c r="D11775" t="str">
        <f>"Cult of Youth"</f>
        <v>Cult of Youth</v>
      </c>
    </row>
    <row r="11776" spans="1:4" x14ac:dyDescent="0.2">
      <c r="A11776" t="str">
        <f>"11775"</f>
        <v>11775</v>
      </c>
      <c r="B11776" t="str">
        <f>"-0.44"</f>
        <v>-0.44</v>
      </c>
      <c r="C11776" t="str">
        <f>"53"</f>
        <v>53</v>
      </c>
      <c r="D11776" t="str">
        <f>"It"</f>
        <v>It</v>
      </c>
    </row>
    <row r="11777" spans="1:4" x14ac:dyDescent="0.2">
      <c r="A11777" t="str">
        <f>"11776"</f>
        <v>11776</v>
      </c>
      <c r="B11777" t="str">
        <f>"-0.36"</f>
        <v>-0.36</v>
      </c>
      <c r="C11777" t="str">
        <f>"33"</f>
        <v>33</v>
      </c>
      <c r="D11777" t="str">
        <f>"Our Blood"</f>
        <v>Our Blood</v>
      </c>
    </row>
    <row r="11778" spans="1:4" x14ac:dyDescent="0.2">
      <c r="A11778" t="str">
        <f>"11777"</f>
        <v>11777</v>
      </c>
      <c r="B11778" t="str">
        <f>"0.03"</f>
        <v>0.03</v>
      </c>
      <c r="C11778" t="str">
        <f>"23"</f>
        <v>23</v>
      </c>
      <c r="D11778" t="str">
        <f>"Chill Out Zone"</f>
        <v>Chill Out Zone</v>
      </c>
    </row>
    <row r="11779" spans="1:4" x14ac:dyDescent="0.2">
      <c r="A11779" t="str">
        <f>"11778"</f>
        <v>11778</v>
      </c>
      <c r="B11779" t="str">
        <f>"-0.48"</f>
        <v>-0.48</v>
      </c>
      <c r="C11779" t="str">
        <f>"28"</f>
        <v>28</v>
      </c>
      <c r="D11779" t="str">
        <f>"Response"</f>
        <v>Response</v>
      </c>
    </row>
    <row r="11780" spans="1:4" x14ac:dyDescent="0.2">
      <c r="A11780" t="str">
        <f>"11779"</f>
        <v>11779</v>
      </c>
      <c r="B11780" t="str">
        <f>"0.6"</f>
        <v>0.6</v>
      </c>
      <c r="C11780" t="str">
        <f>"21"</f>
        <v>21</v>
      </c>
      <c r="D11780" t="str">
        <f>"Forever Dolphin Love"</f>
        <v>Forever Dolphin Love</v>
      </c>
    </row>
    <row r="11781" spans="1:4" x14ac:dyDescent="0.2">
      <c r="A11781" t="str">
        <f>"11780"</f>
        <v>11780</v>
      </c>
      <c r="B11781" t="str">
        <f>"0.49"</f>
        <v>0.49</v>
      </c>
      <c r="C11781" t="str">
        <f>"33"</f>
        <v>33</v>
      </c>
      <c r="D11781" t="str">
        <f>"The Rip Tide"</f>
        <v>The Rip Tide</v>
      </c>
    </row>
    <row r="11782" spans="1:4" x14ac:dyDescent="0.2">
      <c r="A11782" t="str">
        <f>"11781"</f>
        <v>11781</v>
      </c>
      <c r="B11782" t="str">
        <f>"-1.14"</f>
        <v>-1.14</v>
      </c>
      <c r="C11782" t="str">
        <f>"17"</f>
        <v>17</v>
      </c>
      <c r="D11782" t="str">
        <f>"Trouble Books and Mark McGuire"</f>
        <v>Trouble Books and Mark McGuire</v>
      </c>
    </row>
    <row r="11783" spans="1:4" x14ac:dyDescent="0.2">
      <c r="A11783" t="str">
        <f>"11782"</f>
        <v>11782</v>
      </c>
      <c r="B11783" t="str">
        <f>"0.53"</f>
        <v>0.53</v>
      </c>
      <c r="C11783" t="str">
        <f>"26"</f>
        <v>26</v>
      </c>
      <c r="D11783" t="str">
        <f>"You Were a Dick"</f>
        <v>You Were a Dick</v>
      </c>
    </row>
    <row r="11784" spans="1:4" x14ac:dyDescent="0.2">
      <c r="A11784" t="str">
        <f>"11783"</f>
        <v>11783</v>
      </c>
      <c r="B11784" t="str">
        <f>"0.93"</f>
        <v>0.93</v>
      </c>
      <c r="C11784" t="str">
        <f>"24"</f>
        <v>24</v>
      </c>
      <c r="D11784" t="str">
        <f>"As the Crow Flies"</f>
        <v>As the Crow Flies</v>
      </c>
    </row>
    <row r="11785" spans="1:4" x14ac:dyDescent="0.2">
      <c r="A11785" t="str">
        <f>"11784"</f>
        <v>11784</v>
      </c>
      <c r="B11785" t="str">
        <f>"0.6"</f>
        <v>0.6</v>
      </c>
      <c r="C11785" t="str">
        <f>"15"</f>
        <v>15</v>
      </c>
      <c r="D11785" t="str">
        <f>"Native To"</f>
        <v>Native To</v>
      </c>
    </row>
    <row r="11786" spans="1:4" x14ac:dyDescent="0.2">
      <c r="A11786" t="str">
        <f>"11785"</f>
        <v>11785</v>
      </c>
      <c r="B11786" t="str">
        <f>"-0.24"</f>
        <v>-0.24</v>
      </c>
      <c r="C11786" t="str">
        <f>"25"</f>
        <v>25</v>
      </c>
      <c r="D11786" t="str">
        <f>"There Is No God"</f>
        <v>There Is No God</v>
      </c>
    </row>
    <row r="11787" spans="1:4" x14ac:dyDescent="0.2">
      <c r="A11787" t="str">
        <f>"11786"</f>
        <v>11786</v>
      </c>
      <c r="B11787" t="str">
        <f>"-0.8"</f>
        <v>-0.8</v>
      </c>
      <c r="C11787" t="str">
        <f>"32"</f>
        <v>32</v>
      </c>
      <c r="D11787" t="str">
        <f>"Plays ""High Gospel"""</f>
        <v>Plays "High Gospel"</v>
      </c>
    </row>
    <row r="11788" spans="1:4" x14ac:dyDescent="0.2">
      <c r="A11788" t="str">
        <f>"11787"</f>
        <v>11787</v>
      </c>
      <c r="B11788" t="str">
        <f>"0.88"</f>
        <v>0.88</v>
      </c>
      <c r="C11788" t="str">
        <f>"24"</f>
        <v>24</v>
      </c>
      <c r="D11788" t="str">
        <f>"King of Hearts"</f>
        <v>King of Hearts</v>
      </c>
    </row>
    <row r="11789" spans="1:4" x14ac:dyDescent="0.2">
      <c r="A11789" t="str">
        <f>"11788"</f>
        <v>11788</v>
      </c>
      <c r="B11789" t="str">
        <f>"-0.05"</f>
        <v>-0.05</v>
      </c>
      <c r="C11789" t="str">
        <f>"21"</f>
        <v>21</v>
      </c>
      <c r="D11789" t="str">
        <f>"Parabolas"</f>
        <v>Parabolas</v>
      </c>
    </row>
    <row r="11790" spans="1:4" x14ac:dyDescent="0.2">
      <c r="A11790" t="str">
        <f>"11789"</f>
        <v>11789</v>
      </c>
      <c r="B11790" t="str">
        <f>"0.01"</f>
        <v>0.01</v>
      </c>
      <c r="C11790" t="str">
        <f>"33"</f>
        <v>33</v>
      </c>
      <c r="D11790" t="str">
        <f>"The Lateness of the Hour"</f>
        <v>The Lateness of the Hour</v>
      </c>
    </row>
    <row r="11791" spans="1:4" x14ac:dyDescent="0.2">
      <c r="A11791" t="str">
        <f>"11790"</f>
        <v>11790</v>
      </c>
      <c r="B11791" t="str">
        <f>"0.3"</f>
        <v>0.3</v>
      </c>
      <c r="C11791" t="str">
        <f>"25"</f>
        <v>25</v>
      </c>
      <c r="D11791" t="str">
        <f>"iTunes Session"</f>
        <v>iTunes Session</v>
      </c>
    </row>
    <row r="11792" spans="1:4" x14ac:dyDescent="0.2">
      <c r="A11792" t="str">
        <f>"11791"</f>
        <v>11791</v>
      </c>
      <c r="B11792" t="str">
        <f>"0.2"</f>
        <v>0.2</v>
      </c>
      <c r="C11792" t="str">
        <f>"46"</f>
        <v>46</v>
      </c>
      <c r="D11792" t="str">
        <f>"Let It Beard"</f>
        <v>Let It Beard</v>
      </c>
    </row>
    <row r="11793" spans="1:4" x14ac:dyDescent="0.2">
      <c r="A11793" t="str">
        <f>"11792"</f>
        <v>11792</v>
      </c>
      <c r="B11793" t="str">
        <f>"-0.87"</f>
        <v>-0.87</v>
      </c>
      <c r="C11793" t="str">
        <f>"21"</f>
        <v>21</v>
      </c>
      <c r="D11793" t="str">
        <f>"They Came From the Sky"</f>
        <v>They Came From the Sky</v>
      </c>
    </row>
    <row r="11794" spans="1:4" x14ac:dyDescent="0.2">
      <c r="A11794" t="str">
        <f>"11793"</f>
        <v>11793</v>
      </c>
      <c r="B11794" t="str">
        <f>"0.97"</f>
        <v>0.97</v>
      </c>
      <c r="C11794" t="str">
        <f>"20"</f>
        <v>20</v>
      </c>
      <c r="D11794" t="str">
        <f>"Body EP"</f>
        <v>Body EP</v>
      </c>
    </row>
    <row r="11795" spans="1:4" x14ac:dyDescent="0.2">
      <c r="A11795" t="str">
        <f>"11794"</f>
        <v>11794</v>
      </c>
      <c r="B11795" t="str">
        <f>"-1.28"</f>
        <v>-1.28</v>
      </c>
      <c r="C11795" t="str">
        <f>"42"</f>
        <v>42</v>
      </c>
      <c r="D11795" t="str">
        <f>"Peanut Butter and Swelly"</f>
        <v>Peanut Butter and Swelly</v>
      </c>
    </row>
    <row r="11796" spans="1:4" x14ac:dyDescent="0.2">
      <c r="A11796" t="str">
        <f>"11795"</f>
        <v>11795</v>
      </c>
      <c r="B11796" t="str">
        <f>"0.86"</f>
        <v>0.86</v>
      </c>
      <c r="C11796" t="str">
        <f>"31"</f>
        <v>31</v>
      </c>
      <c r="D11796" t="str">
        <f>"Science of the Sea"</f>
        <v>Science of the Sea</v>
      </c>
    </row>
    <row r="11797" spans="1:4" x14ac:dyDescent="0.2">
      <c r="A11797" t="str">
        <f>"11796"</f>
        <v>11796</v>
      </c>
      <c r="B11797" t="str">
        <f>"-0.4"</f>
        <v>-0.4</v>
      </c>
      <c r="C11797" t="str">
        <f>"32"</f>
        <v>32</v>
      </c>
      <c r="D11797" t="str">
        <f>"Last Words: The Final Recordings"</f>
        <v>Last Words: The Final Recordings</v>
      </c>
    </row>
    <row r="11798" spans="1:4" x14ac:dyDescent="0.2">
      <c r="A11798" t="str">
        <f>"11797"</f>
        <v>11797</v>
      </c>
      <c r="B11798" t="str">
        <f>"1.36"</f>
        <v>1.36</v>
      </c>
      <c r="C11798" t="str">
        <f>"26"</f>
        <v>26</v>
      </c>
      <c r="D11798" t="str">
        <f>"Soft Metals"</f>
        <v>Soft Metals</v>
      </c>
    </row>
    <row r="11799" spans="1:4" x14ac:dyDescent="0.2">
      <c r="A11799" t="str">
        <f>"11798"</f>
        <v>11798</v>
      </c>
      <c r="B11799" t="str">
        <f>"1.05"</f>
        <v>1.05</v>
      </c>
      <c r="C11799" t="str">
        <f>"16"</f>
        <v>16</v>
      </c>
      <c r="D11799" t="str">
        <f>"Howl of the Lonely Crowd"</f>
        <v>Howl of the Lonely Crowd</v>
      </c>
    </row>
    <row r="11800" spans="1:4" x14ac:dyDescent="0.2">
      <c r="A11800" t="str">
        <f>"11799"</f>
        <v>11799</v>
      </c>
      <c r="B11800" t="str">
        <f>"1.55"</f>
        <v>1.55</v>
      </c>
      <c r="C11800" t="str">
        <f>"27"</f>
        <v>27</v>
      </c>
      <c r="D11800" t="str">
        <f>"Volume One 1970-1979"</f>
        <v>Volume One 1970-1979</v>
      </c>
    </row>
    <row r="11801" spans="1:4" x14ac:dyDescent="0.2">
      <c r="A11801" t="str">
        <f>"11800"</f>
        <v>11800</v>
      </c>
      <c r="B11801" t="str">
        <f>"0.03"</f>
        <v>0.03</v>
      </c>
      <c r="C11801" t="str">
        <f>"38"</f>
        <v>38</v>
      </c>
      <c r="D11801" t="str">
        <f>"Organ Music Not Vibraphone Like I'd Hoped"</f>
        <v>Organ Music Not Vibraphone Like I'd Hoped</v>
      </c>
    </row>
    <row r="11802" spans="1:4" x14ac:dyDescent="0.2">
      <c r="A11802" t="str">
        <f>"11801"</f>
        <v>11801</v>
      </c>
      <c r="B11802" t="str">
        <f>"-0.43"</f>
        <v>-0.43</v>
      </c>
      <c r="C11802" t="str">
        <f>"34"</f>
        <v>34</v>
      </c>
      <c r="D11802" t="str">
        <f>"Legendary Weapons"</f>
        <v>Legendary Weapons</v>
      </c>
    </row>
    <row r="11803" spans="1:4" x14ac:dyDescent="0.2">
      <c r="A11803" t="str">
        <f>"11802"</f>
        <v>11802</v>
      </c>
      <c r="B11803" t="str">
        <f>"-0.06"</f>
        <v>-0.06</v>
      </c>
      <c r="C11803" t="str">
        <f>"21"</f>
        <v>21</v>
      </c>
      <c r="D11803" t="str">
        <f>"Afro Noise I"</f>
        <v>Afro Noise I</v>
      </c>
    </row>
    <row r="11804" spans="1:4" x14ac:dyDescent="0.2">
      <c r="A11804" t="str">
        <f>"11803"</f>
        <v>11803</v>
      </c>
      <c r="B11804" t="str">
        <f>"0.07"</f>
        <v>0.07</v>
      </c>
      <c r="C11804" t="str">
        <f>"30"</f>
        <v>30</v>
      </c>
      <c r="D11804" t="str">
        <f>"Field Songs"</f>
        <v>Field Songs</v>
      </c>
    </row>
    <row r="11805" spans="1:4" x14ac:dyDescent="0.2">
      <c r="A11805" t="str">
        <f>"11804"</f>
        <v>11804</v>
      </c>
      <c r="B11805" t="str">
        <f>"0.25"</f>
        <v>0.25</v>
      </c>
      <c r="C11805" t="str">
        <f>"22"</f>
        <v>22</v>
      </c>
      <c r="D11805" t="str">
        <f>"Last Night on Earth"</f>
        <v>Last Night on Earth</v>
      </c>
    </row>
    <row r="11806" spans="1:4" x14ac:dyDescent="0.2">
      <c r="A11806" t="str">
        <f>"11805"</f>
        <v>11805</v>
      </c>
      <c r="B11806" t="str">
        <f>"0.36"</f>
        <v>0.36</v>
      </c>
      <c r="C11806" t="str">
        <f>"27"</f>
        <v>27</v>
      </c>
      <c r="D11806" t="str">
        <f>"Icky Mettle"</f>
        <v>Icky Mettle</v>
      </c>
    </row>
    <row r="11807" spans="1:4" x14ac:dyDescent="0.2">
      <c r="A11807" t="str">
        <f>"11806"</f>
        <v>11806</v>
      </c>
      <c r="B11807" t="str">
        <f>"-0.51"</f>
        <v>-0.51</v>
      </c>
      <c r="C11807" t="str">
        <f>"16"</f>
        <v>16</v>
      </c>
      <c r="D11807" t="str">
        <f>"Satin Panthers EP"</f>
        <v>Satin Panthers EP</v>
      </c>
    </row>
    <row r="11808" spans="1:4" x14ac:dyDescent="0.2">
      <c r="A11808" t="str">
        <f>"11807"</f>
        <v>11807</v>
      </c>
      <c r="B11808" t="str">
        <f>"-0.56"</f>
        <v>-0.56</v>
      </c>
      <c r="C11808" t="str">
        <f>"19"</f>
        <v>19</v>
      </c>
      <c r="D11808" t="str">
        <f>"Come Back to Us"</f>
        <v>Come Back to Us</v>
      </c>
    </row>
    <row r="11809" spans="1:4" x14ac:dyDescent="0.2">
      <c r="A11809" t="str">
        <f>"11808"</f>
        <v>11808</v>
      </c>
      <c r="B11809" t="str">
        <f>"1.01"</f>
        <v>1.01</v>
      </c>
      <c r="C11809" t="str">
        <f>"23"</f>
        <v>23</v>
      </c>
      <c r="D11809" t="str">
        <f>"Please Stop Loving Me"</f>
        <v>Please Stop Loving Me</v>
      </c>
    </row>
    <row r="11810" spans="1:4" x14ac:dyDescent="0.2">
      <c r="A11810" t="str">
        <f>"11809"</f>
        <v>11809</v>
      </c>
      <c r="B11810" t="str">
        <f>"-0.07"</f>
        <v>-0.07</v>
      </c>
      <c r="C11810" t="str">
        <f>"25"</f>
        <v>25</v>
      </c>
      <c r="D11810" t="str">
        <f>"Together/Apart"</f>
        <v>Together/Apart</v>
      </c>
    </row>
    <row r="11811" spans="1:4" x14ac:dyDescent="0.2">
      <c r="A11811" t="str">
        <f>"11810"</f>
        <v>11810</v>
      </c>
      <c r="B11811" t="str">
        <f>"-0.65"</f>
        <v>-0.65</v>
      </c>
      <c r="C11811" t="str">
        <f>"30"</f>
        <v>30</v>
      </c>
      <c r="D11811" t="str">
        <f>"BlackenedWhite [Reissue]"</f>
        <v>BlackenedWhite [Reissue]</v>
      </c>
    </row>
    <row r="11812" spans="1:4" x14ac:dyDescent="0.2">
      <c r="A11812" t="str">
        <f>"11811"</f>
        <v>11811</v>
      </c>
      <c r="B11812" t="str">
        <f>"0.79"</f>
        <v>0.79</v>
      </c>
      <c r="C11812" t="str">
        <f>"26"</f>
        <v>26</v>
      </c>
      <c r="D11812" t="str">
        <f>"DJ-Kicks"</f>
        <v>DJ-Kicks</v>
      </c>
    </row>
    <row r="11813" spans="1:4" x14ac:dyDescent="0.2">
      <c r="A11813" t="str">
        <f>"11812"</f>
        <v>11812</v>
      </c>
      <c r="B11813" t="str">
        <f>"-0.43"</f>
        <v>-0.43</v>
      </c>
      <c r="C11813" t="str">
        <f>"16"</f>
        <v>16</v>
      </c>
      <c r="D11813" t="str">
        <f>"Prom"</f>
        <v>Prom</v>
      </c>
    </row>
    <row r="11814" spans="1:4" x14ac:dyDescent="0.2">
      <c r="A11814" t="str">
        <f>"11813"</f>
        <v>11813</v>
      </c>
      <c r="B11814" t="str">
        <f>"0.72"</f>
        <v>0.72</v>
      </c>
      <c r="C11814" t="str">
        <f>"19"</f>
        <v>19</v>
      </c>
      <c r="D11814" t="str">
        <f>"Bent"</f>
        <v>Bent</v>
      </c>
    </row>
    <row r="11815" spans="1:4" x14ac:dyDescent="0.2">
      <c r="A11815" t="str">
        <f>"11814"</f>
        <v>11814</v>
      </c>
      <c r="B11815" t="str">
        <f>"0.42"</f>
        <v>0.42</v>
      </c>
      <c r="C11815" t="str">
        <f>"19"</f>
        <v>19</v>
      </c>
      <c r="D11815" t="str">
        <f>"Famous First Words"</f>
        <v>Famous First Words</v>
      </c>
    </row>
    <row r="11816" spans="1:4" x14ac:dyDescent="0.2">
      <c r="A11816" t="str">
        <f>"11815"</f>
        <v>11815</v>
      </c>
      <c r="B11816" t="str">
        <f>"-0.16"</f>
        <v>-0.16</v>
      </c>
      <c r="C11816" t="str">
        <f>"65"</f>
        <v>65</v>
      </c>
      <c r="D11816" t="str">
        <f>"What's Going On [40th Anniversary Edition]"</f>
        <v>What's Going On [40th Anniversary Edition]</v>
      </c>
    </row>
    <row r="11817" spans="1:4" x14ac:dyDescent="0.2">
      <c r="A11817" t="str">
        <f>"11816"</f>
        <v>11816</v>
      </c>
      <c r="B11817" t="str">
        <f>"0.19"</f>
        <v>0.19</v>
      </c>
      <c r="C11817" t="str">
        <f>"24"</f>
        <v>24</v>
      </c>
      <c r="D11817" t="str">
        <f>"Running Blind EP"</f>
        <v>Running Blind EP</v>
      </c>
    </row>
    <row r="11818" spans="1:4" x14ac:dyDescent="0.2">
      <c r="A11818" t="str">
        <f>"11817"</f>
        <v>11817</v>
      </c>
      <c r="B11818" t="str">
        <f>"0.76"</f>
        <v>0.76</v>
      </c>
      <c r="C11818" t="str">
        <f>"17"</f>
        <v>17</v>
      </c>
      <c r="D11818" t="str">
        <f>"Capricorn Rising EP"</f>
        <v>Capricorn Rising EP</v>
      </c>
    </row>
    <row r="11819" spans="1:4" x14ac:dyDescent="0.2">
      <c r="A11819" t="str">
        <f>"11818"</f>
        <v>11818</v>
      </c>
      <c r="B11819" t="str">
        <f>"1.25"</f>
        <v>1.25</v>
      </c>
      <c r="C11819" t="str">
        <f>"16"</f>
        <v>16</v>
      </c>
      <c r="D11819" t="str">
        <f>"Joint Ventures"</f>
        <v>Joint Ventures</v>
      </c>
    </row>
    <row r="11820" spans="1:4" x14ac:dyDescent="0.2">
      <c r="A11820" t="str">
        <f>"11819"</f>
        <v>11819</v>
      </c>
      <c r="B11820" t="str">
        <f>"0.48"</f>
        <v>0.48</v>
      </c>
      <c r="C11820" t="str">
        <f>"15"</f>
        <v>15</v>
      </c>
      <c r="D11820" t="str">
        <f>"Meine Zarten Pfoten"</f>
        <v>Meine Zarten Pfoten</v>
      </c>
    </row>
    <row r="11821" spans="1:4" x14ac:dyDescent="0.2">
      <c r="A11821" t="str">
        <f>"11820"</f>
        <v>11820</v>
      </c>
      <c r="B11821" t="str">
        <f>"-0.39"</f>
        <v>-0.39</v>
      </c>
      <c r="C11821" t="str">
        <f>"51"</f>
        <v>51</v>
      </c>
      <c r="D11821" t="str">
        <f>"Sorry 4 the Wait"</f>
        <v>Sorry 4 the Wait</v>
      </c>
    </row>
    <row r="11822" spans="1:4" x14ac:dyDescent="0.2">
      <c r="A11822" t="str">
        <f>"11821"</f>
        <v>11821</v>
      </c>
      <c r="B11822" t="str">
        <f>"1.46"</f>
        <v>1.46</v>
      </c>
      <c r="C11822" t="str">
        <f>"32"</f>
        <v>32</v>
      </c>
      <c r="D11822" t="str">
        <f>"Through the Green"</f>
        <v>Through the Green</v>
      </c>
    </row>
    <row r="11823" spans="1:4" x14ac:dyDescent="0.2">
      <c r="A11823" t="str">
        <f>"11822"</f>
        <v>11822</v>
      </c>
      <c r="B11823" t="str">
        <f>"-0.55"</f>
        <v>-0.55</v>
      </c>
      <c r="C11823" t="str">
        <f>"31"</f>
        <v>31</v>
      </c>
      <c r="D11823" t="str">
        <f>"The Last Place"</f>
        <v>The Last Place</v>
      </c>
    </row>
    <row r="11824" spans="1:4" x14ac:dyDescent="0.2">
      <c r="A11824" t="str">
        <f>"11823"</f>
        <v>11823</v>
      </c>
      <c r="B11824" t="str">
        <f>"1.28"</f>
        <v>1.28</v>
      </c>
      <c r="C11824" t="str">
        <f>"20"</f>
        <v>20</v>
      </c>
      <c r="D11824" t="str">
        <f>"Gold Rings and Fur Pelts"</f>
        <v>Gold Rings and Fur Pelts</v>
      </c>
    </row>
    <row r="11825" spans="1:4" x14ac:dyDescent="0.2">
      <c r="A11825" t="str">
        <f>"11824"</f>
        <v>11824</v>
      </c>
      <c r="B11825" t="str">
        <f>"-0.55"</f>
        <v>-0.55</v>
      </c>
      <c r="C11825" t="str">
        <f>"20"</f>
        <v>20</v>
      </c>
      <c r="D11825" t="str">
        <f>"Canopy EP"</f>
        <v>Canopy EP</v>
      </c>
    </row>
    <row r="11826" spans="1:4" x14ac:dyDescent="0.2">
      <c r="A11826" t="str">
        <f>"11825"</f>
        <v>11825</v>
      </c>
      <c r="B11826" t="str">
        <f>"1.27"</f>
        <v>1.27</v>
      </c>
      <c r="C11826" t="str">
        <f>"28"</f>
        <v>28</v>
      </c>
      <c r="D11826" t="str">
        <f>"Just Once EP"</f>
        <v>Just Once EP</v>
      </c>
    </row>
    <row r="11827" spans="1:4" x14ac:dyDescent="0.2">
      <c r="A11827" t="str">
        <f>"11826"</f>
        <v>11826</v>
      </c>
      <c r="B11827" t="str">
        <f>"1.39"</f>
        <v>1.39</v>
      </c>
      <c r="C11827" t="str">
        <f>"19"</f>
        <v>19</v>
      </c>
      <c r="D11827" t="str">
        <f>"Ritual Union"</f>
        <v>Ritual Union</v>
      </c>
    </row>
    <row r="11828" spans="1:4" x14ac:dyDescent="0.2">
      <c r="A11828" t="str">
        <f>"11827"</f>
        <v>11827</v>
      </c>
      <c r="B11828" t="str">
        <f>"0.41"</f>
        <v>0.41</v>
      </c>
      <c r="C11828" t="str">
        <f>"28"</f>
        <v>28</v>
      </c>
      <c r="D11828" t="str">
        <f>"Random Axe"</f>
        <v>Random Axe</v>
      </c>
    </row>
    <row r="11829" spans="1:4" x14ac:dyDescent="0.2">
      <c r="A11829" t="str">
        <f>"11828"</f>
        <v>11828</v>
      </c>
      <c r="B11829" t="str">
        <f>"-0.42"</f>
        <v>-0.42</v>
      </c>
      <c r="C11829" t="str">
        <f>"26"</f>
        <v>26</v>
      </c>
      <c r="D11829" t="str">
        <f>"Night Gallery"</f>
        <v>Night Gallery</v>
      </c>
    </row>
    <row r="11830" spans="1:4" x14ac:dyDescent="0.2">
      <c r="A11830" t="str">
        <f>"11829"</f>
        <v>11829</v>
      </c>
      <c r="B11830" t="str">
        <f>"-0.17"</f>
        <v>-0.17</v>
      </c>
      <c r="C11830" t="str">
        <f>"18"</f>
        <v>18</v>
      </c>
      <c r="D11830" t="str">
        <f>"Total"</f>
        <v>Total</v>
      </c>
    </row>
    <row r="11831" spans="1:4" x14ac:dyDescent="0.2">
      <c r="A11831" t="str">
        <f>"11830"</f>
        <v>11830</v>
      </c>
      <c r="B11831" t="str">
        <f>"-0.63"</f>
        <v>-0.63</v>
      </c>
      <c r="C11831" t="str">
        <f>"25"</f>
        <v>25</v>
      </c>
      <c r="D11831" t="str">
        <f>"Skying"</f>
        <v>Skying</v>
      </c>
    </row>
    <row r="11832" spans="1:4" x14ac:dyDescent="0.2">
      <c r="A11832" t="str">
        <f>"11831"</f>
        <v>11831</v>
      </c>
      <c r="B11832" t="str">
        <f>"0.25"</f>
        <v>0.25</v>
      </c>
      <c r="C11832" t="str">
        <f>"27"</f>
        <v>27</v>
      </c>
      <c r="D11832" t="str">
        <f>"Timesup EP"</f>
        <v>Timesup EP</v>
      </c>
    </row>
    <row r="11833" spans="1:4" x14ac:dyDescent="0.2">
      <c r="A11833" t="str">
        <f>"11832"</f>
        <v>11832</v>
      </c>
      <c r="B11833" t="str">
        <f>"0.31"</f>
        <v>0.31</v>
      </c>
      <c r="C11833" t="str">
        <f>"18"</f>
        <v>18</v>
      </c>
      <c r="D11833" t="str">
        <f>"Actually"</f>
        <v>Actually</v>
      </c>
    </row>
    <row r="11834" spans="1:4" x14ac:dyDescent="0.2">
      <c r="A11834" t="str">
        <f>"11833"</f>
        <v>11833</v>
      </c>
      <c r="B11834" t="str">
        <f>"0.99"</f>
        <v>0.99</v>
      </c>
      <c r="C11834" t="str">
        <f>"22"</f>
        <v>22</v>
      </c>
      <c r="D11834" t="str">
        <f>"Room(s)"</f>
        <v>Room(s)</v>
      </c>
    </row>
    <row r="11835" spans="1:4" x14ac:dyDescent="0.2">
      <c r="A11835" t="str">
        <f>"11834"</f>
        <v>11834</v>
      </c>
      <c r="B11835" t="str">
        <f>"-0.49"</f>
        <v>-0.49</v>
      </c>
      <c r="C11835" t="str">
        <f>"16"</f>
        <v>16</v>
      </c>
      <c r="D11835" t="str">
        <f>"3 EP"</f>
        <v>3 EP</v>
      </c>
    </row>
    <row r="11836" spans="1:4" x14ac:dyDescent="0.2">
      <c r="A11836" t="str">
        <f>"11835"</f>
        <v>11835</v>
      </c>
      <c r="B11836" t="str">
        <f>"0.18"</f>
        <v>0.18</v>
      </c>
      <c r="C11836" t="str">
        <f>"33"</f>
        <v>33</v>
      </c>
      <c r="D11836" t="str">
        <f>"Section.80"</f>
        <v>Section.80</v>
      </c>
    </row>
    <row r="11837" spans="1:4" x14ac:dyDescent="0.2">
      <c r="A11837" t="str">
        <f>"11836"</f>
        <v>11836</v>
      </c>
      <c r="B11837" t="str">
        <f>"-0.63"</f>
        <v>-0.63</v>
      </c>
      <c r="C11837" t="str">
        <f>"23"</f>
        <v>23</v>
      </c>
      <c r="D11837" t="str">
        <f>"Bermuda Drain"</f>
        <v>Bermuda Drain</v>
      </c>
    </row>
    <row r="11838" spans="1:4" x14ac:dyDescent="0.2">
      <c r="A11838" t="str">
        <f>"11837"</f>
        <v>11837</v>
      </c>
      <c r="B11838" t="str">
        <f>"-0.39"</f>
        <v>-0.39</v>
      </c>
      <c r="C11838" t="str">
        <f>"29"</f>
        <v>29</v>
      </c>
      <c r="D11838" t="s">
        <v>355</v>
      </c>
    </row>
    <row r="11839" spans="1:4" x14ac:dyDescent="0.2">
      <c r="A11839" t="str">
        <f>"11838"</f>
        <v>11838</v>
      </c>
      <c r="B11839" t="str">
        <f>"0.92"</f>
        <v>0.92</v>
      </c>
      <c r="C11839" t="str">
        <f>"23"</f>
        <v>23</v>
      </c>
      <c r="D11839" t="str">
        <f>"First Edition"</f>
        <v>First Edition</v>
      </c>
    </row>
    <row r="11840" spans="1:4" x14ac:dyDescent="0.2">
      <c r="A11840" t="str">
        <f>"11839"</f>
        <v>11839</v>
      </c>
      <c r="B11840" t="str">
        <f>"-1.06"</f>
        <v>-1.06</v>
      </c>
      <c r="C11840" t="str">
        <f>"19"</f>
        <v>19</v>
      </c>
      <c r="D11840" t="str">
        <f>"Family and Friends"</f>
        <v>Family and Friends</v>
      </c>
    </row>
    <row r="11841" spans="1:4" x14ac:dyDescent="0.2">
      <c r="A11841" t="str">
        <f>"11840"</f>
        <v>11840</v>
      </c>
      <c r="B11841" t="str">
        <f>"0.32"</f>
        <v>0.32</v>
      </c>
      <c r="C11841" t="str">
        <f>"34"</f>
        <v>34</v>
      </c>
      <c r="D11841" t="str">
        <f>"Peace Sells... But Who's Buying? [25th Anniversary Edition]"</f>
        <v>Peace Sells... But Who's Buying? [25th Anniversary Edition]</v>
      </c>
    </row>
    <row r="11842" spans="1:4" x14ac:dyDescent="0.2">
      <c r="A11842" t="str">
        <f>"11841"</f>
        <v>11841</v>
      </c>
      <c r="B11842" t="str">
        <f>"-0.45"</f>
        <v>-0.45</v>
      </c>
      <c r="C11842" t="str">
        <f>"28"</f>
        <v>28</v>
      </c>
      <c r="D11842" t="str">
        <f>"Writings on the Wall II"</f>
        <v>Writings on the Wall II</v>
      </c>
    </row>
    <row r="11843" spans="1:4" x14ac:dyDescent="0.2">
      <c r="A11843" t="str">
        <f>"11842"</f>
        <v>11842</v>
      </c>
      <c r="B11843" t="str">
        <f>"0.92"</f>
        <v>0.92</v>
      </c>
      <c r="C11843" t="str">
        <f>"30"</f>
        <v>30</v>
      </c>
      <c r="D11843" t="str">
        <f>"FRKWYS Vol. 7"</f>
        <v>FRKWYS Vol. 7</v>
      </c>
    </row>
    <row r="11844" spans="1:4" x14ac:dyDescent="0.2">
      <c r="A11844" t="str">
        <f>"11843"</f>
        <v>11843</v>
      </c>
      <c r="B11844" t="str">
        <f>"-0.4"</f>
        <v>-0.4</v>
      </c>
      <c r="C11844" t="str">
        <f>"17"</f>
        <v>17</v>
      </c>
      <c r="D11844" t="str">
        <f>"Sam Baker's Album"</f>
        <v>Sam Baker's Album</v>
      </c>
    </row>
    <row r="11845" spans="1:4" x14ac:dyDescent="0.2">
      <c r="A11845" t="str">
        <f>"11844"</f>
        <v>11844</v>
      </c>
      <c r="B11845" t="str">
        <f>"-0.05"</f>
        <v>-0.05</v>
      </c>
      <c r="C11845" t="str">
        <f>"19"</f>
        <v>19</v>
      </c>
      <c r="D11845" t="str">
        <f>"Mirror Mirror"</f>
        <v>Mirror Mirror</v>
      </c>
    </row>
    <row r="11846" spans="1:4" x14ac:dyDescent="0.2">
      <c r="A11846" t="str">
        <f>"11845"</f>
        <v>11845</v>
      </c>
      <c r="B11846" t="str">
        <f>"0.46"</f>
        <v>0.46</v>
      </c>
      <c r="C11846" t="str">
        <f>"38"</f>
        <v>38</v>
      </c>
      <c r="D11846" t="str">
        <f>"When Fish Ride Bicycles"</f>
        <v>When Fish Ride Bicycles</v>
      </c>
    </row>
    <row r="11847" spans="1:4" x14ac:dyDescent="0.2">
      <c r="A11847" t="str">
        <f>"11846"</f>
        <v>11846</v>
      </c>
      <c r="B11847" t="str">
        <f>"0.59"</f>
        <v>0.59</v>
      </c>
      <c r="C11847" t="str">
        <f>"17"</f>
        <v>17</v>
      </c>
      <c r="D11847" t="str">
        <f>"Seven Stars"</f>
        <v>Seven Stars</v>
      </c>
    </row>
    <row r="11848" spans="1:4" x14ac:dyDescent="0.2">
      <c r="A11848" t="str">
        <f>"11847"</f>
        <v>11847</v>
      </c>
      <c r="B11848" t="str">
        <f>"1.08"</f>
        <v>1.08</v>
      </c>
      <c r="C11848" t="str">
        <f>"23"</f>
        <v>23</v>
      </c>
      <c r="D11848" t="str">
        <f>"Pearls &amp; Embarrassments: 2000-2010"</f>
        <v>Pearls &amp; Embarrassments: 2000-2010</v>
      </c>
    </row>
    <row r="11849" spans="1:4" x14ac:dyDescent="0.2">
      <c r="A11849" t="str">
        <f>"11848"</f>
        <v>11848</v>
      </c>
      <c r="B11849" t="str">
        <f>"0.08"</f>
        <v>0.08</v>
      </c>
      <c r="C11849" t="str">
        <f>"15"</f>
        <v>15</v>
      </c>
      <c r="D11849" t="str">
        <f>"nyc stuff and nyc bags"</f>
        <v>nyc stuff and nyc bags</v>
      </c>
    </row>
    <row r="11850" spans="1:4" x14ac:dyDescent="0.2">
      <c r="A11850" t="str">
        <f>"11849"</f>
        <v>11849</v>
      </c>
      <c r="B11850" t="str">
        <f>"1.36"</f>
        <v>1.36</v>
      </c>
      <c r="C11850" t="str">
        <f>"26"</f>
        <v>26</v>
      </c>
      <c r="D11850" t="str">
        <f>"Staring Into the Sun"</f>
        <v>Staring Into the Sun</v>
      </c>
    </row>
    <row r="11851" spans="1:4" x14ac:dyDescent="0.2">
      <c r="A11851" t="str">
        <f>"11850"</f>
        <v>11850</v>
      </c>
      <c r="B11851" t="str">
        <f>"-0.06"</f>
        <v>-0.06</v>
      </c>
      <c r="C11851" t="str">
        <f>"22"</f>
        <v>22</v>
      </c>
      <c r="D11851" t="str">
        <f>"Leave Home"</f>
        <v>Leave Home</v>
      </c>
    </row>
    <row r="11852" spans="1:4" x14ac:dyDescent="0.2">
      <c r="A11852" t="str">
        <f>"11851"</f>
        <v>11851</v>
      </c>
      <c r="B11852" t="str">
        <f>"-0.72"</f>
        <v>-0.72</v>
      </c>
      <c r="C11852" t="str">
        <f>"18"</f>
        <v>18</v>
      </c>
      <c r="D11852" t="str">
        <f>"Thee Physical"</f>
        <v>Thee Physical</v>
      </c>
    </row>
    <row r="11853" spans="1:4" x14ac:dyDescent="0.2">
      <c r="A11853" t="str">
        <f>"11852"</f>
        <v>11852</v>
      </c>
      <c r="B11853" t="str">
        <f>"-0.62"</f>
        <v>-0.62</v>
      </c>
      <c r="C11853" t="str">
        <f>"30"</f>
        <v>30</v>
      </c>
      <c r="D11853" t="str">
        <f>"Night Dolls With Hairspray"</f>
        <v>Night Dolls With Hairspray</v>
      </c>
    </row>
    <row r="11854" spans="1:4" x14ac:dyDescent="0.2">
      <c r="A11854" t="str">
        <f>"11853"</f>
        <v>11853</v>
      </c>
      <c r="B11854" t="str">
        <f>"-0.91"</f>
        <v>-0.91</v>
      </c>
      <c r="C11854" t="str">
        <f>"39"</f>
        <v>39</v>
      </c>
      <c r="D11854" t="str">
        <f>"Hello Cruel World"</f>
        <v>Hello Cruel World</v>
      </c>
    </row>
    <row r="11855" spans="1:4" x14ac:dyDescent="0.2">
      <c r="A11855" t="str">
        <f>"11854"</f>
        <v>11854</v>
      </c>
      <c r="B11855" t="str">
        <f>"0.53"</f>
        <v>0.53</v>
      </c>
      <c r="C11855" t="str">
        <f>"26"</f>
        <v>26</v>
      </c>
      <c r="D11855" t="str">
        <f>"Mindreading"</f>
        <v>Mindreading</v>
      </c>
    </row>
    <row r="11856" spans="1:4" x14ac:dyDescent="0.2">
      <c r="A11856" t="str">
        <f>"11855"</f>
        <v>11855</v>
      </c>
      <c r="B11856" t="str">
        <f>"0.14"</f>
        <v>0.14</v>
      </c>
      <c r="C11856" t="str">
        <f>"39"</f>
        <v>39</v>
      </c>
      <c r="D11856" t="str">
        <f>"I'm Gay (I'm Happy)"</f>
        <v>I'm Gay (I'm Happy)</v>
      </c>
    </row>
    <row r="11857" spans="1:4" x14ac:dyDescent="0.2">
      <c r="A11857" t="str">
        <f>"11856"</f>
        <v>11856</v>
      </c>
      <c r="B11857" t="str">
        <f>"0.33"</f>
        <v>0.33</v>
      </c>
      <c r="C11857" t="str">
        <f>"23"</f>
        <v>23</v>
      </c>
      <c r="D11857" t="str">
        <f>"Red Hot + Rio 2"</f>
        <v>Red Hot + Rio 2</v>
      </c>
    </row>
    <row r="11858" spans="1:4" x14ac:dyDescent="0.2">
      <c r="A11858" t="str">
        <f>"11857"</f>
        <v>11857</v>
      </c>
      <c r="B11858" t="str">
        <f>"-0.32"</f>
        <v>-0.32</v>
      </c>
      <c r="C11858" t="str">
        <f>"19"</f>
        <v>19</v>
      </c>
      <c r="D11858" t="str">
        <f>"Nupping"</f>
        <v>Nupping</v>
      </c>
    </row>
    <row r="11859" spans="1:4" x14ac:dyDescent="0.2">
      <c r="A11859" t="str">
        <f>"11858"</f>
        <v>11858</v>
      </c>
      <c r="B11859" t="str">
        <f>"-0.98"</f>
        <v>-0.98</v>
      </c>
      <c r="C11859" t="str">
        <f>"15"</f>
        <v>15</v>
      </c>
      <c r="D11859" t="str">
        <f>"Dorus Rijkers EP"</f>
        <v>Dorus Rijkers EP</v>
      </c>
    </row>
    <row r="11860" spans="1:4" x14ac:dyDescent="0.2">
      <c r="A11860" t="str">
        <f>"11859"</f>
        <v>11859</v>
      </c>
      <c r="B11860" t="str">
        <f>"-0.15"</f>
        <v>-0.15</v>
      </c>
      <c r="C11860" t="str">
        <f>"20"</f>
        <v>20</v>
      </c>
      <c r="D11860" t="str">
        <f>"Wayward Fire"</f>
        <v>Wayward Fire</v>
      </c>
    </row>
    <row r="11861" spans="1:4" x14ac:dyDescent="0.2">
      <c r="A11861" t="str">
        <f>"11860"</f>
        <v>11860</v>
      </c>
      <c r="B11861" t="str">
        <f>"0.57"</f>
        <v>0.57</v>
      </c>
      <c r="C11861" t="str">
        <f>"31"</f>
        <v>31</v>
      </c>
      <c r="D11861" t="str">
        <f>"Lifes Rich Pageant (25th Anniversary Edition)"</f>
        <v>Lifes Rich Pageant (25th Anniversary Edition)</v>
      </c>
    </row>
    <row r="11862" spans="1:4" x14ac:dyDescent="0.2">
      <c r="A11862" t="str">
        <f>"11861"</f>
        <v>11861</v>
      </c>
      <c r="B11862" t="str">
        <f>"-0.55"</f>
        <v>-0.55</v>
      </c>
      <c r="C11862" t="str">
        <f>"28"</f>
        <v>28</v>
      </c>
      <c r="D11862" t="str">
        <f>"Whatever's on Your Mind"</f>
        <v>Whatever's on Your Mind</v>
      </c>
    </row>
    <row r="11863" spans="1:4" x14ac:dyDescent="0.2">
      <c r="A11863" t="str">
        <f>"11862"</f>
        <v>11862</v>
      </c>
      <c r="B11863" t="str">
        <f>"0.75"</f>
        <v>0.75</v>
      </c>
      <c r="C11863" t="str">
        <f>"23"</f>
        <v>23</v>
      </c>
      <c r="D11863" t="str">
        <f>"N-Plants"</f>
        <v>N-Plants</v>
      </c>
    </row>
    <row r="11864" spans="1:4" x14ac:dyDescent="0.2">
      <c r="A11864" t="str">
        <f>"11863"</f>
        <v>11863</v>
      </c>
      <c r="B11864" t="str">
        <f>"0.88"</f>
        <v>0.88</v>
      </c>
      <c r="C11864" t="str">
        <f>"18"</f>
        <v>18</v>
      </c>
      <c r="D11864" t="str">
        <f>"Was I the Wave?"</f>
        <v>Was I the Wave?</v>
      </c>
    </row>
    <row r="11865" spans="1:4" x14ac:dyDescent="0.2">
      <c r="A11865" t="str">
        <f>"11864"</f>
        <v>11864</v>
      </c>
      <c r="B11865" t="str">
        <f>"0.34"</f>
        <v>0.34</v>
      </c>
      <c r="C11865" t="str">
        <f>"22"</f>
        <v>22</v>
      </c>
      <c r="D11865" t="str">
        <f>"Invasion of the Mysteron Killer Sounds"</f>
        <v>Invasion of the Mysteron Killer Sounds</v>
      </c>
    </row>
    <row r="11866" spans="1:4" x14ac:dyDescent="0.2">
      <c r="A11866" t="str">
        <f>"11865"</f>
        <v>11865</v>
      </c>
      <c r="B11866" t="str">
        <f>"-0.44"</f>
        <v>-0.44</v>
      </c>
      <c r="C11866" t="str">
        <f>"37"</f>
        <v>37</v>
      </c>
      <c r="D11866" t="str">
        <f>"Dedication"</f>
        <v>Dedication</v>
      </c>
    </row>
    <row r="11867" spans="1:4" x14ac:dyDescent="0.2">
      <c r="A11867" t="str">
        <f>"11866"</f>
        <v>11866</v>
      </c>
      <c r="B11867" t="str">
        <f>"1.17"</f>
        <v>1.17</v>
      </c>
      <c r="C11867" t="str">
        <f>"23"</f>
        <v>23</v>
      </c>
      <c r="D11867" t="str">
        <f>"Last Summer"</f>
        <v>Last Summer</v>
      </c>
    </row>
    <row r="11868" spans="1:4" x14ac:dyDescent="0.2">
      <c r="A11868" t="str">
        <f>"11867"</f>
        <v>11867</v>
      </c>
      <c r="B11868" t="str">
        <f>"0.04"</f>
        <v>0.04</v>
      </c>
      <c r="C11868" t="str">
        <f>"20"</f>
        <v>20</v>
      </c>
      <c r="D11868" t="str">
        <f>"Torches"</f>
        <v>Torches</v>
      </c>
    </row>
    <row r="11869" spans="1:4" x14ac:dyDescent="0.2">
      <c r="A11869" t="str">
        <f>"11868"</f>
        <v>11868</v>
      </c>
      <c r="B11869" t="str">
        <f>"0.96"</f>
        <v>0.96</v>
      </c>
      <c r="C11869" t="str">
        <f>"19"</f>
        <v>19</v>
      </c>
      <c r="D11869" t="str">
        <f>"Again and Again"</f>
        <v>Again and Again</v>
      </c>
    </row>
    <row r="11870" spans="1:4" x14ac:dyDescent="0.2">
      <c r="A11870" t="str">
        <f>"11869"</f>
        <v>11869</v>
      </c>
      <c r="B11870" t="str">
        <f>"0.09"</f>
        <v>0.09</v>
      </c>
      <c r="C11870" t="str">
        <f>"36"</f>
        <v>36</v>
      </c>
      <c r="D11870" t="str">
        <f>"Doubles"</f>
        <v>Doubles</v>
      </c>
    </row>
    <row r="11871" spans="1:4" x14ac:dyDescent="0.2">
      <c r="A11871" t="str">
        <f>"11870"</f>
        <v>11870</v>
      </c>
      <c r="B11871" t="str">
        <f>"0.13"</f>
        <v>0.13</v>
      </c>
      <c r="C11871" t="str">
        <f>"30"</f>
        <v>30</v>
      </c>
      <c r="D11871" t="str">
        <f>"Within and Without"</f>
        <v>Within and Without</v>
      </c>
    </row>
    <row r="11872" spans="1:4" x14ac:dyDescent="0.2">
      <c r="A11872" t="str">
        <f>"11871"</f>
        <v>11871</v>
      </c>
      <c r="B11872" t="str">
        <f>"0.61"</f>
        <v>0.61</v>
      </c>
      <c r="C11872" t="str">
        <f>"27"</f>
        <v>27</v>
      </c>
      <c r="D11872" t="str">
        <f>"Two-Way Mirror"</f>
        <v>Two-Way Mirror</v>
      </c>
    </row>
    <row r="11873" spans="1:4" x14ac:dyDescent="0.2">
      <c r="A11873" t="str">
        <f>"11872"</f>
        <v>11872</v>
      </c>
      <c r="B11873" t="str">
        <f>"0.67"</f>
        <v>0.67</v>
      </c>
      <c r="C11873" t="str">
        <f>"25"</f>
        <v>25</v>
      </c>
      <c r="D11873" t="str">
        <f>"Are You Falling in Love?"</f>
        <v>Are You Falling in Love?</v>
      </c>
    </row>
    <row r="11874" spans="1:4" x14ac:dyDescent="0.2">
      <c r="A11874" t="str">
        <f>"11873"</f>
        <v>11873</v>
      </c>
      <c r="B11874" t="str">
        <f>"0.6"</f>
        <v>0.6</v>
      </c>
      <c r="C11874" t="str">
        <f>"16"</f>
        <v>16</v>
      </c>
      <c r="D11874" t="str">
        <f>"Virtue"</f>
        <v>Virtue</v>
      </c>
    </row>
    <row r="11875" spans="1:4" x14ac:dyDescent="0.2">
      <c r="A11875" t="str">
        <f>"11874"</f>
        <v>11874</v>
      </c>
      <c r="B11875" t="str">
        <f>"0.11"</f>
        <v>0.11</v>
      </c>
      <c r="C11875" t="str">
        <f>"34"</f>
        <v>34</v>
      </c>
      <c r="D11875" t="str">
        <f>"Rave On: A Tribute to Buddy Holly"</f>
        <v>Rave On: A Tribute to Buddy Holly</v>
      </c>
    </row>
    <row r="11876" spans="1:4" x14ac:dyDescent="0.2">
      <c r="A11876" t="str">
        <f>"11875"</f>
        <v>11875</v>
      </c>
      <c r="B11876" t="str">
        <f>"0.15"</f>
        <v>0.15</v>
      </c>
      <c r="C11876" t="str">
        <f>"34"</f>
        <v>34</v>
      </c>
      <c r="D11876" t="str">
        <f>"We Must Become the Pitiless Censors of Ourselves"</f>
        <v>We Must Become the Pitiless Censors of Ourselves</v>
      </c>
    </row>
    <row r="11877" spans="1:4" x14ac:dyDescent="0.2">
      <c r="A11877" t="str">
        <f>"11876"</f>
        <v>11876</v>
      </c>
      <c r="B11877" t="str">
        <f>"-0.25"</f>
        <v>-0.25</v>
      </c>
      <c r="C11877" t="str">
        <f>"24"</f>
        <v>24</v>
      </c>
      <c r="D11877" t="str">
        <f>"Kingston Story"</f>
        <v>Kingston Story</v>
      </c>
    </row>
    <row r="11878" spans="1:4" x14ac:dyDescent="0.2">
      <c r="A11878" t="str">
        <f>"11877"</f>
        <v>11877</v>
      </c>
      <c r="B11878" t="str">
        <f>"0.05"</f>
        <v>0.05</v>
      </c>
      <c r="C11878" t="str">
        <f>"22"</f>
        <v>22</v>
      </c>
      <c r="D11878" t="str">
        <f>"116 &amp; Rising"</f>
        <v>116 &amp; Rising</v>
      </c>
    </row>
    <row r="11879" spans="1:4" x14ac:dyDescent="0.2">
      <c r="A11879" t="str">
        <f>"11878"</f>
        <v>11878</v>
      </c>
      <c r="B11879" t="str">
        <f>"0.9"</f>
        <v>0.9</v>
      </c>
      <c r="C11879" t="str">
        <f>"27"</f>
        <v>27</v>
      </c>
      <c r="D11879" t="str">
        <f>"Glacial Glow"</f>
        <v>Glacial Glow</v>
      </c>
    </row>
    <row r="11880" spans="1:4" x14ac:dyDescent="0.2">
      <c r="A11880" t="str">
        <f>"11879"</f>
        <v>11879</v>
      </c>
      <c r="B11880" t="str">
        <f>"1"</f>
        <v>1</v>
      </c>
      <c r="C11880" t="str">
        <f>"27"</f>
        <v>27</v>
      </c>
      <c r="D11880" t="str">
        <f>"Who's Gonna Save the World"</f>
        <v>Who's Gonna Save the World</v>
      </c>
    </row>
    <row r="11881" spans="1:4" x14ac:dyDescent="0.2">
      <c r="A11881" t="str">
        <f>"11880"</f>
        <v>11880</v>
      </c>
      <c r="B11881" t="str">
        <f>"0.38"</f>
        <v>0.38</v>
      </c>
      <c r="C11881" t="str">
        <f>"35"</f>
        <v>35</v>
      </c>
      <c r="D11881" t="str">
        <f>"Player Piano"</f>
        <v>Player Piano</v>
      </c>
    </row>
    <row r="11882" spans="1:4" x14ac:dyDescent="0.2">
      <c r="A11882" t="str">
        <f>"11881"</f>
        <v>11881</v>
      </c>
      <c r="B11882" t="str">
        <f>"1.25"</f>
        <v>1.25</v>
      </c>
      <c r="C11882" t="str">
        <f>"21"</f>
        <v>21</v>
      </c>
      <c r="D11882" t="str">
        <f>"SBTRKT"</f>
        <v>SBTRKT</v>
      </c>
    </row>
    <row r="11883" spans="1:4" x14ac:dyDescent="0.2">
      <c r="A11883" t="str">
        <f>"11882"</f>
        <v>11882</v>
      </c>
      <c r="B11883" t="str">
        <f>"-1.1"</f>
        <v>-1.1</v>
      </c>
      <c r="C11883" t="str">
        <f>"50"</f>
        <v>50</v>
      </c>
      <c r="D11883" t="str">
        <f>"Is This Hyperreal?"</f>
        <v>Is This Hyperreal?</v>
      </c>
    </row>
    <row r="11884" spans="1:4" x14ac:dyDescent="0.2">
      <c r="A11884" t="str">
        <f>"11883"</f>
        <v>11883</v>
      </c>
      <c r="B11884" t="str">
        <f>"-0.33"</f>
        <v>-0.33</v>
      </c>
      <c r="C11884" t="str">
        <f>"25"</f>
        <v>25</v>
      </c>
      <c r="D11884" t="str">
        <f>"Waco Taco Combo"</f>
        <v>Waco Taco Combo</v>
      </c>
    </row>
    <row r="11885" spans="1:4" x14ac:dyDescent="0.2">
      <c r="A11885" t="str">
        <f>"11884"</f>
        <v>11884</v>
      </c>
      <c r="B11885" t="str">
        <f>"-0.31"</f>
        <v>-0.31</v>
      </c>
      <c r="C11885" t="str">
        <f>"26"</f>
        <v>26</v>
      </c>
      <c r="D11885" t="str">
        <f>"OX 2010: A Street Odyssey"</f>
        <v>OX 2010: A Street Odyssey</v>
      </c>
    </row>
    <row r="11886" spans="1:4" x14ac:dyDescent="0.2">
      <c r="A11886" t="str">
        <f>"11885"</f>
        <v>11885</v>
      </c>
      <c r="B11886" t="str">
        <f>"-0.6"</f>
        <v>-0.6</v>
      </c>
      <c r="C11886" t="str">
        <f>"31"</f>
        <v>31</v>
      </c>
      <c r="D11886" t="str">
        <f>"Electronic Dream"</f>
        <v>Electronic Dream</v>
      </c>
    </row>
    <row r="11887" spans="1:4" x14ac:dyDescent="0.2">
      <c r="A11887" t="str">
        <f>"11886"</f>
        <v>11886</v>
      </c>
      <c r="B11887" t="str">
        <f>"0.61"</f>
        <v>0.61</v>
      </c>
      <c r="C11887" t="str">
        <f>"24"</f>
        <v>24</v>
      </c>
      <c r="D11887" t="str">
        <f>"Pleasure"</f>
        <v>Pleasure</v>
      </c>
    </row>
    <row r="11888" spans="1:4" x14ac:dyDescent="0.2">
      <c r="A11888" t="str">
        <f>"11887"</f>
        <v>11887</v>
      </c>
      <c r="B11888" t="str">
        <f>"0.44"</f>
        <v>0.44</v>
      </c>
      <c r="C11888" t="str">
        <f>"20"</f>
        <v>20</v>
      </c>
      <c r="D11888" t="str">
        <f>"Finally Famous"</f>
        <v>Finally Famous</v>
      </c>
    </row>
    <row r="11889" spans="1:4" x14ac:dyDescent="0.2">
      <c r="A11889" t="str">
        <f>"11888"</f>
        <v>11888</v>
      </c>
      <c r="B11889" t="str">
        <f>"0.49"</f>
        <v>0.49</v>
      </c>
      <c r="C11889" t="str">
        <f>"20"</f>
        <v>20</v>
      </c>
      <c r="D11889" t="str">
        <f>"Stranger Ballet"</f>
        <v>Stranger Ballet</v>
      </c>
    </row>
    <row r="11890" spans="1:4" x14ac:dyDescent="0.2">
      <c r="A11890" t="str">
        <f>"11889"</f>
        <v>11889</v>
      </c>
      <c r="B11890" t="str">
        <f>"0.11"</f>
        <v>0.11</v>
      </c>
      <c r="C11890" t="str">
        <f>"20"</f>
        <v>20</v>
      </c>
      <c r="D11890" t="str">
        <f>"Gardens &amp; Villa"</f>
        <v>Gardens &amp; Villa</v>
      </c>
    </row>
    <row r="11891" spans="1:4" x14ac:dyDescent="0.2">
      <c r="A11891" t="str">
        <f>"11890"</f>
        <v>11890</v>
      </c>
      <c r="B11891" t="str">
        <f>"0.45"</f>
        <v>0.45</v>
      </c>
      <c r="C11891" t="str">
        <f>"35"</f>
        <v>35</v>
      </c>
      <c r="D11891" t="str">
        <f>"Drums Between the Bells"</f>
        <v>Drums Between the Bells</v>
      </c>
    </row>
    <row r="11892" spans="1:4" x14ac:dyDescent="0.2">
      <c r="A11892" t="str">
        <f>"11891"</f>
        <v>11891</v>
      </c>
      <c r="B11892" t="str">
        <f>"0.57"</f>
        <v>0.57</v>
      </c>
      <c r="C11892" t="str">
        <f>"21"</f>
        <v>21</v>
      </c>
      <c r="D11892" t="str">
        <f>"Galactic Melt"</f>
        <v>Galactic Melt</v>
      </c>
    </row>
    <row r="11893" spans="1:4" x14ac:dyDescent="0.2">
      <c r="A11893" t="str">
        <f>"11892"</f>
        <v>11892</v>
      </c>
      <c r="B11893" t="str">
        <f>"0.75"</f>
        <v>0.75</v>
      </c>
      <c r="C11893" t="str">
        <f>"20"</f>
        <v>20</v>
      </c>
      <c r="D11893" t="str">
        <f>"Shangri-La"</f>
        <v>Shangri-La</v>
      </c>
    </row>
    <row r="11894" spans="1:4" x14ac:dyDescent="0.2">
      <c r="A11894" t="str">
        <f>"11893"</f>
        <v>11893</v>
      </c>
      <c r="B11894" t="str">
        <f>"0.08"</f>
        <v>0.08</v>
      </c>
      <c r="C11894" t="str">
        <f>"18"</f>
        <v>18</v>
      </c>
      <c r="D11894" t="str">
        <f>"Evening Tapestry"</f>
        <v>Evening Tapestry</v>
      </c>
    </row>
    <row r="11895" spans="1:4" x14ac:dyDescent="0.2">
      <c r="A11895" t="str">
        <f>"11894"</f>
        <v>11894</v>
      </c>
      <c r="B11895" t="str">
        <f>"-1.44"</f>
        <v>-1.44</v>
      </c>
      <c r="C11895" t="str">
        <f>"19"</f>
        <v>19</v>
      </c>
      <c r="D11895" t="str">
        <f>"Ceremony"</f>
        <v>Ceremony</v>
      </c>
    </row>
    <row r="11896" spans="1:4" x14ac:dyDescent="0.2">
      <c r="A11896" t="str">
        <f>"11895"</f>
        <v>11895</v>
      </c>
      <c r="B11896" t="str">
        <f>"0.89"</f>
        <v>0.89</v>
      </c>
      <c r="C11896" t="str">
        <f>"33"</f>
        <v>33</v>
      </c>
      <c r="D11896" t="s">
        <v>356</v>
      </c>
    </row>
    <row r="11897" spans="1:4" x14ac:dyDescent="0.2">
      <c r="A11897" t="str">
        <f>"11896"</f>
        <v>11896</v>
      </c>
      <c r="B11897" t="str">
        <f>"0.46"</f>
        <v>0.46</v>
      </c>
      <c r="C11897" t="str">
        <f>"39"</f>
        <v>39</v>
      </c>
      <c r="D11897" t="str">
        <f>"The Unanimous Hour"</f>
        <v>The Unanimous Hour</v>
      </c>
    </row>
    <row r="11898" spans="1:4" x14ac:dyDescent="0.2">
      <c r="A11898" t="str">
        <f>"11897"</f>
        <v>11897</v>
      </c>
      <c r="B11898" t="str">
        <f>"0.25"</f>
        <v>0.25</v>
      </c>
      <c r="C11898" t="str">
        <f>"26"</f>
        <v>26</v>
      </c>
      <c r="D11898" t="str">
        <f>"100% Publishing"</f>
        <v>100% Publishing</v>
      </c>
    </row>
    <row r="11899" spans="1:4" x14ac:dyDescent="0.2">
      <c r="A11899" t="str">
        <f>"11898"</f>
        <v>11898</v>
      </c>
      <c r="B11899" t="str">
        <f>"-0.52"</f>
        <v>-0.52</v>
      </c>
      <c r="C11899" t="str">
        <f>"20"</f>
        <v>20</v>
      </c>
      <c r="D11899" t="str">
        <f>"Me Doing Standup"</f>
        <v>Me Doing Standup</v>
      </c>
    </row>
    <row r="11900" spans="1:4" x14ac:dyDescent="0.2">
      <c r="A11900" t="str">
        <f>"11899"</f>
        <v>11899</v>
      </c>
      <c r="B11900" t="str">
        <f>"-0.86"</f>
        <v>-0.86</v>
      </c>
      <c r="C11900" t="str">
        <f>"34"</f>
        <v>34</v>
      </c>
      <c r="D11900" t="str">
        <f>"Alchemic Heart"</f>
        <v>Alchemic Heart</v>
      </c>
    </row>
    <row r="11901" spans="1:4" x14ac:dyDescent="0.2">
      <c r="A11901" t="str">
        <f>"11900"</f>
        <v>11900</v>
      </c>
      <c r="B11901" t="str">
        <f>"1.13"</f>
        <v>1.13</v>
      </c>
      <c r="C11901" t="str">
        <f>"35"</f>
        <v>35</v>
      </c>
      <c r="D11901" t="str">
        <f>"Weekend at Burnie's"</f>
        <v>Weekend at Burnie's</v>
      </c>
    </row>
    <row r="11902" spans="1:4" x14ac:dyDescent="0.2">
      <c r="A11902" t="str">
        <f>"11901"</f>
        <v>11901</v>
      </c>
      <c r="B11902" t="str">
        <f>"-0.69"</f>
        <v>-0.69</v>
      </c>
      <c r="C11902" t="str">
        <f>"26"</f>
        <v>26</v>
      </c>
      <c r="D11902" t="str">
        <f>"Exmilitary"</f>
        <v>Exmilitary</v>
      </c>
    </row>
    <row r="11903" spans="1:4" x14ac:dyDescent="0.2">
      <c r="A11903" t="str">
        <f>"11902"</f>
        <v>11902</v>
      </c>
      <c r="B11903" t="str">
        <f>"0.17"</f>
        <v>0.17</v>
      </c>
      <c r="C11903" t="str">
        <f>"23"</f>
        <v>23</v>
      </c>
      <c r="D11903" t="str">
        <f>"Lights Out"</f>
        <v>Lights Out</v>
      </c>
    </row>
    <row r="11904" spans="1:4" x14ac:dyDescent="0.2">
      <c r="A11904" t="str">
        <f>"11903"</f>
        <v>11903</v>
      </c>
      <c r="B11904" t="str">
        <f>"-1.13"</f>
        <v>-1.13</v>
      </c>
      <c r="C11904" t="str">
        <f>"20"</f>
        <v>20</v>
      </c>
      <c r="D11904" t="str">
        <f>"Living: 2009-Present"</f>
        <v>Living: 2009-Present</v>
      </c>
    </row>
    <row r="11905" spans="1:4" x14ac:dyDescent="0.2">
      <c r="A11905" t="str">
        <f>"11904"</f>
        <v>11904</v>
      </c>
      <c r="B11905" t="str">
        <f>"0.96"</f>
        <v>0.96</v>
      </c>
      <c r="C11905" t="str">
        <f>"20"</f>
        <v>20</v>
      </c>
      <c r="D11905" t="str">
        <f>"Two Matchsticks"</f>
        <v>Two Matchsticks</v>
      </c>
    </row>
    <row r="11906" spans="1:4" x14ac:dyDescent="0.2">
      <c r="A11906" t="str">
        <f>"11905"</f>
        <v>11905</v>
      </c>
      <c r="B11906" t="str">
        <f>"-0.13"</f>
        <v>-0.13</v>
      </c>
      <c r="C11906" t="str">
        <f>"31"</f>
        <v>31</v>
      </c>
      <c r="D11906" t="str">
        <f>"New Brigade"</f>
        <v>New Brigade</v>
      </c>
    </row>
    <row r="11907" spans="1:4" x14ac:dyDescent="0.2">
      <c r="A11907" t="str">
        <f>"11906"</f>
        <v>11906</v>
      </c>
      <c r="B11907" t="str">
        <f>"0.76"</f>
        <v>0.76</v>
      </c>
      <c r="C11907" t="str">
        <f>"19"</f>
        <v>19</v>
      </c>
      <c r="D11907" t="str">
        <f>"Sound Kapital"</f>
        <v>Sound Kapital</v>
      </c>
    </row>
    <row r="11908" spans="1:4" x14ac:dyDescent="0.2">
      <c r="A11908" t="str">
        <f>"11907"</f>
        <v>11907</v>
      </c>
      <c r="B11908" t="str">
        <f>"-1.16"</f>
        <v>-1.16</v>
      </c>
      <c r="C11908" t="str">
        <f>"19"</f>
        <v>19</v>
      </c>
      <c r="D11908" t="str">
        <f>"Debut"</f>
        <v>Debut</v>
      </c>
    </row>
    <row r="11909" spans="1:4" x14ac:dyDescent="0.2">
      <c r="A11909" t="str">
        <f>"11908"</f>
        <v>11908</v>
      </c>
      <c r="B11909" t="str">
        <f>"1.63"</f>
        <v>1.63</v>
      </c>
      <c r="C11909" t="str">
        <f>"20"</f>
        <v>20</v>
      </c>
      <c r="D11909" t="str">
        <f>"D"</f>
        <v>D</v>
      </c>
    </row>
    <row r="11910" spans="1:4" x14ac:dyDescent="0.2">
      <c r="A11910" t="str">
        <f>"11909"</f>
        <v>11909</v>
      </c>
      <c r="B11910" t="str">
        <f>"1.11"</f>
        <v>1.11</v>
      </c>
      <c r="C11910" t="str">
        <f>"15"</f>
        <v>15</v>
      </c>
      <c r="D11910" t="s">
        <v>357</v>
      </c>
    </row>
    <row r="11911" spans="1:4" x14ac:dyDescent="0.2">
      <c r="A11911" t="str">
        <f>"11910"</f>
        <v>11910</v>
      </c>
      <c r="B11911" t="str">
        <f>"1.27"</f>
        <v>1.27</v>
      </c>
      <c r="C11911" t="str">
        <f>"49"</f>
        <v>49</v>
      </c>
      <c r="D11911" t="str">
        <f>"4"</f>
        <v>4</v>
      </c>
    </row>
    <row r="11912" spans="1:4" x14ac:dyDescent="0.2">
      <c r="A11912" t="str">
        <f>"11911"</f>
        <v>11911</v>
      </c>
      <c r="B11912" t="str">
        <f>"0.56"</f>
        <v>0.56</v>
      </c>
      <c r="C11912" t="str">
        <f>"19"</f>
        <v>19</v>
      </c>
      <c r="D11912" t="str">
        <f>"Carbonated EP"</f>
        <v>Carbonated EP</v>
      </c>
    </row>
    <row r="11913" spans="1:4" x14ac:dyDescent="0.2">
      <c r="A11913" t="str">
        <f>"11912"</f>
        <v>11912</v>
      </c>
      <c r="B11913" t="str">
        <f>"0.31"</f>
        <v>0.31</v>
      </c>
      <c r="C11913" t="str">
        <f>"31"</f>
        <v>31</v>
      </c>
      <c r="D11913" t="str">
        <f>"Pl3dge"</f>
        <v>Pl3dge</v>
      </c>
    </row>
    <row r="11914" spans="1:4" x14ac:dyDescent="0.2">
      <c r="A11914" t="str">
        <f>"11913"</f>
        <v>11913</v>
      </c>
      <c r="B11914" t="str">
        <f>"-0.96"</f>
        <v>-0.96</v>
      </c>
      <c r="C11914" t="str">
        <f>"24"</f>
        <v>24</v>
      </c>
      <c r="D11914" t="str">
        <f>"The Miners' Hymns"</f>
        <v>The Miners' Hymns</v>
      </c>
    </row>
    <row r="11915" spans="1:4" x14ac:dyDescent="0.2">
      <c r="A11915" t="str">
        <f>"11914"</f>
        <v>11914</v>
      </c>
      <c r="B11915" t="str">
        <f>"1.08"</f>
        <v>1.08</v>
      </c>
      <c r="C11915" t="str">
        <f>"21"</f>
        <v>21</v>
      </c>
      <c r="D11915" t="str">
        <f>"Sagara"</f>
        <v>Sagara</v>
      </c>
    </row>
    <row r="11916" spans="1:4" x14ac:dyDescent="0.2">
      <c r="A11916" t="str">
        <f>"11915"</f>
        <v>11915</v>
      </c>
      <c r="B11916" t="str">
        <f>"0.08"</f>
        <v>0.08</v>
      </c>
      <c r="C11916" t="str">
        <f>"52"</f>
        <v>52</v>
      </c>
      <c r="D11916" t="str">
        <f>"Black Up"</f>
        <v>Black Up</v>
      </c>
    </row>
    <row r="11917" spans="1:4" x14ac:dyDescent="0.2">
      <c r="A11917" t="str">
        <f>"11916"</f>
        <v>11916</v>
      </c>
      <c r="B11917" t="str">
        <f>"-0.07"</f>
        <v>-0.07</v>
      </c>
      <c r="C11917" t="str">
        <f>"30"</f>
        <v>30</v>
      </c>
      <c r="D11917" t="str">
        <f>"Blanck Mass"</f>
        <v>Blanck Mass</v>
      </c>
    </row>
    <row r="11918" spans="1:4" x14ac:dyDescent="0.2">
      <c r="A11918" t="str">
        <f>"11917"</f>
        <v>11917</v>
      </c>
      <c r="B11918" t="str">
        <f>"0.93"</f>
        <v>0.93</v>
      </c>
      <c r="C11918" t="str">
        <f>"22"</f>
        <v>22</v>
      </c>
      <c r="D11918" t="str">
        <f>"Thora Vukk"</f>
        <v>Thora Vukk</v>
      </c>
    </row>
    <row r="11919" spans="1:4" x14ac:dyDescent="0.2">
      <c r="A11919" t="str">
        <f>"11918"</f>
        <v>11918</v>
      </c>
      <c r="B11919" t="str">
        <f>"-0.94"</f>
        <v>-0.94</v>
      </c>
      <c r="C11919" t="str">
        <f>"14"</f>
        <v>14</v>
      </c>
      <c r="D11919" t="str">
        <f>"Hour Logic EP"</f>
        <v>Hour Logic EP</v>
      </c>
    </row>
    <row r="11920" spans="1:4" x14ac:dyDescent="0.2">
      <c r="A11920" t="str">
        <f>"11919"</f>
        <v>11919</v>
      </c>
      <c r="B11920" t="str">
        <f>"0.34"</f>
        <v>0.34</v>
      </c>
      <c r="C11920" t="str">
        <f>"35"</f>
        <v>35</v>
      </c>
      <c r="D11920" t="str">
        <f>"Shirts vs. Skins"</f>
        <v>Shirts vs. Skins</v>
      </c>
    </row>
    <row r="11921" spans="1:4" x14ac:dyDescent="0.2">
      <c r="A11921" t="str">
        <f>"11920"</f>
        <v>11920</v>
      </c>
      <c r="B11921" t="str">
        <f>"-0.52"</f>
        <v>-0.52</v>
      </c>
      <c r="C11921" t="str">
        <f>"69"</f>
        <v>69</v>
      </c>
      <c r="D11921" t="str">
        <f>"Coming Up [Deluxe Edition]"</f>
        <v>Coming Up [Deluxe Edition]</v>
      </c>
    </row>
    <row r="11922" spans="1:4" x14ac:dyDescent="0.2">
      <c r="A11922" t="str">
        <f>"11921"</f>
        <v>11921</v>
      </c>
      <c r="B11922" t="str">
        <f>"1.06"</f>
        <v>1.06</v>
      </c>
      <c r="C11922" t="str">
        <f>"24"</f>
        <v>24</v>
      </c>
      <c r="D11922" t="str">
        <f>"Tamer Animals"</f>
        <v>Tamer Animals</v>
      </c>
    </row>
    <row r="11923" spans="1:4" x14ac:dyDescent="0.2">
      <c r="A11923" t="str">
        <f>"11922"</f>
        <v>11922</v>
      </c>
      <c r="B11923" t="str">
        <f>"1.66"</f>
        <v>1.66</v>
      </c>
      <c r="C11923" t="str">
        <f>"23"</f>
        <v>23</v>
      </c>
      <c r="D11923" t="str">
        <f>"Mount Moriah"</f>
        <v>Mount Moriah</v>
      </c>
    </row>
    <row r="11924" spans="1:4" x14ac:dyDescent="0.2">
      <c r="A11924" t="str">
        <f>"11923"</f>
        <v>11923</v>
      </c>
      <c r="B11924" t="str">
        <f>"0.71"</f>
        <v>0.71</v>
      </c>
      <c r="C11924" t="str">
        <f>"29"</f>
        <v>29</v>
      </c>
      <c r="D11924" t="str">
        <f>"Memories Come True"</f>
        <v>Memories Come True</v>
      </c>
    </row>
    <row r="11925" spans="1:4" x14ac:dyDescent="0.2">
      <c r="A11925" t="str">
        <f>"11924"</f>
        <v>11924</v>
      </c>
      <c r="B11925" t="str">
        <f>"0.58"</f>
        <v>0.58</v>
      </c>
      <c r="C11925" t="str">
        <f>"21"</f>
        <v>21</v>
      </c>
      <c r="D11925" t="s">
        <v>358</v>
      </c>
    </row>
    <row r="11926" spans="1:4" x14ac:dyDescent="0.2">
      <c r="A11926" t="str">
        <f>"11925"</f>
        <v>11925</v>
      </c>
      <c r="B11926" t="str">
        <f>"-0.3"</f>
        <v>-0.3</v>
      </c>
      <c r="C11926" t="str">
        <f>"40"</f>
        <v>40</v>
      </c>
      <c r="D11926" t="str">
        <f>"Go Tell Fire to the Mountain"</f>
        <v>Go Tell Fire to the Mountain</v>
      </c>
    </row>
    <row r="11927" spans="1:4" x14ac:dyDescent="0.2">
      <c r="A11927" t="str">
        <f>"11926"</f>
        <v>11926</v>
      </c>
      <c r="B11927" t="str">
        <f>"-0.78"</f>
        <v>-0.78</v>
      </c>
      <c r="C11927" t="str">
        <f>"21"</f>
        <v>21</v>
      </c>
      <c r="D11927" t="str">
        <f>"Digital Lows"</f>
        <v>Digital Lows</v>
      </c>
    </row>
    <row r="11928" spans="1:4" x14ac:dyDescent="0.2">
      <c r="A11928" t="str">
        <f>"11927"</f>
        <v>11927</v>
      </c>
      <c r="B11928" t="str">
        <f>"0.19"</f>
        <v>0.19</v>
      </c>
      <c r="C11928" t="str">
        <f>"20"</f>
        <v>20</v>
      </c>
      <c r="D11928" t="str">
        <f>"Fjree Feather"</f>
        <v>Fjree Feather</v>
      </c>
    </row>
    <row r="11929" spans="1:4" x14ac:dyDescent="0.2">
      <c r="A11929" t="str">
        <f>"11928"</f>
        <v>11928</v>
      </c>
      <c r="B11929" t="str">
        <f>"-0.73"</f>
        <v>-0.73</v>
      </c>
      <c r="C11929" t="str">
        <f>"25"</f>
        <v>25</v>
      </c>
      <c r="D11929" t="str">
        <f>"H–p1"</f>
        <v>H–p1</v>
      </c>
    </row>
    <row r="11930" spans="1:4" x14ac:dyDescent="0.2">
      <c r="A11930" t="str">
        <f>"11929"</f>
        <v>11929</v>
      </c>
      <c r="B11930" t="str">
        <f>"1.08"</f>
        <v>1.08</v>
      </c>
      <c r="C11930" t="str">
        <f>"28"</f>
        <v>28</v>
      </c>
      <c r="D11930" t="str">
        <f>"Fania Records 1964-1980: The Original Sound of Latin New York"</f>
        <v>Fania Records 1964-1980: The Original Sound of Latin New York</v>
      </c>
    </row>
    <row r="11931" spans="1:4" x14ac:dyDescent="0.2">
      <c r="A11931" t="str">
        <f>"11930"</f>
        <v>11930</v>
      </c>
      <c r="B11931" t="str">
        <f>"0"</f>
        <v>0</v>
      </c>
      <c r="C11931" t="str">
        <f>"33"</f>
        <v>33</v>
      </c>
      <c r="D11931" t="str">
        <f>"Unknown Mortal Orchestra"</f>
        <v>Unknown Mortal Orchestra</v>
      </c>
    </row>
    <row r="11932" spans="1:4" x14ac:dyDescent="0.2">
      <c r="A11932" t="str">
        <f>"11931"</f>
        <v>11931</v>
      </c>
      <c r="B11932" t="str">
        <f>"-0.43"</f>
        <v>-0.43</v>
      </c>
      <c r="C11932" t="str">
        <f>"23"</f>
        <v>23</v>
      </c>
      <c r="D11932" t="str">
        <f>"Limerence"</f>
        <v>Limerence</v>
      </c>
    </row>
    <row r="11933" spans="1:4" x14ac:dyDescent="0.2">
      <c r="A11933" t="str">
        <f>"11932"</f>
        <v>11932</v>
      </c>
      <c r="B11933" t="str">
        <f>"-0.09"</f>
        <v>-0.09</v>
      </c>
      <c r="C11933" t="str">
        <f>"21"</f>
        <v>21</v>
      </c>
      <c r="D11933" t="str">
        <f>"BOBBY"</f>
        <v>BOBBY</v>
      </c>
    </row>
    <row r="11934" spans="1:4" x14ac:dyDescent="0.2">
      <c r="A11934" t="str">
        <f>"11933"</f>
        <v>11933</v>
      </c>
      <c r="B11934" t="str">
        <f>"0.5"</f>
        <v>0.5</v>
      </c>
      <c r="C11934" t="str">
        <f>"35"</f>
        <v>35</v>
      </c>
      <c r="D11934" t="str">
        <f>"One Night in the Borough"</f>
        <v>One Night in the Borough</v>
      </c>
    </row>
    <row r="11935" spans="1:4" x14ac:dyDescent="0.2">
      <c r="A11935" t="str">
        <f>"11934"</f>
        <v>11934</v>
      </c>
      <c r="B11935" t="str">
        <f>"-0.09"</f>
        <v>-0.09</v>
      </c>
      <c r="C11935" t="str">
        <f>"34"</f>
        <v>34</v>
      </c>
      <c r="D11935" t="str">
        <f>"Gimme Ten"</f>
        <v>Gimme Ten</v>
      </c>
    </row>
    <row r="11936" spans="1:4" x14ac:dyDescent="0.2">
      <c r="A11936" t="str">
        <f>"11935"</f>
        <v>11935</v>
      </c>
      <c r="B11936" t="str">
        <f>"0.78"</f>
        <v>0.78</v>
      </c>
      <c r="C11936" t="str">
        <f>"31"</f>
        <v>31</v>
      </c>
      <c r="D11936" t="str">
        <f>"Goodbye Bread"</f>
        <v>Goodbye Bread</v>
      </c>
    </row>
    <row r="11937" spans="1:4" x14ac:dyDescent="0.2">
      <c r="A11937" t="str">
        <f>"11936"</f>
        <v>11936</v>
      </c>
      <c r="B11937" t="str">
        <f>"-0.88"</f>
        <v>-0.88</v>
      </c>
      <c r="C11937" t="str">
        <f>"32"</f>
        <v>32</v>
      </c>
      <c r="D11937" t="str">
        <f>"James Drake"</f>
        <v>James Drake</v>
      </c>
    </row>
    <row r="11938" spans="1:4" x14ac:dyDescent="0.2">
      <c r="A11938" t="str">
        <f>"11937"</f>
        <v>11937</v>
      </c>
      <c r="B11938" t="str">
        <f>"0.39"</f>
        <v>0.39</v>
      </c>
      <c r="C11938" t="str">
        <f>"22"</f>
        <v>22</v>
      </c>
      <c r="D11938" t="str">
        <f>"City Limits Volume 2"</f>
        <v>City Limits Volume 2</v>
      </c>
    </row>
    <row r="11939" spans="1:4" x14ac:dyDescent="0.2">
      <c r="A11939" t="str">
        <f>"11938"</f>
        <v>11938</v>
      </c>
      <c r="B11939" t="str">
        <f>"0.39"</f>
        <v>0.39</v>
      </c>
      <c r="C11939" t="str">
        <f>"20"</f>
        <v>20</v>
      </c>
      <c r="D11939" t="str">
        <f>"New Heaven"</f>
        <v>New Heaven</v>
      </c>
    </row>
    <row r="11940" spans="1:4" x14ac:dyDescent="0.2">
      <c r="A11940" t="str">
        <f>"11939"</f>
        <v>11939</v>
      </c>
      <c r="B11940" t="str">
        <f>"1.13"</f>
        <v>1.13</v>
      </c>
      <c r="C11940" t="str">
        <f>"30"</f>
        <v>30</v>
      </c>
      <c r="D11940" t="str">
        <f>"Lovers Do"</f>
        <v>Lovers Do</v>
      </c>
    </row>
    <row r="11941" spans="1:4" x14ac:dyDescent="0.2">
      <c r="A11941" t="str">
        <f>"11940"</f>
        <v>11940</v>
      </c>
      <c r="B11941" t="str">
        <f>"0.48"</f>
        <v>0.48</v>
      </c>
      <c r="C11941" t="str">
        <f>"61"</f>
        <v>61</v>
      </c>
      <c r="D11941" t="str">
        <f>"Bon Iver"</f>
        <v>Bon Iver</v>
      </c>
    </row>
    <row r="11942" spans="1:4" x14ac:dyDescent="0.2">
      <c r="A11942" t="str">
        <f>"11941"</f>
        <v>11941</v>
      </c>
      <c r="B11942" t="str">
        <f>"0.38"</f>
        <v>0.38</v>
      </c>
      <c r="C11942" t="str">
        <f>"28"</f>
        <v>28</v>
      </c>
      <c r="D11942" t="str">
        <f>"Dr. Lecter"</f>
        <v>Dr. Lecter</v>
      </c>
    </row>
    <row r="11943" spans="1:4" x14ac:dyDescent="0.2">
      <c r="A11943" t="str">
        <f>"11942"</f>
        <v>11942</v>
      </c>
      <c r="B11943" t="str">
        <f>"0.51"</f>
        <v>0.51</v>
      </c>
      <c r="C11943" t="str">
        <f>"22"</f>
        <v>22</v>
      </c>
      <c r="D11943" t="str">
        <f>"Fiend Without a Face/West End Motel"</f>
        <v>Fiend Without a Face/West End Motel</v>
      </c>
    </row>
    <row r="11944" spans="1:4" x14ac:dyDescent="0.2">
      <c r="A11944" t="str">
        <f>"11943"</f>
        <v>11943</v>
      </c>
      <c r="B11944" t="str">
        <f>"0.3"</f>
        <v>0.3</v>
      </c>
      <c r="C11944" t="str">
        <f>"24"</f>
        <v>24</v>
      </c>
      <c r="D11944" t="str">
        <f>"Twist Again"</f>
        <v>Twist Again</v>
      </c>
    </row>
    <row r="11945" spans="1:4" x14ac:dyDescent="0.2">
      <c r="A11945" t="str">
        <f>"11944"</f>
        <v>11944</v>
      </c>
      <c r="B11945" t="str">
        <f>"-0.14"</f>
        <v>-0.14</v>
      </c>
      <c r="C11945" t="str">
        <f>"24"</f>
        <v>24</v>
      </c>
      <c r="D11945" t="str">
        <f>"Realism"</f>
        <v>Realism</v>
      </c>
    </row>
    <row r="11946" spans="1:4" x14ac:dyDescent="0.2">
      <c r="A11946" t="str">
        <f>"11945"</f>
        <v>11945</v>
      </c>
      <c r="B11946" t="str">
        <f>"0.47"</f>
        <v>0.47</v>
      </c>
      <c r="C11946" t="str">
        <f>"36"</f>
        <v>36</v>
      </c>
      <c r="D11946" t="str">
        <f>"Marissa Nadler"</f>
        <v>Marissa Nadler</v>
      </c>
    </row>
    <row r="11947" spans="1:4" x14ac:dyDescent="0.2">
      <c r="A11947" t="str">
        <f>"11946"</f>
        <v>11946</v>
      </c>
      <c r="B11947" t="str">
        <f>"-0.4"</f>
        <v>-0.4</v>
      </c>
      <c r="C11947" t="str">
        <f>"30"</f>
        <v>30</v>
      </c>
      <c r="D11947" t="str">
        <f>"Archives Performance Series Vol. 9: A Treasure"</f>
        <v>Archives Performance Series Vol. 9: A Treasure</v>
      </c>
    </row>
    <row r="11948" spans="1:4" x14ac:dyDescent="0.2">
      <c r="A11948" t="str">
        <f>"11947"</f>
        <v>11947</v>
      </c>
      <c r="B11948" t="str">
        <f>"-0.6"</f>
        <v>-0.6</v>
      </c>
      <c r="C11948" t="str">
        <f>"26"</f>
        <v>26</v>
      </c>
      <c r="D11948" t="str">
        <f>"Plantation"</f>
        <v>Plantation</v>
      </c>
    </row>
    <row r="11949" spans="1:4" x14ac:dyDescent="0.2">
      <c r="A11949" t="str">
        <f>"11948"</f>
        <v>11948</v>
      </c>
      <c r="B11949" t="str">
        <f>"0.49"</f>
        <v>0.49</v>
      </c>
      <c r="C11949" t="str">
        <f>"32"</f>
        <v>32</v>
      </c>
      <c r="D11949" t="str">
        <f>"Country Stash"</f>
        <v>Country Stash</v>
      </c>
    </row>
    <row r="11950" spans="1:4" x14ac:dyDescent="0.2">
      <c r="A11950" t="str">
        <f>"11949"</f>
        <v>11949</v>
      </c>
      <c r="B11950" t="str">
        <f>"0.39"</f>
        <v>0.39</v>
      </c>
      <c r="C11950" t="str">
        <f>"24"</f>
        <v>24</v>
      </c>
      <c r="D11950" t="str">
        <f>"In Vogue Spirit"</f>
        <v>In Vogue Spirit</v>
      </c>
    </row>
    <row r="11951" spans="1:4" x14ac:dyDescent="0.2">
      <c r="A11951" t="str">
        <f>"11950"</f>
        <v>11950</v>
      </c>
      <c r="B11951" t="str">
        <f>"0.16"</f>
        <v>0.16</v>
      </c>
      <c r="C11951" t="str">
        <f>"28"</f>
        <v>28</v>
      </c>
      <c r="D11951" t="str">
        <f>"Deserter's Songs [Deluxe Edition]"</f>
        <v>Deserter's Songs [Deluxe Edition]</v>
      </c>
    </row>
    <row r="11952" spans="1:4" x14ac:dyDescent="0.2">
      <c r="A11952" t="str">
        <f>"11951"</f>
        <v>11951</v>
      </c>
      <c r="B11952" t="str">
        <f>"-0.38"</f>
        <v>-0.38</v>
      </c>
      <c r="C11952" t="str">
        <f>"24"</f>
        <v>24</v>
      </c>
      <c r="D11952" t="str">
        <f>"FRKWYS Vol. 6"</f>
        <v>FRKWYS Vol. 6</v>
      </c>
    </row>
    <row r="11953" spans="1:4" x14ac:dyDescent="0.2">
      <c r="A11953" t="str">
        <f>"11952"</f>
        <v>11952</v>
      </c>
      <c r="B11953" t="str">
        <f>"-0.39"</f>
        <v>-0.39</v>
      </c>
      <c r="C11953" t="str">
        <f>"23"</f>
        <v>23</v>
      </c>
      <c r="D11953" t="str">
        <f>"Don't Blame the Stars"</f>
        <v>Don't Blame the Stars</v>
      </c>
    </row>
    <row r="11954" spans="1:4" x14ac:dyDescent="0.2">
      <c r="A11954" t="str">
        <f>"11953"</f>
        <v>11953</v>
      </c>
      <c r="B11954" t="str">
        <f>"0.97"</f>
        <v>0.97</v>
      </c>
      <c r="C11954" t="str">
        <f>"23"</f>
        <v>23</v>
      </c>
      <c r="D11954" t="str">
        <f>"Change Is Gradual"</f>
        <v>Change Is Gradual</v>
      </c>
    </row>
    <row r="11955" spans="1:4" x14ac:dyDescent="0.2">
      <c r="A11955" t="str">
        <f>"11954"</f>
        <v>11954</v>
      </c>
      <c r="B11955" t="str">
        <f>"0.17"</f>
        <v>0.17</v>
      </c>
      <c r="C11955" t="str">
        <f>"22"</f>
        <v>22</v>
      </c>
      <c r="D11955" t="str">
        <f>"7"</f>
        <v>7</v>
      </c>
    </row>
    <row r="11956" spans="1:4" x14ac:dyDescent="0.2">
      <c r="A11956" t="str">
        <f>"11955"</f>
        <v>11955</v>
      </c>
      <c r="B11956" t="str">
        <f>"-0.03"</f>
        <v>-0.03</v>
      </c>
      <c r="C11956" t="str">
        <f>"68"</f>
        <v>68</v>
      </c>
      <c r="D11956" t="str">
        <f>"McCartney"</f>
        <v>McCartney</v>
      </c>
    </row>
    <row r="11957" spans="1:4" x14ac:dyDescent="0.2">
      <c r="A11957" t="str">
        <f>"11956"</f>
        <v>11956</v>
      </c>
      <c r="B11957" t="str">
        <f>"-0.48"</f>
        <v>-0.48</v>
      </c>
      <c r="C11957" t="str">
        <f>"22"</f>
        <v>22</v>
      </c>
      <c r="D11957" t="str">
        <f>"Castlemania"</f>
        <v>Castlemania</v>
      </c>
    </row>
    <row r="11958" spans="1:4" x14ac:dyDescent="0.2">
      <c r="A11958" t="str">
        <f>"11957"</f>
        <v>11957</v>
      </c>
      <c r="B11958" t="str">
        <f>"-0.57"</f>
        <v>-0.57</v>
      </c>
      <c r="C11958" t="str">
        <f>"27"</f>
        <v>27</v>
      </c>
      <c r="D11958" t="str">
        <f>"Locussolus"</f>
        <v>Locussolus</v>
      </c>
    </row>
    <row r="11959" spans="1:4" x14ac:dyDescent="0.2">
      <c r="A11959" t="str">
        <f>"11958"</f>
        <v>11958</v>
      </c>
      <c r="B11959" t="str">
        <f>"0.94"</f>
        <v>0.94</v>
      </c>
      <c r="C11959" t="str">
        <f>"29"</f>
        <v>29</v>
      </c>
      <c r="D11959" t="str">
        <f>"The Errant Charm"</f>
        <v>The Errant Charm</v>
      </c>
    </row>
    <row r="11960" spans="1:4" x14ac:dyDescent="0.2">
      <c r="A11960" t="str">
        <f>"11959"</f>
        <v>11959</v>
      </c>
      <c r="B11960" t="str">
        <f>"-0.28"</f>
        <v>-0.28</v>
      </c>
      <c r="C11960" t="str">
        <f>"25"</f>
        <v>25</v>
      </c>
      <c r="D11960" t="str">
        <f>"Ways of Meaning"</f>
        <v>Ways of Meaning</v>
      </c>
    </row>
    <row r="11961" spans="1:4" x14ac:dyDescent="0.2">
      <c r="A11961" t="str">
        <f>"11960"</f>
        <v>11960</v>
      </c>
      <c r="B11961" t="str">
        <f>"0.53"</f>
        <v>0.53</v>
      </c>
      <c r="C11961" t="str">
        <f>"32"</f>
        <v>32</v>
      </c>
      <c r="D11961" t="str">
        <f>"Bakesale [Deluxe Edition]"</f>
        <v>Bakesale [Deluxe Edition]</v>
      </c>
    </row>
    <row r="11962" spans="1:4" x14ac:dyDescent="0.2">
      <c r="A11962" t="str">
        <f>"11961"</f>
        <v>11961</v>
      </c>
      <c r="B11962" t="str">
        <f>"0.48"</f>
        <v>0.48</v>
      </c>
      <c r="C11962" t="str">
        <f>"38"</f>
        <v>38</v>
      </c>
      <c r="D11962" t="str">
        <f>"An Empty Bliss Beyond This World"</f>
        <v>An Empty Bliss Beyond This World</v>
      </c>
    </row>
    <row r="11963" spans="1:4" x14ac:dyDescent="0.2">
      <c r="A11963" t="str">
        <f>"11962"</f>
        <v>11962</v>
      </c>
      <c r="B11963" t="str">
        <f>"0.25"</f>
        <v>0.25</v>
      </c>
      <c r="C11963" t="str">
        <f>"21"</f>
        <v>21</v>
      </c>
      <c r="D11963" t="str">
        <f>"With U EP"</f>
        <v>With U EP</v>
      </c>
    </row>
    <row r="11964" spans="1:4" x14ac:dyDescent="0.2">
      <c r="A11964" t="str">
        <f>"11963"</f>
        <v>11963</v>
      </c>
      <c r="B11964" t="str">
        <f>"0.88"</f>
        <v>0.88</v>
      </c>
      <c r="C11964" t="str">
        <f>"47"</f>
        <v>47</v>
      </c>
      <c r="D11964" t="str">
        <f>"Are You Gonna Eat That?"</f>
        <v>Are You Gonna Eat That?</v>
      </c>
    </row>
    <row r="11965" spans="1:4" x14ac:dyDescent="0.2">
      <c r="A11965" t="str">
        <f>"11964"</f>
        <v>11964</v>
      </c>
      <c r="B11965" t="str">
        <f>"-0.23"</f>
        <v>-0.23</v>
      </c>
      <c r="C11965" t="str">
        <f>"15"</f>
        <v>15</v>
      </c>
      <c r="D11965" t="str">
        <f>"Walls"</f>
        <v>Walls</v>
      </c>
    </row>
    <row r="11966" spans="1:4" x14ac:dyDescent="0.2">
      <c r="A11966" t="str">
        <f>"11965"</f>
        <v>11965</v>
      </c>
      <c r="B11966" t="str">
        <f>"0.39"</f>
        <v>0.39</v>
      </c>
      <c r="C11966" t="str">
        <f>"31"</f>
        <v>31</v>
      </c>
      <c r="D11966" t="str">
        <f>"It's All True"</f>
        <v>It's All True</v>
      </c>
    </row>
    <row r="11967" spans="1:4" x14ac:dyDescent="0.2">
      <c r="A11967" t="str">
        <f>"11966"</f>
        <v>11966</v>
      </c>
      <c r="B11967" t="str">
        <f>"0"</f>
        <v>0</v>
      </c>
      <c r="C11967" t="str">
        <f>"24"</f>
        <v>24</v>
      </c>
      <c r="D11967" t="str">
        <f>"I Gotta Rokk EP"</f>
        <v>I Gotta Rokk EP</v>
      </c>
    </row>
    <row r="11968" spans="1:4" x14ac:dyDescent="0.2">
      <c r="A11968" t="str">
        <f>"11967"</f>
        <v>11967</v>
      </c>
      <c r="B11968" t="str">
        <f>"1.23"</f>
        <v>1.23</v>
      </c>
      <c r="C11968" t="str">
        <f>"28"</f>
        <v>28</v>
      </c>
      <c r="D11968" t="str">
        <f>"Lobelia"</f>
        <v>Lobelia</v>
      </c>
    </row>
    <row r="11969" spans="1:4" x14ac:dyDescent="0.2">
      <c r="A11969" t="str">
        <f>"11968"</f>
        <v>11968</v>
      </c>
      <c r="B11969" t="str">
        <f>"0.97"</f>
        <v>0.97</v>
      </c>
      <c r="C11969" t="str">
        <f>"22"</f>
        <v>22</v>
      </c>
      <c r="D11969" t="str">
        <f>"Clutching Stems"</f>
        <v>Clutching Stems</v>
      </c>
    </row>
    <row r="11970" spans="1:4" x14ac:dyDescent="0.2">
      <c r="A11970" t="str">
        <f>"11969"</f>
        <v>11969</v>
      </c>
      <c r="B11970" t="str">
        <f>"0.28"</f>
        <v>0.28</v>
      </c>
      <c r="C11970" t="str">
        <f>"29"</f>
        <v>29</v>
      </c>
      <c r="D11970" t="str">
        <f>"Earth Sound System"</f>
        <v>Earth Sound System</v>
      </c>
    </row>
    <row r="11971" spans="1:4" x14ac:dyDescent="0.2">
      <c r="A11971" t="str">
        <f>"11970"</f>
        <v>11970</v>
      </c>
      <c r="B11971" t="str">
        <f>"1"</f>
        <v>1</v>
      </c>
      <c r="C11971" t="str">
        <f>"20"</f>
        <v>20</v>
      </c>
      <c r="D11971" t="str">
        <f>"Arabia Mountain"</f>
        <v>Arabia Mountain</v>
      </c>
    </row>
    <row r="11972" spans="1:4" x14ac:dyDescent="0.2">
      <c r="A11972" t="str">
        <f>"11971"</f>
        <v>11971</v>
      </c>
      <c r="B11972" t="str">
        <f>"1.08"</f>
        <v>1.08</v>
      </c>
      <c r="C11972" t="str">
        <f>"27"</f>
        <v>27</v>
      </c>
      <c r="D11972" t="str">
        <f>"iTunes Session"</f>
        <v>iTunes Session</v>
      </c>
    </row>
    <row r="11973" spans="1:4" x14ac:dyDescent="0.2">
      <c r="A11973" t="str">
        <f>"11972"</f>
        <v>11972</v>
      </c>
      <c r="B11973" t="str">
        <f>"0.25"</f>
        <v>0.25</v>
      </c>
      <c r="C11973" t="str">
        <f>"25"</f>
        <v>25</v>
      </c>
      <c r="D11973" t="str">
        <f>"A Different Compilation"</f>
        <v>A Different Compilation</v>
      </c>
    </row>
    <row r="11974" spans="1:4" x14ac:dyDescent="0.2">
      <c r="A11974" t="str">
        <f>"11973"</f>
        <v>11973</v>
      </c>
      <c r="B11974" t="str">
        <f>"0.25"</f>
        <v>0.25</v>
      </c>
      <c r="C11974" t="str">
        <f>"21"</f>
        <v>21</v>
      </c>
      <c r="D11974" t="str">
        <f>"Lonely Twin"</f>
        <v>Lonely Twin</v>
      </c>
    </row>
    <row r="11975" spans="1:4" x14ac:dyDescent="0.2">
      <c r="A11975" t="str">
        <f>"11974"</f>
        <v>11974</v>
      </c>
      <c r="B11975" t="str">
        <f>"0.83"</f>
        <v>0.83</v>
      </c>
      <c r="C11975" t="str">
        <f>"26"</f>
        <v>26</v>
      </c>
      <c r="D11975" t="str">
        <f>"These Trails"</f>
        <v>These Trails</v>
      </c>
    </row>
    <row r="11976" spans="1:4" x14ac:dyDescent="0.2">
      <c r="A11976" t="str">
        <f>"11975"</f>
        <v>11975</v>
      </c>
      <c r="B11976" t="str">
        <f>"-0.3"</f>
        <v>-0.3</v>
      </c>
      <c r="C11976" t="str">
        <f>"35"</f>
        <v>35</v>
      </c>
      <c r="D11976" t="str">
        <f>"Suck It and See"</f>
        <v>Suck It and See</v>
      </c>
    </row>
    <row r="11977" spans="1:4" x14ac:dyDescent="0.2">
      <c r="A11977" t="str">
        <f>"11976"</f>
        <v>11976</v>
      </c>
      <c r="B11977" t="str">
        <f>"0.5"</f>
        <v>0.5</v>
      </c>
      <c r="C11977" t="str">
        <f>"45"</f>
        <v>45</v>
      </c>
      <c r="D11977" t="str">
        <f>"An American Trilogy"</f>
        <v>An American Trilogy</v>
      </c>
    </row>
    <row r="11978" spans="1:4" x14ac:dyDescent="0.2">
      <c r="A11978" t="str">
        <f>"11977"</f>
        <v>11977</v>
      </c>
      <c r="B11978" t="str">
        <f>"-0.05"</f>
        <v>-0.05</v>
      </c>
      <c r="C11978" t="str">
        <f>"25"</f>
        <v>25</v>
      </c>
      <c r="D11978" t="str">
        <f>"Loud Planes Fly Low"</f>
        <v>Loud Planes Fly Low</v>
      </c>
    </row>
    <row r="11979" spans="1:4" x14ac:dyDescent="0.2">
      <c r="A11979" t="str">
        <f>"11978"</f>
        <v>11978</v>
      </c>
      <c r="B11979" t="str">
        <f>"-0.29"</f>
        <v>-0.29</v>
      </c>
      <c r="C11979" t="str">
        <f>"26"</f>
        <v>26</v>
      </c>
      <c r="D11979" t="str">
        <f>"ISAM"</f>
        <v>ISAM</v>
      </c>
    </row>
    <row r="11980" spans="1:4" x14ac:dyDescent="0.2">
      <c r="A11980" t="str">
        <f>"11979"</f>
        <v>11979</v>
      </c>
      <c r="B11980" t="str">
        <f>"0.08"</f>
        <v>0.08</v>
      </c>
      <c r="C11980" t="str">
        <f>"17"</f>
        <v>17</v>
      </c>
      <c r="D11980" t="str">
        <f>"Canta Lechuza"</f>
        <v>Canta Lechuza</v>
      </c>
    </row>
    <row r="11981" spans="1:4" x14ac:dyDescent="0.2">
      <c r="A11981" t="str">
        <f>"11980"</f>
        <v>11980</v>
      </c>
      <c r="B11981" t="str">
        <f>"-0.39"</f>
        <v>-0.39</v>
      </c>
      <c r="C11981" t="str">
        <f>"39"</f>
        <v>39</v>
      </c>
      <c r="D11981" t="str">
        <f>"David Comes to Life"</f>
        <v>David Comes to Life</v>
      </c>
    </row>
    <row r="11982" spans="1:4" x14ac:dyDescent="0.2">
      <c r="A11982" t="str">
        <f>"11981"</f>
        <v>11981</v>
      </c>
      <c r="B11982" t="str">
        <f>"1.65"</f>
        <v>1.65</v>
      </c>
      <c r="C11982" t="str">
        <f>"21"</f>
        <v>21</v>
      </c>
      <c r="D11982" t="str">
        <f>"Remixes 2: 81-11"</f>
        <v>Remixes 2: 81-11</v>
      </c>
    </row>
    <row r="11983" spans="1:4" x14ac:dyDescent="0.2">
      <c r="A11983" t="str">
        <f>"11982"</f>
        <v>11982</v>
      </c>
      <c r="B11983" t="str">
        <f>"0.15"</f>
        <v>0.15</v>
      </c>
      <c r="C11983" t="str">
        <f>"28"</f>
        <v>28</v>
      </c>
      <c r="D11983" t="str">
        <f>"Leisure Seizure"</f>
        <v>Leisure Seizure</v>
      </c>
    </row>
    <row r="11984" spans="1:4" x14ac:dyDescent="0.2">
      <c r="A11984" t="str">
        <f>"11983"</f>
        <v>11983</v>
      </c>
      <c r="B11984" t="str">
        <f>"0.97"</f>
        <v>0.97</v>
      </c>
      <c r="C11984" t="str">
        <f>"22"</f>
        <v>22</v>
      </c>
      <c r="D11984" t="str">
        <f>"Iris"</f>
        <v>Iris</v>
      </c>
    </row>
    <row r="11985" spans="1:4" x14ac:dyDescent="0.2">
      <c r="A11985" t="str">
        <f>"11984"</f>
        <v>11984</v>
      </c>
      <c r="B11985" t="str">
        <f>"1.66"</f>
        <v>1.66</v>
      </c>
      <c r="C11985" t="str">
        <f>"31"</f>
        <v>31</v>
      </c>
      <c r="D11985" t="str">
        <f>"Our Lives Are Shaped By What We Love: Motown's MoWest Story 1971-1973"</f>
        <v>Our Lives Are Shaped By What We Love: Motown's MoWest Story 1971-1973</v>
      </c>
    </row>
    <row r="11986" spans="1:4" x14ac:dyDescent="0.2">
      <c r="A11986" t="str">
        <f>"11985"</f>
        <v>11985</v>
      </c>
      <c r="B11986" t="str">
        <f>"-0.37"</f>
        <v>-0.37</v>
      </c>
      <c r="C11986" t="str">
        <f>"39"</f>
        <v>39</v>
      </c>
      <c r="D11986" t="str">
        <f>"Gloss Drop"</f>
        <v>Gloss Drop</v>
      </c>
    </row>
    <row r="11987" spans="1:4" x14ac:dyDescent="0.2">
      <c r="A11987" t="str">
        <f>"11986"</f>
        <v>11986</v>
      </c>
      <c r="B11987" t="str">
        <f>"0.78"</f>
        <v>0.78</v>
      </c>
      <c r="C11987" t="str">
        <f>"71"</f>
        <v>71</v>
      </c>
      <c r="D11987" t="str">
        <f>"Suede [Deluxe Edition]"</f>
        <v>Suede [Deluxe Edition]</v>
      </c>
    </row>
    <row r="11988" spans="1:4" x14ac:dyDescent="0.2">
      <c r="A11988" t="str">
        <f>"11987"</f>
        <v>11987</v>
      </c>
      <c r="B11988" t="str">
        <f>"0.75"</f>
        <v>0.75</v>
      </c>
      <c r="C11988" t="str">
        <f>"18"</f>
        <v>18</v>
      </c>
      <c r="D11988" t="str">
        <f>"Larceny &amp; Old Lace"</f>
        <v>Larceny &amp; Old Lace</v>
      </c>
    </row>
    <row r="11989" spans="1:4" x14ac:dyDescent="0.2">
      <c r="A11989" t="str">
        <f>"11988"</f>
        <v>11988</v>
      </c>
      <c r="B11989" t="str">
        <f>"0.84"</f>
        <v>0.84</v>
      </c>
      <c r="C11989" t="str">
        <f>"28"</f>
        <v>28</v>
      </c>
      <c r="D11989" t="str">
        <f>"Reflection"</f>
        <v>Reflection</v>
      </c>
    </row>
    <row r="11990" spans="1:4" x14ac:dyDescent="0.2">
      <c r="A11990" t="str">
        <f>"11989"</f>
        <v>11989</v>
      </c>
      <c r="B11990" t="str">
        <f>"-0.45"</f>
        <v>-0.45</v>
      </c>
      <c r="C11990" t="str">
        <f>"18"</f>
        <v>18</v>
      </c>
      <c r="D11990" t="str">
        <f>"EAR PWR"</f>
        <v>EAR PWR</v>
      </c>
    </row>
    <row r="11991" spans="1:4" x14ac:dyDescent="0.2">
      <c r="A11991" t="str">
        <f>"11990"</f>
        <v>11990</v>
      </c>
      <c r="B11991" t="str">
        <f>"1.25"</f>
        <v>1.25</v>
      </c>
      <c r="C11991" t="str">
        <f>"28"</f>
        <v>28</v>
      </c>
      <c r="D11991" t="str">
        <f>"Cults"</f>
        <v>Cults</v>
      </c>
    </row>
    <row r="11992" spans="1:4" x14ac:dyDescent="0.2">
      <c r="A11992" t="str">
        <f>"11991"</f>
        <v>11991</v>
      </c>
      <c r="B11992" t="str">
        <f>"-1.21"</f>
        <v>-1.21</v>
      </c>
      <c r="C11992" t="str">
        <f>"38"</f>
        <v>38</v>
      </c>
      <c r="D11992" t="str">
        <f>"Absolute II"</f>
        <v>Absolute II</v>
      </c>
    </row>
    <row r="11993" spans="1:4" x14ac:dyDescent="0.2">
      <c r="A11993" t="str">
        <f>"11992"</f>
        <v>11992</v>
      </c>
      <c r="B11993" t="str">
        <f>"0.58"</f>
        <v>0.58</v>
      </c>
      <c r="C11993" t="str">
        <f>"26"</f>
        <v>26</v>
      </c>
      <c r="D11993" t="str">
        <f>"Make Your Own Danger"</f>
        <v>Make Your Own Danger</v>
      </c>
    </row>
    <row r="11994" spans="1:4" x14ac:dyDescent="0.2">
      <c r="A11994" t="str">
        <f>"11993"</f>
        <v>11993</v>
      </c>
      <c r="B11994" t="str">
        <f>"-0.14"</f>
        <v>-0.14</v>
      </c>
      <c r="C11994" t="str">
        <f>"32"</f>
        <v>32</v>
      </c>
      <c r="D11994" t="str">
        <f>"Out on the Open West"</f>
        <v>Out on the Open West</v>
      </c>
    </row>
    <row r="11995" spans="1:4" x14ac:dyDescent="0.2">
      <c r="A11995" t="str">
        <f>"11994"</f>
        <v>11994</v>
      </c>
      <c r="B11995" t="str">
        <f>"0.9"</f>
        <v>0.9</v>
      </c>
      <c r="C11995" t="str">
        <f>"16"</f>
        <v>16</v>
      </c>
      <c r="D11995" t="str">
        <f>"Sondre Lerche"</f>
        <v>Sondre Lerche</v>
      </c>
    </row>
    <row r="11996" spans="1:4" x14ac:dyDescent="0.2">
      <c r="A11996" t="str">
        <f>"11995"</f>
        <v>11995</v>
      </c>
      <c r="B11996" t="str">
        <f>"0.61"</f>
        <v>0.61</v>
      </c>
      <c r="C11996" t="str">
        <f>"27"</f>
        <v>27</v>
      </c>
      <c r="D11996" t="str">
        <f>"Channel Pressure"</f>
        <v>Channel Pressure</v>
      </c>
    </row>
    <row r="11997" spans="1:4" x14ac:dyDescent="0.2">
      <c r="A11997" t="str">
        <f>"11996"</f>
        <v>11996</v>
      </c>
      <c r="B11997" t="str">
        <f>"0.25"</f>
        <v>0.25</v>
      </c>
      <c r="C11997" t="str">
        <f>"19"</f>
        <v>19</v>
      </c>
      <c r="D11997" t="str">
        <f>"True Loves"</f>
        <v>True Loves</v>
      </c>
    </row>
    <row r="11998" spans="1:4" x14ac:dyDescent="0.2">
      <c r="A11998" t="str">
        <f>"11997"</f>
        <v>11997</v>
      </c>
      <c r="B11998" t="str">
        <f>"0.62"</f>
        <v>0.62</v>
      </c>
      <c r="C11998" t="str">
        <f>"30"</f>
        <v>30</v>
      </c>
      <c r="D11998" t="str">
        <f>"W"</f>
        <v>W</v>
      </c>
    </row>
    <row r="11999" spans="1:4" x14ac:dyDescent="0.2">
      <c r="A11999" t="str">
        <f>"11998"</f>
        <v>11998</v>
      </c>
      <c r="B11999" t="str">
        <f>"-0.24"</f>
        <v>-0.24</v>
      </c>
      <c r="C11999" t="str">
        <f>"25"</f>
        <v>25</v>
      </c>
      <c r="D11999" t="str">
        <f>"Blow Your Head Vol. 2: Dave Nada Presents Moombahton"</f>
        <v>Blow Your Head Vol. 2: Dave Nada Presents Moombahton</v>
      </c>
    </row>
    <row r="12000" spans="1:4" x14ac:dyDescent="0.2">
      <c r="A12000" t="str">
        <f>"11999"</f>
        <v>11999</v>
      </c>
      <c r="B12000" t="str">
        <f>"-0.59"</f>
        <v>-0.59</v>
      </c>
      <c r="C12000" t="str">
        <f>"25"</f>
        <v>25</v>
      </c>
      <c r="D12000" t="str">
        <f>"Outbreeding"</f>
        <v>Outbreeding</v>
      </c>
    </row>
    <row r="12001" spans="1:4" x14ac:dyDescent="0.2">
      <c r="A12001" t="str">
        <f>"12000"</f>
        <v>12000</v>
      </c>
      <c r="B12001" t="str">
        <f>"0.71"</f>
        <v>0.71</v>
      </c>
      <c r="C12001" t="str">
        <f>"31"</f>
        <v>31</v>
      </c>
      <c r="D12001" t="str">
        <f>"Sun and Shade"</f>
        <v>Sun and Shade</v>
      </c>
    </row>
    <row r="12002" spans="1:4" x14ac:dyDescent="0.2">
      <c r="A12002" t="str">
        <f>"12001"</f>
        <v>12001</v>
      </c>
      <c r="B12002" t="str">
        <f>"0.54"</f>
        <v>0.54</v>
      </c>
      <c r="C12002" t="str">
        <f>"22"</f>
        <v>22</v>
      </c>
      <c r="D12002" t="str">
        <f>"Lupercalia"</f>
        <v>Lupercalia</v>
      </c>
    </row>
    <row r="12003" spans="1:4" x14ac:dyDescent="0.2">
      <c r="A12003" t="str">
        <f>"12002"</f>
        <v>12002</v>
      </c>
      <c r="B12003" t="str">
        <f>"0.06"</f>
        <v>0.06</v>
      </c>
      <c r="C12003" t="str">
        <f>"18"</f>
        <v>18</v>
      </c>
      <c r="D12003" t="str">
        <f>"Bury Me in My Rings"</f>
        <v>Bury Me in My Rings</v>
      </c>
    </row>
    <row r="12004" spans="1:4" x14ac:dyDescent="0.2">
      <c r="A12004" t="str">
        <f>"12003"</f>
        <v>12003</v>
      </c>
      <c r="B12004" t="str">
        <f>"0.23"</f>
        <v>0.23</v>
      </c>
      <c r="C12004" t="str">
        <f>"18"</f>
        <v>18</v>
      </c>
      <c r="D12004" t="str">
        <f>"Pre Serene: Thee Oneironauts"</f>
        <v>Pre Serene: Thee Oneironauts</v>
      </c>
    </row>
    <row r="12005" spans="1:4" x14ac:dyDescent="0.2">
      <c r="A12005" t="str">
        <f>"12004"</f>
        <v>12004</v>
      </c>
      <c r="B12005" t="str">
        <f>"-1.44"</f>
        <v>-1.44</v>
      </c>
      <c r="C12005" t="str">
        <f>"20"</f>
        <v>20</v>
      </c>
      <c r="D12005" t="str">
        <f>"Blvcklvnd Rvdix 66.6 (1991)"</f>
        <v>Blvcklvnd Rvdix 66.6 (1991)</v>
      </c>
    </row>
    <row r="12006" spans="1:4" x14ac:dyDescent="0.2">
      <c r="A12006" t="str">
        <f>"12005"</f>
        <v>12005</v>
      </c>
      <c r="B12006" t="str">
        <f>"0.24"</f>
        <v>0.24</v>
      </c>
      <c r="C12006" t="str">
        <f>"34"</f>
        <v>34</v>
      </c>
      <c r="D12006" t="str">
        <f>"Codes and Keys"</f>
        <v>Codes and Keys</v>
      </c>
    </row>
    <row r="12007" spans="1:4" x14ac:dyDescent="0.2">
      <c r="A12007" t="str">
        <f>"12006"</f>
        <v>12006</v>
      </c>
      <c r="B12007" t="str">
        <f>"1.38"</f>
        <v>1.38</v>
      </c>
      <c r="C12007" t="str">
        <f>"29"</f>
        <v>29</v>
      </c>
      <c r="D12007" t="str">
        <f>"Ukulele Songs"</f>
        <v>Ukulele Songs</v>
      </c>
    </row>
    <row r="12008" spans="1:4" x14ac:dyDescent="0.2">
      <c r="A12008" t="str">
        <f>"12007"</f>
        <v>12007</v>
      </c>
      <c r="B12008" t="str">
        <f>"0.15"</f>
        <v>0.15</v>
      </c>
      <c r="C12008" t="str">
        <f>"24"</f>
        <v>24</v>
      </c>
      <c r="D12008" t="str">
        <f>"Echolocations EP"</f>
        <v>Echolocations EP</v>
      </c>
    </row>
    <row r="12009" spans="1:4" x14ac:dyDescent="0.2">
      <c r="A12009" t="str">
        <f>"12008"</f>
        <v>12008</v>
      </c>
      <c r="B12009" t="str">
        <f>"0.89"</f>
        <v>0.89</v>
      </c>
      <c r="C12009" t="str">
        <f>"31"</f>
        <v>31</v>
      </c>
      <c r="D12009" t="str">
        <f>"Zayna Jumma"</f>
        <v>Zayna Jumma</v>
      </c>
    </row>
    <row r="12010" spans="1:4" x14ac:dyDescent="0.2">
      <c r="A12010" t="str">
        <f>"12009"</f>
        <v>12009</v>
      </c>
      <c r="B12010" t="str">
        <f>"0.13"</f>
        <v>0.13</v>
      </c>
      <c r="C12010" t="str">
        <f>"19"</f>
        <v>19</v>
      </c>
      <c r="D12010" t="str">
        <f>"Bachelorette"</f>
        <v>Bachelorette</v>
      </c>
    </row>
    <row r="12011" spans="1:4" x14ac:dyDescent="0.2">
      <c r="A12011" t="str">
        <f>"12010"</f>
        <v>12010</v>
      </c>
      <c r="B12011" t="str">
        <f>"-0.17"</f>
        <v>-0.17</v>
      </c>
      <c r="C12011" t="str">
        <f>"20"</f>
        <v>20</v>
      </c>
      <c r="D12011" t="str">
        <f>"Circuital"</f>
        <v>Circuital</v>
      </c>
    </row>
    <row r="12012" spans="1:4" x14ac:dyDescent="0.2">
      <c r="A12012" t="str">
        <f>"12011"</f>
        <v>12011</v>
      </c>
      <c r="B12012" t="str">
        <f>"-0.13"</f>
        <v>-0.13</v>
      </c>
      <c r="C12012" t="str">
        <f>"21"</f>
        <v>21</v>
      </c>
      <c r="D12012" t="str">
        <f>"What Did You Expect From the Vaccines?"</f>
        <v>What Did You Expect From the Vaccines?</v>
      </c>
    </row>
    <row r="12013" spans="1:4" x14ac:dyDescent="0.2">
      <c r="A12013" t="str">
        <f>"12012"</f>
        <v>12012</v>
      </c>
      <c r="B12013" t="str">
        <f>"0.55"</f>
        <v>0.55</v>
      </c>
      <c r="C12013" t="str">
        <f>"23"</f>
        <v>23</v>
      </c>
      <c r="D12013" t="str">
        <f>"Hungry Mother Blues"</f>
        <v>Hungry Mother Blues</v>
      </c>
    </row>
    <row r="12014" spans="1:4" x14ac:dyDescent="0.2">
      <c r="A12014" t="str">
        <f>"12013"</f>
        <v>12013</v>
      </c>
      <c r="B12014" t="str">
        <f>"-0.82"</f>
        <v>-0.82</v>
      </c>
      <c r="C12014" t="str">
        <f>"30"</f>
        <v>30</v>
      </c>
      <c r="D12014" t="str">
        <f>"Everything's Getting Older"</f>
        <v>Everything's Getting Older</v>
      </c>
    </row>
    <row r="12015" spans="1:4" x14ac:dyDescent="0.2">
      <c r="A12015" t="str">
        <f>"12014"</f>
        <v>12014</v>
      </c>
      <c r="B12015" t="str">
        <f>"-0.03"</f>
        <v>-0.03</v>
      </c>
      <c r="C12015" t="str">
        <f>"19"</f>
        <v>19</v>
      </c>
      <c r="D12015" t="str">
        <f>"Charade Is Gold"</f>
        <v>Charade Is Gold</v>
      </c>
    </row>
    <row r="12016" spans="1:4" x14ac:dyDescent="0.2">
      <c r="A12016" t="str">
        <f>"12015"</f>
        <v>12015</v>
      </c>
      <c r="B12016" t="str">
        <f>"-0.15"</f>
        <v>-0.15</v>
      </c>
      <c r="C12016" t="str">
        <f>"29"</f>
        <v>29</v>
      </c>
      <c r="D12016" t="str">
        <f>"Ideas For Songs"</f>
        <v>Ideas For Songs</v>
      </c>
    </row>
    <row r="12017" spans="1:4" x14ac:dyDescent="0.2">
      <c r="A12017" t="str">
        <f>"12016"</f>
        <v>12016</v>
      </c>
      <c r="B12017" t="str">
        <f>"0.76"</f>
        <v>0.76</v>
      </c>
      <c r="C12017" t="str">
        <f>"35"</f>
        <v>35</v>
      </c>
      <c r="D12017" t="str">
        <f>"Super Mom"</f>
        <v>Super Mom</v>
      </c>
    </row>
    <row r="12018" spans="1:4" x14ac:dyDescent="0.2">
      <c r="A12018" t="str">
        <f>"12017"</f>
        <v>12017</v>
      </c>
      <c r="B12018" t="str">
        <f>"0.43"</f>
        <v>0.43</v>
      </c>
      <c r="C12018" t="str">
        <f>"24"</f>
        <v>24</v>
      </c>
      <c r="D12018" t="str">
        <f>"Arghiledes"</f>
        <v>Arghiledes</v>
      </c>
    </row>
    <row r="12019" spans="1:4" x14ac:dyDescent="0.2">
      <c r="A12019" t="str">
        <f>"12018"</f>
        <v>12018</v>
      </c>
      <c r="B12019" t="str">
        <f>"0.15"</f>
        <v>0.15</v>
      </c>
      <c r="C12019" t="str">
        <f>"19"</f>
        <v>19</v>
      </c>
      <c r="D12019" t="str">
        <f>"Last"</f>
        <v>Last</v>
      </c>
    </row>
    <row r="12020" spans="1:4" x14ac:dyDescent="0.2">
      <c r="A12020" t="str">
        <f>"12019"</f>
        <v>12019</v>
      </c>
      <c r="B12020" t="str">
        <f>"0.05"</f>
        <v>0.05</v>
      </c>
      <c r="C12020" t="str">
        <f>"20"</f>
        <v>20</v>
      </c>
      <c r="D12020" t="str">
        <f>"Simple Math"</f>
        <v>Simple Math</v>
      </c>
    </row>
    <row r="12021" spans="1:4" x14ac:dyDescent="0.2">
      <c r="A12021" t="str">
        <f>"12020"</f>
        <v>12020</v>
      </c>
      <c r="B12021" t="str">
        <f>"-0.51"</f>
        <v>-0.51</v>
      </c>
      <c r="C12021" t="str">
        <f>"40"</f>
        <v>40</v>
      </c>
      <c r="D12021" t="str">
        <f>"Teenage Hate"</f>
        <v>Teenage Hate</v>
      </c>
    </row>
    <row r="12022" spans="1:4" x14ac:dyDescent="0.2">
      <c r="A12022" t="str">
        <f>"12021"</f>
        <v>12021</v>
      </c>
      <c r="B12022" t="str">
        <f>"-0.29"</f>
        <v>-0.29</v>
      </c>
      <c r="C12022" t="str">
        <f>"44"</f>
        <v>44</v>
      </c>
      <c r="D12022" t="s">
        <v>359</v>
      </c>
    </row>
    <row r="12023" spans="1:4" x14ac:dyDescent="0.2">
      <c r="A12023" t="str">
        <f>"12022"</f>
        <v>12022</v>
      </c>
      <c r="B12023" t="str">
        <f>"0.25"</f>
        <v>0.25</v>
      </c>
      <c r="C12023" t="str">
        <f>"24"</f>
        <v>24</v>
      </c>
      <c r="D12023" t="str">
        <f>"People Changes"</f>
        <v>People Changes</v>
      </c>
    </row>
    <row r="12024" spans="1:4" x14ac:dyDescent="0.2">
      <c r="A12024" t="str">
        <f>"12023"</f>
        <v>12023</v>
      </c>
      <c r="B12024" t="str">
        <f>"-0.42"</f>
        <v>-0.42</v>
      </c>
      <c r="C12024" t="str">
        <f>"28"</f>
        <v>28</v>
      </c>
      <c r="D12024" t="str">
        <f>"Future Accidents"</f>
        <v>Future Accidents</v>
      </c>
    </row>
    <row r="12025" spans="1:4" x14ac:dyDescent="0.2">
      <c r="A12025" t="str">
        <f>"12024"</f>
        <v>12024</v>
      </c>
      <c r="B12025" t="str">
        <f>"1.13"</f>
        <v>1.13</v>
      </c>
      <c r="C12025" t="str">
        <f>"24"</f>
        <v>24</v>
      </c>
      <c r="D12025" t="str">
        <f>"Brave Irene EP"</f>
        <v>Brave Irene EP</v>
      </c>
    </row>
    <row r="12026" spans="1:4" x14ac:dyDescent="0.2">
      <c r="A12026" t="str">
        <f>"12025"</f>
        <v>12025</v>
      </c>
      <c r="B12026" t="str">
        <f>"0.91"</f>
        <v>0.91</v>
      </c>
      <c r="C12026" t="str">
        <f>"33"</f>
        <v>33</v>
      </c>
      <c r="D12026" t="str">
        <f>"Let Love In"</f>
        <v>Let Love In</v>
      </c>
    </row>
    <row r="12027" spans="1:4" x14ac:dyDescent="0.2">
      <c r="A12027" t="str">
        <f>"12026"</f>
        <v>12026</v>
      </c>
      <c r="B12027" t="str">
        <f>"0.75"</f>
        <v>0.75</v>
      </c>
      <c r="C12027" t="str">
        <f>"20"</f>
        <v>20</v>
      </c>
      <c r="D12027" t="str">
        <f>"Pala"</f>
        <v>Pala</v>
      </c>
    </row>
    <row r="12028" spans="1:4" x14ac:dyDescent="0.2">
      <c r="A12028" t="str">
        <f>"12027"</f>
        <v>12027</v>
      </c>
      <c r="B12028" t="str">
        <f>"-1.33"</f>
        <v>-1.33</v>
      </c>
      <c r="C12028" t="str">
        <f>"24"</f>
        <v>24</v>
      </c>
      <c r="D12028" t="str">
        <f>"Black Earth"</f>
        <v>Black Earth</v>
      </c>
    </row>
    <row r="12029" spans="1:4" x14ac:dyDescent="0.2">
      <c r="A12029" t="str">
        <f>"12028"</f>
        <v>12028</v>
      </c>
      <c r="B12029" t="str">
        <f>"0.25"</f>
        <v>0.25</v>
      </c>
      <c r="C12029" t="str">
        <f>"24"</f>
        <v>24</v>
      </c>
      <c r="D12029" t="str">
        <f>"Fever"</f>
        <v>Fever</v>
      </c>
    </row>
    <row r="12030" spans="1:4" x14ac:dyDescent="0.2">
      <c r="A12030" t="str">
        <f>"12029"</f>
        <v>12029</v>
      </c>
      <c r="B12030" t="str">
        <f>"-0.02"</f>
        <v>-0.02</v>
      </c>
      <c r="C12030" t="str">
        <f>"28"</f>
        <v>28</v>
      </c>
      <c r="D12030" t="str">
        <f>"Blue Suicide"</f>
        <v>Blue Suicide</v>
      </c>
    </row>
    <row r="12031" spans="1:4" x14ac:dyDescent="0.2">
      <c r="A12031" t="str">
        <f>"12030"</f>
        <v>12030</v>
      </c>
      <c r="B12031" t="str">
        <f>"0.62"</f>
        <v>0.62</v>
      </c>
      <c r="C12031" t="str">
        <f>"34"</f>
        <v>34</v>
      </c>
      <c r="D12031" t="str">
        <f>"Demolished Thoughts"</f>
        <v>Demolished Thoughts</v>
      </c>
    </row>
    <row r="12032" spans="1:4" x14ac:dyDescent="0.2">
      <c r="A12032" t="str">
        <f>"12031"</f>
        <v>12031</v>
      </c>
      <c r="B12032" t="str">
        <f>"1.43"</f>
        <v>1.43</v>
      </c>
      <c r="C12032" t="str">
        <f>"24"</f>
        <v>24</v>
      </c>
      <c r="D12032" t="str">
        <f>"Alegrías"</f>
        <v>Alegrías</v>
      </c>
    </row>
    <row r="12033" spans="1:4" x14ac:dyDescent="0.2">
      <c r="A12033" t="str">
        <f>"12032"</f>
        <v>12032</v>
      </c>
      <c r="B12033" t="str">
        <f>"2.11"</f>
        <v>2.11</v>
      </c>
      <c r="C12033" t="str">
        <f>"25"</f>
        <v>25</v>
      </c>
      <c r="D12033" t="str">
        <f>"It's a Corporate World"</f>
        <v>It's a Corporate World</v>
      </c>
    </row>
    <row r="12034" spans="1:4" x14ac:dyDescent="0.2">
      <c r="A12034" t="str">
        <f>"12033"</f>
        <v>12033</v>
      </c>
      <c r="B12034" t="str">
        <f>"0.2"</f>
        <v>0.2</v>
      </c>
      <c r="C12034" t="str">
        <f>"24"</f>
        <v>24</v>
      </c>
      <c r="D12034" t="str">
        <f>"Noir"</f>
        <v>Noir</v>
      </c>
    </row>
    <row r="12035" spans="1:4" x14ac:dyDescent="0.2">
      <c r="A12035" t="str">
        <f>"12034"</f>
        <v>12034</v>
      </c>
      <c r="B12035" t="str">
        <f>"0.07"</f>
        <v>0.07</v>
      </c>
      <c r="C12035" t="str">
        <f>"53"</f>
        <v>53</v>
      </c>
      <c r="D12035" t="s">
        <v>360</v>
      </c>
    </row>
    <row r="12036" spans="1:4" x14ac:dyDescent="0.2">
      <c r="A12036" t="str">
        <f>"12035"</f>
        <v>12035</v>
      </c>
      <c r="B12036" t="str">
        <f>"0.85"</f>
        <v>0.85</v>
      </c>
      <c r="C12036" t="str">
        <f>"24"</f>
        <v>24</v>
      </c>
      <c r="D12036" t="str">
        <f>"Brilliant! Tragic!"</f>
        <v>Brilliant! Tragic!</v>
      </c>
    </row>
    <row r="12037" spans="1:4" x14ac:dyDescent="0.2">
      <c r="A12037" t="str">
        <f>"12036"</f>
        <v>12036</v>
      </c>
      <c r="B12037" t="str">
        <f>"0.9"</f>
        <v>0.9</v>
      </c>
      <c r="C12037" t="str">
        <f>"25"</f>
        <v>25</v>
      </c>
      <c r="D12037" t="str">
        <f>"Casablanca Nights"</f>
        <v>Casablanca Nights</v>
      </c>
    </row>
    <row r="12038" spans="1:4" x14ac:dyDescent="0.2">
      <c r="A12038" t="str">
        <f>"12037"</f>
        <v>12037</v>
      </c>
      <c r="B12038" t="str">
        <f>"0.28"</f>
        <v>0.28</v>
      </c>
      <c r="C12038" t="str">
        <f>"33"</f>
        <v>33</v>
      </c>
      <c r="D12038" t="str">
        <f>"Le Secret EP"</f>
        <v>Le Secret EP</v>
      </c>
    </row>
    <row r="12039" spans="1:4" x14ac:dyDescent="0.2">
      <c r="A12039" t="str">
        <f>"12038"</f>
        <v>12038</v>
      </c>
      <c r="B12039" t="str">
        <f>"0.11"</f>
        <v>0.11</v>
      </c>
      <c r="C12039" t="str">
        <f>"22"</f>
        <v>22</v>
      </c>
      <c r="D12039" t="str">
        <f>"Confetti"</f>
        <v>Confetti</v>
      </c>
    </row>
    <row r="12040" spans="1:4" x14ac:dyDescent="0.2">
      <c r="A12040" t="str">
        <f>"12039"</f>
        <v>12039</v>
      </c>
      <c r="B12040" t="str">
        <f>"0.31"</f>
        <v>0.31</v>
      </c>
      <c r="C12040" t="str">
        <f>"15"</f>
        <v>15</v>
      </c>
      <c r="D12040" t="str">
        <f>"In Blank"</f>
        <v>In Blank</v>
      </c>
    </row>
    <row r="12041" spans="1:4" x14ac:dyDescent="0.2">
      <c r="A12041" t="str">
        <f>"12040"</f>
        <v>12040</v>
      </c>
      <c r="B12041" t="str">
        <f>"0.1"</f>
        <v>0.1</v>
      </c>
      <c r="C12041" t="str">
        <f>"45"</f>
        <v>45</v>
      </c>
      <c r="D12041" t="str">
        <f>"Attention Please"</f>
        <v>Attention Please</v>
      </c>
    </row>
    <row r="12042" spans="1:4" x14ac:dyDescent="0.2">
      <c r="A12042" t="str">
        <f>"12041"</f>
        <v>12041</v>
      </c>
      <c r="B12042" t="str">
        <f>"0.02"</f>
        <v>0.02</v>
      </c>
      <c r="C12042" t="str">
        <f>"19"</f>
        <v>19</v>
      </c>
      <c r="D12042" t="str">
        <f>"Nursing Home"</f>
        <v>Nursing Home</v>
      </c>
    </row>
    <row r="12043" spans="1:4" x14ac:dyDescent="0.2">
      <c r="A12043" t="str">
        <f>"12042"</f>
        <v>12042</v>
      </c>
      <c r="B12043" t="str">
        <f>"0.95"</f>
        <v>0.95</v>
      </c>
      <c r="C12043" t="str">
        <f>"20"</f>
        <v>20</v>
      </c>
      <c r="D12043" t="str">
        <f>"We Are the Champions"</f>
        <v>We Are the Champions</v>
      </c>
    </row>
    <row r="12044" spans="1:4" x14ac:dyDescent="0.2">
      <c r="A12044" t="str">
        <f>"12043"</f>
        <v>12043</v>
      </c>
      <c r="B12044" t="str">
        <f>"1.2"</f>
        <v>1.2</v>
      </c>
      <c r="C12044" t="str">
        <f>"26"</f>
        <v>26</v>
      </c>
      <c r="D12044" t="str">
        <f>"Strange Hearts"</f>
        <v>Strange Hearts</v>
      </c>
    </row>
    <row r="12045" spans="1:4" x14ac:dyDescent="0.2">
      <c r="A12045" t="str">
        <f>"12044"</f>
        <v>12044</v>
      </c>
      <c r="B12045" t="str">
        <f>"-0.28"</f>
        <v>-0.28</v>
      </c>
      <c r="C12045" t="str">
        <f>"23"</f>
        <v>23</v>
      </c>
      <c r="D12045" t="str">
        <f>"Grateful to Shred"</f>
        <v>Grateful to Shred</v>
      </c>
    </row>
    <row r="12046" spans="1:4" x14ac:dyDescent="0.2">
      <c r="A12046" t="str">
        <f>"12045"</f>
        <v>12045</v>
      </c>
      <c r="B12046" t="str">
        <f>"-0.38"</f>
        <v>-0.38</v>
      </c>
      <c r="C12046" t="str">
        <f>"47"</f>
        <v>47</v>
      </c>
      <c r="D12046" t="str">
        <f>"Director's Cut"</f>
        <v>Director's Cut</v>
      </c>
    </row>
    <row r="12047" spans="1:4" x14ac:dyDescent="0.2">
      <c r="A12047" t="str">
        <f>"12046"</f>
        <v>12046</v>
      </c>
      <c r="B12047" t="str">
        <f>"-0.54"</f>
        <v>-0.54</v>
      </c>
      <c r="C12047" t="str">
        <f>"28"</f>
        <v>28</v>
      </c>
      <c r="D12047" t="str">
        <f>"Her Favorite Colo(u)r"</f>
        <v>Her Favorite Colo(u)r</v>
      </c>
    </row>
    <row r="12048" spans="1:4" x14ac:dyDescent="0.2">
      <c r="A12048" t="str">
        <f>"12047"</f>
        <v>12047</v>
      </c>
      <c r="B12048" t="str">
        <f>"-0.38"</f>
        <v>-0.38</v>
      </c>
      <c r="C12048" t="str">
        <f>"41"</f>
        <v>41</v>
      </c>
      <c r="D12048" t="str">
        <f>"Passed Me By"</f>
        <v>Passed Me By</v>
      </c>
    </row>
    <row r="12049" spans="1:4" x14ac:dyDescent="0.2">
      <c r="A12049" t="str">
        <f>"12048"</f>
        <v>12048</v>
      </c>
      <c r="B12049" t="str">
        <f>"0"</f>
        <v>0</v>
      </c>
      <c r="C12049" t="str">
        <f>"26"</f>
        <v>26</v>
      </c>
      <c r="D12049" t="str">
        <f>"Excerpts"</f>
        <v>Excerpts</v>
      </c>
    </row>
    <row r="12050" spans="1:4" x14ac:dyDescent="0.2">
      <c r="A12050" t="str">
        <f>"12049"</f>
        <v>12049</v>
      </c>
      <c r="B12050" t="str">
        <f>"0.61"</f>
        <v>0.61</v>
      </c>
      <c r="C12050" t="str">
        <f>"33"</f>
        <v>33</v>
      </c>
      <c r="D12050" t="str">
        <f>"Darkbloom EP"</f>
        <v>Darkbloom EP</v>
      </c>
    </row>
    <row r="12051" spans="1:4" x14ac:dyDescent="0.2">
      <c r="A12051" t="str">
        <f>"12050"</f>
        <v>12050</v>
      </c>
      <c r="B12051" t="str">
        <f>"-1.09"</f>
        <v>-1.09</v>
      </c>
      <c r="C12051" t="str">
        <f>"36"</f>
        <v>36</v>
      </c>
      <c r="D12051" t="str">
        <f>"Turtleneck &amp; Chain"</f>
        <v>Turtleneck &amp; Chain</v>
      </c>
    </row>
    <row r="12052" spans="1:4" x14ac:dyDescent="0.2">
      <c r="A12052" t="str">
        <f>"12051"</f>
        <v>12051</v>
      </c>
      <c r="B12052" t="str">
        <f>"-1.05"</f>
        <v>-1.05</v>
      </c>
      <c r="C12052" t="str">
        <f>"27"</f>
        <v>27</v>
      </c>
      <c r="D12052" t="str">
        <f>"Rock &amp; Roll Submarine"</f>
        <v>Rock &amp; Roll Submarine</v>
      </c>
    </row>
    <row r="12053" spans="1:4" x14ac:dyDescent="0.2">
      <c r="A12053" t="str">
        <f>"12052"</f>
        <v>12052</v>
      </c>
      <c r="B12053" t="str">
        <f>"1.8"</f>
        <v>1.8</v>
      </c>
      <c r="C12053" t="str">
        <f>"24"</f>
        <v>24</v>
      </c>
      <c r="D12053" t="str">
        <f>"Street of the Love of Days"</f>
        <v>Street of the Love of Days</v>
      </c>
    </row>
    <row r="12054" spans="1:4" x14ac:dyDescent="0.2">
      <c r="A12054" t="str">
        <f>"12053"</f>
        <v>12053</v>
      </c>
      <c r="B12054" t="str">
        <f>"-0.3"</f>
        <v>-0.3</v>
      </c>
      <c r="C12054" t="str">
        <f>"22"</f>
        <v>22</v>
      </c>
      <c r="D12054" t="str">
        <f>"Collected By Itself: 2006 to 2009"</f>
        <v>Collected By Itself: 2006 to 2009</v>
      </c>
    </row>
    <row r="12055" spans="1:4" x14ac:dyDescent="0.2">
      <c r="A12055" t="str">
        <f>"12054"</f>
        <v>12054</v>
      </c>
      <c r="B12055" t="str">
        <f>"0.08"</f>
        <v>0.08</v>
      </c>
      <c r="C12055" t="str">
        <f>"22"</f>
        <v>22</v>
      </c>
      <c r="D12055" t="str">
        <f>"Go With Me"</f>
        <v>Go With Me</v>
      </c>
    </row>
    <row r="12056" spans="1:4" x14ac:dyDescent="0.2">
      <c r="A12056" t="str">
        <f>"12055"</f>
        <v>12055</v>
      </c>
      <c r="B12056" t="str">
        <f>"0.17"</f>
        <v>0.17</v>
      </c>
      <c r="C12056" t="str">
        <f>"25"</f>
        <v>25</v>
      </c>
      <c r="D12056" t="str">
        <f>"Own Your Ghost"</f>
        <v>Own Your Ghost</v>
      </c>
    </row>
    <row r="12057" spans="1:4" x14ac:dyDescent="0.2">
      <c r="A12057" t="str">
        <f>"12056"</f>
        <v>12056</v>
      </c>
      <c r="B12057" t="str">
        <f>"-0.69"</f>
        <v>-0.69</v>
      </c>
      <c r="C12057" t="str">
        <f>"24"</f>
        <v>24</v>
      </c>
      <c r="D12057" t="str">
        <f>"Roadkill Rising... The Bootleg Collection 1977-2009"</f>
        <v>Roadkill Rising... The Bootleg Collection 1977-2009</v>
      </c>
    </row>
    <row r="12058" spans="1:4" x14ac:dyDescent="0.2">
      <c r="A12058" t="str">
        <f>"12057"</f>
        <v>12057</v>
      </c>
      <c r="B12058" t="str">
        <f>"1.21"</f>
        <v>1.21</v>
      </c>
      <c r="C12058" t="str">
        <f>"29"</f>
        <v>29</v>
      </c>
      <c r="D12058" t="str">
        <f>"The Double Cross"</f>
        <v>The Double Cross</v>
      </c>
    </row>
    <row r="12059" spans="1:4" x14ac:dyDescent="0.2">
      <c r="A12059" t="str">
        <f>"12058"</f>
        <v>12058</v>
      </c>
      <c r="B12059" t="str">
        <f>"-0.26"</f>
        <v>-0.26</v>
      </c>
      <c r="C12059" t="str">
        <f>"31"</f>
        <v>31</v>
      </c>
      <c r="D12059" t="str">
        <f>"Laced"</f>
        <v>Laced</v>
      </c>
    </row>
    <row r="12060" spans="1:4" x14ac:dyDescent="0.2">
      <c r="A12060" t="str">
        <f>"12059"</f>
        <v>12059</v>
      </c>
      <c r="B12060" t="str">
        <f>"-0.28"</f>
        <v>-0.28</v>
      </c>
      <c r="C12060" t="str">
        <f>"21"</f>
        <v>21</v>
      </c>
      <c r="D12060" t="str">
        <f>"Innings"</f>
        <v>Innings</v>
      </c>
    </row>
    <row r="12061" spans="1:4" x14ac:dyDescent="0.2">
      <c r="A12061" t="str">
        <f>"12060"</f>
        <v>12060</v>
      </c>
      <c r="B12061" t="str">
        <f>"-0.68"</f>
        <v>-0.68</v>
      </c>
      <c r="C12061" t="str">
        <f>"21"</f>
        <v>21</v>
      </c>
      <c r="D12061" t="str">
        <f>"Rome"</f>
        <v>Rome</v>
      </c>
    </row>
    <row r="12062" spans="1:4" x14ac:dyDescent="0.2">
      <c r="A12062" t="str">
        <f>"12061"</f>
        <v>12061</v>
      </c>
      <c r="B12062" t="str">
        <f>"1.06"</f>
        <v>1.06</v>
      </c>
      <c r="C12062" t="str">
        <f>"19"</f>
        <v>19</v>
      </c>
      <c r="D12062" t="str">
        <f>"93 Million Miles"</f>
        <v>93 Million Miles</v>
      </c>
    </row>
    <row r="12063" spans="1:4" x14ac:dyDescent="0.2">
      <c r="A12063" t="str">
        <f>"12062"</f>
        <v>12062</v>
      </c>
      <c r="B12063" t="str">
        <f>"-0.65"</f>
        <v>-0.65</v>
      </c>
      <c r="C12063" t="str">
        <f>"37"</f>
        <v>37</v>
      </c>
      <c r="D12063" t="str">
        <f>"Destroyed"</f>
        <v>Destroyed</v>
      </c>
    </row>
    <row r="12064" spans="1:4" x14ac:dyDescent="0.2">
      <c r="A12064" t="str">
        <f>"12063"</f>
        <v>12063</v>
      </c>
      <c r="B12064" t="str">
        <f>"-0.33"</f>
        <v>-0.33</v>
      </c>
      <c r="C12064" t="str">
        <f>"35"</f>
        <v>35</v>
      </c>
      <c r="D12064" t="str">
        <f>"Feel It Break"</f>
        <v>Feel It Break</v>
      </c>
    </row>
    <row r="12065" spans="1:4" x14ac:dyDescent="0.2">
      <c r="A12065" t="str">
        <f>"12064"</f>
        <v>12064</v>
      </c>
      <c r="B12065" t="str">
        <f>"0.8"</f>
        <v>0.8</v>
      </c>
      <c r="C12065" t="str">
        <f>"23"</f>
        <v>23</v>
      </c>
      <c r="D12065" t="str">
        <f>"Diaper Island"</f>
        <v>Diaper Island</v>
      </c>
    </row>
    <row r="12066" spans="1:4" x14ac:dyDescent="0.2">
      <c r="A12066" t="str">
        <f>"12065"</f>
        <v>12065</v>
      </c>
      <c r="B12066" t="str">
        <f>"0.82"</f>
        <v>0.82</v>
      </c>
      <c r="C12066" t="str">
        <f>"34"</f>
        <v>34</v>
      </c>
      <c r="D12066" t="str">
        <f>"Smother"</f>
        <v>Smother</v>
      </c>
    </row>
    <row r="12067" spans="1:4" x14ac:dyDescent="0.2">
      <c r="A12067" t="str">
        <f>"12066"</f>
        <v>12066</v>
      </c>
      <c r="B12067" t="str">
        <f>"0.27"</f>
        <v>0.27</v>
      </c>
      <c r="C12067" t="str">
        <f>"38"</f>
        <v>38</v>
      </c>
      <c r="D12067" t="str">
        <f>"Aesthethica"</f>
        <v>Aesthethica</v>
      </c>
    </row>
    <row r="12068" spans="1:4" x14ac:dyDescent="0.2">
      <c r="A12068" t="str">
        <f>"12067"</f>
        <v>12067</v>
      </c>
      <c r="B12068" t="str">
        <f>"-1.71"</f>
        <v>-1.71</v>
      </c>
      <c r="C12068" t="str">
        <f>"24"</f>
        <v>24</v>
      </c>
      <c r="D12068" t="s">
        <v>361</v>
      </c>
    </row>
    <row r="12069" spans="1:4" x14ac:dyDescent="0.2">
      <c r="A12069" t="str">
        <f>"12068"</f>
        <v>12068</v>
      </c>
      <c r="B12069" t="str">
        <f>"-0.18"</f>
        <v>-0.18</v>
      </c>
      <c r="C12069" t="str">
        <f>"27"</f>
        <v>27</v>
      </c>
      <c r="D12069" t="str">
        <f>"Telesterion"</f>
        <v>Telesterion</v>
      </c>
    </row>
    <row r="12070" spans="1:4" x14ac:dyDescent="0.2">
      <c r="A12070" t="str">
        <f>"12069"</f>
        <v>12069</v>
      </c>
      <c r="B12070" t="str">
        <f>"-1.21"</f>
        <v>-1.21</v>
      </c>
      <c r="C12070" t="str">
        <f>"21"</f>
        <v>21</v>
      </c>
      <c r="D12070" t="str">
        <f>"Creep On Creepin' On"</f>
        <v>Creep On Creepin' On</v>
      </c>
    </row>
    <row r="12071" spans="1:4" x14ac:dyDescent="0.2">
      <c r="A12071" t="str">
        <f>"12070"</f>
        <v>12070</v>
      </c>
      <c r="B12071" t="str">
        <f>"-0.56"</f>
        <v>-0.56</v>
      </c>
      <c r="C12071" t="str">
        <f>"24"</f>
        <v>24</v>
      </c>
      <c r="D12071" t="str">
        <f>"Burst Apart"</f>
        <v>Burst Apart</v>
      </c>
    </row>
    <row r="12072" spans="1:4" x14ac:dyDescent="0.2">
      <c r="A12072" t="str">
        <f>"12071"</f>
        <v>12071</v>
      </c>
      <c r="B12072" t="str">
        <f>"1.17"</f>
        <v>1.17</v>
      </c>
      <c r="C12072" t="str">
        <f>"37"</f>
        <v>37</v>
      </c>
      <c r="D12072" t="str">
        <f>"The Moonlight Butterfly"</f>
        <v>The Moonlight Butterfly</v>
      </c>
    </row>
    <row r="12073" spans="1:4" x14ac:dyDescent="0.2">
      <c r="A12073" t="str">
        <f>"12072"</f>
        <v>12072</v>
      </c>
      <c r="B12073" t="str">
        <f>"-0.05"</f>
        <v>-0.05</v>
      </c>
      <c r="C12073" t="str">
        <f>"21"</f>
        <v>21</v>
      </c>
      <c r="D12073" t="str">
        <f>"The January EP"</f>
        <v>The January EP</v>
      </c>
    </row>
    <row r="12074" spans="1:4" x14ac:dyDescent="0.2">
      <c r="A12074" t="str">
        <f>"12073"</f>
        <v>12073</v>
      </c>
      <c r="B12074" t="str">
        <f>"0.82"</f>
        <v>0.82</v>
      </c>
      <c r="C12074" t="str">
        <f>"31"</f>
        <v>31</v>
      </c>
      <c r="D12074" t="str">
        <f>"A Young Person's Guide to Mark McGuire"</f>
        <v>A Young Person's Guide to Mark McGuire</v>
      </c>
    </row>
    <row r="12075" spans="1:4" x14ac:dyDescent="0.2">
      <c r="A12075" t="str">
        <f>"12074"</f>
        <v>12074</v>
      </c>
      <c r="B12075" t="str">
        <f>"0.25"</f>
        <v>0.25</v>
      </c>
      <c r="C12075" t="str">
        <f>"21"</f>
        <v>21</v>
      </c>
      <c r="D12075" t="str">
        <f>"Sons of Stone"</f>
        <v>Sons of Stone</v>
      </c>
    </row>
    <row r="12076" spans="1:4" x14ac:dyDescent="0.2">
      <c r="A12076" t="str">
        <f>"12075"</f>
        <v>12075</v>
      </c>
      <c r="B12076" t="str">
        <f>"-0.68"</f>
        <v>-0.68</v>
      </c>
      <c r="C12076" t="str">
        <f>"71"</f>
        <v>71</v>
      </c>
      <c r="D12076" t="str">
        <f>"Goblin"</f>
        <v>Goblin</v>
      </c>
    </row>
    <row r="12077" spans="1:4" x14ac:dyDescent="0.2">
      <c r="A12077" t="str">
        <f>"12076"</f>
        <v>12076</v>
      </c>
      <c r="B12077" t="str">
        <f>"-0.02"</f>
        <v>-0.02</v>
      </c>
      <c r="C12077" t="str">
        <f>"33"</f>
        <v>33</v>
      </c>
      <c r="D12077" t="str">
        <f>"Diotima"</f>
        <v>Diotima</v>
      </c>
    </row>
    <row r="12078" spans="1:4" x14ac:dyDescent="0.2">
      <c r="A12078" t="str">
        <f>"12077"</f>
        <v>12077</v>
      </c>
      <c r="B12078" t="str">
        <f>"-0.02"</f>
        <v>-0.02</v>
      </c>
      <c r="C12078" t="str">
        <f>"20"</f>
        <v>20</v>
      </c>
      <c r="D12078" t="str">
        <f>"I'll Never Get Out of This World Alive"</f>
        <v>I'll Never Get Out of This World Alive</v>
      </c>
    </row>
    <row r="12079" spans="1:4" x14ac:dyDescent="0.2">
      <c r="A12079" t="str">
        <f>"12078"</f>
        <v>12078</v>
      </c>
      <c r="B12079" t="str">
        <f>"0.54"</f>
        <v>0.54</v>
      </c>
      <c r="C12079" t="str">
        <f>"25"</f>
        <v>25</v>
      </c>
      <c r="D12079" t="str">
        <f>"Back and 4th"</f>
        <v>Back and 4th</v>
      </c>
    </row>
    <row r="12080" spans="1:4" x14ac:dyDescent="0.2">
      <c r="A12080" t="str">
        <f>"12079"</f>
        <v>12079</v>
      </c>
      <c r="B12080" t="str">
        <f>"0.24"</f>
        <v>0.24</v>
      </c>
      <c r="C12080" t="str">
        <f>"30"</f>
        <v>30</v>
      </c>
      <c r="D12080" t="str">
        <f>"Women's Studies"</f>
        <v>Women's Studies</v>
      </c>
    </row>
    <row r="12081" spans="1:4" x14ac:dyDescent="0.2">
      <c r="A12081" t="str">
        <f>"12080"</f>
        <v>12080</v>
      </c>
      <c r="B12081" t="str">
        <f>"-1.08"</f>
        <v>-1.08</v>
      </c>
      <c r="C12081" t="str">
        <f>"38"</f>
        <v>38</v>
      </c>
      <c r="D12081" t="str">
        <f>"Past Life Martyred Saints"</f>
        <v>Past Life Martyred Saints</v>
      </c>
    </row>
    <row r="12082" spans="1:4" x14ac:dyDescent="0.2">
      <c r="A12082" t="str">
        <f>"12081"</f>
        <v>12081</v>
      </c>
      <c r="B12082" t="str">
        <f>"1.41"</f>
        <v>1.41</v>
      </c>
      <c r="C12082" t="str">
        <f>"16"</f>
        <v>16</v>
      </c>
      <c r="D12082" t="str">
        <f>"Rainforest EP"</f>
        <v>Rainforest EP</v>
      </c>
    </row>
    <row r="12083" spans="1:4" x14ac:dyDescent="0.2">
      <c r="A12083" t="str">
        <f>"12082"</f>
        <v>12082</v>
      </c>
      <c r="B12083" t="str">
        <f>"0.21"</f>
        <v>0.21</v>
      </c>
      <c r="C12083" t="str">
        <f>"22"</f>
        <v>22</v>
      </c>
      <c r="D12083" t="str">
        <f>"Air Museum"</f>
        <v>Air Museum</v>
      </c>
    </row>
    <row r="12084" spans="1:4" x14ac:dyDescent="0.2">
      <c r="A12084" t="str">
        <f>"12083"</f>
        <v>12083</v>
      </c>
      <c r="B12084" t="str">
        <f>"-0.4"</f>
        <v>-0.4</v>
      </c>
      <c r="C12084" t="str">
        <f>"19"</f>
        <v>19</v>
      </c>
      <c r="D12084" t="str">
        <f>"Sketches From the Book of the Dead"</f>
        <v>Sketches From the Book of the Dead</v>
      </c>
    </row>
    <row r="12085" spans="1:4" x14ac:dyDescent="0.2">
      <c r="A12085" t="str">
        <f>"12084"</f>
        <v>12084</v>
      </c>
      <c r="B12085" t="str">
        <f>"-1.68"</f>
        <v>-1.68</v>
      </c>
      <c r="C12085" t="str">
        <f>"28"</f>
        <v>28</v>
      </c>
      <c r="D12085" t="s">
        <v>362</v>
      </c>
    </row>
    <row r="12086" spans="1:4" x14ac:dyDescent="0.2">
      <c r="A12086" t="str">
        <f>"12085"</f>
        <v>12085</v>
      </c>
      <c r="B12086" t="str">
        <f>"0.47"</f>
        <v>0.47</v>
      </c>
      <c r="C12086" t="str">
        <f>"32"</f>
        <v>32</v>
      </c>
      <c r="D12086" t="str">
        <f>"I Am Very Far"</f>
        <v>I Am Very Far</v>
      </c>
    </row>
    <row r="12087" spans="1:4" x14ac:dyDescent="0.2">
      <c r="A12087" t="str">
        <f>"12086"</f>
        <v>12086</v>
      </c>
      <c r="B12087" t="str">
        <f>"0.07"</f>
        <v>0.07</v>
      </c>
      <c r="C12087" t="str">
        <f>"24"</f>
        <v>24</v>
      </c>
      <c r="D12087" t="str">
        <f>"False Beats and True Hearts"</f>
        <v>False Beats and True Hearts</v>
      </c>
    </row>
    <row r="12088" spans="1:4" x14ac:dyDescent="0.2">
      <c r="A12088" t="str">
        <f>"12087"</f>
        <v>12087</v>
      </c>
      <c r="B12088" t="str">
        <f>"0.7"</f>
        <v>0.7</v>
      </c>
      <c r="C12088" t="str">
        <f>"29"</f>
        <v>29</v>
      </c>
      <c r="D12088" t="str">
        <f>"Diorama"</f>
        <v>Diorama</v>
      </c>
    </row>
    <row r="12089" spans="1:4" x14ac:dyDescent="0.2">
      <c r="A12089" t="str">
        <f>"12088"</f>
        <v>12088</v>
      </c>
      <c r="B12089" t="str">
        <f>"1.25"</f>
        <v>1.25</v>
      </c>
      <c r="C12089" t="str">
        <f>"20"</f>
        <v>20</v>
      </c>
      <c r="D12089" t="str">
        <f>"Left By Soft"</f>
        <v>Left By Soft</v>
      </c>
    </row>
    <row r="12090" spans="1:4" x14ac:dyDescent="0.2">
      <c r="A12090" t="str">
        <f>"12089"</f>
        <v>12089</v>
      </c>
      <c r="B12090" t="str">
        <f>"-0.26"</f>
        <v>-0.26</v>
      </c>
      <c r="C12090" t="str">
        <f>"23"</f>
        <v>23</v>
      </c>
      <c r="D12090" t="str">
        <f>"Dead to Me"</f>
        <v>Dead to Me</v>
      </c>
    </row>
    <row r="12091" spans="1:4" x14ac:dyDescent="0.2">
      <c r="A12091" t="str">
        <f>"12090"</f>
        <v>12090</v>
      </c>
      <c r="B12091" t="str">
        <f>"0.43"</f>
        <v>0.43</v>
      </c>
      <c r="C12091" t="str">
        <f>"45"</f>
        <v>45</v>
      </c>
      <c r="D12091" t="str">
        <f>"Eye Contact"</f>
        <v>Eye Contact</v>
      </c>
    </row>
    <row r="12092" spans="1:4" x14ac:dyDescent="0.2">
      <c r="A12092" t="str">
        <f>"12091"</f>
        <v>12091</v>
      </c>
      <c r="B12092" t="str">
        <f>"-0.42"</f>
        <v>-0.42</v>
      </c>
      <c r="C12092" t="str">
        <f>"37"</f>
        <v>37</v>
      </c>
      <c r="D12092" t="str">
        <f>"Ascension"</f>
        <v>Ascension</v>
      </c>
    </row>
    <row r="12093" spans="1:4" x14ac:dyDescent="0.2">
      <c r="A12093" t="str">
        <f>"12092"</f>
        <v>12092</v>
      </c>
      <c r="B12093" t="str">
        <f>"-0.08"</f>
        <v>-0.08</v>
      </c>
      <c r="C12093" t="str">
        <f>"31"</f>
        <v>31</v>
      </c>
      <c r="D12093" t="str">
        <f>"Gunz n' Butta"</f>
        <v>Gunz n' Butta</v>
      </c>
    </row>
    <row r="12094" spans="1:4" x14ac:dyDescent="0.2">
      <c r="A12094" t="str">
        <f>"12093"</f>
        <v>12093</v>
      </c>
      <c r="B12094" t="str">
        <f>"0.42"</f>
        <v>0.42</v>
      </c>
      <c r="C12094" t="str">
        <f>"14"</f>
        <v>14</v>
      </c>
      <c r="D12094" t="str">
        <f>"La Caverne"</f>
        <v>La Caverne</v>
      </c>
    </row>
    <row r="12095" spans="1:4" x14ac:dyDescent="0.2">
      <c r="A12095" t="str">
        <f>"12094"</f>
        <v>12094</v>
      </c>
      <c r="B12095" t="str">
        <f>"-0.44"</f>
        <v>-0.44</v>
      </c>
      <c r="C12095" t="str">
        <f>"19"</f>
        <v>19</v>
      </c>
      <c r="D12095" t="str">
        <f>"Beer in the Breakers"</f>
        <v>Beer in the Breakers</v>
      </c>
    </row>
    <row r="12096" spans="1:4" x14ac:dyDescent="0.2">
      <c r="A12096" t="str">
        <f>"12095"</f>
        <v>12095</v>
      </c>
      <c r="B12096" t="str">
        <f>"0.98"</f>
        <v>0.98</v>
      </c>
      <c r="C12096" t="str">
        <f>"17"</f>
        <v>17</v>
      </c>
      <c r="D12096" t="str">
        <f>"The Perfect Lullaby"</f>
        <v>The Perfect Lullaby</v>
      </c>
    </row>
    <row r="12097" spans="1:4" x14ac:dyDescent="0.2">
      <c r="A12097" t="str">
        <f>"12096"</f>
        <v>12096</v>
      </c>
      <c r="B12097" t="str">
        <f>"0.35"</f>
        <v>0.35</v>
      </c>
      <c r="C12097" t="str">
        <f>"26"</f>
        <v>26</v>
      </c>
      <c r="D12097" t="str">
        <f>"Life Fantastic"</f>
        <v>Life Fantastic</v>
      </c>
    </row>
    <row r="12098" spans="1:4" x14ac:dyDescent="0.2">
      <c r="A12098" t="str">
        <f>"12097"</f>
        <v>12097</v>
      </c>
      <c r="B12098" t="str">
        <f>"0.38"</f>
        <v>0.38</v>
      </c>
      <c r="C12098" t="str">
        <f>"39"</f>
        <v>39</v>
      </c>
      <c r="D12098" t="str">
        <f>"Covert Coup"</f>
        <v>Covert Coup</v>
      </c>
    </row>
    <row r="12099" spans="1:4" x14ac:dyDescent="0.2">
      <c r="A12099" t="str">
        <f>"12098"</f>
        <v>12098</v>
      </c>
      <c r="B12099" t="str">
        <f>"-0.41"</f>
        <v>-0.41</v>
      </c>
      <c r="C12099" t="str">
        <f>"19"</f>
        <v>19</v>
      </c>
      <c r="D12099" t="str">
        <f>"The Deep Field"</f>
        <v>The Deep Field</v>
      </c>
    </row>
    <row r="12100" spans="1:4" x14ac:dyDescent="0.2">
      <c r="A12100" t="str">
        <f>"12099"</f>
        <v>12099</v>
      </c>
      <c r="B12100" t="str">
        <f>"0.67"</f>
        <v>0.67</v>
      </c>
      <c r="C12100" t="str">
        <f>"28"</f>
        <v>28</v>
      </c>
      <c r="D12100" t="str">
        <f>"Flora"</f>
        <v>Flora</v>
      </c>
    </row>
    <row r="12101" spans="1:4" x14ac:dyDescent="0.2">
      <c r="A12101" t="str">
        <f>"12100"</f>
        <v>12100</v>
      </c>
      <c r="B12101" t="str">
        <f>"0.1"</f>
        <v>0.1</v>
      </c>
      <c r="C12101" t="str">
        <f>"32"</f>
        <v>32</v>
      </c>
      <c r="D12101" t="str">
        <f>"Hot Sauce Committee Part Two"</f>
        <v>Hot Sauce Committee Part Two</v>
      </c>
    </row>
    <row r="12102" spans="1:4" x14ac:dyDescent="0.2">
      <c r="A12102" t="str">
        <f>"12101"</f>
        <v>12101</v>
      </c>
      <c r="B12102" t="str">
        <f>"-0.38"</f>
        <v>-0.38</v>
      </c>
      <c r="C12102" t="str">
        <f>"23"</f>
        <v>23</v>
      </c>
      <c r="D12102" t="str">
        <f>"Cat's Eyes"</f>
        <v>Cat's Eyes</v>
      </c>
    </row>
    <row r="12103" spans="1:4" x14ac:dyDescent="0.2">
      <c r="A12103" t="str">
        <f>"12102"</f>
        <v>12102</v>
      </c>
      <c r="B12103" t="str">
        <f>"0.62"</f>
        <v>0.62</v>
      </c>
      <c r="C12103" t="str">
        <f>"29"</f>
        <v>29</v>
      </c>
      <c r="D12103" t="str">
        <f>"Trainsong: Guitar Compositions 1967–2010"</f>
        <v>Trainsong: Guitar Compositions 1967–2010</v>
      </c>
    </row>
    <row r="12104" spans="1:4" x14ac:dyDescent="0.2">
      <c r="A12104" t="str">
        <f>"12103"</f>
        <v>12103</v>
      </c>
      <c r="B12104" t="str">
        <f>"0.85"</f>
        <v>0.85</v>
      </c>
      <c r="C12104" t="str">
        <f>"28"</f>
        <v>28</v>
      </c>
      <c r="D12104" t="str">
        <f>"Deep Politics"</f>
        <v>Deep Politics</v>
      </c>
    </row>
    <row r="12105" spans="1:4" x14ac:dyDescent="0.2">
      <c r="A12105" t="str">
        <f>"12104"</f>
        <v>12104</v>
      </c>
      <c r="B12105" t="str">
        <f>"0.95"</f>
        <v>0.95</v>
      </c>
      <c r="C12105" t="str">
        <f>"27"</f>
        <v>27</v>
      </c>
      <c r="D12105" t="str">
        <f>"Talahomi Way"</f>
        <v>Talahomi Way</v>
      </c>
    </row>
    <row r="12106" spans="1:4" x14ac:dyDescent="0.2">
      <c r="A12106" t="str">
        <f>"12105"</f>
        <v>12105</v>
      </c>
      <c r="B12106" t="str">
        <f>"-0.83"</f>
        <v>-0.83</v>
      </c>
      <c r="C12106" t="str">
        <f>"22"</f>
        <v>22</v>
      </c>
      <c r="D12106" t="str">
        <f>"thecontrollersphere EP"</f>
        <v>thecontrollersphere EP</v>
      </c>
    </row>
    <row r="12107" spans="1:4" x14ac:dyDescent="0.2">
      <c r="A12107" t="str">
        <f>"12106"</f>
        <v>12106</v>
      </c>
      <c r="B12107" t="str">
        <f>"-0.06"</f>
        <v>-0.06</v>
      </c>
      <c r="C12107" t="str">
        <f>"23"</f>
        <v>23</v>
      </c>
      <c r="D12107" t="str">
        <f>"Absence"</f>
        <v>Absence</v>
      </c>
    </row>
    <row r="12108" spans="1:4" x14ac:dyDescent="0.2">
      <c r="A12108" t="str">
        <f>"12107"</f>
        <v>12107</v>
      </c>
      <c r="B12108" t="str">
        <f>"0.54"</f>
        <v>0.54</v>
      </c>
      <c r="C12108" t="str">
        <f>"19"</f>
        <v>19</v>
      </c>
      <c r="D12108" t="str">
        <f>"Broadcast"</f>
        <v>Broadcast</v>
      </c>
    </row>
    <row r="12109" spans="1:4" x14ac:dyDescent="0.2">
      <c r="A12109" t="str">
        <f>"12108"</f>
        <v>12108</v>
      </c>
      <c r="B12109" t="str">
        <f>"-0.65"</f>
        <v>-0.65</v>
      </c>
      <c r="C12109" t="str">
        <f>"23"</f>
        <v>23</v>
      </c>
      <c r="D12109" t="str">
        <f>"The Everything"</f>
        <v>The Everything</v>
      </c>
    </row>
    <row r="12110" spans="1:4" x14ac:dyDescent="0.2">
      <c r="A12110" t="str">
        <f>"12109"</f>
        <v>12109</v>
      </c>
      <c r="B12110" t="str">
        <f>"0.99"</f>
        <v>0.99</v>
      </c>
      <c r="C12110" t="str">
        <f>"21"</f>
        <v>21</v>
      </c>
      <c r="D12110" t="str">
        <f>"Secret Walls EP"</f>
        <v>Secret Walls EP</v>
      </c>
    </row>
    <row r="12111" spans="1:4" x14ac:dyDescent="0.2">
      <c r="A12111" t="str">
        <f>"12110"</f>
        <v>12110</v>
      </c>
      <c r="B12111" t="str">
        <f>"-0.57"</f>
        <v>-0.57</v>
      </c>
      <c r="C12111" t="str">
        <f>"23"</f>
        <v>23</v>
      </c>
      <c r="D12111" t="str">
        <f>"GB City"</f>
        <v>GB City</v>
      </c>
    </row>
    <row r="12112" spans="1:4" x14ac:dyDescent="0.2">
      <c r="A12112" t="str">
        <f>"12111"</f>
        <v>12111</v>
      </c>
      <c r="B12112" t="str">
        <f>"-0.94"</f>
        <v>-0.94</v>
      </c>
      <c r="C12112" t="str">
        <f>"31"</f>
        <v>31</v>
      </c>
      <c r="D12112" t="str">
        <f>"Mass Dream"</f>
        <v>Mass Dream</v>
      </c>
    </row>
    <row r="12113" spans="1:4" x14ac:dyDescent="0.2">
      <c r="A12113" t="str">
        <f>"12112"</f>
        <v>12112</v>
      </c>
      <c r="B12113" t="str">
        <f>"0.5"</f>
        <v>0.5</v>
      </c>
      <c r="C12113" t="str">
        <f>"23"</f>
        <v>23</v>
      </c>
      <c r="D12113" t="str">
        <f>"Earth Grid"</f>
        <v>Earth Grid</v>
      </c>
    </row>
    <row r="12114" spans="1:4" x14ac:dyDescent="0.2">
      <c r="A12114" t="str">
        <f>"12113"</f>
        <v>12113</v>
      </c>
      <c r="B12114" t="str">
        <f>"0.2"</f>
        <v>0.2</v>
      </c>
      <c r="C12114" t="str">
        <f>"39"</f>
        <v>39</v>
      </c>
      <c r="D12114" t="str">
        <f>"Helplessness Blues"</f>
        <v>Helplessness Blues</v>
      </c>
    </row>
    <row r="12115" spans="1:4" x14ac:dyDescent="0.2">
      <c r="A12115" t="str">
        <f>"12114"</f>
        <v>12114</v>
      </c>
      <c r="B12115" t="str">
        <f>"0.75"</f>
        <v>0.75</v>
      </c>
      <c r="C12115" t="str">
        <f>"20"</f>
        <v>20</v>
      </c>
      <c r="D12115" t="str">
        <f>"Adventures in Counter-Culture"</f>
        <v>Adventures in Counter-Culture</v>
      </c>
    </row>
    <row r="12116" spans="1:4" x14ac:dyDescent="0.2">
      <c r="A12116" t="str">
        <f>"12115"</f>
        <v>12115</v>
      </c>
      <c r="B12116" t="str">
        <f>"1.38"</f>
        <v>1.38</v>
      </c>
      <c r="C12116" t="str">
        <f>"13"</f>
        <v>13</v>
      </c>
      <c r="D12116" t="str">
        <f>"James Pants"</f>
        <v>James Pants</v>
      </c>
    </row>
    <row r="12117" spans="1:4" x14ac:dyDescent="0.2">
      <c r="A12117" t="str">
        <f>"12116"</f>
        <v>12116</v>
      </c>
      <c r="B12117" t="str">
        <f>"0.95"</f>
        <v>0.95</v>
      </c>
      <c r="C12117" t="str">
        <f>"25"</f>
        <v>25</v>
      </c>
      <c r="D12117" t="str">
        <f>"Forever Today"</f>
        <v>Forever Today</v>
      </c>
    </row>
    <row r="12118" spans="1:4" x14ac:dyDescent="0.2">
      <c r="A12118" t="str">
        <f>"12117"</f>
        <v>12117</v>
      </c>
      <c r="B12118" t="str">
        <f>"0.12"</f>
        <v>0.12</v>
      </c>
      <c r="C12118" t="str">
        <f>"22"</f>
        <v>22</v>
      </c>
      <c r="D12118" t="str">
        <f>"Knee Deep"</f>
        <v>Knee Deep</v>
      </c>
    </row>
    <row r="12119" spans="1:4" x14ac:dyDescent="0.2">
      <c r="A12119" t="str">
        <f>"12118"</f>
        <v>12118</v>
      </c>
      <c r="B12119" t="str">
        <f>"-0.03"</f>
        <v>-0.03</v>
      </c>
      <c r="C12119" t="str">
        <f>"30"</f>
        <v>30</v>
      </c>
      <c r="D12119" t="str">
        <f>"Dancer Equired"</f>
        <v>Dancer Equired</v>
      </c>
    </row>
    <row r="12120" spans="1:4" x14ac:dyDescent="0.2">
      <c r="A12120" t="str">
        <f>"12119"</f>
        <v>12119</v>
      </c>
      <c r="B12120" t="str">
        <f>"0.43"</f>
        <v>0.43</v>
      </c>
      <c r="C12120" t="str">
        <f>"42"</f>
        <v>42</v>
      </c>
      <c r="D12120" t="str">
        <f>"Best of 00-10"</f>
        <v>Best of 00-10</v>
      </c>
    </row>
    <row r="12121" spans="1:4" x14ac:dyDescent="0.2">
      <c r="A12121" t="str">
        <f>"12120"</f>
        <v>12120</v>
      </c>
      <c r="B12121" t="str">
        <f>"0.84"</f>
        <v>0.84</v>
      </c>
      <c r="C12121" t="str">
        <f>"24"</f>
        <v>24</v>
      </c>
      <c r="D12121" t="str">
        <f>"The Only She Chapters"</f>
        <v>The Only She Chapters</v>
      </c>
    </row>
    <row r="12122" spans="1:4" x14ac:dyDescent="0.2">
      <c r="A12122" t="str">
        <f>"12121"</f>
        <v>12121</v>
      </c>
      <c r="B12122" t="str">
        <f>"0.83"</f>
        <v>0.83</v>
      </c>
      <c r="C12122" t="str">
        <f>"29"</f>
        <v>29</v>
      </c>
      <c r="D12122" t="str">
        <f>"Golden Era"</f>
        <v>Golden Era</v>
      </c>
    </row>
    <row r="12123" spans="1:4" x14ac:dyDescent="0.2">
      <c r="A12123" t="str">
        <f>"12122"</f>
        <v>12122</v>
      </c>
      <c r="B12123" t="str">
        <f>"-0.13"</f>
        <v>-0.13</v>
      </c>
      <c r="C12123" t="str">
        <f>"26"</f>
        <v>26</v>
      </c>
      <c r="D12123" t="str">
        <f>"Losing Colour"</f>
        <v>Losing Colour</v>
      </c>
    </row>
    <row r="12124" spans="1:4" x14ac:dyDescent="0.2">
      <c r="A12124" t="str">
        <f>"12123"</f>
        <v>12123</v>
      </c>
      <c r="B12124" t="str">
        <f>"-0.27"</f>
        <v>-0.27</v>
      </c>
      <c r="C12124" t="str">
        <f>"48"</f>
        <v>48</v>
      </c>
      <c r="D12124" t="str">
        <f>"The Book of David"</f>
        <v>The Book of David</v>
      </c>
    </row>
    <row r="12125" spans="1:4" x14ac:dyDescent="0.2">
      <c r="A12125" t="str">
        <f>"12124"</f>
        <v>12124</v>
      </c>
      <c r="B12125" t="str">
        <f>"0.36"</f>
        <v>0.36</v>
      </c>
      <c r="C12125" t="str">
        <f>"52"</f>
        <v>52</v>
      </c>
      <c r="D12125" t="str">
        <f>"Claire Denis Film Scores 1996-2009"</f>
        <v>Claire Denis Film Scores 1996-2009</v>
      </c>
    </row>
    <row r="12126" spans="1:4" x14ac:dyDescent="0.2">
      <c r="A12126" t="str">
        <f>"12125"</f>
        <v>12125</v>
      </c>
      <c r="B12126" t="str">
        <f>"1.02"</f>
        <v>1.02</v>
      </c>
      <c r="C12126" t="str">
        <f>"31"</f>
        <v>31</v>
      </c>
      <c r="D12126" t="str">
        <f>"Cornershop and the Double-O Groove Of"</f>
        <v>Cornershop and the Double-O Groove Of</v>
      </c>
    </row>
    <row r="12127" spans="1:4" x14ac:dyDescent="0.2">
      <c r="A12127" t="str">
        <f>"12126"</f>
        <v>12126</v>
      </c>
      <c r="B12127" t="str">
        <f>"0.1"</f>
        <v>0.1</v>
      </c>
      <c r="C12127" t="str">
        <f>"32"</f>
        <v>32</v>
      </c>
      <c r="D12127" t="str">
        <f>"Canyon Candy EP"</f>
        <v>Canyon Candy EP</v>
      </c>
    </row>
    <row r="12128" spans="1:4" x14ac:dyDescent="0.2">
      <c r="A12128" t="str">
        <f>"12127"</f>
        <v>12127</v>
      </c>
      <c r="B12128" t="str">
        <f>"-0.33"</f>
        <v>-0.33</v>
      </c>
      <c r="C12128" t="str">
        <f>"22"</f>
        <v>22</v>
      </c>
      <c r="D12128" t="str">
        <f>"Circus"</f>
        <v>Circus</v>
      </c>
    </row>
    <row r="12129" spans="1:4" x14ac:dyDescent="0.2">
      <c r="A12129" t="str">
        <f>"12128"</f>
        <v>12128</v>
      </c>
      <c r="B12129" t="str">
        <f>"0.5"</f>
        <v>0.5</v>
      </c>
      <c r="C12129" t="str">
        <f>"29"</f>
        <v>29</v>
      </c>
      <c r="D12129" t="str">
        <f>"Swanlights EP"</f>
        <v>Swanlights EP</v>
      </c>
    </row>
    <row r="12130" spans="1:4" x14ac:dyDescent="0.2">
      <c r="A12130" t="str">
        <f>"12129"</f>
        <v>12129</v>
      </c>
      <c r="B12130" t="str">
        <f>"1.22"</f>
        <v>1.22</v>
      </c>
      <c r="C12130" t="str">
        <f>"23"</f>
        <v>23</v>
      </c>
      <c r="D12130" t="str">
        <f>"Thao &amp; Mirah"</f>
        <v>Thao &amp; Mirah</v>
      </c>
    </row>
    <row r="12131" spans="1:4" x14ac:dyDescent="0.2">
      <c r="A12131" t="str">
        <f>"12130"</f>
        <v>12130</v>
      </c>
      <c r="B12131" t="str">
        <f>"0.4"</f>
        <v>0.4</v>
      </c>
      <c r="C12131" t="str">
        <f>"20"</f>
        <v>20</v>
      </c>
      <c r="D12131" t="str">
        <f>"The Drawing Board"</f>
        <v>The Drawing Board</v>
      </c>
    </row>
    <row r="12132" spans="1:4" x14ac:dyDescent="0.2">
      <c r="A12132" t="str">
        <f>"12131"</f>
        <v>12131</v>
      </c>
      <c r="B12132" t="str">
        <f>"0.4"</f>
        <v>0.4</v>
      </c>
      <c r="C12132" t="str">
        <f>"25"</f>
        <v>25</v>
      </c>
      <c r="D12132" t="str">
        <f>"Born With Stripes"</f>
        <v>Born With Stripes</v>
      </c>
    </row>
    <row r="12133" spans="1:4" x14ac:dyDescent="0.2">
      <c r="A12133" t="str">
        <f>"12132"</f>
        <v>12132</v>
      </c>
      <c r="B12133" t="str">
        <f>"-0.2"</f>
        <v>-0.2</v>
      </c>
      <c r="C12133" t="str">
        <f>"25"</f>
        <v>25</v>
      </c>
      <c r="D12133" t="str">
        <f>"Not Nothing"</f>
        <v>Not Nothing</v>
      </c>
    </row>
    <row r="12134" spans="1:4" x14ac:dyDescent="0.2">
      <c r="A12134" t="str">
        <f>"12133"</f>
        <v>12133</v>
      </c>
      <c r="B12134" t="str">
        <f>"0.16"</f>
        <v>0.16</v>
      </c>
      <c r="C12134" t="str">
        <f>"27"</f>
        <v>27</v>
      </c>
      <c r="D12134" t="str">
        <f>"Terra"</f>
        <v>Terra</v>
      </c>
    </row>
    <row r="12135" spans="1:4" x14ac:dyDescent="0.2">
      <c r="A12135" t="str">
        <f>"12134"</f>
        <v>12134</v>
      </c>
      <c r="B12135" t="str">
        <f>"-0.82"</f>
        <v>-0.82</v>
      </c>
      <c r="C12135" t="str">
        <f>"29"</f>
        <v>29</v>
      </c>
      <c r="D12135" t="str">
        <f>"Start and Complete"</f>
        <v>Start and Complete</v>
      </c>
    </row>
    <row r="12136" spans="1:4" x14ac:dyDescent="0.2">
      <c r="A12136" t="str">
        <f>"12135"</f>
        <v>12135</v>
      </c>
      <c r="B12136" t="str">
        <f>"1.13"</f>
        <v>1.13</v>
      </c>
      <c r="C12136" t="str">
        <f>"21"</f>
        <v>21</v>
      </c>
      <c r="D12136" t="str">
        <f>"Music Sounds Better With You"</f>
        <v>Music Sounds Better With You</v>
      </c>
    </row>
    <row r="12137" spans="1:4" x14ac:dyDescent="0.2">
      <c r="A12137" t="str">
        <f>"12136"</f>
        <v>12136</v>
      </c>
      <c r="B12137" t="str">
        <f>"0.19"</f>
        <v>0.19</v>
      </c>
      <c r="C12137" t="str">
        <f>"22"</f>
        <v>22</v>
      </c>
      <c r="D12137" t="str">
        <f>"Music's Not For Everyone"</f>
        <v>Music's Not For Everyone</v>
      </c>
    </row>
    <row r="12138" spans="1:4" x14ac:dyDescent="0.2">
      <c r="A12138" t="str">
        <f>"12137"</f>
        <v>12137</v>
      </c>
      <c r="B12138" t="str">
        <f>"-0.21"</f>
        <v>-0.21</v>
      </c>
      <c r="C12138" t="str">
        <f>"35"</f>
        <v>35</v>
      </c>
      <c r="D12138" t="str">
        <f>"Figurines"</f>
        <v>Figurines</v>
      </c>
    </row>
    <row r="12139" spans="1:4" x14ac:dyDescent="0.2">
      <c r="A12139" t="str">
        <f>"12138"</f>
        <v>12138</v>
      </c>
      <c r="B12139" t="str">
        <f>"1.35"</f>
        <v>1.35</v>
      </c>
      <c r="C12139" t="str">
        <f>"23"</f>
        <v>23</v>
      </c>
      <c r="D12139" t="s">
        <v>363</v>
      </c>
    </row>
    <row r="12140" spans="1:4" x14ac:dyDescent="0.2">
      <c r="A12140" t="str">
        <f>"12139"</f>
        <v>12139</v>
      </c>
      <c r="B12140" t="str">
        <f>"-0.36"</f>
        <v>-0.36</v>
      </c>
      <c r="C12140" t="str">
        <f>"41"</f>
        <v>41</v>
      </c>
      <c r="D12140" t="str">
        <f>"Operation: Doomsday"</f>
        <v>Operation: Doomsday</v>
      </c>
    </row>
    <row r="12141" spans="1:4" x14ac:dyDescent="0.2">
      <c r="A12141" t="str">
        <f>"12140"</f>
        <v>12140</v>
      </c>
      <c r="B12141" t="str">
        <f>"0.02"</f>
        <v>0.02</v>
      </c>
      <c r="C12141" t="str">
        <f>"38"</f>
        <v>38</v>
      </c>
      <c r="D12141" t="str">
        <f>"Vigilante Season"</f>
        <v>Vigilante Season</v>
      </c>
    </row>
    <row r="12142" spans="1:4" x14ac:dyDescent="0.2">
      <c r="A12142" t="str">
        <f>"12141"</f>
        <v>12141</v>
      </c>
      <c r="B12142" t="str">
        <f>"-0.86"</f>
        <v>-0.86</v>
      </c>
      <c r="C12142" t="str">
        <f>"15"</f>
        <v>15</v>
      </c>
      <c r="D12142" t="str">
        <f>"Gatto Fritto"</f>
        <v>Gatto Fritto</v>
      </c>
    </row>
    <row r="12143" spans="1:4" x14ac:dyDescent="0.2">
      <c r="A12143" t="str">
        <f>"12142"</f>
        <v>12142</v>
      </c>
      <c r="B12143" t="str">
        <f>"0.13"</f>
        <v>0.13</v>
      </c>
      <c r="C12143" t="str">
        <f>"32"</f>
        <v>32</v>
      </c>
      <c r="D12143" t="str">
        <f>"Beyond the 4th Door"</f>
        <v>Beyond the 4th Door</v>
      </c>
    </row>
    <row r="12144" spans="1:4" x14ac:dyDescent="0.2">
      <c r="A12144" t="str">
        <f>"12143"</f>
        <v>12143</v>
      </c>
      <c r="B12144" t="str">
        <f>"-0.16"</f>
        <v>-0.16</v>
      </c>
      <c r="C12144" t="str">
        <f>"39"</f>
        <v>39</v>
      </c>
      <c r="D12144" t="str">
        <f>"WIT'S END"</f>
        <v>WIT'S END</v>
      </c>
    </row>
    <row r="12145" spans="1:4" x14ac:dyDescent="0.2">
      <c r="A12145" t="str">
        <f>"12144"</f>
        <v>12144</v>
      </c>
      <c r="B12145" t="str">
        <f>"0.84"</f>
        <v>0.84</v>
      </c>
      <c r="C12145" t="str">
        <f>"28"</f>
        <v>28</v>
      </c>
      <c r="D12145" t="str">
        <f>"Revenue Retrievin': Graveyard Shift"</f>
        <v>Revenue Retrievin': Graveyard Shift</v>
      </c>
    </row>
    <row r="12146" spans="1:4" x14ac:dyDescent="0.2">
      <c r="A12146" t="str">
        <f>"12145"</f>
        <v>12145</v>
      </c>
      <c r="B12146" t="str">
        <f>"-0.28"</f>
        <v>-0.28</v>
      </c>
      <c r="C12146" t="str">
        <f>"36"</f>
        <v>36</v>
      </c>
      <c r="D12146" t="str">
        <f>"EPs 1991-2002"</f>
        <v>EPs 1991-2002</v>
      </c>
    </row>
    <row r="12147" spans="1:4" x14ac:dyDescent="0.2">
      <c r="A12147" t="str">
        <f>"12146"</f>
        <v>12146</v>
      </c>
      <c r="B12147" t="str">
        <f>"0.46"</f>
        <v>0.46</v>
      </c>
      <c r="C12147" t="str">
        <f>"33"</f>
        <v>33</v>
      </c>
      <c r="D12147" t="str">
        <f>"Benefit for the Recovery in Japan"</f>
        <v>Benefit for the Recovery in Japan</v>
      </c>
    </row>
    <row r="12148" spans="1:4" x14ac:dyDescent="0.2">
      <c r="A12148" t="str">
        <f>"12147"</f>
        <v>12147</v>
      </c>
      <c r="B12148" t="str">
        <f>"1.78"</f>
        <v>1.78</v>
      </c>
      <c r="C12148" t="str">
        <f>"27"</f>
        <v>27</v>
      </c>
      <c r="D12148" t="str">
        <f>"Jonny"</f>
        <v>Jonny</v>
      </c>
    </row>
    <row r="12149" spans="1:4" x14ac:dyDescent="0.2">
      <c r="A12149" t="str">
        <f>"12148"</f>
        <v>12148</v>
      </c>
      <c r="B12149" t="str">
        <f>"-0.45"</f>
        <v>-0.45</v>
      </c>
      <c r="C12149" t="str">
        <f>"27"</f>
        <v>27</v>
      </c>
      <c r="D12149" t="str">
        <f>"In and Out of Youth and Lightness"</f>
        <v>In and Out of Youth and Lightness</v>
      </c>
    </row>
    <row r="12150" spans="1:4" x14ac:dyDescent="0.2">
      <c r="A12150" t="str">
        <f>"12149"</f>
        <v>12149</v>
      </c>
      <c r="B12150" t="str">
        <f>"0.77"</f>
        <v>0.77</v>
      </c>
      <c r="C12150" t="str">
        <f>"23"</f>
        <v>23</v>
      </c>
      <c r="D12150" t="str">
        <f>"Canary"</f>
        <v>Canary</v>
      </c>
    </row>
    <row r="12151" spans="1:4" x14ac:dyDescent="0.2">
      <c r="A12151" t="str">
        <f>"12150"</f>
        <v>12150</v>
      </c>
      <c r="B12151" t="str">
        <f>"1.2"</f>
        <v>1.2</v>
      </c>
      <c r="C12151" t="str">
        <f>"35"</f>
        <v>35</v>
      </c>
      <c r="D12151" t="str">
        <f>"Return of 4Eva"</f>
        <v>Return of 4Eva</v>
      </c>
    </row>
    <row r="12152" spans="1:4" x14ac:dyDescent="0.2">
      <c r="A12152" t="str">
        <f>"12151"</f>
        <v>12151</v>
      </c>
      <c r="B12152" t="str">
        <f>"0.03"</f>
        <v>0.03</v>
      </c>
      <c r="C12152" t="str">
        <f>"25"</f>
        <v>25</v>
      </c>
      <c r="D12152" t="str">
        <f>"XI versions of Black Noise"</f>
        <v>XI versions of Black Noise</v>
      </c>
    </row>
    <row r="12153" spans="1:4" x14ac:dyDescent="0.2">
      <c r="A12153" t="str">
        <f>"12152"</f>
        <v>12152</v>
      </c>
      <c r="B12153" t="str">
        <f>"0.33"</f>
        <v>0.33</v>
      </c>
      <c r="C12153" t="str">
        <f>"22"</f>
        <v>22</v>
      </c>
      <c r="D12153" t="str">
        <f>"Walk the River"</f>
        <v>Walk the River</v>
      </c>
    </row>
    <row r="12154" spans="1:4" x14ac:dyDescent="0.2">
      <c r="A12154" t="str">
        <f>"12153"</f>
        <v>12153</v>
      </c>
      <c r="B12154" t="str">
        <f>"0.22"</f>
        <v>0.22</v>
      </c>
      <c r="C12154" t="str">
        <f>"30"</f>
        <v>30</v>
      </c>
      <c r="D12154" t="str">
        <f>"The Golden Record"</f>
        <v>The Golden Record</v>
      </c>
    </row>
    <row r="12155" spans="1:4" x14ac:dyDescent="0.2">
      <c r="A12155" t="str">
        <f>"12154"</f>
        <v>12154</v>
      </c>
      <c r="B12155" t="str">
        <f>"1.38"</f>
        <v>1.38</v>
      </c>
      <c r="C12155" t="str">
        <f>"21"</f>
        <v>21</v>
      </c>
      <c r="D12155" t="str">
        <f>"Sleep Talk"</f>
        <v>Sleep Talk</v>
      </c>
    </row>
    <row r="12156" spans="1:4" x14ac:dyDescent="0.2">
      <c r="A12156" t="str">
        <f>"12155"</f>
        <v>12155</v>
      </c>
      <c r="B12156" t="str">
        <f>"0.28"</f>
        <v>0.28</v>
      </c>
      <c r="C12156" t="str">
        <f>"29"</f>
        <v>29</v>
      </c>
      <c r="D12156" t="str">
        <f>"TRON: Legacy Reconfigured"</f>
        <v>TRON: Legacy Reconfigured</v>
      </c>
    </row>
    <row r="12157" spans="1:4" x14ac:dyDescent="0.2">
      <c r="A12157" t="str">
        <f>"12156"</f>
        <v>12156</v>
      </c>
      <c r="B12157" t="str">
        <f>"-0.29"</f>
        <v>-0.29</v>
      </c>
      <c r="C12157" t="str">
        <f>"20"</f>
        <v>20</v>
      </c>
      <c r="D12157" t="str">
        <f>"Outside"</f>
        <v>Outside</v>
      </c>
    </row>
    <row r="12158" spans="1:4" x14ac:dyDescent="0.2">
      <c r="A12158" t="str">
        <f>"12157"</f>
        <v>12157</v>
      </c>
      <c r="B12158" t="str">
        <f>"-0.53"</f>
        <v>-0.53</v>
      </c>
      <c r="C12158" t="str">
        <f>"19"</f>
        <v>19</v>
      </c>
      <c r="D12158" t="str">
        <f>"Outmind"</f>
        <v>Outmind</v>
      </c>
    </row>
    <row r="12159" spans="1:4" x14ac:dyDescent="0.2">
      <c r="A12159" t="str">
        <f>"12158"</f>
        <v>12158</v>
      </c>
      <c r="B12159" t="str">
        <f>"1.25"</f>
        <v>1.25</v>
      </c>
      <c r="C12159" t="str">
        <f>"17"</f>
        <v>17</v>
      </c>
      <c r="D12159" t="str">
        <f>"Family Portrait"</f>
        <v>Family Portrait</v>
      </c>
    </row>
    <row r="12160" spans="1:4" x14ac:dyDescent="0.2">
      <c r="A12160" t="str">
        <f>"12159"</f>
        <v>12159</v>
      </c>
      <c r="B12160" t="str">
        <f>"1.33"</f>
        <v>1.33</v>
      </c>
      <c r="C12160" t="str">
        <f>"18"</f>
        <v>18</v>
      </c>
      <c r="D12160" t="str">
        <f>"The English Riviera"</f>
        <v>The English Riviera</v>
      </c>
    </row>
    <row r="12161" spans="1:4" x14ac:dyDescent="0.2">
      <c r="A12161" t="str">
        <f>"12160"</f>
        <v>12160</v>
      </c>
      <c r="B12161" t="str">
        <f>"0.15"</f>
        <v>0.15</v>
      </c>
      <c r="C12161" t="str">
        <f>"32"</f>
        <v>32</v>
      </c>
      <c r="D12161" t="str">
        <f>"w h o k i l l"</f>
        <v>w h o k i l l</v>
      </c>
    </row>
    <row r="12162" spans="1:4" x14ac:dyDescent="0.2">
      <c r="A12162" t="str">
        <f>"12161"</f>
        <v>12161</v>
      </c>
      <c r="B12162" t="str">
        <f>"0.05"</f>
        <v>0.05</v>
      </c>
      <c r="C12162" t="str">
        <f>"32"</f>
        <v>32</v>
      </c>
      <c r="D12162" t="str">
        <f>"A I A : Alien Observer"</f>
        <v>A I A : Alien Observer</v>
      </c>
    </row>
    <row r="12163" spans="1:4" x14ac:dyDescent="0.2">
      <c r="A12163" t="str">
        <f>"12162"</f>
        <v>12162</v>
      </c>
      <c r="B12163" t="str">
        <f>"-0.68"</f>
        <v>-0.68</v>
      </c>
      <c r="C12163" t="str">
        <f>"24"</f>
        <v>24</v>
      </c>
      <c r="D12163" t="str">
        <f>"Black Sun"</f>
        <v>Black Sun</v>
      </c>
    </row>
    <row r="12164" spans="1:4" x14ac:dyDescent="0.2">
      <c r="A12164" t="str">
        <f>"12163"</f>
        <v>12163</v>
      </c>
      <c r="B12164" t="str">
        <f>"0.2"</f>
        <v>0.2</v>
      </c>
      <c r="C12164" t="str">
        <f>"21"</f>
        <v>21</v>
      </c>
      <c r="D12164" t="str">
        <f>"The Head and the Heart"</f>
        <v>The Head and the Heart</v>
      </c>
    </row>
    <row r="12165" spans="1:4" x14ac:dyDescent="0.2">
      <c r="A12165" t="str">
        <f>"12164"</f>
        <v>12164</v>
      </c>
      <c r="B12165" t="str">
        <f>"0.23"</f>
        <v>0.23</v>
      </c>
      <c r="C12165" t="str">
        <f>"26"</f>
        <v>26</v>
      </c>
      <c r="D12165" t="str">
        <f>"Bespoke"</f>
        <v>Bespoke</v>
      </c>
    </row>
    <row r="12166" spans="1:4" x14ac:dyDescent="0.2">
      <c r="A12166" t="str">
        <f>"12165"</f>
        <v>12165</v>
      </c>
      <c r="B12166" t="str">
        <f>"-0.18"</f>
        <v>-0.18</v>
      </c>
      <c r="C12166" t="str">
        <f>"44"</f>
        <v>44</v>
      </c>
      <c r="D12166" t="str">
        <f>"Wasting Light"</f>
        <v>Wasting Light</v>
      </c>
    </row>
    <row r="12167" spans="1:4" x14ac:dyDescent="0.2">
      <c r="A12167" t="str">
        <f>"12166"</f>
        <v>12166</v>
      </c>
      <c r="B12167" t="str">
        <f>"1.15"</f>
        <v>1.15</v>
      </c>
      <c r="C12167" t="str">
        <f>"37"</f>
        <v>37</v>
      </c>
      <c r="D12167" t="str">
        <f>"So Beautiful or So What"</f>
        <v>So Beautiful or So What</v>
      </c>
    </row>
    <row r="12168" spans="1:4" x14ac:dyDescent="0.2">
      <c r="A12168" t="str">
        <f>"12167"</f>
        <v>12167</v>
      </c>
      <c r="B12168" t="str">
        <f>"0.2"</f>
        <v>0.2</v>
      </c>
      <c r="C12168" t="str">
        <f>"27"</f>
        <v>27</v>
      </c>
      <c r="D12168" t="str">
        <f>"Lollipop"</f>
        <v>Lollipop</v>
      </c>
    </row>
    <row r="12169" spans="1:4" x14ac:dyDescent="0.2">
      <c r="A12169" t="str">
        <f>"12168"</f>
        <v>12168</v>
      </c>
      <c r="B12169" t="str">
        <f>"0.61"</f>
        <v>0.61</v>
      </c>
      <c r="C12169" t="str">
        <f>"28"</f>
        <v>28</v>
      </c>
      <c r="D12169" t="str">
        <f>"Hit After Hit"</f>
        <v>Hit After Hit</v>
      </c>
    </row>
    <row r="12170" spans="1:4" x14ac:dyDescent="0.2">
      <c r="A12170" t="str">
        <f>"12169"</f>
        <v>12169</v>
      </c>
      <c r="B12170" t="str">
        <f>"-0.09"</f>
        <v>-0.09</v>
      </c>
      <c r="C12170" t="str">
        <f>"13"</f>
        <v>13</v>
      </c>
      <c r="D12170" t="str">
        <f>"No Problem"</f>
        <v>No Problem</v>
      </c>
    </row>
    <row r="12171" spans="1:4" x14ac:dyDescent="0.2">
      <c r="A12171" t="str">
        <f>"12170"</f>
        <v>12170</v>
      </c>
      <c r="B12171" t="str">
        <f>"0.39"</f>
        <v>0.39</v>
      </c>
      <c r="C12171" t="str">
        <f>"36"</f>
        <v>36</v>
      </c>
      <c r="D12171" t="str">
        <f>"Mirrorwriting"</f>
        <v>Mirrorwriting</v>
      </c>
    </row>
    <row r="12172" spans="1:4" x14ac:dyDescent="0.2">
      <c r="A12172" t="str">
        <f>"12171"</f>
        <v>12171</v>
      </c>
      <c r="B12172" t="str">
        <f>"0.58"</f>
        <v>0.58</v>
      </c>
      <c r="C12172" t="str">
        <f>"28"</f>
        <v>28</v>
      </c>
      <c r="D12172" t="str">
        <f>"In Love With Oblivion"</f>
        <v>In Love With Oblivion</v>
      </c>
    </row>
    <row r="12173" spans="1:4" x14ac:dyDescent="0.2">
      <c r="A12173" t="str">
        <f>"12172"</f>
        <v>12172</v>
      </c>
      <c r="B12173" t="str">
        <f>"1.47"</f>
        <v>1.47</v>
      </c>
      <c r="C12173" t="str">
        <f>"47"</f>
        <v>47</v>
      </c>
      <c r="D12173" t="str">
        <f>"Salon des Amateurs"</f>
        <v>Salon des Amateurs</v>
      </c>
    </row>
    <row r="12174" spans="1:4" x14ac:dyDescent="0.2">
      <c r="A12174" t="str">
        <f>"12173"</f>
        <v>12173</v>
      </c>
      <c r="B12174" t="str">
        <f>"0.58"</f>
        <v>0.58</v>
      </c>
      <c r="C12174" t="str">
        <f>"27"</f>
        <v>27</v>
      </c>
      <c r="D12174" t="str">
        <f>"Dream Diary"</f>
        <v>Dream Diary</v>
      </c>
    </row>
    <row r="12175" spans="1:4" x14ac:dyDescent="0.2">
      <c r="A12175" t="str">
        <f>"12174"</f>
        <v>12174</v>
      </c>
      <c r="B12175" t="str">
        <f>"0.33"</f>
        <v>0.33</v>
      </c>
      <c r="C12175" t="str">
        <f>"34"</f>
        <v>34</v>
      </c>
      <c r="D12175" t="str">
        <f>"Outdoor Spell"</f>
        <v>Outdoor Spell</v>
      </c>
    </row>
    <row r="12176" spans="1:4" x14ac:dyDescent="0.2">
      <c r="A12176" t="str">
        <f>"12175"</f>
        <v>12175</v>
      </c>
      <c r="B12176" t="str">
        <f>"-0.26"</f>
        <v>-0.26</v>
      </c>
      <c r="C12176" t="str">
        <f>"63"</f>
        <v>63</v>
      </c>
      <c r="D12176" t="str">
        <f>"Apocalypse"</f>
        <v>Apocalypse</v>
      </c>
    </row>
    <row r="12177" spans="1:4" x14ac:dyDescent="0.2">
      <c r="A12177" t="str">
        <f>"12176"</f>
        <v>12176</v>
      </c>
      <c r="B12177" t="str">
        <f>"-1.15"</f>
        <v>-1.15</v>
      </c>
      <c r="C12177" t="str">
        <f>"23"</f>
        <v>23</v>
      </c>
      <c r="D12177" t="str">
        <f>"The Family Sign"</f>
        <v>The Family Sign</v>
      </c>
    </row>
    <row r="12178" spans="1:4" x14ac:dyDescent="0.2">
      <c r="A12178" t="str">
        <f>"12177"</f>
        <v>12177</v>
      </c>
      <c r="B12178" t="str">
        <f>"0.59"</f>
        <v>0.59</v>
      </c>
      <c r="C12178" t="str">
        <f>"31"</f>
        <v>31</v>
      </c>
      <c r="D12178" t="str">
        <f>"Do Whatever You Want All the Time"</f>
        <v>Do Whatever You Want All the Time</v>
      </c>
    </row>
    <row r="12179" spans="1:4" x14ac:dyDescent="0.2">
      <c r="A12179" t="str">
        <f>"12178"</f>
        <v>12178</v>
      </c>
      <c r="B12179" t="str">
        <f>"0.42"</f>
        <v>0.42</v>
      </c>
      <c r="C12179" t="str">
        <f>"20"</f>
        <v>20</v>
      </c>
      <c r="D12179" t="str">
        <f>"Smart Flesh"</f>
        <v>Smart Flesh</v>
      </c>
    </row>
    <row r="12180" spans="1:4" x14ac:dyDescent="0.2">
      <c r="A12180" t="str">
        <f>"12179"</f>
        <v>12179</v>
      </c>
      <c r="B12180" t="str">
        <f>"0.13"</f>
        <v>0.13</v>
      </c>
      <c r="C12180" t="str">
        <f>"24"</f>
        <v>24</v>
      </c>
      <c r="D12180" t="str">
        <f>"Reptilians"</f>
        <v>Reptilians</v>
      </c>
    </row>
    <row r="12181" spans="1:4" x14ac:dyDescent="0.2">
      <c r="A12181" t="str">
        <f>"12180"</f>
        <v>12180</v>
      </c>
      <c r="B12181" t="str">
        <f>"0.82"</f>
        <v>0.82</v>
      </c>
      <c r="C12181" t="str">
        <f>"27"</f>
        <v>27</v>
      </c>
      <c r="D12181" t="str">
        <f>"Nine Types of Light"</f>
        <v>Nine Types of Light</v>
      </c>
    </row>
    <row r="12182" spans="1:4" x14ac:dyDescent="0.2">
      <c r="A12182" t="str">
        <f>"12181"</f>
        <v>12181</v>
      </c>
      <c r="B12182" t="str">
        <f>"0.5"</f>
        <v>0.5</v>
      </c>
      <c r="C12182" t="str">
        <f>"21"</f>
        <v>21</v>
      </c>
      <c r="D12182" t="str">
        <f>"C'mon"</f>
        <v>C'mon</v>
      </c>
    </row>
    <row r="12183" spans="1:4" x14ac:dyDescent="0.2">
      <c r="A12183" t="str">
        <f>"12182"</f>
        <v>12182</v>
      </c>
      <c r="B12183" t="str">
        <f>"0.84"</f>
        <v>0.84</v>
      </c>
      <c r="C12183" t="str">
        <f>"24"</f>
        <v>24</v>
      </c>
      <c r="D12183" t="str">
        <f>"In Concert: Brandeis University 1963"</f>
        <v>In Concert: Brandeis University 1963</v>
      </c>
    </row>
    <row r="12184" spans="1:4" x14ac:dyDescent="0.2">
      <c r="A12184" t="str">
        <f>"12183"</f>
        <v>12183</v>
      </c>
      <c r="B12184" t="str">
        <f>"0.98"</f>
        <v>0.98</v>
      </c>
      <c r="C12184" t="str">
        <f>"19"</f>
        <v>19</v>
      </c>
      <c r="D12184" t="str">
        <f>"Here Before"</f>
        <v>Here Before</v>
      </c>
    </row>
    <row r="12185" spans="1:4" x14ac:dyDescent="0.2">
      <c r="A12185" t="str">
        <f>"12184"</f>
        <v>12184</v>
      </c>
      <c r="B12185" t="str">
        <f>"0.46"</f>
        <v>0.46</v>
      </c>
      <c r="C12185" t="str">
        <f>"23"</f>
        <v>23</v>
      </c>
      <c r="D12185" t="str">
        <f>"Sucre du Sauvage"</f>
        <v>Sucre du Sauvage</v>
      </c>
    </row>
    <row r="12186" spans="1:4" x14ac:dyDescent="0.2">
      <c r="A12186" t="str">
        <f>"12185"</f>
        <v>12185</v>
      </c>
      <c r="B12186" t="str">
        <f>"0.14"</f>
        <v>0.14</v>
      </c>
      <c r="C12186" t="str">
        <f>"40"</f>
        <v>40</v>
      </c>
      <c r="D12186" t="str">
        <f>"Tomboy"</f>
        <v>Tomboy</v>
      </c>
    </row>
    <row r="12187" spans="1:4" x14ac:dyDescent="0.2">
      <c r="A12187" t="str">
        <f>"12186"</f>
        <v>12186</v>
      </c>
      <c r="B12187" t="str">
        <f>"0.84"</f>
        <v>0.84</v>
      </c>
      <c r="C12187" t="str">
        <f>"27"</f>
        <v>27</v>
      </c>
      <c r="D12187" t="str">
        <f>"Share the Joy"</f>
        <v>Share the Joy</v>
      </c>
    </row>
    <row r="12188" spans="1:4" x14ac:dyDescent="0.2">
      <c r="A12188" t="str">
        <f>"12187"</f>
        <v>12187</v>
      </c>
      <c r="B12188" t="str">
        <f>"0.27"</f>
        <v>0.27</v>
      </c>
      <c r="C12188" t="str">
        <f>"16"</f>
        <v>16</v>
      </c>
      <c r="D12188" t="str">
        <f>"EUPHORIC /// HEARTBREAK \\\"</f>
        <v>EUPHORIC /// HEARTBREAK \\\</v>
      </c>
    </row>
    <row r="12189" spans="1:4" x14ac:dyDescent="0.2">
      <c r="A12189" t="str">
        <f>"12188"</f>
        <v>12188</v>
      </c>
      <c r="B12189" t="str">
        <f>"-0.25"</f>
        <v>-0.25</v>
      </c>
      <c r="C12189" t="str">
        <f>"25"</f>
        <v>25</v>
      </c>
      <c r="D12189" t="str">
        <f>"Here We Rest"</f>
        <v>Here We Rest</v>
      </c>
    </row>
    <row r="12190" spans="1:4" x14ac:dyDescent="0.2">
      <c r="A12190" t="str">
        <f>"12189"</f>
        <v>12189</v>
      </c>
      <c r="B12190" t="str">
        <f>"0.18"</f>
        <v>0.18</v>
      </c>
      <c r="C12190" t="str">
        <f>"21"</f>
        <v>21</v>
      </c>
      <c r="D12190" t="str">
        <f>"Giving &amp; Receiving"</f>
        <v>Giving &amp; Receiving</v>
      </c>
    </row>
    <row r="12191" spans="1:4" x14ac:dyDescent="0.2">
      <c r="A12191" t="str">
        <f>"12190"</f>
        <v>12190</v>
      </c>
      <c r="B12191" t="str">
        <f>"-0.13"</f>
        <v>-0.13</v>
      </c>
      <c r="C12191" t="str">
        <f>"41"</f>
        <v>41</v>
      </c>
      <c r="D12191" t="str">
        <f>"Rolling Papers"</f>
        <v>Rolling Papers</v>
      </c>
    </row>
    <row r="12192" spans="1:4" x14ac:dyDescent="0.2">
      <c r="A12192" t="str">
        <f>"12191"</f>
        <v>12191</v>
      </c>
      <c r="B12192" t="str">
        <f>"-0.25"</f>
        <v>-0.25</v>
      </c>
      <c r="C12192" t="str">
        <f>"25"</f>
        <v>25</v>
      </c>
      <c r="D12192" t="str">
        <f>"Raven in the Grave"</f>
        <v>Raven in the Grave</v>
      </c>
    </row>
    <row r="12193" spans="1:4" x14ac:dyDescent="0.2">
      <c r="A12193" t="str">
        <f>"12192"</f>
        <v>12192</v>
      </c>
      <c r="B12193" t="str">
        <f>"-0.75"</f>
        <v>-0.75</v>
      </c>
      <c r="C12193" t="str">
        <f>"29"</f>
        <v>29</v>
      </c>
      <c r="D12193" t="str">
        <f>"Instrumental Mixtape"</f>
        <v>Instrumental Mixtape</v>
      </c>
    </row>
    <row r="12194" spans="1:4" x14ac:dyDescent="0.2">
      <c r="A12194" t="str">
        <f>"12193"</f>
        <v>12193</v>
      </c>
      <c r="B12194" t="str">
        <f>"0.53"</f>
        <v>0.53</v>
      </c>
      <c r="C12194" t="str">
        <f>"31"</f>
        <v>31</v>
      </c>
      <c r="D12194" t="str">
        <f>"Doggumentary"</f>
        <v>Doggumentary</v>
      </c>
    </row>
    <row r="12195" spans="1:4" x14ac:dyDescent="0.2">
      <c r="A12195" t="str">
        <f>"12194"</f>
        <v>12194</v>
      </c>
      <c r="B12195" t="str">
        <f>"-0.45"</f>
        <v>-0.45</v>
      </c>
      <c r="C12195" t="str">
        <f>"21"</f>
        <v>21</v>
      </c>
      <c r="D12195" t="str">
        <f>"A Thousand Heys"</f>
        <v>A Thousand Heys</v>
      </c>
    </row>
    <row r="12196" spans="1:4" x14ac:dyDescent="0.2">
      <c r="A12196" t="str">
        <f>"12195"</f>
        <v>12195</v>
      </c>
      <c r="B12196" t="str">
        <f>"0.36"</f>
        <v>0.36</v>
      </c>
      <c r="C12196" t="str">
        <f>"34"</f>
        <v>34</v>
      </c>
      <c r="D12196" t="str">
        <f>"Street Halo"</f>
        <v>Street Halo</v>
      </c>
    </row>
    <row r="12197" spans="1:4" x14ac:dyDescent="0.2">
      <c r="A12197" t="str">
        <f>"12196"</f>
        <v>12196</v>
      </c>
      <c r="B12197" t="str">
        <f>"0.42"</f>
        <v>0.42</v>
      </c>
      <c r="C12197" t="str">
        <f>"24"</f>
        <v>24</v>
      </c>
      <c r="D12197" t="str">
        <f>"Illusions of Grandeur"</f>
        <v>Illusions of Grandeur</v>
      </c>
    </row>
    <row r="12198" spans="1:4" x14ac:dyDescent="0.2">
      <c r="A12198" t="str">
        <f>"12197"</f>
        <v>12197</v>
      </c>
      <c r="B12198" t="str">
        <f>"-0.46"</f>
        <v>-0.46</v>
      </c>
      <c r="C12198" t="str">
        <f>"29"</f>
        <v>29</v>
      </c>
      <c r="D12198" t="str">
        <f>"Hanna OST"</f>
        <v>Hanna OST</v>
      </c>
    </row>
    <row r="12199" spans="1:4" x14ac:dyDescent="0.2">
      <c r="A12199" t="str">
        <f>"12198"</f>
        <v>12198</v>
      </c>
      <c r="B12199" t="str">
        <f>"2.09"</f>
        <v>2.09</v>
      </c>
      <c r="C12199" t="str">
        <f>"17"</f>
        <v>17</v>
      </c>
      <c r="D12199" t="str">
        <f>"Idle Labor"</f>
        <v>Idle Labor</v>
      </c>
    </row>
    <row r="12200" spans="1:4" x14ac:dyDescent="0.2">
      <c r="A12200" t="str">
        <f>"12199"</f>
        <v>12199</v>
      </c>
      <c r="B12200" t="str">
        <f>"1.09"</f>
        <v>1.09</v>
      </c>
      <c r="C12200" t="str">
        <f>"25"</f>
        <v>25</v>
      </c>
      <c r="D12200" t="str">
        <f>"Human Hearts"</f>
        <v>Human Hearts</v>
      </c>
    </row>
    <row r="12201" spans="1:4" x14ac:dyDescent="0.2">
      <c r="A12201" t="str">
        <f>"12200"</f>
        <v>12200</v>
      </c>
      <c r="B12201" t="str">
        <f>"-0.78"</f>
        <v>-0.78</v>
      </c>
      <c r="C12201" t="str">
        <f>"18"</f>
        <v>18</v>
      </c>
      <c r="D12201" t="str">
        <f>"Blood Pressures"</f>
        <v>Blood Pressures</v>
      </c>
    </row>
    <row r="12202" spans="1:4" x14ac:dyDescent="0.2">
      <c r="A12202" t="str">
        <f>"12201"</f>
        <v>12201</v>
      </c>
      <c r="B12202" t="str">
        <f>"-0.88"</f>
        <v>-0.88</v>
      </c>
      <c r="C12202" t="str">
        <f>"39"</f>
        <v>39</v>
      </c>
      <c r="D12202" t="str">
        <f>"Fear of God"</f>
        <v>Fear of God</v>
      </c>
    </row>
    <row r="12203" spans="1:4" x14ac:dyDescent="0.2">
      <c r="A12203" t="str">
        <f>"12202"</f>
        <v>12202</v>
      </c>
      <c r="B12203" t="str">
        <f>"0.35"</f>
        <v>0.35</v>
      </c>
      <c r="C12203" t="str">
        <f>"18"</f>
        <v>18</v>
      </c>
      <c r="D12203" t="str">
        <f>"Alela Diane &amp; Wild Divine"</f>
        <v>Alela Diane &amp; Wild Divine</v>
      </c>
    </row>
    <row r="12204" spans="1:4" x14ac:dyDescent="0.2">
      <c r="A12204" t="str">
        <f>"12203"</f>
        <v>12203</v>
      </c>
      <c r="B12204" t="str">
        <f>"-0.05"</f>
        <v>-0.05</v>
      </c>
      <c r="C12204" t="str">
        <f>"24"</f>
        <v>24</v>
      </c>
      <c r="D12204" t="str">
        <f>"Some Cold Rock Stuf"</f>
        <v>Some Cold Rock Stuf</v>
      </c>
    </row>
    <row r="12205" spans="1:4" x14ac:dyDescent="0.2">
      <c r="A12205" t="str">
        <f>"12204"</f>
        <v>12204</v>
      </c>
      <c r="B12205" t="str">
        <f>"-0.14"</f>
        <v>-0.14</v>
      </c>
      <c r="C12205" t="str">
        <f>"24"</f>
        <v>24</v>
      </c>
      <c r="D12205" t="str">
        <f>"Paranoid Cat"</f>
        <v>Paranoid Cat</v>
      </c>
    </row>
    <row r="12206" spans="1:4" x14ac:dyDescent="0.2">
      <c r="A12206" t="str">
        <f>"12205"</f>
        <v>12205</v>
      </c>
      <c r="B12206" t="str">
        <f>"-0.7"</f>
        <v>-0.7</v>
      </c>
      <c r="C12206" t="str">
        <f>"25"</f>
        <v>25</v>
      </c>
      <c r="D12206" t="str">
        <f>"The Flaming Lips With Neon Indian"</f>
        <v>The Flaming Lips With Neon Indian</v>
      </c>
    </row>
    <row r="12207" spans="1:4" x14ac:dyDescent="0.2">
      <c r="A12207" t="str">
        <f>"12206"</f>
        <v>12206</v>
      </c>
      <c r="B12207" t="str">
        <f>"-0.86"</f>
        <v>-0.86</v>
      </c>
      <c r="C12207" t="str">
        <f>"22"</f>
        <v>22</v>
      </c>
      <c r="D12207" t="str">
        <f>"Michel Poiccard"</f>
        <v>Michel Poiccard</v>
      </c>
    </row>
    <row r="12208" spans="1:4" x14ac:dyDescent="0.2">
      <c r="A12208" t="str">
        <f>"12207"</f>
        <v>12207</v>
      </c>
      <c r="B12208" t="str">
        <f>"-0.26"</f>
        <v>-0.26</v>
      </c>
      <c r="C12208" t="str">
        <f>"19"</f>
        <v>19</v>
      </c>
      <c r="D12208" t="str">
        <f>"Flux Outside"</f>
        <v>Flux Outside</v>
      </c>
    </row>
    <row r="12209" spans="1:4" x14ac:dyDescent="0.2">
      <c r="A12209" t="str">
        <f>"12208"</f>
        <v>12208</v>
      </c>
      <c r="B12209" t="str">
        <f>"0.33"</f>
        <v>0.33</v>
      </c>
      <c r="C12209" t="str">
        <f>"22"</f>
        <v>22</v>
      </c>
      <c r="D12209" t="str">
        <f>"Only the Lonely EP"</f>
        <v>Only the Lonely EP</v>
      </c>
    </row>
    <row r="12210" spans="1:4" x14ac:dyDescent="0.2">
      <c r="A12210" t="str">
        <f>"12209"</f>
        <v>12209</v>
      </c>
      <c r="B12210" t="str">
        <f>"-0.95"</f>
        <v>-0.95</v>
      </c>
      <c r="C12210" t="str">
        <f>"25"</f>
        <v>25</v>
      </c>
      <c r="D12210" t="str">
        <f>"Last of the Country Gentlemen"</f>
        <v>Last of the Country Gentlemen</v>
      </c>
    </row>
    <row r="12211" spans="1:4" x14ac:dyDescent="0.2">
      <c r="A12211" t="str">
        <f>"12210"</f>
        <v>12210</v>
      </c>
      <c r="B12211" t="str">
        <f>"-0.68"</f>
        <v>-0.68</v>
      </c>
      <c r="C12211" t="str">
        <f>"46"</f>
        <v>46</v>
      </c>
      <c r="D12211" t="str">
        <f>"Cherish the Light Years"</f>
        <v>Cherish the Light Years</v>
      </c>
    </row>
    <row r="12212" spans="1:4" x14ac:dyDescent="0.2">
      <c r="A12212" t="str">
        <f>"12211"</f>
        <v>12211</v>
      </c>
      <c r="B12212" t="str">
        <f>"0.88"</f>
        <v>0.88</v>
      </c>
      <c r="C12212" t="str">
        <f>"19"</f>
        <v>19</v>
      </c>
      <c r="D12212" t="str">
        <f>"Badlands"</f>
        <v>Badlands</v>
      </c>
    </row>
    <row r="12213" spans="1:4" x14ac:dyDescent="0.2">
      <c r="A12213" t="str">
        <f>"12212"</f>
        <v>12212</v>
      </c>
      <c r="B12213" t="str">
        <f>"0.24"</f>
        <v>0.24</v>
      </c>
      <c r="C12213" t="str">
        <f>"29"</f>
        <v>29</v>
      </c>
      <c r="D12213" t="str">
        <f>"Moment Bends"</f>
        <v>Moment Bends</v>
      </c>
    </row>
    <row r="12214" spans="1:4" x14ac:dyDescent="0.2">
      <c r="A12214" t="str">
        <f>"12213"</f>
        <v>12213</v>
      </c>
      <c r="B12214" t="str">
        <f>"0.85"</f>
        <v>0.85</v>
      </c>
      <c r="C12214" t="str">
        <f>"22"</f>
        <v>22</v>
      </c>
      <c r="D12214" t="str">
        <f>"Hyphenated-Man"</f>
        <v>Hyphenated-Man</v>
      </c>
    </row>
    <row r="12215" spans="1:4" x14ac:dyDescent="0.2">
      <c r="A12215" t="str">
        <f>"12214"</f>
        <v>12214</v>
      </c>
      <c r="B12215" t="str">
        <f>"-0.45"</f>
        <v>-0.45</v>
      </c>
      <c r="C12215" t="str">
        <f>"22"</f>
        <v>22</v>
      </c>
      <c r="D12215" t="str">
        <f>"Screws Get Loose"</f>
        <v>Screws Get Loose</v>
      </c>
    </row>
    <row r="12216" spans="1:4" x14ac:dyDescent="0.2">
      <c r="A12216" t="str">
        <f>"12215"</f>
        <v>12215</v>
      </c>
      <c r="B12216" t="str">
        <f>"-0.26"</f>
        <v>-0.26</v>
      </c>
      <c r="C12216" t="str">
        <f>"20"</f>
        <v>20</v>
      </c>
      <c r="D12216" t="str">
        <f>"Belong"</f>
        <v>Belong</v>
      </c>
    </row>
    <row r="12217" spans="1:4" x14ac:dyDescent="0.2">
      <c r="A12217" t="str">
        <f>"12216"</f>
        <v>12216</v>
      </c>
      <c r="B12217" t="str">
        <f>"0.64"</f>
        <v>0.64</v>
      </c>
      <c r="C12217" t="str">
        <f>"33"</f>
        <v>33</v>
      </c>
      <c r="D12217" t="str">
        <f>"Mind Bokeh"</f>
        <v>Mind Bokeh</v>
      </c>
    </row>
    <row r="12218" spans="1:4" x14ac:dyDescent="0.2">
      <c r="A12218" t="str">
        <f>"12217"</f>
        <v>12217</v>
      </c>
      <c r="B12218" t="str">
        <f>"-0.88"</f>
        <v>-0.88</v>
      </c>
      <c r="C12218" t="str">
        <f>"21"</f>
        <v>21</v>
      </c>
      <c r="D12218" t="str">
        <f>"Chopped &amp; Screwed"</f>
        <v>Chopped &amp; Screwed</v>
      </c>
    </row>
    <row r="12219" spans="1:4" x14ac:dyDescent="0.2">
      <c r="A12219" t="str">
        <f>"12218"</f>
        <v>12218</v>
      </c>
      <c r="B12219" t="str">
        <f>"0.25"</f>
        <v>0.25</v>
      </c>
      <c r="C12219" t="str">
        <f>"27"</f>
        <v>27</v>
      </c>
      <c r="D12219" t="str">
        <f>"Holy Ghost!"</f>
        <v>Holy Ghost!</v>
      </c>
    </row>
    <row r="12220" spans="1:4" x14ac:dyDescent="0.2">
      <c r="A12220" t="str">
        <f>"12219"</f>
        <v>12219</v>
      </c>
      <c r="B12220" t="str">
        <f>"-0.25"</f>
        <v>-0.25</v>
      </c>
      <c r="C12220" t="str">
        <f>"27"</f>
        <v>27</v>
      </c>
      <c r="D12220" t="str">
        <f>"Mrs. Jones' Cookies"</f>
        <v>Mrs. Jones' Cookies</v>
      </c>
    </row>
    <row r="12221" spans="1:4" x14ac:dyDescent="0.2">
      <c r="A12221" t="str">
        <f>"12220"</f>
        <v>12220</v>
      </c>
      <c r="B12221" t="str">
        <f>"-0.48"</f>
        <v>-0.48</v>
      </c>
      <c r="C12221" t="str">
        <f>"25"</f>
        <v>25</v>
      </c>
      <c r="D12221" t="str">
        <f>"Meyrin Fields EP"</f>
        <v>Meyrin Fields EP</v>
      </c>
    </row>
    <row r="12222" spans="1:4" x14ac:dyDescent="0.2">
      <c r="A12222" t="str">
        <f>"12221"</f>
        <v>12221</v>
      </c>
      <c r="B12222" t="str">
        <f>"-0.13"</f>
        <v>-0.13</v>
      </c>
      <c r="C12222" t="str">
        <f>"23"</f>
        <v>23</v>
      </c>
      <c r="D12222" t="str">
        <f>"Live on I-5"</f>
        <v>Live on I-5</v>
      </c>
    </row>
    <row r="12223" spans="1:4" x14ac:dyDescent="0.2">
      <c r="A12223" t="str">
        <f>"12222"</f>
        <v>12222</v>
      </c>
      <c r="B12223" t="str">
        <f>"0.89"</f>
        <v>0.89</v>
      </c>
      <c r="C12223" t="str">
        <f>"20"</f>
        <v>20</v>
      </c>
      <c r="D12223" t="str">
        <f>"Quiet Storm"</f>
        <v>Quiet Storm</v>
      </c>
    </row>
    <row r="12224" spans="1:4" x14ac:dyDescent="0.2">
      <c r="A12224" t="str">
        <f>"12223"</f>
        <v>12223</v>
      </c>
      <c r="B12224" t="str">
        <f>"-0.78"</f>
        <v>-0.78</v>
      </c>
      <c r="C12224" t="str">
        <f>"20"</f>
        <v>20</v>
      </c>
      <c r="D12224" t="str">
        <f>"Antonionian"</f>
        <v>Antonionian</v>
      </c>
    </row>
    <row r="12225" spans="1:4" x14ac:dyDescent="0.2">
      <c r="A12225" t="str">
        <f>"12224"</f>
        <v>12224</v>
      </c>
      <c r="B12225" t="str">
        <f>"-0.92"</f>
        <v>-0.92</v>
      </c>
      <c r="C12225" t="str">
        <f>"20"</f>
        <v>20</v>
      </c>
      <c r="D12225" t="str">
        <f>"Faded Days"</f>
        <v>Faded Days</v>
      </c>
    </row>
    <row r="12226" spans="1:4" x14ac:dyDescent="0.2">
      <c r="A12226" t="str">
        <f>"12225"</f>
        <v>12225</v>
      </c>
      <c r="B12226" t="str">
        <f>"-0.14"</f>
        <v>-0.14</v>
      </c>
      <c r="C12226" t="str">
        <f>"76"</f>
        <v>76</v>
      </c>
      <c r="D12226" t="str">
        <f>"Vs. [Legacy Edition]"</f>
        <v>Vs. [Legacy Edition]</v>
      </c>
    </row>
    <row r="12227" spans="1:4" x14ac:dyDescent="0.2">
      <c r="A12227" t="str">
        <f>"12226"</f>
        <v>12226</v>
      </c>
      <c r="B12227" t="str">
        <f>"0.22"</f>
        <v>0.22</v>
      </c>
      <c r="C12227" t="str">
        <f>"31"</f>
        <v>31</v>
      </c>
      <c r="D12227" t="str">
        <f>"The Return of Mr. Zone 6"</f>
        <v>The Return of Mr. Zone 6</v>
      </c>
    </row>
    <row r="12228" spans="1:4" x14ac:dyDescent="0.2">
      <c r="A12228" t="str">
        <f>"12227"</f>
        <v>12227</v>
      </c>
      <c r="B12228" t="str">
        <f>"-1.12"</f>
        <v>-1.12</v>
      </c>
      <c r="C12228" t="str">
        <f>"34"</f>
        <v>34</v>
      </c>
      <c r="D12228" t="s">
        <v>364</v>
      </c>
    </row>
    <row r="12229" spans="1:4" x14ac:dyDescent="0.2">
      <c r="A12229" t="str">
        <f>"12228"</f>
        <v>12228</v>
      </c>
      <c r="B12229" t="str">
        <f>"0.71"</f>
        <v>0.71</v>
      </c>
      <c r="C12229" t="str">
        <f>"29"</f>
        <v>29</v>
      </c>
      <c r="D12229" t="str">
        <f>"Rio Arriba"</f>
        <v>Rio Arriba</v>
      </c>
    </row>
    <row r="12230" spans="1:4" x14ac:dyDescent="0.2">
      <c r="A12230" t="str">
        <f>"12229"</f>
        <v>12229</v>
      </c>
      <c r="B12230" t="str">
        <f>"1.08"</f>
        <v>1.08</v>
      </c>
      <c r="C12230" t="str">
        <f>"11"</f>
        <v>11</v>
      </c>
      <c r="D12230" t="str">
        <f>"Actor-Caster"</f>
        <v>Actor-Caster</v>
      </c>
    </row>
    <row r="12231" spans="1:4" x14ac:dyDescent="0.2">
      <c r="A12231" t="str">
        <f>"12230"</f>
        <v>12230</v>
      </c>
      <c r="B12231" t="str">
        <f>"-0.44"</f>
        <v>-0.44</v>
      </c>
      <c r="C12231" t="str">
        <f>"24"</f>
        <v>24</v>
      </c>
      <c r="D12231" t="str">
        <f>"House of Balloons"</f>
        <v>House of Balloons</v>
      </c>
    </row>
    <row r="12232" spans="1:4" x14ac:dyDescent="0.2">
      <c r="A12232" t="str">
        <f>"12231"</f>
        <v>12231</v>
      </c>
      <c r="B12232" t="str">
        <f>"0.88"</f>
        <v>0.88</v>
      </c>
      <c r="C12232" t="str">
        <f>"25"</f>
        <v>25</v>
      </c>
      <c r="D12232" t="str">
        <f>"On a Mission"</f>
        <v>On a Mission</v>
      </c>
    </row>
    <row r="12233" spans="1:4" x14ac:dyDescent="0.2">
      <c r="A12233" t="str">
        <f>"12232"</f>
        <v>12232</v>
      </c>
      <c r="B12233" t="str">
        <f>"0.78"</f>
        <v>0.78</v>
      </c>
      <c r="C12233" t="str">
        <f>"31"</f>
        <v>31</v>
      </c>
      <c r="D12233" t="str">
        <f>"Too Young to Be in Love"</f>
        <v>Too Young to Be in Love</v>
      </c>
    </row>
    <row r="12234" spans="1:4" x14ac:dyDescent="0.2">
      <c r="A12234" t="str">
        <f>"12233"</f>
        <v>12233</v>
      </c>
      <c r="B12234" t="str">
        <f>"0.15"</f>
        <v>0.15</v>
      </c>
      <c r="C12234" t="str">
        <f>"31"</f>
        <v>31</v>
      </c>
      <c r="D12234" t="str">
        <f>"Nightingale"</f>
        <v>Nightingale</v>
      </c>
    </row>
    <row r="12235" spans="1:4" x14ac:dyDescent="0.2">
      <c r="A12235" t="str">
        <f>"12234"</f>
        <v>12234</v>
      </c>
      <c r="B12235" t="str">
        <f>"0.76"</f>
        <v>0.76</v>
      </c>
      <c r="C12235" t="str">
        <f>"27"</f>
        <v>27</v>
      </c>
      <c r="D12235" t="str">
        <f>"Alexander"</f>
        <v>Alexander</v>
      </c>
    </row>
    <row r="12236" spans="1:4" x14ac:dyDescent="0.2">
      <c r="A12236" t="str">
        <f>"12235"</f>
        <v>12235</v>
      </c>
      <c r="B12236" t="str">
        <f>"0.62"</f>
        <v>0.62</v>
      </c>
      <c r="C12236" t="str">
        <f>"45"</f>
        <v>45</v>
      </c>
      <c r="D12236" t="str">
        <f>"All Eternals Deck"</f>
        <v>All Eternals Deck</v>
      </c>
    </row>
    <row r="12237" spans="1:4" x14ac:dyDescent="0.2">
      <c r="A12237" t="str">
        <f>"12236"</f>
        <v>12236</v>
      </c>
      <c r="B12237" t="str">
        <f>"0.48"</f>
        <v>0.48</v>
      </c>
      <c r="C12237" t="str">
        <f>"21"</f>
        <v>21</v>
      </c>
      <c r="D12237" t="str">
        <f>"Harbors"</f>
        <v>Harbors</v>
      </c>
    </row>
    <row r="12238" spans="1:4" x14ac:dyDescent="0.2">
      <c r="A12238" t="str">
        <f>"12237"</f>
        <v>12237</v>
      </c>
      <c r="B12238" t="str">
        <f>"1.71"</f>
        <v>1.71</v>
      </c>
      <c r="C12238" t="str">
        <f>"29"</f>
        <v>29</v>
      </c>
      <c r="D12238" t="str">
        <f>"Cotonou Club"</f>
        <v>Cotonou Club</v>
      </c>
    </row>
    <row r="12239" spans="1:4" x14ac:dyDescent="0.2">
      <c r="A12239" t="str">
        <f>"12238"</f>
        <v>12238</v>
      </c>
      <c r="B12239" t="str">
        <f>"-0.05"</f>
        <v>-0.05</v>
      </c>
      <c r="C12239" t="str">
        <f>"24"</f>
        <v>24</v>
      </c>
      <c r="D12239" t="str">
        <f>"Capsized"</f>
        <v>Capsized</v>
      </c>
    </row>
    <row r="12240" spans="1:4" x14ac:dyDescent="0.2">
      <c r="A12240" t="str">
        <f>"12239"</f>
        <v>12239</v>
      </c>
      <c r="B12240" t="str">
        <f>"-0.13"</f>
        <v>-0.13</v>
      </c>
      <c r="C12240" t="str">
        <f>"21"</f>
        <v>21</v>
      </c>
      <c r="D12240" t="str">
        <f>"As High as the Highest Heavens and From the Center to the Circumference of the Earth"</f>
        <v>As High as the Highest Heavens and From the Center to the Circumference of the Earth</v>
      </c>
    </row>
    <row r="12241" spans="1:4" x14ac:dyDescent="0.2">
      <c r="A12241" t="str">
        <f>"12240"</f>
        <v>12240</v>
      </c>
      <c r="B12241" t="str">
        <f>"0.3"</f>
        <v>0.3</v>
      </c>
      <c r="C12241" t="str">
        <f>"29"</f>
        <v>29</v>
      </c>
      <c r="D12241" t="str">
        <f>"Gimme Some"</f>
        <v>Gimme Some</v>
      </c>
    </row>
    <row r="12242" spans="1:4" x14ac:dyDescent="0.2">
      <c r="A12242" t="str">
        <f>"12241"</f>
        <v>12241</v>
      </c>
      <c r="B12242" t="str">
        <f>"-0.5"</f>
        <v>-0.5</v>
      </c>
      <c r="C12242" t="str">
        <f>"46"</f>
        <v>46</v>
      </c>
      <c r="D12242" t="str">
        <f>"Who You Are"</f>
        <v>Who You Are</v>
      </c>
    </row>
    <row r="12243" spans="1:4" x14ac:dyDescent="0.2">
      <c r="A12243" t="str">
        <f>"12242"</f>
        <v>12242</v>
      </c>
      <c r="B12243" t="str">
        <f>"-0.07"</f>
        <v>-0.07</v>
      </c>
      <c r="C12243" t="str">
        <f>"30"</f>
        <v>30</v>
      </c>
      <c r="D12243" t="str">
        <f>"Fabric 56"</f>
        <v>Fabric 56</v>
      </c>
    </row>
    <row r="12244" spans="1:4" x14ac:dyDescent="0.2">
      <c r="A12244" t="str">
        <f>"12243"</f>
        <v>12243</v>
      </c>
      <c r="B12244" t="str">
        <f>"0.31"</f>
        <v>0.31</v>
      </c>
      <c r="C12244" t="str">
        <f>"12"</f>
        <v>12</v>
      </c>
      <c r="D12244" t="str">
        <f>"Mazes"</f>
        <v>Mazes</v>
      </c>
    </row>
    <row r="12245" spans="1:4" x14ac:dyDescent="0.2">
      <c r="A12245" t="str">
        <f>"12244"</f>
        <v>12244</v>
      </c>
      <c r="B12245" t="str">
        <f>"0.15"</f>
        <v>0.15</v>
      </c>
      <c r="C12245" t="str">
        <f>"23"</f>
        <v>23</v>
      </c>
      <c r="D12245" t="str">
        <f>"Other People"</f>
        <v>Other People</v>
      </c>
    </row>
    <row r="12246" spans="1:4" x14ac:dyDescent="0.2">
      <c r="A12246" t="str">
        <f>"12245"</f>
        <v>12245</v>
      </c>
      <c r="B12246" t="str">
        <f>"1.52"</f>
        <v>1.52</v>
      </c>
      <c r="C12246" t="str">
        <f>"67"</f>
        <v>67</v>
      </c>
      <c r="D12246" t="str">
        <f>"Queen"</f>
        <v>Queen</v>
      </c>
    </row>
    <row r="12247" spans="1:4" x14ac:dyDescent="0.2">
      <c r="A12247" t="str">
        <f>"12246"</f>
        <v>12246</v>
      </c>
      <c r="B12247" t="str">
        <f>"0.75"</f>
        <v>0.75</v>
      </c>
      <c r="C12247" t="str">
        <f>"18"</f>
        <v>18</v>
      </c>
      <c r="D12247" t="str">
        <f>"Dust Remixes"</f>
        <v>Dust Remixes</v>
      </c>
    </row>
    <row r="12248" spans="1:4" x14ac:dyDescent="0.2">
      <c r="A12248" t="str">
        <f>"12247"</f>
        <v>12247</v>
      </c>
      <c r="B12248" t="str">
        <f>"0.77"</f>
        <v>0.77</v>
      </c>
      <c r="C12248" t="str">
        <f>"29"</f>
        <v>29</v>
      </c>
      <c r="D12248" t="str">
        <f>"You Stand Uncertain"</f>
        <v>You Stand Uncertain</v>
      </c>
    </row>
    <row r="12249" spans="1:4" x14ac:dyDescent="0.2">
      <c r="A12249" t="str">
        <f>"12248"</f>
        <v>12248</v>
      </c>
      <c r="B12249" t="str">
        <f>"0.17"</f>
        <v>0.17</v>
      </c>
      <c r="C12249" t="str">
        <f>"21"</f>
        <v>21</v>
      </c>
      <c r="D12249" t="str">
        <f>"Defaults"</f>
        <v>Defaults</v>
      </c>
    </row>
    <row r="12250" spans="1:4" x14ac:dyDescent="0.2">
      <c r="A12250" t="str">
        <f>"12249"</f>
        <v>12249</v>
      </c>
      <c r="B12250" t="str">
        <f>"-0.83"</f>
        <v>-0.83</v>
      </c>
      <c r="C12250" t="str">
        <f>"27"</f>
        <v>27</v>
      </c>
      <c r="D12250" t="str">
        <f>"Imperfiction"</f>
        <v>Imperfiction</v>
      </c>
    </row>
    <row r="12251" spans="1:4" x14ac:dyDescent="0.2">
      <c r="A12251" t="str">
        <f>"12250"</f>
        <v>12250</v>
      </c>
      <c r="B12251" t="str">
        <f>"0.36"</f>
        <v>0.36</v>
      </c>
      <c r="C12251" t="str">
        <f>"25"</f>
        <v>25</v>
      </c>
      <c r="D12251" t="str">
        <f>"W.A.R."</f>
        <v>W.A.R.</v>
      </c>
    </row>
    <row r="12252" spans="1:4" x14ac:dyDescent="0.2">
      <c r="A12252" t="str">
        <f>"12251"</f>
        <v>12251</v>
      </c>
      <c r="B12252" t="str">
        <f>"0.88"</f>
        <v>0.88</v>
      </c>
      <c r="C12252" t="str">
        <f>"29"</f>
        <v>29</v>
      </c>
      <c r="D12252" t="str">
        <f>"Starting From Nowhere"</f>
        <v>Starting From Nowhere</v>
      </c>
    </row>
    <row r="12253" spans="1:4" x14ac:dyDescent="0.2">
      <c r="A12253" t="str">
        <f>"12252"</f>
        <v>12252</v>
      </c>
      <c r="B12253" t="str">
        <f>"0.36"</f>
        <v>0.36</v>
      </c>
      <c r="C12253" t="str">
        <f>"40"</f>
        <v>40</v>
      </c>
      <c r="D12253" t="str">
        <f>"Regifted Light"</f>
        <v>Regifted Light</v>
      </c>
    </row>
    <row r="12254" spans="1:4" x14ac:dyDescent="0.2">
      <c r="A12254" t="str">
        <f>"12253"</f>
        <v>12253</v>
      </c>
      <c r="B12254" t="str">
        <f>"0.15"</f>
        <v>0.15</v>
      </c>
      <c r="C12254" t="str">
        <f>"19"</f>
        <v>19</v>
      </c>
      <c r="D12254" t="str">
        <f>"936"</f>
        <v>936</v>
      </c>
    </row>
    <row r="12255" spans="1:4" x14ac:dyDescent="0.2">
      <c r="A12255" t="str">
        <f>"12254"</f>
        <v>12254</v>
      </c>
      <c r="B12255" t="str">
        <f>"-0.02"</f>
        <v>-0.02</v>
      </c>
      <c r="C12255" t="str">
        <f>"25"</f>
        <v>25</v>
      </c>
      <c r="D12255" t="str">
        <f>"Space on Tuesday"</f>
        <v>Space on Tuesday</v>
      </c>
    </row>
    <row r="12256" spans="1:4" x14ac:dyDescent="0.2">
      <c r="A12256" t="str">
        <f>"12255"</f>
        <v>12255</v>
      </c>
      <c r="B12256" t="str">
        <f>"-0.46"</f>
        <v>-0.46</v>
      </c>
      <c r="C12256" t="str">
        <f>"25"</f>
        <v>25</v>
      </c>
      <c r="D12256" t="str">
        <f>"Submarine OST"</f>
        <v>Submarine OST</v>
      </c>
    </row>
    <row r="12257" spans="1:4" x14ac:dyDescent="0.2">
      <c r="A12257" t="str">
        <f>"12256"</f>
        <v>12256</v>
      </c>
      <c r="B12257" t="str">
        <f>"0.89"</f>
        <v>0.89</v>
      </c>
      <c r="C12257" t="str">
        <f>"25"</f>
        <v>25</v>
      </c>
      <c r="D12257" t="str">
        <f>"Common Era"</f>
        <v>Common Era</v>
      </c>
    </row>
    <row r="12258" spans="1:4" x14ac:dyDescent="0.2">
      <c r="A12258" t="str">
        <f>"12257"</f>
        <v>12257</v>
      </c>
      <c r="B12258" t="str">
        <f>"0.33"</f>
        <v>0.33</v>
      </c>
      <c r="C12258" t="str">
        <f>"26"</f>
        <v>26</v>
      </c>
      <c r="D12258" t="str">
        <f>"1000"</f>
        <v>1000</v>
      </c>
    </row>
    <row r="12259" spans="1:4" x14ac:dyDescent="0.2">
      <c r="A12259" t="str">
        <f>"12258"</f>
        <v>12258</v>
      </c>
      <c r="B12259" t="str">
        <f>"0.59"</f>
        <v>0.59</v>
      </c>
      <c r="C12259" t="str">
        <f>"30"</f>
        <v>30</v>
      </c>
      <c r="D12259" t="str">
        <f>"Labour of Lust [Reissue]"</f>
        <v>Labour of Lust [Reissue]</v>
      </c>
    </row>
    <row r="12260" spans="1:4" x14ac:dyDescent="0.2">
      <c r="A12260" t="str">
        <f>"12259"</f>
        <v>12259</v>
      </c>
      <c r="B12260" t="str">
        <f>"-0.38"</f>
        <v>-0.38</v>
      </c>
      <c r="C12260" t="str">
        <f>"26"</f>
        <v>26</v>
      </c>
      <c r="D12260" t="str">
        <f>"Golden Trees"</f>
        <v>Golden Trees</v>
      </c>
    </row>
    <row r="12261" spans="1:4" x14ac:dyDescent="0.2">
      <c r="A12261" t="str">
        <f>"12260"</f>
        <v>12260</v>
      </c>
      <c r="B12261" t="str">
        <f>"-0.12"</f>
        <v>-0.12</v>
      </c>
      <c r="C12261" t="str">
        <f>"49"</f>
        <v>49</v>
      </c>
      <c r="D12261" t="str">
        <f>"Angles"</f>
        <v>Angles</v>
      </c>
    </row>
    <row r="12262" spans="1:4" x14ac:dyDescent="0.2">
      <c r="A12262" t="str">
        <f>"12261"</f>
        <v>12261</v>
      </c>
      <c r="B12262" t="str">
        <f>"-0.42"</f>
        <v>-0.42</v>
      </c>
      <c r="C12262" t="str">
        <f>"36"</f>
        <v>36</v>
      </c>
      <c r="D12262" t="str">
        <f>"FabricLive 56"</f>
        <v>FabricLive 56</v>
      </c>
    </row>
    <row r="12263" spans="1:4" x14ac:dyDescent="0.2">
      <c r="A12263" t="str">
        <f>"12262"</f>
        <v>12262</v>
      </c>
      <c r="B12263" t="str">
        <f>"0.77"</f>
        <v>0.77</v>
      </c>
      <c r="C12263" t="str">
        <f>"18"</f>
        <v>18</v>
      </c>
      <c r="D12263" t="str">
        <f>"Dress Like Your Idols"</f>
        <v>Dress Like Your Idols</v>
      </c>
    </row>
    <row r="12264" spans="1:4" x14ac:dyDescent="0.2">
      <c r="A12264" t="str">
        <f>"12263"</f>
        <v>12263</v>
      </c>
      <c r="B12264" t="str">
        <f>"0.34"</f>
        <v>0.34</v>
      </c>
      <c r="C12264" t="str">
        <f>"15"</f>
        <v>15</v>
      </c>
      <c r="D12264" t="str">
        <f>"Tan Bajo"</f>
        <v>Tan Bajo</v>
      </c>
    </row>
    <row r="12265" spans="1:4" x14ac:dyDescent="0.2">
      <c r="A12265" t="str">
        <f>"12264"</f>
        <v>12264</v>
      </c>
      <c r="B12265" t="str">
        <f>"1.29"</f>
        <v>1.29</v>
      </c>
      <c r="C12265" t="str">
        <f>"18"</f>
        <v>18</v>
      </c>
      <c r="D12265" t="str">
        <f>"Crack My Bones"</f>
        <v>Crack My Bones</v>
      </c>
    </row>
    <row r="12266" spans="1:4" x14ac:dyDescent="0.2">
      <c r="A12266" t="str">
        <f>"12265"</f>
        <v>12265</v>
      </c>
      <c r="B12266" t="str">
        <f>"0.51"</f>
        <v>0.51</v>
      </c>
      <c r="C12266" t="str">
        <f>"26"</f>
        <v>26</v>
      </c>
      <c r="D12266" t="str">
        <f>"Build a Rocket Boys!"</f>
        <v>Build a Rocket Boys!</v>
      </c>
    </row>
    <row r="12267" spans="1:4" x14ac:dyDescent="0.2">
      <c r="A12267" t="str">
        <f>"12266"</f>
        <v>12266</v>
      </c>
      <c r="B12267" t="str">
        <f>"-0.09"</f>
        <v>-0.09</v>
      </c>
      <c r="C12267" t="str">
        <f>"40"</f>
        <v>40</v>
      </c>
      <c r="D12267" t="str">
        <f>"Bridge Over Troubled Water"</f>
        <v>Bridge Over Troubled Water</v>
      </c>
    </row>
    <row r="12268" spans="1:4" x14ac:dyDescent="0.2">
      <c r="A12268" t="str">
        <f>"12267"</f>
        <v>12267</v>
      </c>
      <c r="B12268" t="str">
        <f>"0.83"</f>
        <v>0.83</v>
      </c>
      <c r="C12268" t="str">
        <f>"22"</f>
        <v>22</v>
      </c>
      <c r="D12268" t="str">
        <f>"Helioscope"</f>
        <v>Helioscope</v>
      </c>
    </row>
    <row r="12269" spans="1:4" x14ac:dyDescent="0.2">
      <c r="A12269" t="str">
        <f>"12268"</f>
        <v>12268</v>
      </c>
      <c r="B12269" t="str">
        <f>"0.44"</f>
        <v>0.44</v>
      </c>
      <c r="C12269" t="str">
        <f>"25"</f>
        <v>25</v>
      </c>
      <c r="D12269" t="str">
        <f>"Horizontal Structures"</f>
        <v>Horizontal Structures</v>
      </c>
    </row>
    <row r="12270" spans="1:4" x14ac:dyDescent="0.2">
      <c r="A12270" t="str">
        <f>"12269"</f>
        <v>12269</v>
      </c>
      <c r="B12270" t="str">
        <f>"-0.11"</f>
        <v>-0.11</v>
      </c>
      <c r="C12270" t="str">
        <f>"20"</f>
        <v>20</v>
      </c>
      <c r="D12270" t="str">
        <f>"Boys and Diamonds"</f>
        <v>Boys and Diamonds</v>
      </c>
    </row>
    <row r="12271" spans="1:4" x14ac:dyDescent="0.2">
      <c r="A12271" t="str">
        <f>"12270"</f>
        <v>12270</v>
      </c>
      <c r="B12271" t="str">
        <f>"0.45"</f>
        <v>0.45</v>
      </c>
      <c r="C12271" t="str">
        <f>"36"</f>
        <v>36</v>
      </c>
      <c r="D12271" t="str">
        <f>"Several Shades of Why"</f>
        <v>Several Shades of Why</v>
      </c>
    </row>
    <row r="12272" spans="1:4" x14ac:dyDescent="0.2">
      <c r="A12272" t="str">
        <f>"12271"</f>
        <v>12271</v>
      </c>
      <c r="B12272" t="str">
        <f>"0.5"</f>
        <v>0.5</v>
      </c>
      <c r="C12272" t="str">
        <f>"30"</f>
        <v>30</v>
      </c>
      <c r="D12272" t="str">
        <f>"Mosaik"</f>
        <v>Mosaik</v>
      </c>
    </row>
    <row r="12273" spans="1:4" x14ac:dyDescent="0.2">
      <c r="A12273" t="str">
        <f>"12272"</f>
        <v>12272</v>
      </c>
      <c r="B12273" t="str">
        <f>"-0.35"</f>
        <v>-0.35</v>
      </c>
      <c r="C12273" t="str">
        <f>"16"</f>
        <v>16</v>
      </c>
      <c r="D12273" t="str">
        <f>"Lesser Known"</f>
        <v>Lesser Known</v>
      </c>
    </row>
    <row r="12274" spans="1:4" x14ac:dyDescent="0.2">
      <c r="A12274" t="str">
        <f>"12273"</f>
        <v>12273</v>
      </c>
      <c r="B12274" t="str">
        <f>"-0.42"</f>
        <v>-0.42</v>
      </c>
      <c r="C12274" t="str">
        <f>"18"</f>
        <v>18</v>
      </c>
      <c r="D12274" t="str">
        <f>"Dolphins"</f>
        <v>Dolphins</v>
      </c>
    </row>
    <row r="12275" spans="1:4" x14ac:dyDescent="0.2">
      <c r="A12275" t="str">
        <f>"12274"</f>
        <v>12274</v>
      </c>
      <c r="B12275" t="str">
        <f>"0.11"</f>
        <v>0.11</v>
      </c>
      <c r="C12275" t="str">
        <f>"29"</f>
        <v>29</v>
      </c>
      <c r="D12275" t="str">
        <f>"Approaching the Energy Field"</f>
        <v>Approaching the Energy Field</v>
      </c>
    </row>
    <row r="12276" spans="1:4" x14ac:dyDescent="0.2">
      <c r="A12276" t="str">
        <f>"12275"</f>
        <v>12275</v>
      </c>
      <c r="B12276" t="str">
        <f>"-0.49"</f>
        <v>-0.49</v>
      </c>
      <c r="C12276" t="str">
        <f>"22"</f>
        <v>22</v>
      </c>
      <c r="D12276" t="str">
        <f>"Lasers"</f>
        <v>Lasers</v>
      </c>
    </row>
    <row r="12277" spans="1:4" x14ac:dyDescent="0.2">
      <c r="A12277" t="str">
        <f>"12276"</f>
        <v>12276</v>
      </c>
      <c r="B12277" t="str">
        <f>"-0.05"</f>
        <v>-0.05</v>
      </c>
      <c r="C12277" t="str">
        <f>"28"</f>
        <v>28</v>
      </c>
      <c r="D12277" t="str">
        <f>"II"</f>
        <v>II</v>
      </c>
    </row>
    <row r="12278" spans="1:4" x14ac:dyDescent="0.2">
      <c r="A12278" t="str">
        <f>"12277"</f>
        <v>12277</v>
      </c>
      <c r="B12278" t="str">
        <f>"0.22"</f>
        <v>0.22</v>
      </c>
      <c r="C12278" t="str">
        <f>"37"</f>
        <v>37</v>
      </c>
      <c r="D12278" t="str">
        <f>"Blessed"</f>
        <v>Blessed</v>
      </c>
    </row>
    <row r="12279" spans="1:4" x14ac:dyDescent="0.2">
      <c r="A12279" t="str">
        <f>"12278"</f>
        <v>12278</v>
      </c>
      <c r="B12279" t="str">
        <f>"0.61"</f>
        <v>0.61</v>
      </c>
      <c r="C12279" t="str">
        <f>"40"</f>
        <v>40</v>
      </c>
      <c r="D12279" t="str">
        <f>"Pakistan Folk and Pop Instrumentals 1966-1976"</f>
        <v>Pakistan Folk and Pop Instrumentals 1966-1976</v>
      </c>
    </row>
    <row r="12280" spans="1:4" x14ac:dyDescent="0.2">
      <c r="A12280" t="str">
        <f>"12279"</f>
        <v>12279</v>
      </c>
      <c r="B12280" t="str">
        <f>"-0.75"</f>
        <v>-0.75</v>
      </c>
      <c r="C12280" t="str">
        <f>"24"</f>
        <v>24</v>
      </c>
      <c r="D12280" t="str">
        <f>"One Nation"</f>
        <v>One Nation</v>
      </c>
    </row>
    <row r="12281" spans="1:4" x14ac:dyDescent="0.2">
      <c r="A12281" t="str">
        <f>"12280"</f>
        <v>12280</v>
      </c>
      <c r="B12281" t="str">
        <f>"-0.69"</f>
        <v>-0.69</v>
      </c>
      <c r="C12281" t="str">
        <f>"30"</f>
        <v>30</v>
      </c>
      <c r="D12281" t="str">
        <f>"Shaolin vs. Wu-Tang"</f>
        <v>Shaolin vs. Wu-Tang</v>
      </c>
    </row>
    <row r="12282" spans="1:4" x14ac:dyDescent="0.2">
      <c r="A12282" t="str">
        <f>"12281"</f>
        <v>12281</v>
      </c>
      <c r="B12282" t="str">
        <f>"0.68"</f>
        <v>0.68</v>
      </c>
      <c r="C12282" t="str">
        <f>"21"</f>
        <v>21</v>
      </c>
      <c r="D12282" t="str">
        <f>"DJ-Kicks"</f>
        <v>DJ-Kicks</v>
      </c>
    </row>
    <row r="12283" spans="1:4" x14ac:dyDescent="0.2">
      <c r="A12283" t="str">
        <f>"12282"</f>
        <v>12282</v>
      </c>
      <c r="B12283" t="str">
        <f>"0.39"</f>
        <v>0.39</v>
      </c>
      <c r="C12283" t="str">
        <f>"25"</f>
        <v>25</v>
      </c>
      <c r="D12283" t="str">
        <f>"A Dream a While Back"</f>
        <v>A Dream a While Back</v>
      </c>
    </row>
    <row r="12284" spans="1:4" x14ac:dyDescent="0.2">
      <c r="A12284" t="str">
        <f>"12283"</f>
        <v>12283</v>
      </c>
      <c r="B12284" t="str">
        <f>"-0.93"</f>
        <v>-0.93</v>
      </c>
      <c r="C12284" t="str">
        <f>"24"</f>
        <v>24</v>
      </c>
      <c r="D12284" t="str">
        <f>"Sauna"</f>
        <v>Sauna</v>
      </c>
    </row>
    <row r="12285" spans="1:4" x14ac:dyDescent="0.2">
      <c r="A12285" t="str">
        <f>"12284"</f>
        <v>12284</v>
      </c>
      <c r="B12285" t="str">
        <f>"1"</f>
        <v>1</v>
      </c>
      <c r="C12285" t="str">
        <f>"22"</f>
        <v>22</v>
      </c>
      <c r="D12285" t="str">
        <f>"Summer Echoes"</f>
        <v>Summer Echoes</v>
      </c>
    </row>
    <row r="12286" spans="1:4" x14ac:dyDescent="0.2">
      <c r="A12286" t="str">
        <f>"12285"</f>
        <v>12285</v>
      </c>
      <c r="B12286" t="str">
        <f>"0.31"</f>
        <v>0.31</v>
      </c>
      <c r="C12286" t="str">
        <f>"20"</f>
        <v>20</v>
      </c>
      <c r="D12286" t="str">
        <f>"No Color"</f>
        <v>No Color</v>
      </c>
    </row>
    <row r="12287" spans="1:4" x14ac:dyDescent="0.2">
      <c r="A12287" t="str">
        <f>"12286"</f>
        <v>12286</v>
      </c>
      <c r="B12287" t="str">
        <f>"-0.57"</f>
        <v>-0.57</v>
      </c>
      <c r="C12287" t="str">
        <f>"25"</f>
        <v>25</v>
      </c>
      <c r="D12287" t="s">
        <v>365</v>
      </c>
    </row>
    <row r="12288" spans="1:4" x14ac:dyDescent="0.2">
      <c r="A12288" t="str">
        <f>"12287"</f>
        <v>12287</v>
      </c>
      <c r="B12288" t="str">
        <f>"0.27"</f>
        <v>0.27</v>
      </c>
      <c r="C12288" t="str">
        <f>"21"</f>
        <v>21</v>
      </c>
      <c r="D12288" t="str">
        <f>"Last Night on Earth"</f>
        <v>Last Night on Earth</v>
      </c>
    </row>
    <row r="12289" spans="1:4" x14ac:dyDescent="0.2">
      <c r="A12289" t="str">
        <f>"12288"</f>
        <v>12288</v>
      </c>
      <c r="B12289" t="str">
        <f>"-0.5"</f>
        <v>-0.5</v>
      </c>
      <c r="C12289" t="str">
        <f>"34"</f>
        <v>34</v>
      </c>
      <c r="D12289" t="str">
        <f>"Dead Reckoning"</f>
        <v>Dead Reckoning</v>
      </c>
    </row>
    <row r="12290" spans="1:4" x14ac:dyDescent="0.2">
      <c r="A12290" t="str">
        <f>"12289"</f>
        <v>12289</v>
      </c>
      <c r="B12290" t="str">
        <f>"-0.06"</f>
        <v>-0.06</v>
      </c>
      <c r="C12290" t="str">
        <f>"28"</f>
        <v>28</v>
      </c>
      <c r="D12290" t="str">
        <f>"Electric Endicott"</f>
        <v>Electric Endicott</v>
      </c>
    </row>
    <row r="12291" spans="1:4" x14ac:dyDescent="0.2">
      <c r="A12291" t="str">
        <f>"12290"</f>
        <v>12290</v>
      </c>
      <c r="B12291" t="str">
        <f>"0.08"</f>
        <v>0.08</v>
      </c>
      <c r="C12291" t="str">
        <f>"16"</f>
        <v>16</v>
      </c>
      <c r="D12291" t="str">
        <f>"Island Brothers"</f>
        <v>Island Brothers</v>
      </c>
    </row>
    <row r="12292" spans="1:4" x14ac:dyDescent="0.2">
      <c r="A12292" t="str">
        <f>"12291"</f>
        <v>12291</v>
      </c>
      <c r="B12292" t="str">
        <f>"0.56"</f>
        <v>0.56</v>
      </c>
      <c r="C12292" t="str">
        <f>"36"</f>
        <v>36</v>
      </c>
      <c r="D12292" t="str">
        <f>"Civilian"</f>
        <v>Civilian</v>
      </c>
    </row>
    <row r="12293" spans="1:4" x14ac:dyDescent="0.2">
      <c r="A12293" t="str">
        <f>"12292"</f>
        <v>12292</v>
      </c>
      <c r="B12293" t="str">
        <f>"-0.72"</f>
        <v>-0.72</v>
      </c>
      <c r="C12293" t="str">
        <f>"16"</f>
        <v>16</v>
      </c>
      <c r="D12293" t="str">
        <f>"The Big Roar"</f>
        <v>The Big Roar</v>
      </c>
    </row>
    <row r="12294" spans="1:4" x14ac:dyDescent="0.2">
      <c r="A12294" t="str">
        <f>"12293"</f>
        <v>12293</v>
      </c>
      <c r="B12294" t="str">
        <f>"-0.82"</f>
        <v>-0.82</v>
      </c>
      <c r="C12294" t="str">
        <f>"29"</f>
        <v>29</v>
      </c>
      <c r="D12294" t="str">
        <f>"Riot Now!"</f>
        <v>Riot Now!</v>
      </c>
    </row>
    <row r="12295" spans="1:4" x14ac:dyDescent="0.2">
      <c r="A12295" t="str">
        <f>"12294"</f>
        <v>12294</v>
      </c>
      <c r="B12295" t="str">
        <f>"-1.21"</f>
        <v>-1.21</v>
      </c>
      <c r="C12295" t="str">
        <f>"21"</f>
        <v>21</v>
      </c>
      <c r="D12295" t="str">
        <f>"Build With Erosion"</f>
        <v>Build With Erosion</v>
      </c>
    </row>
    <row r="12296" spans="1:4" x14ac:dyDescent="0.2">
      <c r="A12296" t="str">
        <f>"12295"</f>
        <v>12295</v>
      </c>
      <c r="B12296" t="str">
        <f>"1.85"</f>
        <v>1.85</v>
      </c>
      <c r="C12296" t="str">
        <f>"21"</f>
        <v>21</v>
      </c>
      <c r="D12296" t="str">
        <f>"A Tale of Two Journeys"</f>
        <v>A Tale of Two Journeys</v>
      </c>
    </row>
    <row r="12297" spans="1:4" x14ac:dyDescent="0.2">
      <c r="A12297" t="str">
        <f>"12296"</f>
        <v>12296</v>
      </c>
      <c r="B12297" t="str">
        <f>"0.54"</f>
        <v>0.54</v>
      </c>
      <c r="C12297" t="str">
        <f>"39"</f>
        <v>39</v>
      </c>
      <c r="D12297" t="str">
        <f>"Absolute"</f>
        <v>Absolute</v>
      </c>
    </row>
    <row r="12298" spans="1:4" x14ac:dyDescent="0.2">
      <c r="A12298" t="str">
        <f>"12297"</f>
        <v>12297</v>
      </c>
      <c r="B12298" t="str">
        <f>"0.77"</f>
        <v>0.77</v>
      </c>
      <c r="C12298" t="str">
        <f>"19"</f>
        <v>19</v>
      </c>
      <c r="D12298" t="str">
        <f>"100 Lovers"</f>
        <v>100 Lovers</v>
      </c>
    </row>
    <row r="12299" spans="1:4" x14ac:dyDescent="0.2">
      <c r="A12299" t="str">
        <f>"12298"</f>
        <v>12298</v>
      </c>
      <c r="B12299" t="str">
        <f>"1.1"</f>
        <v>1.1</v>
      </c>
      <c r="C12299" t="str">
        <f>"14"</f>
        <v>14</v>
      </c>
      <c r="D12299" t="str">
        <f>"Telling the Truth"</f>
        <v>Telling the Truth</v>
      </c>
    </row>
    <row r="12300" spans="1:4" x14ac:dyDescent="0.2">
      <c r="A12300" t="str">
        <f>"12299"</f>
        <v>12299</v>
      </c>
      <c r="B12300" t="str">
        <f>"0.45"</f>
        <v>0.45</v>
      </c>
      <c r="C12300" t="str">
        <f>"24"</f>
        <v>24</v>
      </c>
      <c r="D12300" t="str">
        <f>"In Tension EP"</f>
        <v>In Tension EP</v>
      </c>
    </row>
    <row r="12301" spans="1:4" x14ac:dyDescent="0.2">
      <c r="A12301" t="str">
        <f>"12300"</f>
        <v>12300</v>
      </c>
      <c r="B12301" t="str">
        <f>"0.78"</f>
        <v>0.78</v>
      </c>
      <c r="C12301" t="str">
        <f>"26"</f>
        <v>26</v>
      </c>
      <c r="D12301" t="str">
        <f>"Collapse Into Now"</f>
        <v>Collapse Into Now</v>
      </c>
    </row>
    <row r="12302" spans="1:4" x14ac:dyDescent="0.2">
      <c r="A12302" t="str">
        <f>"12301"</f>
        <v>12301</v>
      </c>
      <c r="B12302" t="str">
        <f>"0.1"</f>
        <v>0.1</v>
      </c>
      <c r="C12302" t="str">
        <f>"31"</f>
        <v>31</v>
      </c>
      <c r="D12302" t="str">
        <f>"Asleep on the Floodplain"</f>
        <v>Asleep on the Floodplain</v>
      </c>
    </row>
    <row r="12303" spans="1:4" x14ac:dyDescent="0.2">
      <c r="A12303" t="str">
        <f>"12302"</f>
        <v>12302</v>
      </c>
      <c r="B12303" t="str">
        <f>"1.03"</f>
        <v>1.03</v>
      </c>
      <c r="C12303" t="str">
        <f>"30"</f>
        <v>30</v>
      </c>
      <c r="D12303" t="str">
        <f>"Cervantine"</f>
        <v>Cervantine</v>
      </c>
    </row>
    <row r="12304" spans="1:4" x14ac:dyDescent="0.2">
      <c r="A12304" t="str">
        <f>"12303"</f>
        <v>12303</v>
      </c>
      <c r="B12304" t="str">
        <f>"0.71"</f>
        <v>0.71</v>
      </c>
      <c r="C12304" t="str">
        <f>"28"</f>
        <v>28</v>
      </c>
      <c r="D12304" t="str">
        <f>"Social Experiment 002"</f>
        <v>Social Experiment 002</v>
      </c>
    </row>
    <row r="12305" spans="1:4" x14ac:dyDescent="0.2">
      <c r="A12305" t="str">
        <f>"12304"</f>
        <v>12304</v>
      </c>
      <c r="B12305" t="str">
        <f>"1.13"</f>
        <v>1.13</v>
      </c>
      <c r="C12305" t="str">
        <f>"22"</f>
        <v>22</v>
      </c>
      <c r="D12305" t="str">
        <f>"Cartagena! Curro Fuentes &amp; The Big Band Cumbia And Descarga Sound Of Colombia 1962-1972"</f>
        <v>Cartagena! Curro Fuentes &amp; The Big Band Cumbia And Descarga Sound Of Colombia 1962-1972</v>
      </c>
    </row>
    <row r="12306" spans="1:4" x14ac:dyDescent="0.2">
      <c r="A12306" t="str">
        <f>"12305"</f>
        <v>12305</v>
      </c>
      <c r="B12306" t="str">
        <f>"-0.25"</f>
        <v>-0.25</v>
      </c>
      <c r="C12306" t="str">
        <f>"16"</f>
        <v>16</v>
      </c>
      <c r="D12306" t="str">
        <f>"Queens of the Stone Age [Reissue]"</f>
        <v>Queens of the Stone Age [Reissue]</v>
      </c>
    </row>
    <row r="12307" spans="1:4" x14ac:dyDescent="0.2">
      <c r="A12307" t="str">
        <f>"12306"</f>
        <v>12306</v>
      </c>
      <c r="B12307" t="str">
        <f>"0.48"</f>
        <v>0.48</v>
      </c>
      <c r="C12307" t="str">
        <f>"28"</f>
        <v>28</v>
      </c>
      <c r="D12307" t="str">
        <f>"Constant Future"</f>
        <v>Constant Future</v>
      </c>
    </row>
    <row r="12308" spans="1:4" x14ac:dyDescent="0.2">
      <c r="A12308" t="str">
        <f>"12307"</f>
        <v>12307</v>
      </c>
      <c r="B12308" t="str">
        <f>"0.35"</f>
        <v>0.35</v>
      </c>
      <c r="C12308" t="str">
        <f>"31"</f>
        <v>31</v>
      </c>
      <c r="D12308" t="str">
        <f>"SMM: Context"</f>
        <v>SMM: Context</v>
      </c>
    </row>
    <row r="12309" spans="1:4" x14ac:dyDescent="0.2">
      <c r="A12309" t="str">
        <f>"12308"</f>
        <v>12308</v>
      </c>
      <c r="B12309" t="str">
        <f>"0.33"</f>
        <v>0.33</v>
      </c>
      <c r="C12309" t="str">
        <f>"25"</f>
        <v>25</v>
      </c>
      <c r="D12309" t="str">
        <f>"What a Pleasure EP"</f>
        <v>What a Pleasure EP</v>
      </c>
    </row>
    <row r="12310" spans="1:4" x14ac:dyDescent="0.2">
      <c r="A12310" t="str">
        <f>"12309"</f>
        <v>12309</v>
      </c>
      <c r="B12310" t="str">
        <f>"-0.52"</f>
        <v>-0.52</v>
      </c>
      <c r="C12310" t="str">
        <f>"29"</f>
        <v>29</v>
      </c>
      <c r="D12310" t="str">
        <f>"The Invisible Insurrection"</f>
        <v>The Invisible Insurrection</v>
      </c>
    </row>
    <row r="12311" spans="1:4" x14ac:dyDescent="0.2">
      <c r="A12311" t="str">
        <f>"12310"</f>
        <v>12310</v>
      </c>
      <c r="B12311" t="str">
        <f>"0.01"</f>
        <v>0.01</v>
      </c>
      <c r="C12311" t="str">
        <f>"43"</f>
        <v>43</v>
      </c>
      <c r="D12311" t="str">
        <f>"Smoke Ring For My Halo"</f>
        <v>Smoke Ring For My Halo</v>
      </c>
    </row>
    <row r="12312" spans="1:4" x14ac:dyDescent="0.2">
      <c r="A12312" t="str">
        <f>"12311"</f>
        <v>12311</v>
      </c>
      <c r="B12312" t="str">
        <f>"0.35"</f>
        <v>0.35</v>
      </c>
      <c r="C12312" t="str">
        <f>"18"</f>
        <v>18</v>
      </c>
      <c r="D12312" t="str">
        <f>"Slaughterhouse EP"</f>
        <v>Slaughterhouse EP</v>
      </c>
    </row>
    <row r="12313" spans="1:4" x14ac:dyDescent="0.2">
      <c r="A12313" t="str">
        <f>"12312"</f>
        <v>12312</v>
      </c>
      <c r="B12313" t="str">
        <f>"0.75"</f>
        <v>0.75</v>
      </c>
      <c r="C12313" t="str">
        <f>"19"</f>
        <v>19</v>
      </c>
      <c r="D12313" t="s">
        <v>366</v>
      </c>
    </row>
    <row r="12314" spans="1:4" x14ac:dyDescent="0.2">
      <c r="A12314" t="str">
        <f>"12313"</f>
        <v>12313</v>
      </c>
      <c r="B12314" t="str">
        <f>"0.29"</f>
        <v>0.29</v>
      </c>
      <c r="C12314" t="str">
        <f>"19"</f>
        <v>19</v>
      </c>
      <c r="D12314" t="str">
        <f>"First Wave"</f>
        <v>First Wave</v>
      </c>
    </row>
    <row r="12315" spans="1:4" x14ac:dyDescent="0.2">
      <c r="A12315" t="str">
        <f>"12314"</f>
        <v>12314</v>
      </c>
      <c r="B12315" t="str">
        <f>"0.48"</f>
        <v>0.48</v>
      </c>
      <c r="C12315" t="str">
        <f>"16"</f>
        <v>16</v>
      </c>
      <c r="D12315" t="str">
        <f>"The Color"</f>
        <v>The Color</v>
      </c>
    </row>
    <row r="12316" spans="1:4" x14ac:dyDescent="0.2">
      <c r="A12316" t="str">
        <f>"12315"</f>
        <v>12315</v>
      </c>
      <c r="B12316" t="str">
        <f>"0.03"</f>
        <v>0.03</v>
      </c>
      <c r="C12316" t="str">
        <f>"40"</f>
        <v>40</v>
      </c>
      <c r="D12316" t="str">
        <f>"iTunes Live from SoHo"</f>
        <v>iTunes Live from SoHo</v>
      </c>
    </row>
    <row r="12317" spans="1:4" x14ac:dyDescent="0.2">
      <c r="A12317" t="str">
        <f>"12316"</f>
        <v>12316</v>
      </c>
      <c r="B12317" t="str">
        <f>"-0.8"</f>
        <v>-0.8</v>
      </c>
      <c r="C12317" t="str">
        <f>"46"</f>
        <v>46</v>
      </c>
      <c r="D12317" t="s">
        <v>367</v>
      </c>
    </row>
    <row r="12318" spans="1:4" x14ac:dyDescent="0.2">
      <c r="A12318" t="str">
        <f>"12317"</f>
        <v>12317</v>
      </c>
      <c r="B12318" t="str">
        <f>"-0.03"</f>
        <v>-0.03</v>
      </c>
      <c r="C12318" t="str">
        <f>"25"</f>
        <v>25</v>
      </c>
      <c r="D12318" t="str">
        <f>"Bible Eyes"</f>
        <v>Bible Eyes</v>
      </c>
    </row>
    <row r="12319" spans="1:4" x14ac:dyDescent="0.2">
      <c r="A12319" t="str">
        <f>"12318"</f>
        <v>12318</v>
      </c>
      <c r="B12319" t="str">
        <f>"1.5"</f>
        <v>1.5</v>
      </c>
      <c r="C12319" t="str">
        <f>"30"</f>
        <v>30</v>
      </c>
      <c r="D12319" t="str">
        <f>"The Woody Nightshade"</f>
        <v>The Woody Nightshade</v>
      </c>
    </row>
    <row r="12320" spans="1:4" x14ac:dyDescent="0.2">
      <c r="A12320" t="str">
        <f>"12319"</f>
        <v>12319</v>
      </c>
      <c r="B12320" t="str">
        <f>"0.53"</f>
        <v>0.53</v>
      </c>
      <c r="C12320" t="str">
        <f>"18"</f>
        <v>18</v>
      </c>
      <c r="D12320" t="s">
        <v>368</v>
      </c>
    </row>
    <row r="12321" spans="1:4" x14ac:dyDescent="0.2">
      <c r="A12321" t="str">
        <f>"12320"</f>
        <v>12320</v>
      </c>
      <c r="B12321" t="str">
        <f>"-0.06"</f>
        <v>-0.06</v>
      </c>
      <c r="C12321" t="str">
        <f>"28"</f>
        <v>28</v>
      </c>
      <c r="D12321" t="str">
        <f>"Wounded Rhymes"</f>
        <v>Wounded Rhymes</v>
      </c>
    </row>
    <row r="12322" spans="1:4" x14ac:dyDescent="0.2">
      <c r="A12322" t="str">
        <f>"12321"</f>
        <v>12321</v>
      </c>
      <c r="B12322" t="str">
        <f>"0.37"</f>
        <v>0.37</v>
      </c>
      <c r="C12322" t="str">
        <f>"26"</f>
        <v>26</v>
      </c>
      <c r="D12322" t="str">
        <f>"Fading Parade"</f>
        <v>Fading Parade</v>
      </c>
    </row>
    <row r="12323" spans="1:4" x14ac:dyDescent="0.2">
      <c r="A12323" t="str">
        <f>"12322"</f>
        <v>12322</v>
      </c>
      <c r="B12323" t="str">
        <f>"1.36"</f>
        <v>1.36</v>
      </c>
      <c r="C12323" t="str">
        <f>"28"</f>
        <v>28</v>
      </c>
      <c r="D12323" t="str">
        <f>"New History Warfare Vol. 2: Judges"</f>
        <v>New History Warfare Vol. 2: Judges</v>
      </c>
    </row>
    <row r="12324" spans="1:4" x14ac:dyDescent="0.2">
      <c r="A12324" t="str">
        <f>"12323"</f>
        <v>12323</v>
      </c>
      <c r="B12324" t="str">
        <f>"-0.24"</f>
        <v>-0.24</v>
      </c>
      <c r="C12324" t="str">
        <f>"32"</f>
        <v>32</v>
      </c>
      <c r="D12324" t="str">
        <f>"Trash Hit"</f>
        <v>Trash Hit</v>
      </c>
    </row>
    <row r="12325" spans="1:4" x14ac:dyDescent="0.2">
      <c r="A12325" t="str">
        <f>"12324"</f>
        <v>12324</v>
      </c>
      <c r="B12325" t="str">
        <f>"1.38"</f>
        <v>1.38</v>
      </c>
      <c r="C12325" t="str">
        <f>"21"</f>
        <v>21</v>
      </c>
      <c r="D12325" t="str">
        <f>"Gramahawk"</f>
        <v>Gramahawk</v>
      </c>
    </row>
    <row r="12326" spans="1:4" x14ac:dyDescent="0.2">
      <c r="A12326" t="str">
        <f>"12325"</f>
        <v>12325</v>
      </c>
      <c r="B12326" t="str">
        <f>"0.35"</f>
        <v>0.35</v>
      </c>
      <c r="C12326" t="str">
        <f>"38"</f>
        <v>38</v>
      </c>
      <c r="D12326" t="str">
        <f>"Synthesist"</f>
        <v>Synthesist</v>
      </c>
    </row>
    <row r="12327" spans="1:4" x14ac:dyDescent="0.2">
      <c r="A12327" t="str">
        <f>"12326"</f>
        <v>12326</v>
      </c>
      <c r="B12327" t="str">
        <f>"-0.45"</f>
        <v>-0.45</v>
      </c>
      <c r="C12327" t="str">
        <f>"19"</f>
        <v>19</v>
      </c>
      <c r="D12327" t="str">
        <f>"Departing"</f>
        <v>Departing</v>
      </c>
    </row>
    <row r="12328" spans="1:4" x14ac:dyDescent="0.2">
      <c r="A12328" t="str">
        <f>"12327"</f>
        <v>12327</v>
      </c>
      <c r="B12328" t="str">
        <f>"0.37"</f>
        <v>0.37</v>
      </c>
      <c r="C12328" t="str">
        <f>"19"</f>
        <v>19</v>
      </c>
      <c r="D12328" t="str">
        <f>"Leaves Eclipse the Light"</f>
        <v>Leaves Eclipse the Light</v>
      </c>
    </row>
    <row r="12329" spans="1:4" x14ac:dyDescent="0.2">
      <c r="A12329" t="str">
        <f>"12328"</f>
        <v>12328</v>
      </c>
      <c r="B12329" t="str">
        <f>"0.5"</f>
        <v>0.5</v>
      </c>
      <c r="C12329" t="str">
        <f>"19"</f>
        <v>19</v>
      </c>
      <c r="D12329" t="str">
        <f>"Uncut Diamond EP"</f>
        <v>Uncut Diamond EP</v>
      </c>
    </row>
    <row r="12330" spans="1:4" x14ac:dyDescent="0.2">
      <c r="A12330" t="str">
        <f>"12329"</f>
        <v>12329</v>
      </c>
      <c r="B12330" t="str">
        <f>"-0.75"</f>
        <v>-0.75</v>
      </c>
      <c r="C12330" t="str">
        <f>"27"</f>
        <v>27</v>
      </c>
      <c r="D12330" t="str">
        <f>"Laru Beya"</f>
        <v>Laru Beya</v>
      </c>
    </row>
    <row r="12331" spans="1:4" x14ac:dyDescent="0.2">
      <c r="A12331" t="str">
        <f>"12330"</f>
        <v>12330</v>
      </c>
      <c r="B12331" t="str">
        <f>"0.6"</f>
        <v>0.6</v>
      </c>
      <c r="C12331" t="str">
        <f>"28"</f>
        <v>28</v>
      </c>
      <c r="D12331" t="str">
        <f>"He Gets Me High EP"</f>
        <v>He Gets Me High EP</v>
      </c>
    </row>
    <row r="12332" spans="1:4" x14ac:dyDescent="0.2">
      <c r="A12332" t="str">
        <f>"12331"</f>
        <v>12331</v>
      </c>
      <c r="B12332" t="str">
        <f>"0.41"</f>
        <v>0.41</v>
      </c>
      <c r="C12332" t="str">
        <f>"24"</f>
        <v>24</v>
      </c>
      <c r="D12332" t="str">
        <f>"Anna Calvi"</f>
        <v>Anna Calvi</v>
      </c>
    </row>
    <row r="12333" spans="1:4" x14ac:dyDescent="0.2">
      <c r="A12333" t="str">
        <f>"12332"</f>
        <v>12332</v>
      </c>
      <c r="B12333" t="str">
        <f>"-0.65"</f>
        <v>-0.65</v>
      </c>
      <c r="C12333" t="str">
        <f>"20"</f>
        <v>20</v>
      </c>
      <c r="D12333" t="str">
        <f>"Tear the Fences Down"</f>
        <v>Tear the Fences Down</v>
      </c>
    </row>
    <row r="12334" spans="1:4" x14ac:dyDescent="0.2">
      <c r="A12334" t="str">
        <f>"12333"</f>
        <v>12333</v>
      </c>
      <c r="B12334" t="str">
        <f>"0.23"</f>
        <v>0.23</v>
      </c>
      <c r="C12334" t="str">
        <f>"19"</f>
        <v>19</v>
      </c>
      <c r="D12334" t="str">
        <f>"Mind Spiders"</f>
        <v>Mind Spiders</v>
      </c>
    </row>
    <row r="12335" spans="1:4" x14ac:dyDescent="0.2">
      <c r="A12335" t="str">
        <f>"12334"</f>
        <v>12334</v>
      </c>
      <c r="B12335" t="str">
        <f>"-0.17"</f>
        <v>-0.17</v>
      </c>
      <c r="C12335" t="str">
        <f>"27"</f>
        <v>27</v>
      </c>
      <c r="D12335" t="str">
        <f>"A Pre-Existing Condition"</f>
        <v>A Pre-Existing Condition</v>
      </c>
    </row>
    <row r="12336" spans="1:4" x14ac:dyDescent="0.2">
      <c r="A12336" t="str">
        <f>"12335"</f>
        <v>12335</v>
      </c>
      <c r="B12336" t="str">
        <f>"-0.93"</f>
        <v>-0.93</v>
      </c>
      <c r="C12336" t="str">
        <f>"29"</f>
        <v>29</v>
      </c>
      <c r="D12336" t="str">
        <f>"Computers and Blues"</f>
        <v>Computers and Blues</v>
      </c>
    </row>
    <row r="12337" spans="1:4" x14ac:dyDescent="0.2">
      <c r="A12337" t="str">
        <f>"12336"</f>
        <v>12336</v>
      </c>
      <c r="B12337" t="str">
        <f>"-0.63"</f>
        <v>-0.63</v>
      </c>
      <c r="C12337" t="str">
        <f>"18"</f>
        <v>18</v>
      </c>
      <c r="D12337" t="str">
        <f>"The Best of Gloucester County"</f>
        <v>The Best of Gloucester County</v>
      </c>
    </row>
    <row r="12338" spans="1:4" x14ac:dyDescent="0.2">
      <c r="A12338" t="str">
        <f>"12337"</f>
        <v>12337</v>
      </c>
      <c r="B12338" t="str">
        <f>"-1.73"</f>
        <v>-1.73</v>
      </c>
      <c r="C12338" t="str">
        <f>"20"</f>
        <v>20</v>
      </c>
      <c r="D12338" t="str">
        <f>"Something Dirty"</f>
        <v>Something Dirty</v>
      </c>
    </row>
    <row r="12339" spans="1:4" x14ac:dyDescent="0.2">
      <c r="A12339" t="str">
        <f>"12338"</f>
        <v>12338</v>
      </c>
      <c r="B12339" t="str">
        <f>"0.71"</f>
        <v>0.71</v>
      </c>
      <c r="C12339" t="str">
        <f>"21"</f>
        <v>21</v>
      </c>
      <c r="D12339" t="str">
        <f>"Peer Amid"</f>
        <v>Peer Amid</v>
      </c>
    </row>
    <row r="12340" spans="1:4" x14ac:dyDescent="0.2">
      <c r="A12340" t="str">
        <f>"12339"</f>
        <v>12339</v>
      </c>
      <c r="B12340" t="str">
        <f>"0.07"</f>
        <v>0.07</v>
      </c>
      <c r="C12340" t="str">
        <f>"15"</f>
        <v>15</v>
      </c>
      <c r="D12340" t="str">
        <f>"Discodeine"</f>
        <v>Discodeine</v>
      </c>
    </row>
    <row r="12341" spans="1:4" x14ac:dyDescent="0.2">
      <c r="A12341" t="str">
        <f>"12340"</f>
        <v>12340</v>
      </c>
      <c r="B12341" t="str">
        <f>"0.19"</f>
        <v>0.19</v>
      </c>
      <c r="C12341" t="str">
        <f>"23"</f>
        <v>23</v>
      </c>
      <c r="D12341" t="str">
        <f>"Underneath the Pine"</f>
        <v>Underneath the Pine</v>
      </c>
    </row>
    <row r="12342" spans="1:4" x14ac:dyDescent="0.2">
      <c r="A12342" t="str">
        <f>"12341"</f>
        <v>12341</v>
      </c>
      <c r="B12342" t="str">
        <f>"0.07"</f>
        <v>0.07</v>
      </c>
      <c r="C12342" t="str">
        <f>"23"</f>
        <v>23</v>
      </c>
      <c r="D12342" t="str">
        <f>"Passive Aggressive: Singles 2002-2010"</f>
        <v>Passive Aggressive: Singles 2002-2010</v>
      </c>
    </row>
    <row r="12343" spans="1:4" x14ac:dyDescent="0.2">
      <c r="A12343" t="str">
        <f>"12342"</f>
        <v>12342</v>
      </c>
      <c r="B12343" t="str">
        <f>"-0.52"</f>
        <v>-0.52</v>
      </c>
      <c r="C12343" t="str">
        <f>"32"</f>
        <v>32</v>
      </c>
      <c r="D12343" t="str">
        <f>"Special Herbs: The Box Set Vol. 0-9"</f>
        <v>Special Herbs: The Box Set Vol. 0-9</v>
      </c>
    </row>
    <row r="12344" spans="1:4" x14ac:dyDescent="0.2">
      <c r="A12344" t="str">
        <f>"12343"</f>
        <v>12343</v>
      </c>
      <c r="B12344" t="str">
        <f>"1.15"</f>
        <v>1.15</v>
      </c>
      <c r="C12344" t="str">
        <f>"18"</f>
        <v>18</v>
      </c>
      <c r="D12344" t="str">
        <f>"Thrawn"</f>
        <v>Thrawn</v>
      </c>
    </row>
    <row r="12345" spans="1:4" x14ac:dyDescent="0.2">
      <c r="A12345" t="str">
        <f>"12344"</f>
        <v>12344</v>
      </c>
      <c r="B12345" t="str">
        <f>"-1.04"</f>
        <v>-1.04</v>
      </c>
      <c r="C12345" t="str">
        <f>"19"</f>
        <v>19</v>
      </c>
      <c r="D12345" t="str">
        <f>"Too Beautiful to Work"</f>
        <v>Too Beautiful to Work</v>
      </c>
    </row>
    <row r="12346" spans="1:4" x14ac:dyDescent="0.2">
      <c r="A12346" t="str">
        <f>"12345"</f>
        <v>12345</v>
      </c>
      <c r="B12346" t="str">
        <f>"0.18"</f>
        <v>0.18</v>
      </c>
      <c r="C12346" t="str">
        <f>"37"</f>
        <v>37</v>
      </c>
      <c r="D12346" t="str">
        <f>"The King of Limbs"</f>
        <v>The King of Limbs</v>
      </c>
    </row>
    <row r="12347" spans="1:4" x14ac:dyDescent="0.2">
      <c r="A12347" t="str">
        <f>"12346"</f>
        <v>12346</v>
      </c>
      <c r="B12347" t="str">
        <f>"0.68"</f>
        <v>0.68</v>
      </c>
      <c r="C12347" t="str">
        <f>"14"</f>
        <v>14</v>
      </c>
      <c r="D12347" t="str">
        <f>"Return to the Ugly Side"</f>
        <v>Return to the Ugly Side</v>
      </c>
    </row>
    <row r="12348" spans="1:4" x14ac:dyDescent="0.2">
      <c r="A12348" t="str">
        <f>"12347"</f>
        <v>12347</v>
      </c>
      <c r="B12348" t="str">
        <f>"0.15"</f>
        <v>0.15</v>
      </c>
      <c r="C12348" t="str">
        <f>"22"</f>
        <v>22</v>
      </c>
      <c r="D12348" t="str">
        <f>"Gone Blind EP"</f>
        <v>Gone Blind EP</v>
      </c>
    </row>
    <row r="12349" spans="1:4" x14ac:dyDescent="0.2">
      <c r="A12349" t="str">
        <f>"12348"</f>
        <v>12348</v>
      </c>
      <c r="B12349" t="str">
        <f>"0.91"</f>
        <v>0.91</v>
      </c>
      <c r="C12349" t="str">
        <f>"30"</f>
        <v>30</v>
      </c>
      <c r="D12349" t="str">
        <f>"Werkschau"</f>
        <v>Werkschau</v>
      </c>
    </row>
    <row r="12350" spans="1:4" x14ac:dyDescent="0.2">
      <c r="A12350" t="str">
        <f>"12349"</f>
        <v>12349</v>
      </c>
      <c r="B12350" t="str">
        <f>"0.29"</f>
        <v>0.29</v>
      </c>
      <c r="C12350" t="str">
        <f>"19"</f>
        <v>19</v>
      </c>
      <c r="D12350" t="s">
        <v>369</v>
      </c>
    </row>
    <row r="12351" spans="1:4" x14ac:dyDescent="0.2">
      <c r="A12351" t="str">
        <f>"12350"</f>
        <v>12350</v>
      </c>
      <c r="B12351" t="str">
        <f>"0.6"</f>
        <v>0.6</v>
      </c>
      <c r="C12351" t="str">
        <f>"48"</f>
        <v>48</v>
      </c>
      <c r="D12351" t="str">
        <f>"The Magic Place"</f>
        <v>The Magic Place</v>
      </c>
    </row>
    <row r="12352" spans="1:4" x14ac:dyDescent="0.2">
      <c r="A12352" t="str">
        <f>"12351"</f>
        <v>12351</v>
      </c>
      <c r="B12352" t="str">
        <f>"-0.36"</f>
        <v>-0.36</v>
      </c>
      <c r="C12352" t="str">
        <f>"41"</f>
        <v>41</v>
      </c>
      <c r="D12352" t="str">
        <f>"Bootleg Volume 2: From Memphis to Hollywood"</f>
        <v>Bootleg Volume 2: From Memphis to Hollywood</v>
      </c>
    </row>
    <row r="12353" spans="1:4" x14ac:dyDescent="0.2">
      <c r="A12353" t="str">
        <f>"12352"</f>
        <v>12352</v>
      </c>
      <c r="B12353" t="str">
        <f>"1.45"</f>
        <v>1.45</v>
      </c>
      <c r="C12353" t="str">
        <f>"20"</f>
        <v>20</v>
      </c>
      <c r="D12353" t="s">
        <v>370</v>
      </c>
    </row>
    <row r="12354" spans="1:4" x14ac:dyDescent="0.2">
      <c r="A12354" t="str">
        <f>"12353"</f>
        <v>12353</v>
      </c>
      <c r="B12354" t="str">
        <f>"0.7"</f>
        <v>0.7</v>
      </c>
      <c r="C12354" t="str">
        <f>"29"</f>
        <v>29</v>
      </c>
      <c r="D12354" t="str">
        <f>"Discontinued Perfume"</f>
        <v>Discontinued Perfume</v>
      </c>
    </row>
    <row r="12355" spans="1:4" x14ac:dyDescent="0.2">
      <c r="A12355" t="str">
        <f>"12354"</f>
        <v>12354</v>
      </c>
      <c r="B12355" t="str">
        <f>"-1.24"</f>
        <v>-1.24</v>
      </c>
      <c r="C12355" t="str">
        <f>"25"</f>
        <v>25</v>
      </c>
      <c r="D12355" t="str">
        <f>"Songs From a Toxic Apartment"</f>
        <v>Songs From a Toxic Apartment</v>
      </c>
    </row>
    <row r="12356" spans="1:4" x14ac:dyDescent="0.2">
      <c r="A12356" t="str">
        <f>"12355"</f>
        <v>12355</v>
      </c>
      <c r="B12356" t="str">
        <f>"0.61"</f>
        <v>0.61</v>
      </c>
      <c r="C12356" t="str">
        <f>"32"</f>
        <v>32</v>
      </c>
      <c r="D12356" t="str">
        <f>"We're New Here"</f>
        <v>We're New Here</v>
      </c>
    </row>
    <row r="12357" spans="1:4" x14ac:dyDescent="0.2">
      <c r="A12357" t="str">
        <f>"12356"</f>
        <v>12356</v>
      </c>
      <c r="B12357" t="str">
        <f>"0.42"</f>
        <v>0.42</v>
      </c>
      <c r="C12357" t="str">
        <f>"29"</f>
        <v>29</v>
      </c>
      <c r="D12357" t="str">
        <f>"The Gathering"</f>
        <v>The Gathering</v>
      </c>
    </row>
    <row r="12358" spans="1:4" x14ac:dyDescent="0.2">
      <c r="A12358" t="str">
        <f>"12357"</f>
        <v>12357</v>
      </c>
      <c r="B12358" t="str">
        <f>"0.49"</f>
        <v>0.49</v>
      </c>
      <c r="C12358" t="str">
        <f>"23"</f>
        <v>23</v>
      </c>
      <c r="D12358" t="str">
        <f>"Magic Trick"</f>
        <v>Magic Trick</v>
      </c>
    </row>
    <row r="12359" spans="1:4" x14ac:dyDescent="0.2">
      <c r="A12359" t="str">
        <f>"12358"</f>
        <v>12358</v>
      </c>
      <c r="B12359" t="str">
        <f>"-0.02"</f>
        <v>-0.02</v>
      </c>
      <c r="C12359" t="str">
        <f>"27"</f>
        <v>27</v>
      </c>
      <c r="D12359" t="str">
        <f>"No Witch"</f>
        <v>No Witch</v>
      </c>
    </row>
    <row r="12360" spans="1:4" x14ac:dyDescent="0.2">
      <c r="A12360" t="str">
        <f>"12359"</f>
        <v>12359</v>
      </c>
      <c r="B12360" t="str">
        <f>"0.46"</f>
        <v>0.46</v>
      </c>
      <c r="C12360" t="str">
        <f>"27"</f>
        <v>27</v>
      </c>
      <c r="D12360" t="str">
        <f>"Fish Touch"</f>
        <v>Fish Touch</v>
      </c>
    </row>
    <row r="12361" spans="1:4" x14ac:dyDescent="0.2">
      <c r="A12361" t="str">
        <f>"12360"</f>
        <v>12360</v>
      </c>
      <c r="B12361" t="str">
        <f>"0.07"</f>
        <v>0.07</v>
      </c>
      <c r="C12361" t="str">
        <f>"20"</f>
        <v>20</v>
      </c>
      <c r="D12361" t="str">
        <f>"Simon Werner a Disparu OST"</f>
        <v>Simon Werner a Disparu OST</v>
      </c>
    </row>
    <row r="12362" spans="1:4" x14ac:dyDescent="0.2">
      <c r="A12362" t="str">
        <f>"12361"</f>
        <v>12361</v>
      </c>
      <c r="B12362" t="str">
        <f>"0.27"</f>
        <v>0.27</v>
      </c>
      <c r="C12362" t="str">
        <f>"34"</f>
        <v>34</v>
      </c>
      <c r="D12362" t="str">
        <f>"Hotel Shampoo"</f>
        <v>Hotel Shampoo</v>
      </c>
    </row>
    <row r="12363" spans="1:4" x14ac:dyDescent="0.2">
      <c r="A12363" t="str">
        <f>"12362"</f>
        <v>12362</v>
      </c>
      <c r="B12363" t="str">
        <f>"0.78"</f>
        <v>0.78</v>
      </c>
      <c r="C12363" t="str">
        <f>"38"</f>
        <v>38</v>
      </c>
      <c r="D12363" t="str">
        <f>"Swagga Fresh Freddie"</f>
        <v>Swagga Fresh Freddie</v>
      </c>
    </row>
    <row r="12364" spans="1:4" x14ac:dyDescent="0.2">
      <c r="A12364" t="str">
        <f>"12363"</f>
        <v>12363</v>
      </c>
      <c r="B12364" t="str">
        <f>"0.47"</f>
        <v>0.47</v>
      </c>
      <c r="C12364" t="str">
        <f>"26"</f>
        <v>26</v>
      </c>
      <c r="D12364" t="str">
        <f>"Banjo or Freakout"</f>
        <v>Banjo or Freakout</v>
      </c>
    </row>
    <row r="12365" spans="1:4" x14ac:dyDescent="0.2">
      <c r="A12365" t="str">
        <f>"12364"</f>
        <v>12364</v>
      </c>
      <c r="B12365" t="str">
        <f>"-1.57"</f>
        <v>-1.57</v>
      </c>
      <c r="C12365" t="str">
        <f>"17"</f>
        <v>17</v>
      </c>
      <c r="D12365" t="str">
        <f>"Replicants"</f>
        <v>Replicants</v>
      </c>
    </row>
    <row r="12366" spans="1:4" x14ac:dyDescent="0.2">
      <c r="A12366" t="str">
        <f>"12365"</f>
        <v>12365</v>
      </c>
      <c r="B12366" t="str">
        <f>"-0.1"</f>
        <v>-0.1</v>
      </c>
      <c r="C12366" t="str">
        <f>"33"</f>
        <v>33</v>
      </c>
      <c r="D12366" t="s">
        <v>371</v>
      </c>
    </row>
    <row r="12367" spans="1:4" x14ac:dyDescent="0.2">
      <c r="A12367" t="str">
        <f>"12366"</f>
        <v>12366</v>
      </c>
      <c r="B12367" t="str">
        <f>"-0.3"</f>
        <v>-0.3</v>
      </c>
      <c r="C12367" t="str">
        <f>"31"</f>
        <v>31</v>
      </c>
      <c r="D12367" t="str">
        <f>"Go-Go Boots"</f>
        <v>Go-Go Boots</v>
      </c>
    </row>
    <row r="12368" spans="1:4" x14ac:dyDescent="0.2">
      <c r="A12368" t="str">
        <f>"12367"</f>
        <v>12367</v>
      </c>
      <c r="B12368" t="str">
        <f>"0.88"</f>
        <v>0.88</v>
      </c>
      <c r="C12368" t="str">
        <f>"22"</f>
        <v>22</v>
      </c>
      <c r="D12368" t="str">
        <f>"Complex Housing"</f>
        <v>Complex Housing</v>
      </c>
    </row>
    <row r="12369" spans="1:4" x14ac:dyDescent="0.2">
      <c r="A12369" t="str">
        <f>"12368"</f>
        <v>12368</v>
      </c>
      <c r="B12369" t="str">
        <f>"-0.31"</f>
        <v>-0.31</v>
      </c>
      <c r="C12369" t="str">
        <f>"27"</f>
        <v>27</v>
      </c>
      <c r="D12369" t="str">
        <f>"You Today"</f>
        <v>You Today</v>
      </c>
    </row>
    <row r="12370" spans="1:4" x14ac:dyDescent="0.2">
      <c r="A12370" t="str">
        <f>"12369"</f>
        <v>12369</v>
      </c>
      <c r="B12370" t="str">
        <f>"0.1"</f>
        <v>0.1</v>
      </c>
      <c r="C12370" t="str">
        <f>"16"</f>
        <v>16</v>
      </c>
      <c r="D12370" t="str">
        <f>"VWETO"</f>
        <v>VWETO</v>
      </c>
    </row>
    <row r="12371" spans="1:4" x14ac:dyDescent="0.2">
      <c r="A12371" t="str">
        <f>"12370"</f>
        <v>12370</v>
      </c>
      <c r="B12371" t="str">
        <f>"0.3"</f>
        <v>0.3</v>
      </c>
      <c r="C12371" t="str">
        <f>"47"</f>
        <v>47</v>
      </c>
      <c r="D12371" t="str">
        <f>"Space Is Only Noise"</f>
        <v>Space Is Only Noise</v>
      </c>
    </row>
    <row r="12372" spans="1:4" x14ac:dyDescent="0.2">
      <c r="A12372" t="str">
        <f>"12371"</f>
        <v>12371</v>
      </c>
      <c r="B12372" t="str">
        <f>"0.24"</f>
        <v>0.24</v>
      </c>
      <c r="C12372" t="str">
        <f>"24"</f>
        <v>24</v>
      </c>
      <c r="D12372" t="str">
        <f>"Tell Me"</f>
        <v>Tell Me</v>
      </c>
    </row>
    <row r="12373" spans="1:4" x14ac:dyDescent="0.2">
      <c r="A12373" t="str">
        <f>"12372"</f>
        <v>12372</v>
      </c>
      <c r="B12373" t="str">
        <f>"1.21"</f>
        <v>1.21</v>
      </c>
      <c r="C12373" t="str">
        <f>"26"</f>
        <v>26</v>
      </c>
      <c r="D12373" t="str">
        <f>"Well Spent Youth"</f>
        <v>Well Spent Youth</v>
      </c>
    </row>
    <row r="12374" spans="1:4" x14ac:dyDescent="0.2">
      <c r="A12374" t="str">
        <f>"12373"</f>
        <v>12373</v>
      </c>
      <c r="B12374" t="str">
        <f>"-0.17"</f>
        <v>-0.17</v>
      </c>
      <c r="C12374" t="str">
        <f>"22"</f>
        <v>22</v>
      </c>
      <c r="D12374" t="str">
        <f>"Seefeel"</f>
        <v>Seefeel</v>
      </c>
    </row>
    <row r="12375" spans="1:4" x14ac:dyDescent="0.2">
      <c r="A12375" t="str">
        <f>"12374"</f>
        <v>12374</v>
      </c>
      <c r="B12375" t="str">
        <f>"-0.61"</f>
        <v>-0.61</v>
      </c>
      <c r="C12375" t="str">
        <f>"32"</f>
        <v>32</v>
      </c>
      <c r="D12375" t="str">
        <f>"Lovers Holiday"</f>
        <v>Lovers Holiday</v>
      </c>
    </row>
    <row r="12376" spans="1:4" x14ac:dyDescent="0.2">
      <c r="A12376" t="str">
        <f>"12375"</f>
        <v>12375</v>
      </c>
      <c r="B12376" t="str">
        <f>"-0.25"</f>
        <v>-0.25</v>
      </c>
      <c r="C12376" t="str">
        <f>"19"</f>
        <v>19</v>
      </c>
      <c r="D12376" t="str">
        <f>"You Are the Beat"</f>
        <v>You Are the Beat</v>
      </c>
    </row>
    <row r="12377" spans="1:4" x14ac:dyDescent="0.2">
      <c r="A12377" t="str">
        <f>"12376"</f>
        <v>12376</v>
      </c>
      <c r="B12377" t="str">
        <f>"0.4"</f>
        <v>0.4</v>
      </c>
      <c r="C12377" t="str">
        <f>"22"</f>
        <v>22</v>
      </c>
      <c r="D12377" t="str">
        <f>"TRE3S"</f>
        <v>TRE3S</v>
      </c>
    </row>
    <row r="12378" spans="1:4" x14ac:dyDescent="0.2">
      <c r="A12378" t="str">
        <f>"12377"</f>
        <v>12377</v>
      </c>
      <c r="B12378" t="str">
        <f>"1.12"</f>
        <v>1.12</v>
      </c>
      <c r="C12378" t="str">
        <f>"37"</f>
        <v>37</v>
      </c>
      <c r="D12378" t="str">
        <f>"James Blake"</f>
        <v>James Blake</v>
      </c>
    </row>
    <row r="12379" spans="1:4" x14ac:dyDescent="0.2">
      <c r="A12379" t="str">
        <f>"12378"</f>
        <v>12378</v>
      </c>
      <c r="B12379" t="str">
        <f>"0.66"</f>
        <v>0.66</v>
      </c>
      <c r="C12379" t="str">
        <f>"26"</f>
        <v>26</v>
      </c>
      <c r="D12379" t="str">
        <f>"Shapeshifting"</f>
        <v>Shapeshifting</v>
      </c>
    </row>
    <row r="12380" spans="1:4" x14ac:dyDescent="0.2">
      <c r="A12380" t="str">
        <f>"12379"</f>
        <v>12379</v>
      </c>
      <c r="B12380" t="str">
        <f>"-0.43"</f>
        <v>-0.43</v>
      </c>
      <c r="C12380" t="str">
        <f>"20"</f>
        <v>20</v>
      </c>
      <c r="D12380" t="str">
        <f>"Demo"</f>
        <v>Demo</v>
      </c>
    </row>
    <row r="12381" spans="1:4" x14ac:dyDescent="0.2">
      <c r="A12381" t="str">
        <f>"12380"</f>
        <v>12380</v>
      </c>
      <c r="B12381" t="str">
        <f>"0.82"</f>
        <v>0.82</v>
      </c>
      <c r="C12381" t="str">
        <f>"22"</f>
        <v>22</v>
      </c>
      <c r="D12381" t="str">
        <f>"Headbangers in Ecstasy"</f>
        <v>Headbangers in Ecstasy</v>
      </c>
    </row>
    <row r="12382" spans="1:4" x14ac:dyDescent="0.2">
      <c r="A12382" t="str">
        <f>"12381"</f>
        <v>12381</v>
      </c>
      <c r="B12382" t="str">
        <f>"0.28"</f>
        <v>0.28</v>
      </c>
      <c r="C12382" t="str">
        <f>"21"</f>
        <v>21</v>
      </c>
      <c r="D12382" t="str">
        <f>"The Art of the 12"""</f>
        <v>The Art of the 12"</v>
      </c>
    </row>
    <row r="12383" spans="1:4" x14ac:dyDescent="0.2">
      <c r="A12383" t="str">
        <f>"12382"</f>
        <v>12382</v>
      </c>
      <c r="B12383" t="str">
        <f>"0.08"</f>
        <v>0.08</v>
      </c>
      <c r="C12383" t="str">
        <f>"29"</f>
        <v>29</v>
      </c>
      <c r="D12383" t="str">
        <f>"We Live in Rented Rooms"</f>
        <v>We Live in Rented Rooms</v>
      </c>
    </row>
    <row r="12384" spans="1:4" x14ac:dyDescent="0.2">
      <c r="A12384" t="str">
        <f>"12383"</f>
        <v>12383</v>
      </c>
      <c r="B12384" t="str">
        <f>"1.34"</f>
        <v>1.34</v>
      </c>
      <c r="C12384" t="str">
        <f>"21"</f>
        <v>21</v>
      </c>
      <c r="D12384" t="s">
        <v>372</v>
      </c>
    </row>
    <row r="12385" spans="1:4" x14ac:dyDescent="0.2">
      <c r="A12385" t="str">
        <f>"12384"</f>
        <v>12384</v>
      </c>
      <c r="B12385" t="str">
        <f>"0.23"</f>
        <v>0.23</v>
      </c>
      <c r="C12385" t="str">
        <f>"33"</f>
        <v>33</v>
      </c>
      <c r="D12385" t="str">
        <f>"Dynamite Steps"</f>
        <v>Dynamite Steps</v>
      </c>
    </row>
    <row r="12386" spans="1:4" x14ac:dyDescent="0.2">
      <c r="A12386" t="str">
        <f>"12385"</f>
        <v>12385</v>
      </c>
      <c r="B12386" t="str">
        <f>"1.05"</f>
        <v>1.05</v>
      </c>
      <c r="C12386" t="str">
        <f>"17"</f>
        <v>17</v>
      </c>
      <c r="D12386" t="str">
        <f>"Fluorescence"</f>
        <v>Fluorescence</v>
      </c>
    </row>
    <row r="12387" spans="1:4" x14ac:dyDescent="0.2">
      <c r="A12387" t="str">
        <f>"12386"</f>
        <v>12386</v>
      </c>
      <c r="B12387" t="str">
        <f>"0.34"</f>
        <v>0.34</v>
      </c>
      <c r="C12387" t="str">
        <f>"17"</f>
        <v>17</v>
      </c>
      <c r="D12387" t="str">
        <f>"12 Desperate Straight Lines"</f>
        <v>12 Desperate Straight Lines</v>
      </c>
    </row>
    <row r="12388" spans="1:4" x14ac:dyDescent="0.2">
      <c r="A12388" t="str">
        <f>"12387"</f>
        <v>12387</v>
      </c>
      <c r="B12388" t="str">
        <f>"1.5"</f>
        <v>1.5</v>
      </c>
      <c r="C12388" t="str">
        <f>"21"</f>
        <v>21</v>
      </c>
      <c r="D12388" t="str">
        <f>"Love and Death"</f>
        <v>Love and Death</v>
      </c>
    </row>
    <row r="12389" spans="1:4" x14ac:dyDescent="0.2">
      <c r="A12389" t="str">
        <f>"12388"</f>
        <v>12388</v>
      </c>
      <c r="B12389" t="str">
        <f>"0.09"</f>
        <v>0.09</v>
      </c>
      <c r="C12389" t="str">
        <f>"46"</f>
        <v>46</v>
      </c>
      <c r="D12389" t="str">
        <f>"Let England Shake"</f>
        <v>Let England Shake</v>
      </c>
    </row>
    <row r="12390" spans="1:4" x14ac:dyDescent="0.2">
      <c r="A12390" t="str">
        <f>"12389"</f>
        <v>12389</v>
      </c>
      <c r="B12390" t="str">
        <f>"0.25"</f>
        <v>0.25</v>
      </c>
      <c r="C12390" t="str">
        <f>"26"</f>
        <v>26</v>
      </c>
      <c r="D12390" t="str">
        <f>"Yuck"</f>
        <v>Yuck</v>
      </c>
    </row>
    <row r="12391" spans="1:4" x14ac:dyDescent="0.2">
      <c r="A12391" t="str">
        <f>"12390"</f>
        <v>12390</v>
      </c>
      <c r="B12391" t="str">
        <f>"-0.62"</f>
        <v>-0.62</v>
      </c>
      <c r="C12391" t="str">
        <f>"30"</f>
        <v>30</v>
      </c>
      <c r="D12391" t="str">
        <f>"Degeneration Street"</f>
        <v>Degeneration Street</v>
      </c>
    </row>
    <row r="12392" spans="1:4" x14ac:dyDescent="0.2">
      <c r="A12392" t="str">
        <f>"12391"</f>
        <v>12391</v>
      </c>
      <c r="B12392" t="str">
        <f>"0.62"</f>
        <v>0.62</v>
      </c>
      <c r="C12392" t="str">
        <f>"22"</f>
        <v>22</v>
      </c>
      <c r="D12392" t="str">
        <f>"Kudos"</f>
        <v>Kudos</v>
      </c>
    </row>
    <row r="12393" spans="1:4" x14ac:dyDescent="0.2">
      <c r="A12393" t="str">
        <f>"12392"</f>
        <v>12392</v>
      </c>
      <c r="B12393" t="str">
        <f>"0.14"</f>
        <v>0.14</v>
      </c>
      <c r="C12393" t="str">
        <f>"29"</f>
        <v>29</v>
      </c>
      <c r="D12393" t="str">
        <f>"Roachy Balboa Round 2"</f>
        <v>Roachy Balboa Round 2</v>
      </c>
    </row>
    <row r="12394" spans="1:4" x14ac:dyDescent="0.2">
      <c r="A12394" t="str">
        <f>"12393"</f>
        <v>12393</v>
      </c>
      <c r="B12394" t="str">
        <f>"-0.24"</f>
        <v>-0.24</v>
      </c>
      <c r="C12394" t="str">
        <f>"41"</f>
        <v>41</v>
      </c>
      <c r="D12394" t="str">
        <f>"The People's Key"</f>
        <v>The People's Key</v>
      </c>
    </row>
    <row r="12395" spans="1:4" x14ac:dyDescent="0.2">
      <c r="A12395" t="str">
        <f>"12394"</f>
        <v>12394</v>
      </c>
      <c r="B12395" t="str">
        <f>"0.96"</f>
        <v>0.96</v>
      </c>
      <c r="C12395" t="str">
        <f>"19"</f>
        <v>19</v>
      </c>
      <c r="D12395" t="str">
        <f>"La Sera"</f>
        <v>La Sera</v>
      </c>
    </row>
    <row r="12396" spans="1:4" x14ac:dyDescent="0.2">
      <c r="A12396" t="str">
        <f>"12395"</f>
        <v>12395</v>
      </c>
      <c r="B12396" t="str">
        <f>"0.13"</f>
        <v>0.13</v>
      </c>
      <c r="C12396" t="str">
        <f>"28"</f>
        <v>28</v>
      </c>
      <c r="D12396" t="str">
        <f>"End It All"</f>
        <v>End It All</v>
      </c>
    </row>
    <row r="12397" spans="1:4" x14ac:dyDescent="0.2">
      <c r="A12397" t="str">
        <f>"12396"</f>
        <v>12396</v>
      </c>
      <c r="B12397" t="str">
        <f>"0.11"</f>
        <v>0.11</v>
      </c>
      <c r="C12397" t="str">
        <f>"41"</f>
        <v>41</v>
      </c>
      <c r="D12397" t="str">
        <f>"Free Gucci II: The Burrrtish Edition"</f>
        <v>Free Gucci II: The Burrrtish Edition</v>
      </c>
    </row>
    <row r="12398" spans="1:4" x14ac:dyDescent="0.2">
      <c r="A12398" t="str">
        <f>"12397"</f>
        <v>12397</v>
      </c>
      <c r="B12398" t="str">
        <f>"0.82"</f>
        <v>0.82</v>
      </c>
      <c r="C12398" t="str">
        <f>"40"</f>
        <v>40</v>
      </c>
      <c r="D12398" t="s">
        <v>373</v>
      </c>
    </row>
    <row r="12399" spans="1:4" x14ac:dyDescent="0.2">
      <c r="A12399" t="str">
        <f>"12398"</f>
        <v>12398</v>
      </c>
      <c r="B12399" t="str">
        <f>"-0.34"</f>
        <v>-0.34</v>
      </c>
      <c r="C12399" t="str">
        <f>"49"</f>
        <v>49</v>
      </c>
      <c r="D12399" t="str">
        <f>"Tao of the Dead"</f>
        <v>Tao of the Dead</v>
      </c>
    </row>
    <row r="12400" spans="1:4" x14ac:dyDescent="0.2">
      <c r="A12400" t="str">
        <f>"12399"</f>
        <v>12399</v>
      </c>
      <c r="B12400" t="str">
        <f>"0.79"</f>
        <v>0.79</v>
      </c>
      <c r="C12400" t="str">
        <f>"35"</f>
        <v>35</v>
      </c>
      <c r="D12400" t="str">
        <f>"Riddimentary: Diplo Selects Greensleeves"</f>
        <v>Riddimentary: Diplo Selects Greensleeves</v>
      </c>
    </row>
    <row r="12401" spans="1:4" x14ac:dyDescent="0.2">
      <c r="A12401" t="str">
        <f>"12400"</f>
        <v>12400</v>
      </c>
      <c r="B12401" t="str">
        <f>"-0.26"</f>
        <v>-0.26</v>
      </c>
      <c r="C12401" t="str">
        <f>"27"</f>
        <v>27</v>
      </c>
      <c r="D12401" t="str">
        <f>"Inglorious Bastard (Prelude to Valkyrie)"</f>
        <v>Inglorious Bastard (Prelude to Valkyrie)</v>
      </c>
    </row>
    <row r="12402" spans="1:4" x14ac:dyDescent="0.2">
      <c r="A12402" t="str">
        <f>"12401"</f>
        <v>12401</v>
      </c>
      <c r="B12402" t="str">
        <f>"1.32"</f>
        <v>1.32</v>
      </c>
      <c r="C12402" t="str">
        <f>"21"</f>
        <v>21</v>
      </c>
      <c r="D12402" t="str">
        <f>"Invariable Heartache"</f>
        <v>Invariable Heartache</v>
      </c>
    </row>
    <row r="12403" spans="1:4" x14ac:dyDescent="0.2">
      <c r="A12403" t="str">
        <f>"12402"</f>
        <v>12402</v>
      </c>
      <c r="B12403" t="str">
        <f>"-0.52"</f>
        <v>-0.52</v>
      </c>
      <c r="C12403" t="str">
        <f>"20"</f>
        <v>20</v>
      </c>
      <c r="D12403" t="str">
        <f>"Cyanide Sisters EP"</f>
        <v>Cyanide Sisters EP</v>
      </c>
    </row>
    <row r="12404" spans="1:4" x14ac:dyDescent="0.2">
      <c r="A12404" t="str">
        <f>"12403"</f>
        <v>12403</v>
      </c>
      <c r="B12404" t="str">
        <f>"-0.21"</f>
        <v>-0.21</v>
      </c>
      <c r="C12404" t="str">
        <f>"23"</f>
        <v>23</v>
      </c>
      <c r="D12404" t="str">
        <f>"We're Here to Help"</f>
        <v>We're Here to Help</v>
      </c>
    </row>
    <row r="12405" spans="1:4" x14ac:dyDescent="0.2">
      <c r="A12405" t="str">
        <f>"12404"</f>
        <v>12404</v>
      </c>
      <c r="B12405" t="str">
        <f>"0.07"</f>
        <v>0.07</v>
      </c>
      <c r="C12405" t="str">
        <f>"26"</f>
        <v>26</v>
      </c>
      <c r="D12405" t="str">
        <f>"Divine EP"</f>
        <v>Divine EP</v>
      </c>
    </row>
    <row r="12406" spans="1:4" x14ac:dyDescent="0.2">
      <c r="A12406" t="str">
        <f>"12405"</f>
        <v>12405</v>
      </c>
      <c r="B12406" t="str">
        <f>"0"</f>
        <v>0</v>
      </c>
      <c r="C12406" t="str">
        <f>"21"</f>
        <v>21</v>
      </c>
      <c r="D12406" t="str">
        <f>"Akron/Family II: The Cosmic Birth and Journey of Shinju TNT"</f>
        <v>Akron/Family II: The Cosmic Birth and Journey of Shinju TNT</v>
      </c>
    </row>
    <row r="12407" spans="1:4" x14ac:dyDescent="0.2">
      <c r="A12407" t="str">
        <f>"12406"</f>
        <v>12406</v>
      </c>
      <c r="B12407" t="str">
        <f>"-0.08"</f>
        <v>-0.08</v>
      </c>
      <c r="C12407" t="str">
        <f>"26"</f>
        <v>26</v>
      </c>
      <c r="D12407" t="str">
        <f>"Violet Cries"</f>
        <v>Violet Cries</v>
      </c>
    </row>
    <row r="12408" spans="1:4" x14ac:dyDescent="0.2">
      <c r="A12408" t="str">
        <f>"12407"</f>
        <v>12407</v>
      </c>
      <c r="B12408" t="str">
        <f>"0.76"</f>
        <v>0.76</v>
      </c>
      <c r="C12408" t="str">
        <f>"39"</f>
        <v>39</v>
      </c>
      <c r="D12408" t="str">
        <f>"Selbstportrait"</f>
        <v>Selbstportrait</v>
      </c>
    </row>
    <row r="12409" spans="1:4" x14ac:dyDescent="0.2">
      <c r="A12409" t="str">
        <f>"12408"</f>
        <v>12408</v>
      </c>
      <c r="B12409" t="str">
        <f>"0.1"</f>
        <v>0.1</v>
      </c>
      <c r="C12409" t="str">
        <f>"34"</f>
        <v>34</v>
      </c>
      <c r="D12409" t="str">
        <f>"The Babies"</f>
        <v>The Babies</v>
      </c>
    </row>
    <row r="12410" spans="1:4" x14ac:dyDescent="0.2">
      <c r="A12410" t="str">
        <f>"12409"</f>
        <v>12409</v>
      </c>
      <c r="B12410" t="str">
        <f>"1.59"</f>
        <v>1.59</v>
      </c>
      <c r="C12410" t="str">
        <f>"17"</f>
        <v>17</v>
      </c>
      <c r="D12410" t="str">
        <f>"Hello"</f>
        <v>Hello</v>
      </c>
    </row>
    <row r="12411" spans="1:4" x14ac:dyDescent="0.2">
      <c r="A12411" t="str">
        <f>"12410"</f>
        <v>12410</v>
      </c>
      <c r="B12411" t="str">
        <f>"1.04"</f>
        <v>1.04</v>
      </c>
      <c r="C12411" t="str">
        <f>"23"</f>
        <v>23</v>
      </c>
      <c r="D12411" t="str">
        <f>"Zonoscope"</f>
        <v>Zonoscope</v>
      </c>
    </row>
    <row r="12412" spans="1:4" x14ac:dyDescent="0.2">
      <c r="A12412" t="str">
        <f>"12411"</f>
        <v>12411</v>
      </c>
      <c r="B12412" t="str">
        <f>"0.37"</f>
        <v>0.37</v>
      </c>
      <c r="C12412" t="str">
        <f>"54"</f>
        <v>54</v>
      </c>
      <c r="D12412" t="s">
        <v>374</v>
      </c>
    </row>
    <row r="12413" spans="1:4" x14ac:dyDescent="0.2">
      <c r="A12413" t="str">
        <f>"12412"</f>
        <v>12412</v>
      </c>
      <c r="B12413" t="str">
        <f>"-0.7"</f>
        <v>-0.7</v>
      </c>
      <c r="C12413" t="str">
        <f>"16"</f>
        <v>16</v>
      </c>
      <c r="D12413" t="str">
        <f>"Rare Forms"</f>
        <v>Rare Forms</v>
      </c>
    </row>
    <row r="12414" spans="1:4" x14ac:dyDescent="0.2">
      <c r="A12414" t="str">
        <f>"12413"</f>
        <v>12413</v>
      </c>
      <c r="B12414" t="str">
        <f>"0.06"</f>
        <v>0.06</v>
      </c>
      <c r="C12414" t="str">
        <f>"19"</f>
        <v>19</v>
      </c>
      <c r="D12414" t="str">
        <f>"Step in Shadows"</f>
        <v>Step in Shadows</v>
      </c>
    </row>
    <row r="12415" spans="1:4" x14ac:dyDescent="0.2">
      <c r="A12415" t="str">
        <f>"12414"</f>
        <v>12414</v>
      </c>
      <c r="B12415" t="str">
        <f>"-0.86"</f>
        <v>-0.86</v>
      </c>
      <c r="C12415" t="str">
        <f>"16"</f>
        <v>16</v>
      </c>
      <c r="D12415" t="str">
        <f>"HONORS"</f>
        <v>HONORS</v>
      </c>
    </row>
    <row r="12416" spans="1:4" x14ac:dyDescent="0.2">
      <c r="A12416" t="str">
        <f>"12415"</f>
        <v>12415</v>
      </c>
      <c r="B12416" t="str">
        <f>"0.89"</f>
        <v>0.89</v>
      </c>
      <c r="C12416" t="str">
        <f>"52"</f>
        <v>52</v>
      </c>
      <c r="D12416" t="str">
        <f>"Nowhere [20th Anniversary Edition]"</f>
        <v>Nowhere [20th Anniversary Edition]</v>
      </c>
    </row>
    <row r="12417" spans="1:4" x14ac:dyDescent="0.2">
      <c r="A12417" t="str">
        <f>"12416"</f>
        <v>12416</v>
      </c>
      <c r="B12417" t="str">
        <f>"1.22"</f>
        <v>1.22</v>
      </c>
      <c r="C12417" t="str">
        <f>"20"</f>
        <v>20</v>
      </c>
      <c r="D12417" t="str">
        <f>"Until the Light of Morning"</f>
        <v>Until the Light of Morning</v>
      </c>
    </row>
    <row r="12418" spans="1:4" x14ac:dyDescent="0.2">
      <c r="A12418" t="str">
        <f>"12417"</f>
        <v>12417</v>
      </c>
      <c r="B12418" t="str">
        <f>"-0.17"</f>
        <v>-0.17</v>
      </c>
      <c r="C12418" t="str">
        <f>"32"</f>
        <v>32</v>
      </c>
      <c r="D12418" t="str">
        <f>"100 Records Volume II: I Miss the Jams"</f>
        <v>100 Records Volume II: I Miss the Jams</v>
      </c>
    </row>
    <row r="12419" spans="1:4" x14ac:dyDescent="0.2">
      <c r="A12419" t="str">
        <f>"12418"</f>
        <v>12418</v>
      </c>
      <c r="B12419" t="str">
        <f>"-0.36"</f>
        <v>-0.36</v>
      </c>
      <c r="C12419" t="str">
        <f>"17"</f>
        <v>17</v>
      </c>
      <c r="D12419" t="str">
        <f>"Friends For Now"</f>
        <v>Friends For Now</v>
      </c>
    </row>
    <row r="12420" spans="1:4" x14ac:dyDescent="0.2">
      <c r="A12420" t="str">
        <f>"12419"</f>
        <v>12419</v>
      </c>
      <c r="B12420" t="str">
        <f>"-0.88"</f>
        <v>-0.88</v>
      </c>
      <c r="C12420" t="str">
        <f>"23"</f>
        <v>23</v>
      </c>
      <c r="D12420" t="s">
        <v>375</v>
      </c>
    </row>
    <row r="12421" spans="1:4" x14ac:dyDescent="0.2">
      <c r="A12421" t="str">
        <f>"12420"</f>
        <v>12420</v>
      </c>
      <c r="B12421" t="str">
        <f>"0.99"</f>
        <v>0.99</v>
      </c>
      <c r="C12421" t="str">
        <f>"22"</f>
        <v>22</v>
      </c>
      <c r="D12421" t="str">
        <f>"Rolling Blackouts"</f>
        <v>Rolling Blackouts</v>
      </c>
    </row>
    <row r="12422" spans="1:4" x14ac:dyDescent="0.2">
      <c r="A12422" t="str">
        <f>"12421"</f>
        <v>12421</v>
      </c>
      <c r="B12422" t="str">
        <f>"0.54"</f>
        <v>0.54</v>
      </c>
      <c r="C12422" t="str">
        <f>"21"</f>
        <v>21</v>
      </c>
      <c r="D12422" t="str">
        <f>"Young the Giant"</f>
        <v>Young the Giant</v>
      </c>
    </row>
    <row r="12423" spans="1:4" x14ac:dyDescent="0.2">
      <c r="A12423" t="str">
        <f>"12422"</f>
        <v>12422</v>
      </c>
      <c r="B12423" t="str">
        <f>"1.81"</f>
        <v>1.81</v>
      </c>
      <c r="C12423" t="str">
        <f>"25"</f>
        <v>25</v>
      </c>
      <c r="D12423" t="str">
        <f>"This Frontier EP"</f>
        <v>This Frontier EP</v>
      </c>
    </row>
    <row r="12424" spans="1:4" x14ac:dyDescent="0.2">
      <c r="A12424" t="str">
        <f>"12423"</f>
        <v>12423</v>
      </c>
      <c r="B12424" t="str">
        <f>"0.56"</f>
        <v>0.56</v>
      </c>
      <c r="C12424" t="str">
        <f>"15"</f>
        <v>15</v>
      </c>
      <c r="D12424" t="str">
        <f>"Wuppdeckmischmampflow"</f>
        <v>Wuppdeckmischmampflow</v>
      </c>
    </row>
    <row r="12425" spans="1:4" x14ac:dyDescent="0.2">
      <c r="A12425" t="str">
        <f>"12424"</f>
        <v>12424</v>
      </c>
      <c r="B12425" t="str">
        <f>"0.25"</f>
        <v>0.25</v>
      </c>
      <c r="C12425" t="str">
        <f>"20"</f>
        <v>20</v>
      </c>
      <c r="D12425" t="str">
        <f>"Stars Have Shapes"</f>
        <v>Stars Have Shapes</v>
      </c>
    </row>
    <row r="12426" spans="1:4" x14ac:dyDescent="0.2">
      <c r="A12426" t="str">
        <f>"12425"</f>
        <v>12425</v>
      </c>
      <c r="B12426" t="str">
        <f>"0.24"</f>
        <v>0.24</v>
      </c>
      <c r="C12426" t="str">
        <f>"27"</f>
        <v>27</v>
      </c>
      <c r="D12426" t="str">
        <f>"Tryptych"</f>
        <v>Tryptych</v>
      </c>
    </row>
    <row r="12427" spans="1:4" x14ac:dyDescent="0.2">
      <c r="A12427" t="str">
        <f>"12426"</f>
        <v>12426</v>
      </c>
      <c r="B12427" t="str">
        <f>"0.28"</f>
        <v>0.28</v>
      </c>
      <c r="C12427" t="str">
        <f>"28"</f>
        <v>28</v>
      </c>
      <c r="D12427" t="str">
        <f>"Superlongevity 5"</f>
        <v>Superlongevity 5</v>
      </c>
    </row>
    <row r="12428" spans="1:4" x14ac:dyDescent="0.2">
      <c r="A12428" t="str">
        <f>"12427"</f>
        <v>12427</v>
      </c>
      <c r="B12428" t="str">
        <f>"0.15"</f>
        <v>0.15</v>
      </c>
      <c r="C12428" t="str">
        <f>"22"</f>
        <v>22</v>
      </c>
      <c r="D12428" t="str">
        <f>"Little Joy"</f>
        <v>Little Joy</v>
      </c>
    </row>
    <row r="12429" spans="1:4" x14ac:dyDescent="0.2">
      <c r="A12429" t="str">
        <f>"12428"</f>
        <v>12428</v>
      </c>
      <c r="B12429" t="str">
        <f>"-0.07"</f>
        <v>-0.07</v>
      </c>
      <c r="C12429" t="str">
        <f>"29"</f>
        <v>29</v>
      </c>
      <c r="D12429" t="str">
        <f>"Party Store"</f>
        <v>Party Store</v>
      </c>
    </row>
    <row r="12430" spans="1:4" x14ac:dyDescent="0.2">
      <c r="A12430" t="str">
        <f>"12429"</f>
        <v>12429</v>
      </c>
      <c r="B12430" t="str">
        <f>"1.19"</f>
        <v>1.19</v>
      </c>
      <c r="C12430" t="str">
        <f>"23"</f>
        <v>23</v>
      </c>
      <c r="D12430" t="str">
        <f>"We Are the Lilies"</f>
        <v>We Are the Lilies</v>
      </c>
    </row>
    <row r="12431" spans="1:4" x14ac:dyDescent="0.2">
      <c r="A12431" t="str">
        <f>"12430"</f>
        <v>12430</v>
      </c>
      <c r="B12431" t="str">
        <f>"-0.29"</f>
        <v>-0.29</v>
      </c>
      <c r="C12431" t="str">
        <f>"23"</f>
        <v>23</v>
      </c>
      <c r="D12431" t="str">
        <f>"The Glow Remixes EP"</f>
        <v>The Glow Remixes EP</v>
      </c>
    </row>
    <row r="12432" spans="1:4" x14ac:dyDescent="0.2">
      <c r="A12432" t="str">
        <f>"12431"</f>
        <v>12431</v>
      </c>
      <c r="B12432" t="str">
        <f>"0.34"</f>
        <v>0.34</v>
      </c>
      <c r="C12432" t="str">
        <f>"38"</f>
        <v>38</v>
      </c>
      <c r="D12432" t="str">
        <f>"Talk About Body"</f>
        <v>Talk About Body</v>
      </c>
    </row>
    <row r="12433" spans="1:4" x14ac:dyDescent="0.2">
      <c r="A12433" t="str">
        <f>"12432"</f>
        <v>12432</v>
      </c>
      <c r="B12433" t="str">
        <f>"1.27"</f>
        <v>1.27</v>
      </c>
      <c r="C12433" t="str">
        <f>"22"</f>
        <v>22</v>
      </c>
      <c r="D12433" t="str">
        <f>"Light Years"</f>
        <v>Light Years</v>
      </c>
    </row>
    <row r="12434" spans="1:4" x14ac:dyDescent="0.2">
      <c r="A12434" t="str">
        <f>"12433"</f>
        <v>12433</v>
      </c>
      <c r="B12434" t="str">
        <f>"0.25"</f>
        <v>0.25</v>
      </c>
      <c r="C12434" t="str">
        <f>"27"</f>
        <v>27</v>
      </c>
      <c r="D12434" t="s">
        <v>376</v>
      </c>
    </row>
    <row r="12435" spans="1:4" x14ac:dyDescent="0.2">
      <c r="A12435" t="str">
        <f>"12434"</f>
        <v>12434</v>
      </c>
      <c r="B12435" t="str">
        <f>"0.74"</f>
        <v>0.74</v>
      </c>
      <c r="C12435" t="str">
        <f>"21"</f>
        <v>21</v>
      </c>
      <c r="D12435" t="str">
        <f>"Inès"</f>
        <v>Inès</v>
      </c>
    </row>
    <row r="12436" spans="1:4" x14ac:dyDescent="0.2">
      <c r="A12436" t="str">
        <f>"12435"</f>
        <v>12435</v>
      </c>
      <c r="B12436" t="str">
        <f>"0.74"</f>
        <v>0.74</v>
      </c>
      <c r="C12436" t="str">
        <f>"32"</f>
        <v>32</v>
      </c>
      <c r="D12436" t="str">
        <f>"Blue Songs"</f>
        <v>Blue Songs</v>
      </c>
    </row>
    <row r="12437" spans="1:4" x14ac:dyDescent="0.2">
      <c r="A12437" t="str">
        <f>"12436"</f>
        <v>12436</v>
      </c>
      <c r="B12437" t="str">
        <f>"0.88"</f>
        <v>0.88</v>
      </c>
      <c r="C12437" t="str">
        <f>"36"</f>
        <v>36</v>
      </c>
      <c r="D12437" t="str">
        <f>"Dance to the Best of ESG"</f>
        <v>Dance to the Best of ESG</v>
      </c>
    </row>
    <row r="12438" spans="1:4" x14ac:dyDescent="0.2">
      <c r="A12438" t="str">
        <f>"12437"</f>
        <v>12437</v>
      </c>
      <c r="B12438" t="str">
        <f>"0"</f>
        <v>0</v>
      </c>
      <c r="C12438" t="str">
        <f>"14"</f>
        <v>14</v>
      </c>
      <c r="D12438" t="str">
        <f>"The Year of Magical Drinking"</f>
        <v>The Year of Magical Drinking</v>
      </c>
    </row>
    <row r="12439" spans="1:4" x14ac:dyDescent="0.2">
      <c r="A12439" t="str">
        <f>"12438"</f>
        <v>12438</v>
      </c>
      <c r="B12439" t="str">
        <f>"0.35"</f>
        <v>0.35</v>
      </c>
      <c r="C12439" t="str">
        <f>"32"</f>
        <v>32</v>
      </c>
      <c r="D12439" t="str">
        <f>"Pop Ambient 2011"</f>
        <v>Pop Ambient 2011</v>
      </c>
    </row>
    <row r="12440" spans="1:4" x14ac:dyDescent="0.2">
      <c r="A12440" t="str">
        <f>"12439"</f>
        <v>12439</v>
      </c>
      <c r="B12440" t="str">
        <f>"-0.15"</f>
        <v>-0.15</v>
      </c>
      <c r="C12440" t="str">
        <f>"22"</f>
        <v>22</v>
      </c>
      <c r="D12440" t="str">
        <f>"Hexadecagon"</f>
        <v>Hexadecagon</v>
      </c>
    </row>
    <row r="12441" spans="1:4" x14ac:dyDescent="0.2">
      <c r="A12441" t="str">
        <f>"12440"</f>
        <v>12440</v>
      </c>
      <c r="B12441" t="str">
        <f>"0.95"</f>
        <v>0.95</v>
      </c>
      <c r="C12441" t="str">
        <f>"21"</f>
        <v>21</v>
      </c>
      <c r="D12441" t="str">
        <f>"Ventriloquizzing"</f>
        <v>Ventriloquizzing</v>
      </c>
    </row>
    <row r="12442" spans="1:4" x14ac:dyDescent="0.2">
      <c r="A12442" t="str">
        <f>"12441"</f>
        <v>12441</v>
      </c>
      <c r="B12442" t="str">
        <f>"0.99"</f>
        <v>0.99</v>
      </c>
      <c r="C12442" t="str">
        <f>"36"</f>
        <v>36</v>
      </c>
      <c r="D12442" t="str">
        <f>"White Wilderness"</f>
        <v>White Wilderness</v>
      </c>
    </row>
    <row r="12443" spans="1:4" x14ac:dyDescent="0.2">
      <c r="A12443" t="str">
        <f>"12442"</f>
        <v>12442</v>
      </c>
      <c r="B12443" t="str">
        <f>"0.08"</f>
        <v>0.08</v>
      </c>
      <c r="C12443" t="str">
        <f>"35"</f>
        <v>35</v>
      </c>
      <c r="D12443" t="str">
        <f>"The Party Ain't Over"</f>
        <v>The Party Ain't Over</v>
      </c>
    </row>
    <row r="12444" spans="1:4" x14ac:dyDescent="0.2">
      <c r="A12444" t="str">
        <f>"12443"</f>
        <v>12443</v>
      </c>
      <c r="B12444" t="str">
        <f>"1.75"</f>
        <v>1.75</v>
      </c>
      <c r="C12444" t="str">
        <f>"23"</f>
        <v>23</v>
      </c>
      <c r="D12444" t="str">
        <f>"Mend"</f>
        <v>Mend</v>
      </c>
    </row>
    <row r="12445" spans="1:4" x14ac:dyDescent="0.2">
      <c r="A12445" t="str">
        <f>"12444"</f>
        <v>12444</v>
      </c>
      <c r="B12445" t="str">
        <f>"-0.13"</f>
        <v>-0.13</v>
      </c>
      <c r="C12445" t="str">
        <f>"21"</f>
        <v>21</v>
      </c>
      <c r="D12445" t="str">
        <f>"Clouds Are Mountains"</f>
        <v>Clouds Are Mountains</v>
      </c>
    </row>
    <row r="12446" spans="1:4" x14ac:dyDescent="0.2">
      <c r="A12446" t="str">
        <f>"12445"</f>
        <v>12445</v>
      </c>
      <c r="B12446" t="str">
        <f>"-0.1"</f>
        <v>-0.1</v>
      </c>
      <c r="C12446" t="str">
        <f>"24"</f>
        <v>24</v>
      </c>
      <c r="D12446" t="str">
        <f>"Deerhoof vs. Evil"</f>
        <v>Deerhoof vs. Evil</v>
      </c>
    </row>
    <row r="12447" spans="1:4" x14ac:dyDescent="0.2">
      <c r="A12447" t="str">
        <f>"12446"</f>
        <v>12446</v>
      </c>
      <c r="B12447" t="str">
        <f>"0.45"</f>
        <v>0.45</v>
      </c>
      <c r="C12447" t="str">
        <f>"27"</f>
        <v>27</v>
      </c>
      <c r="D12447" t="str">
        <f>"Napa Asylum"</f>
        <v>Napa Asylum</v>
      </c>
    </row>
    <row r="12448" spans="1:4" x14ac:dyDescent="0.2">
      <c r="A12448" t="str">
        <f>"12447"</f>
        <v>12447</v>
      </c>
      <c r="B12448" t="str">
        <f>"0.14"</f>
        <v>0.14</v>
      </c>
      <c r="C12448" t="str">
        <f>"34"</f>
        <v>34</v>
      </c>
      <c r="D12448" t="str">
        <f>"DJ Premier Presents Year Round Records: Get Used to Us"</f>
        <v>DJ Premier Presents Year Round Records: Get Used to Us</v>
      </c>
    </row>
    <row r="12449" spans="1:4" x14ac:dyDescent="0.2">
      <c r="A12449" t="str">
        <f>"12448"</f>
        <v>12448</v>
      </c>
      <c r="B12449" t="str">
        <f>"0.76"</f>
        <v>0.76</v>
      </c>
      <c r="C12449" t="str">
        <f>"20"</f>
        <v>20</v>
      </c>
      <c r="D12449" t="str">
        <f>"Grown Unknown"</f>
        <v>Grown Unknown</v>
      </c>
    </row>
    <row r="12450" spans="1:4" x14ac:dyDescent="0.2">
      <c r="A12450" t="str">
        <f>"12449"</f>
        <v>12449</v>
      </c>
      <c r="B12450" t="str">
        <f>"0.3"</f>
        <v>0.3</v>
      </c>
      <c r="C12450" t="str">
        <f>"38"</f>
        <v>38</v>
      </c>
      <c r="D12450" t="str">
        <f>"Hello Paradise"</f>
        <v>Hello Paradise</v>
      </c>
    </row>
    <row r="12451" spans="1:4" x14ac:dyDescent="0.2">
      <c r="A12451" t="str">
        <f>"12450"</f>
        <v>12450</v>
      </c>
      <c r="B12451" t="str">
        <f>"0.14"</f>
        <v>0.14</v>
      </c>
      <c r="C12451" t="str">
        <f>"26"</f>
        <v>26</v>
      </c>
      <c r="D12451" t="str">
        <f>"Gutter Rainbows"</f>
        <v>Gutter Rainbows</v>
      </c>
    </row>
    <row r="12452" spans="1:4" x14ac:dyDescent="0.2">
      <c r="A12452" t="str">
        <f>"12451"</f>
        <v>12451</v>
      </c>
      <c r="B12452" t="str">
        <f>"-0.17"</f>
        <v>-0.17</v>
      </c>
      <c r="C12452" t="str">
        <f>"19"</f>
        <v>19</v>
      </c>
      <c r="D12452" t="str">
        <f>"Content"</f>
        <v>Content</v>
      </c>
    </row>
    <row r="12453" spans="1:4" x14ac:dyDescent="0.2">
      <c r="A12453" t="str">
        <f>"12452"</f>
        <v>12452</v>
      </c>
      <c r="B12453" t="str">
        <f>"0.65"</f>
        <v>0.65</v>
      </c>
      <c r="C12453" t="str">
        <f>"20"</f>
        <v>20</v>
      </c>
      <c r="D12453" t="str">
        <f>"Mine Is Yours"</f>
        <v>Mine Is Yours</v>
      </c>
    </row>
    <row r="12454" spans="1:4" x14ac:dyDescent="0.2">
      <c r="A12454" t="str">
        <f>"12453"</f>
        <v>12453</v>
      </c>
      <c r="B12454" t="str">
        <f>"0.13"</f>
        <v>0.13</v>
      </c>
      <c r="C12454" t="str">
        <f>"23"</f>
        <v>23</v>
      </c>
      <c r="D12454" t="str">
        <f>"Hide"</f>
        <v>Hide</v>
      </c>
    </row>
    <row r="12455" spans="1:4" x14ac:dyDescent="0.2">
      <c r="A12455" t="str">
        <f>"12454"</f>
        <v>12454</v>
      </c>
      <c r="B12455" t="str">
        <f>"0.58"</f>
        <v>0.58</v>
      </c>
      <c r="C12455" t="str">
        <f>"32"</f>
        <v>32</v>
      </c>
      <c r="D12455" t="str">
        <f>"Lives and Treasure"</f>
        <v>Lives and Treasure</v>
      </c>
    </row>
    <row r="12456" spans="1:4" x14ac:dyDescent="0.2">
      <c r="A12456" t="str">
        <f>"12455"</f>
        <v>12455</v>
      </c>
      <c r="B12456" t="str">
        <f>"1.54"</f>
        <v>1.54</v>
      </c>
      <c r="C12456" t="str">
        <f>"29"</f>
        <v>29</v>
      </c>
      <c r="D12456" t="str">
        <f>"Kiss Each Other Clean"</f>
        <v>Kiss Each Other Clean</v>
      </c>
    </row>
    <row r="12457" spans="1:4" x14ac:dyDescent="0.2">
      <c r="A12457" t="str">
        <f>"12456"</f>
        <v>12456</v>
      </c>
      <c r="B12457" t="str">
        <f>"1.29"</f>
        <v>1.29</v>
      </c>
      <c r="C12457" t="str">
        <f>"23"</f>
        <v>23</v>
      </c>
      <c r="D12457" t="str">
        <f>"Cloud Nothings"</f>
        <v>Cloud Nothings</v>
      </c>
    </row>
    <row r="12458" spans="1:4" x14ac:dyDescent="0.2">
      <c r="A12458" t="str">
        <f>"12457"</f>
        <v>12457</v>
      </c>
      <c r="B12458" t="str">
        <f>"-0.18"</f>
        <v>-0.18</v>
      </c>
      <c r="C12458" t="str">
        <f>"17"</f>
        <v>17</v>
      </c>
      <c r="D12458" t="str">
        <f>"Life Coach"</f>
        <v>Life Coach</v>
      </c>
    </row>
    <row r="12459" spans="1:4" x14ac:dyDescent="0.2">
      <c r="A12459" t="str">
        <f>"12458"</f>
        <v>12458</v>
      </c>
      <c r="B12459" t="str">
        <f>"-0.25"</f>
        <v>-0.25</v>
      </c>
      <c r="C12459" t="str">
        <f>"19"</f>
        <v>19</v>
      </c>
      <c r="D12459" t="str">
        <f>"New Slaves Part II: Essence Implosion!"</f>
        <v>New Slaves Part II: Essence Implosion!</v>
      </c>
    </row>
    <row r="12460" spans="1:4" x14ac:dyDescent="0.2">
      <c r="A12460" t="str">
        <f>"12459"</f>
        <v>12459</v>
      </c>
      <c r="B12460" t="str">
        <f>"0.23"</f>
        <v>0.23</v>
      </c>
      <c r="C12460" t="str">
        <f>"20"</f>
        <v>20</v>
      </c>
      <c r="D12460" t="str">
        <f>"Return of the Century"</f>
        <v>Return of the Century</v>
      </c>
    </row>
    <row r="12461" spans="1:4" x14ac:dyDescent="0.2">
      <c r="A12461" t="str">
        <f>"12460"</f>
        <v>12460</v>
      </c>
      <c r="B12461" t="str">
        <f>"0.76"</f>
        <v>0.76</v>
      </c>
      <c r="C12461" t="str">
        <f>"69"</f>
        <v>69</v>
      </c>
      <c r="D12461" t="str">
        <f>"Kaputt"</f>
        <v>Kaputt</v>
      </c>
    </row>
    <row r="12462" spans="1:4" x14ac:dyDescent="0.2">
      <c r="A12462" t="str">
        <f>"12461"</f>
        <v>12461</v>
      </c>
      <c r="B12462" t="str">
        <f>"-0.88"</f>
        <v>-0.88</v>
      </c>
      <c r="C12462" t="str">
        <f>"17"</f>
        <v>17</v>
      </c>
      <c r="D12462" t="str">
        <f>"There Are Rules"</f>
        <v>There Are Rules</v>
      </c>
    </row>
    <row r="12463" spans="1:4" x14ac:dyDescent="0.2">
      <c r="A12463" t="str">
        <f>"12462"</f>
        <v>12462</v>
      </c>
      <c r="B12463" t="str">
        <f>"-0.31"</f>
        <v>-0.31</v>
      </c>
      <c r="C12463" t="str">
        <f>"20"</f>
        <v>20</v>
      </c>
      <c r="D12463" t="str">
        <f>"Not Yet"</f>
        <v>Not Yet</v>
      </c>
    </row>
    <row r="12464" spans="1:4" x14ac:dyDescent="0.2">
      <c r="A12464" t="str">
        <f>"12463"</f>
        <v>12463</v>
      </c>
      <c r="B12464" t="str">
        <f>"0.28"</f>
        <v>0.28</v>
      </c>
      <c r="C12464" t="str">
        <f>"18"</f>
        <v>18</v>
      </c>
      <c r="D12464" t="str">
        <f>"Unlearn"</f>
        <v>Unlearn</v>
      </c>
    </row>
    <row r="12465" spans="1:4" x14ac:dyDescent="0.2">
      <c r="A12465" t="str">
        <f>"12464"</f>
        <v>12464</v>
      </c>
      <c r="B12465" t="str">
        <f>"0.93"</f>
        <v>0.93</v>
      </c>
      <c r="C12465" t="str">
        <f>"20"</f>
        <v>20</v>
      </c>
      <c r="D12465" t="str">
        <f>"Sand City"</f>
        <v>Sand City</v>
      </c>
    </row>
    <row r="12466" spans="1:4" x14ac:dyDescent="0.2">
      <c r="A12466" t="str">
        <f>"12465"</f>
        <v>12465</v>
      </c>
      <c r="B12466" t="str">
        <f>"1.55"</f>
        <v>1.55</v>
      </c>
      <c r="C12466" t="str">
        <f>"23"</f>
        <v>23</v>
      </c>
      <c r="D12466" t="str">
        <f>"Remixes"</f>
        <v>Remixes</v>
      </c>
    </row>
    <row r="12467" spans="1:4" x14ac:dyDescent="0.2">
      <c r="A12467" t="str">
        <f>"12466"</f>
        <v>12466</v>
      </c>
      <c r="B12467" t="str">
        <f>"0.36"</f>
        <v>0.36</v>
      </c>
      <c r="C12467" t="str">
        <f>"31"</f>
        <v>31</v>
      </c>
      <c r="D12467" t="str">
        <f>"Space City Kicks"</f>
        <v>Space City Kicks</v>
      </c>
    </row>
    <row r="12468" spans="1:4" x14ac:dyDescent="0.2">
      <c r="A12468" t="str">
        <f>"12467"</f>
        <v>12467</v>
      </c>
      <c r="B12468" t="str">
        <f>"0.89"</f>
        <v>0.89</v>
      </c>
      <c r="C12468" t="str">
        <f>"23"</f>
        <v>23</v>
      </c>
      <c r="D12468" t="str">
        <f>"We'll Never Stop Living This Way: a Ghostly Primer"</f>
        <v>We'll Never Stop Living This Way: a Ghostly Primer</v>
      </c>
    </row>
    <row r="12469" spans="1:4" x14ac:dyDescent="0.2">
      <c r="A12469" t="str">
        <f>"12468"</f>
        <v>12468</v>
      </c>
      <c r="B12469" t="str">
        <f>"-0.35"</f>
        <v>-0.35</v>
      </c>
      <c r="C12469" t="str">
        <f>"18"</f>
        <v>18</v>
      </c>
      <c r="D12469" t="str">
        <f>"Constant Companion"</f>
        <v>Constant Companion</v>
      </c>
    </row>
    <row r="12470" spans="1:4" x14ac:dyDescent="0.2">
      <c r="A12470" t="str">
        <f>"12469"</f>
        <v>12469</v>
      </c>
      <c r="B12470" t="str">
        <f>"0.86"</f>
        <v>0.86</v>
      </c>
      <c r="C12470" t="str">
        <f>"23"</f>
        <v>23</v>
      </c>
      <c r="D12470" t="str">
        <f>"The Heart of the Nightlife"</f>
        <v>The Heart of the Nightlife</v>
      </c>
    </row>
    <row r="12471" spans="1:4" x14ac:dyDescent="0.2">
      <c r="A12471" t="str">
        <f>"12470"</f>
        <v>12470</v>
      </c>
      <c r="B12471" t="str">
        <f>"0.35"</f>
        <v>0.35</v>
      </c>
      <c r="C12471" t="str">
        <f>"29"</f>
        <v>29</v>
      </c>
      <c r="D12471" t="str">
        <f>"Cape Dory"</f>
        <v>Cape Dory</v>
      </c>
    </row>
    <row r="12472" spans="1:4" x14ac:dyDescent="0.2">
      <c r="A12472" t="str">
        <f>"12471"</f>
        <v>12471</v>
      </c>
      <c r="B12472" t="str">
        <f>"1.07"</f>
        <v>1.07</v>
      </c>
      <c r="C12472" t="str">
        <f>"39"</f>
        <v>39</v>
      </c>
      <c r="D12472" t="str">
        <f>"Hollywood Town Hall [Expanded Edition]"</f>
        <v>Hollywood Town Hall [Expanded Edition]</v>
      </c>
    </row>
    <row r="12473" spans="1:4" x14ac:dyDescent="0.2">
      <c r="A12473" t="str">
        <f>"12472"</f>
        <v>12472</v>
      </c>
      <c r="B12473" t="str">
        <f>"-1.13"</f>
        <v>-1.13</v>
      </c>
      <c r="C12473" t="str">
        <f>"19"</f>
        <v>19</v>
      </c>
      <c r="D12473" t="str">
        <f>"Ritual"</f>
        <v>Ritual</v>
      </c>
    </row>
    <row r="12474" spans="1:4" x14ac:dyDescent="0.2">
      <c r="A12474" t="str">
        <f>"12473"</f>
        <v>12473</v>
      </c>
      <c r="B12474" t="str">
        <f>"1.13"</f>
        <v>1.13</v>
      </c>
      <c r="C12474" t="str">
        <f>"28"</f>
        <v>28</v>
      </c>
      <c r="D12474" t="str">
        <f>"In the Cool of the Day"</f>
        <v>In the Cool of the Day</v>
      </c>
    </row>
    <row r="12475" spans="1:4" x14ac:dyDescent="0.2">
      <c r="A12475" t="str">
        <f>"12474"</f>
        <v>12474</v>
      </c>
      <c r="B12475" t="str">
        <f>"-0.6"</f>
        <v>-0.6</v>
      </c>
      <c r="C12475" t="str">
        <f>"36"</f>
        <v>36</v>
      </c>
      <c r="D12475" t="str">
        <f>"Mantic"</f>
        <v>Mantic</v>
      </c>
    </row>
    <row r="12476" spans="1:4" x14ac:dyDescent="0.2">
      <c r="A12476" t="str">
        <f>"12475"</f>
        <v>12475</v>
      </c>
      <c r="B12476" t="str">
        <f>"-0.12"</f>
        <v>-0.12</v>
      </c>
      <c r="C12476" t="str">
        <f>"23"</f>
        <v>23</v>
      </c>
      <c r="D12476" t="str">
        <f>"Native Speaker"</f>
        <v>Native Speaker</v>
      </c>
    </row>
    <row r="12477" spans="1:4" x14ac:dyDescent="0.2">
      <c r="A12477" t="str">
        <f>"12476"</f>
        <v>12476</v>
      </c>
      <c r="B12477" t="str">
        <f>"0.67"</f>
        <v>0.67</v>
      </c>
      <c r="C12477" t="str">
        <f>"44"</f>
        <v>44</v>
      </c>
      <c r="D12477" t="str">
        <f>"Behold the Spirit"</f>
        <v>Behold the Spirit</v>
      </c>
    </row>
    <row r="12478" spans="1:4" x14ac:dyDescent="0.2">
      <c r="A12478" t="str">
        <f>"12477"</f>
        <v>12477</v>
      </c>
      <c r="B12478" t="str">
        <f>"-0.05"</f>
        <v>-0.05</v>
      </c>
      <c r="C12478" t="str">
        <f>"15"</f>
        <v>15</v>
      </c>
      <c r="D12478" t="str">
        <f>"Hilarious"</f>
        <v>Hilarious</v>
      </c>
    </row>
    <row r="12479" spans="1:4" x14ac:dyDescent="0.2">
      <c r="A12479" t="str">
        <f>"12478"</f>
        <v>12478</v>
      </c>
      <c r="B12479" t="str">
        <f>"0.15"</f>
        <v>0.15</v>
      </c>
      <c r="C12479" t="str">
        <f>"31"</f>
        <v>31</v>
      </c>
      <c r="D12479" t="str">
        <f>"Light of a Vaster Dark"</f>
        <v>Light of a Vaster Dark</v>
      </c>
    </row>
    <row r="12480" spans="1:4" x14ac:dyDescent="0.2">
      <c r="A12480" t="str">
        <f>"12479"</f>
        <v>12479</v>
      </c>
      <c r="B12480" t="str">
        <f>"1.6"</f>
        <v>1.6</v>
      </c>
      <c r="C12480" t="str">
        <f>"16"</f>
        <v>16</v>
      </c>
      <c r="D12480" t="str">
        <f>"Dungeon Dots"</f>
        <v>Dungeon Dots</v>
      </c>
    </row>
    <row r="12481" spans="1:4" x14ac:dyDescent="0.2">
      <c r="A12481" t="str">
        <f>"12480"</f>
        <v>12480</v>
      </c>
      <c r="B12481" t="str">
        <f>"0.67"</f>
        <v>0.67</v>
      </c>
      <c r="C12481" t="str">
        <f>"26"</f>
        <v>26</v>
      </c>
      <c r="D12481" t="str">
        <f>"Dye It Blonde"</f>
        <v>Dye It Blonde</v>
      </c>
    </row>
    <row r="12482" spans="1:4" x14ac:dyDescent="0.2">
      <c r="A12482" t="str">
        <f>"12481"</f>
        <v>12481</v>
      </c>
      <c r="B12482" t="str">
        <f>"0.34"</f>
        <v>0.34</v>
      </c>
      <c r="C12482" t="str">
        <f>"20"</f>
        <v>20</v>
      </c>
      <c r="D12482" t="str">
        <f>"Emerald Fantasy Tracks"</f>
        <v>Emerald Fantasy Tracks</v>
      </c>
    </row>
    <row r="12483" spans="1:4" x14ac:dyDescent="0.2">
      <c r="A12483" t="str">
        <f>"12482"</f>
        <v>12482</v>
      </c>
      <c r="B12483" t="str">
        <f>"-0.32"</f>
        <v>-0.32</v>
      </c>
      <c r="C12483" t="str">
        <f>"23"</f>
        <v>23</v>
      </c>
      <c r="D12483" t="str">
        <f>"Guider"</f>
        <v>Guider</v>
      </c>
    </row>
    <row r="12484" spans="1:4" x14ac:dyDescent="0.2">
      <c r="A12484" t="str">
        <f>"12483"</f>
        <v>12483</v>
      </c>
      <c r="B12484" t="str">
        <f>"-0.75"</f>
        <v>-0.75</v>
      </c>
      <c r="C12484" t="str">
        <f>"29"</f>
        <v>29</v>
      </c>
      <c r="D12484" t="str">
        <f>"Death of a Pop Star"</f>
        <v>Death of a Pop Star</v>
      </c>
    </row>
    <row r="12485" spans="1:4" x14ac:dyDescent="0.2">
      <c r="A12485" t="str">
        <f>"12484"</f>
        <v>12484</v>
      </c>
      <c r="B12485" t="str">
        <f>"0.58"</f>
        <v>0.58</v>
      </c>
      <c r="C12485" t="str">
        <f>"21"</f>
        <v>21</v>
      </c>
      <c r="D12485" t="str">
        <f>"Anika"</f>
        <v>Anika</v>
      </c>
    </row>
    <row r="12486" spans="1:4" x14ac:dyDescent="0.2">
      <c r="A12486" t="str">
        <f>"12485"</f>
        <v>12485</v>
      </c>
      <c r="B12486" t="str">
        <f>"0.46"</f>
        <v>0.46</v>
      </c>
      <c r="C12486" t="str">
        <f>"25"</f>
        <v>25</v>
      </c>
      <c r="D12486" t="str">
        <f>"The King Is Dead"</f>
        <v>The King Is Dead</v>
      </c>
    </row>
    <row r="12487" spans="1:4" x14ac:dyDescent="0.2">
      <c r="A12487" t="str">
        <f>"12486"</f>
        <v>12486</v>
      </c>
      <c r="B12487" t="str">
        <f>"0.04"</f>
        <v>0.04</v>
      </c>
      <c r="C12487" t="str">
        <f>"17"</f>
        <v>17</v>
      </c>
      <c r="D12487" t="str">
        <f>"Landmarks of Lunacy EP"</f>
        <v>Landmarks of Lunacy EP</v>
      </c>
    </row>
    <row r="12488" spans="1:4" x14ac:dyDescent="0.2">
      <c r="A12488" t="str">
        <f>"12487"</f>
        <v>12487</v>
      </c>
      <c r="B12488" t="str">
        <f>"-0.02"</f>
        <v>-0.02</v>
      </c>
      <c r="C12488" t="str">
        <f>"19"</f>
        <v>19</v>
      </c>
      <c r="D12488" t="str">
        <f>"Ghost Blonde"</f>
        <v>Ghost Blonde</v>
      </c>
    </row>
    <row r="12489" spans="1:4" x14ac:dyDescent="0.2">
      <c r="A12489" t="str">
        <f>"12488"</f>
        <v>12488</v>
      </c>
      <c r="B12489" t="str">
        <f>"1.3"</f>
        <v>1.3</v>
      </c>
      <c r="C12489" t="str">
        <f>"25"</f>
        <v>25</v>
      </c>
      <c r="D12489" t="str">
        <f>"Blood Bunny / Black Rabbit"</f>
        <v>Blood Bunny / Black Rabbit</v>
      </c>
    </row>
    <row r="12490" spans="1:4" x14ac:dyDescent="0.2">
      <c r="A12490" t="str">
        <f>"12489"</f>
        <v>12489</v>
      </c>
      <c r="B12490" t="str">
        <f>"-0.02"</f>
        <v>-0.02</v>
      </c>
      <c r="C12490" t="str">
        <f>"21"</f>
        <v>21</v>
      </c>
      <c r="D12490" t="str">
        <f>"A New Way to Pay Old Debts"</f>
        <v>A New Way to Pay Old Debts</v>
      </c>
    </row>
    <row r="12491" spans="1:4" x14ac:dyDescent="0.2">
      <c r="A12491" t="str">
        <f>"12490"</f>
        <v>12490</v>
      </c>
      <c r="B12491" t="str">
        <f>"0.43"</f>
        <v>0.43</v>
      </c>
      <c r="C12491" t="str">
        <f>"26"</f>
        <v>26</v>
      </c>
      <c r="D12491" t="str">
        <f>"The ONE... COHESIVE"</f>
        <v>The ONE... COHESIVE</v>
      </c>
    </row>
    <row r="12492" spans="1:4" x14ac:dyDescent="0.2">
      <c r="A12492" t="str">
        <f>"12491"</f>
        <v>12491</v>
      </c>
      <c r="B12492" t="str">
        <f>"0.63"</f>
        <v>0.63</v>
      </c>
      <c r="C12492" t="str">
        <f>"34"</f>
        <v>34</v>
      </c>
      <c r="D12492" t="str">
        <f>"The Golem Rock Album"</f>
        <v>The Golem Rock Album</v>
      </c>
    </row>
    <row r="12493" spans="1:4" x14ac:dyDescent="0.2">
      <c r="A12493" t="str">
        <f>"12492"</f>
        <v>12492</v>
      </c>
      <c r="B12493" t="str">
        <f>"0.03"</f>
        <v>0.03</v>
      </c>
      <c r="C12493" t="str">
        <f>"16"</f>
        <v>16</v>
      </c>
      <c r="D12493" t="str">
        <f>"By the Hedge"</f>
        <v>By the Hedge</v>
      </c>
    </row>
    <row r="12494" spans="1:4" x14ac:dyDescent="0.2">
      <c r="A12494" t="str">
        <f>"12493"</f>
        <v>12493</v>
      </c>
      <c r="B12494" t="str">
        <f>"-0.01"</f>
        <v>-0.01</v>
      </c>
      <c r="C12494" t="str">
        <f>"40"</f>
        <v>40</v>
      </c>
      <c r="D12494" t="str">
        <f>"Imaginary Softwoods"</f>
        <v>Imaginary Softwoods</v>
      </c>
    </row>
    <row r="12495" spans="1:4" x14ac:dyDescent="0.2">
      <c r="A12495" t="str">
        <f>"12494"</f>
        <v>12494</v>
      </c>
      <c r="B12495" t="str">
        <f>"1.13"</f>
        <v>1.13</v>
      </c>
      <c r="C12495" t="str">
        <f>"20"</f>
        <v>20</v>
      </c>
      <c r="D12495" t="str">
        <f>"Is Growing Faith"</f>
        <v>Is Growing Faith</v>
      </c>
    </row>
    <row r="12496" spans="1:4" x14ac:dyDescent="0.2">
      <c r="A12496" t="str">
        <f>"12495"</f>
        <v>12495</v>
      </c>
      <c r="B12496" t="str">
        <f>"0.35"</f>
        <v>0.35</v>
      </c>
      <c r="C12496" t="str">
        <f>"21"</f>
        <v>21</v>
      </c>
      <c r="D12496" t="str">
        <f>"Red Barked Tree"</f>
        <v>Red Barked Tree</v>
      </c>
    </row>
    <row r="12497" spans="1:4" x14ac:dyDescent="0.2">
      <c r="A12497" t="str">
        <f>"12496"</f>
        <v>12496</v>
      </c>
      <c r="B12497" t="str">
        <f>"-0.07"</f>
        <v>-0.07</v>
      </c>
      <c r="C12497" t="str">
        <f>"23"</f>
        <v>23</v>
      </c>
      <c r="D12497" t="str">
        <f>"Modeselektor Presents Modeselektion Vol. 01"</f>
        <v>Modeselektor Presents Modeselektion Vol. 01</v>
      </c>
    </row>
    <row r="12498" spans="1:4" x14ac:dyDescent="0.2">
      <c r="A12498" t="str">
        <f>"12497"</f>
        <v>12497</v>
      </c>
      <c r="B12498" t="str">
        <f>"-0.27"</f>
        <v>-0.27</v>
      </c>
      <c r="C12498" t="str">
        <f>"20"</f>
        <v>20</v>
      </c>
      <c r="D12498" t="str">
        <f>"The Soft Moon"</f>
        <v>The Soft Moon</v>
      </c>
    </row>
    <row r="12499" spans="1:4" x14ac:dyDescent="0.2">
      <c r="A12499" t="str">
        <f>"12498"</f>
        <v>12498</v>
      </c>
      <c r="B12499" t="str">
        <f>"0.84"</f>
        <v>0.84</v>
      </c>
      <c r="C12499" t="str">
        <f>"19"</f>
        <v>19</v>
      </c>
      <c r="D12499" t="str">
        <f>"Kitsuné Maison 10: The Fireworks Issue"</f>
        <v>Kitsuné Maison 10: The Fireworks Issue</v>
      </c>
    </row>
    <row r="12500" spans="1:4" x14ac:dyDescent="0.2">
      <c r="A12500" t="str">
        <f>"12499"</f>
        <v>12499</v>
      </c>
      <c r="B12500" t="str">
        <f>"-0.2"</f>
        <v>-0.2</v>
      </c>
      <c r="C12500" t="str">
        <f>"32"</f>
        <v>32</v>
      </c>
      <c r="D12500" t="str">
        <f>"Bardo Pond"</f>
        <v>Bardo Pond</v>
      </c>
    </row>
    <row r="12501" spans="1:4" x14ac:dyDescent="0.2">
      <c r="A12501" t="str">
        <f>"12500"</f>
        <v>12500</v>
      </c>
      <c r="B12501" t="str">
        <f>"0.41"</f>
        <v>0.41</v>
      </c>
      <c r="C12501" t="str">
        <f>"32"</f>
        <v>32</v>
      </c>
      <c r="D12501" t="s">
        <v>377</v>
      </c>
    </row>
    <row r="12502" spans="1:4" x14ac:dyDescent="0.2">
      <c r="A12502" t="str">
        <f>"12501"</f>
        <v>12501</v>
      </c>
      <c r="B12502" t="str">
        <f>"-0.1"</f>
        <v>-0.1</v>
      </c>
      <c r="C12502" t="str">
        <f>"17"</f>
        <v>17</v>
      </c>
      <c r="D12502" t="str">
        <f>"Valhalla Dancehall"</f>
        <v>Valhalla Dancehall</v>
      </c>
    </row>
    <row r="12503" spans="1:4" x14ac:dyDescent="0.2">
      <c r="A12503" t="str">
        <f>"12502"</f>
        <v>12502</v>
      </c>
      <c r="B12503" t="str">
        <f>"0.38"</f>
        <v>0.38</v>
      </c>
      <c r="C12503" t="str">
        <f>"29"</f>
        <v>29</v>
      </c>
      <c r="D12503" t="str">
        <f>"Ashes to Ashes"</f>
        <v>Ashes to Ashes</v>
      </c>
    </row>
    <row r="12504" spans="1:4" x14ac:dyDescent="0.2">
      <c r="A12504" t="str">
        <f>"12503"</f>
        <v>12503</v>
      </c>
      <c r="B12504" t="str">
        <f>"-0.89"</f>
        <v>-0.89</v>
      </c>
      <c r="C12504" t="str">
        <f>"39"</f>
        <v>39</v>
      </c>
      <c r="D12504" t="s">
        <v>378</v>
      </c>
    </row>
    <row r="12505" spans="1:4" x14ac:dyDescent="0.2">
      <c r="A12505" t="str">
        <f>"12504"</f>
        <v>12504</v>
      </c>
      <c r="B12505" t="str">
        <f>"-0.13"</f>
        <v>-0.13</v>
      </c>
      <c r="C12505" t="str">
        <f>"20"</f>
        <v>20</v>
      </c>
      <c r="D12505" t="str">
        <f>"A Young Person's Guide to Kyle Bobby Dunn"</f>
        <v>A Young Person's Guide to Kyle Bobby Dunn</v>
      </c>
    </row>
    <row r="12506" spans="1:4" x14ac:dyDescent="0.2">
      <c r="A12506" t="str">
        <f>"12505"</f>
        <v>12505</v>
      </c>
      <c r="B12506" t="str">
        <f>"-0.5"</f>
        <v>-0.5</v>
      </c>
      <c r="C12506" t="str">
        <f>"76"</f>
        <v>76</v>
      </c>
      <c r="D12506" t="str">
        <f>"Emergency &amp; I [Vinyl Reissue]"</f>
        <v>Emergency &amp; I [Vinyl Reissue]</v>
      </c>
    </row>
    <row r="12507" spans="1:4" x14ac:dyDescent="0.2">
      <c r="A12507" t="str">
        <f>"12506"</f>
        <v>12506</v>
      </c>
      <c r="B12507" t="str">
        <f>"-0.02"</f>
        <v>-0.02</v>
      </c>
      <c r="C12507" t="str">
        <f>"34"</f>
        <v>34</v>
      </c>
      <c r="D12507" t="str">
        <f>"The Best of N.E.R.D."</f>
        <v>The Best of N.E.R.D.</v>
      </c>
    </row>
    <row r="12508" spans="1:4" x14ac:dyDescent="0.2">
      <c r="A12508" t="str">
        <f>"12507"</f>
        <v>12507</v>
      </c>
      <c r="B12508" t="str">
        <f>"0.63"</f>
        <v>0.63</v>
      </c>
      <c r="C12508" t="str">
        <f>"15"</f>
        <v>15</v>
      </c>
      <c r="D12508" t="str">
        <f>"Prefuse 73/Jaytram/Epstein"</f>
        <v>Prefuse 73/Jaytram/Epstein</v>
      </c>
    </row>
    <row r="12509" spans="1:4" x14ac:dyDescent="0.2">
      <c r="A12509" t="str">
        <f>"12508"</f>
        <v>12508</v>
      </c>
      <c r="B12509" t="str">
        <f>"-0.15"</f>
        <v>-0.15</v>
      </c>
      <c r="C12509" t="str">
        <f>"22"</f>
        <v>22</v>
      </c>
      <c r="D12509" t="str">
        <f>"Ducktails III: Arcade Dynamics"</f>
        <v>Ducktails III: Arcade Dynamics</v>
      </c>
    </row>
    <row r="12510" spans="1:4" x14ac:dyDescent="0.2">
      <c r="A12510" t="str">
        <f>"12509"</f>
        <v>12509</v>
      </c>
      <c r="B12510" t="str">
        <f>"0.67"</f>
        <v>0.67</v>
      </c>
      <c r="C12510" t="str">
        <f>"27"</f>
        <v>27</v>
      </c>
      <c r="D12510" t="str">
        <f>"Blurry Blue Mountain"</f>
        <v>Blurry Blue Mountain</v>
      </c>
    </row>
    <row r="12511" spans="1:4" x14ac:dyDescent="0.2">
      <c r="A12511" t="str">
        <f>"12510"</f>
        <v>12510</v>
      </c>
      <c r="B12511" t="str">
        <f>"0.51"</f>
        <v>0.51</v>
      </c>
      <c r="C12511" t="str">
        <f>"26"</f>
        <v>26</v>
      </c>
      <c r="D12511" t="str">
        <f>"Live at Ancienne Belgique"</f>
        <v>Live at Ancienne Belgique</v>
      </c>
    </row>
    <row r="12512" spans="1:4" x14ac:dyDescent="0.2">
      <c r="A12512" t="str">
        <f>"12511"</f>
        <v>12511</v>
      </c>
      <c r="B12512" t="str">
        <f>"-0.24"</f>
        <v>-0.24</v>
      </c>
      <c r="C12512" t="str">
        <f>"35"</f>
        <v>35</v>
      </c>
      <c r="D12512" t="str">
        <f>"Outside"</f>
        <v>Outside</v>
      </c>
    </row>
    <row r="12513" spans="1:4" x14ac:dyDescent="0.2">
      <c r="A12513" t="str">
        <f>"12512"</f>
        <v>12512</v>
      </c>
      <c r="B12513" t="str">
        <f>"0.73"</f>
        <v>0.73</v>
      </c>
      <c r="C12513" t="str">
        <f>"18"</f>
        <v>18</v>
      </c>
      <c r="D12513" t="str">
        <f>"Giza EP"</f>
        <v>Giza EP</v>
      </c>
    </row>
    <row r="12514" spans="1:4" x14ac:dyDescent="0.2">
      <c r="A12514" t="str">
        <f>"12513"</f>
        <v>12513</v>
      </c>
      <c r="B12514" t="str">
        <f>"1.5"</f>
        <v>1.5</v>
      </c>
      <c r="C12514" t="str">
        <f>"18"</f>
        <v>18</v>
      </c>
      <c r="D12514" t="str">
        <f>"Undressed EP"</f>
        <v>Undressed EP</v>
      </c>
    </row>
    <row r="12515" spans="1:4" x14ac:dyDescent="0.2">
      <c r="A12515" t="str">
        <f>"12514"</f>
        <v>12514</v>
      </c>
      <c r="B12515" t="str">
        <f>"0.2"</f>
        <v>0.2</v>
      </c>
      <c r="C12515" t="str">
        <f>"12"</f>
        <v>12</v>
      </c>
      <c r="D12515" t="str">
        <f>"Stay Home"</f>
        <v>Stay Home</v>
      </c>
    </row>
    <row r="12516" spans="1:4" x14ac:dyDescent="0.2">
      <c r="A12516" t="str">
        <f>"12515"</f>
        <v>12515</v>
      </c>
      <c r="B12516" t="str">
        <f>"-0.8"</f>
        <v>-0.8</v>
      </c>
      <c r="C12516" t="str">
        <f>"31"</f>
        <v>31</v>
      </c>
      <c r="D12516" t="str">
        <f>"Vicki Leekx"</f>
        <v>Vicki Leekx</v>
      </c>
    </row>
    <row r="12517" spans="1:4" x14ac:dyDescent="0.2">
      <c r="A12517" t="str">
        <f>"12516"</f>
        <v>12516</v>
      </c>
      <c r="B12517" t="str">
        <f>"0.74"</f>
        <v>0.74</v>
      </c>
      <c r="C12517" t="str">
        <f>"41"</f>
        <v>41</v>
      </c>
      <c r="D12517" t="str">
        <f>"Love Letter"</f>
        <v>Love Letter</v>
      </c>
    </row>
    <row r="12518" spans="1:4" x14ac:dyDescent="0.2">
      <c r="A12518" t="str">
        <f>"12517"</f>
        <v>12517</v>
      </c>
      <c r="B12518" t="str">
        <f>"0.87"</f>
        <v>0.87</v>
      </c>
      <c r="C12518" t="str">
        <f>"22"</f>
        <v>22</v>
      </c>
      <c r="D12518" t="str">
        <f>"Scientist Launches Dubstep Into Outer Space"</f>
        <v>Scientist Launches Dubstep Into Outer Space</v>
      </c>
    </row>
    <row r="12519" spans="1:4" x14ac:dyDescent="0.2">
      <c r="A12519" t="str">
        <f>"12518"</f>
        <v>12518</v>
      </c>
      <c r="B12519" t="str">
        <f>"0.86"</f>
        <v>0.86</v>
      </c>
      <c r="C12519" t="str">
        <f>"20"</f>
        <v>20</v>
      </c>
      <c r="D12519" t="str">
        <f>"Strychnine Dandelion"</f>
        <v>Strychnine Dandelion</v>
      </c>
    </row>
    <row r="12520" spans="1:4" x14ac:dyDescent="0.2">
      <c r="A12520" t="str">
        <f>"12519"</f>
        <v>12519</v>
      </c>
      <c r="B12520" t="str">
        <f>"1.23"</f>
        <v>1.23</v>
      </c>
      <c r="C12520" t="str">
        <f>"24"</f>
        <v>24</v>
      </c>
      <c r="D12520" t="str">
        <f>"Soft Landing"</f>
        <v>Soft Landing</v>
      </c>
    </row>
    <row r="12521" spans="1:4" x14ac:dyDescent="0.2">
      <c r="A12521" t="str">
        <f>"12520"</f>
        <v>12520</v>
      </c>
      <c r="B12521" t="str">
        <f>"-0.19"</f>
        <v>-0.19</v>
      </c>
      <c r="C12521" t="str">
        <f>"28"</f>
        <v>28</v>
      </c>
      <c r="D12521" t="str">
        <f>"The Fall"</f>
        <v>The Fall</v>
      </c>
    </row>
    <row r="12522" spans="1:4" x14ac:dyDescent="0.2">
      <c r="A12522" t="str">
        <f>"12521"</f>
        <v>12521</v>
      </c>
      <c r="B12522" t="str">
        <f>"-0.02"</f>
        <v>-0.02</v>
      </c>
      <c r="C12522" t="str">
        <f>"28"</f>
        <v>28</v>
      </c>
      <c r="D12522" t="str">
        <f>"Kills"</f>
        <v>Kills</v>
      </c>
    </row>
    <row r="12523" spans="1:4" x14ac:dyDescent="0.2">
      <c r="A12523" t="str">
        <f>"12522"</f>
        <v>12522</v>
      </c>
      <c r="B12523" t="str">
        <f>"1.13"</f>
        <v>1.13</v>
      </c>
      <c r="C12523" t="str">
        <f>"33"</f>
        <v>33</v>
      </c>
      <c r="D12523" t="str">
        <f>"In the House"</f>
        <v>In the House</v>
      </c>
    </row>
    <row r="12524" spans="1:4" x14ac:dyDescent="0.2">
      <c r="A12524" t="str">
        <f>"12523"</f>
        <v>12523</v>
      </c>
      <c r="B12524" t="str">
        <f>"0.73"</f>
        <v>0.73</v>
      </c>
      <c r="C12524" t="str">
        <f>"21"</f>
        <v>21</v>
      </c>
      <c r="D12524" t="str">
        <f>"The River EP"</f>
        <v>The River EP</v>
      </c>
    </row>
    <row r="12525" spans="1:4" x14ac:dyDescent="0.2">
      <c r="A12525" t="str">
        <f>"12524"</f>
        <v>12524</v>
      </c>
      <c r="B12525" t="str">
        <f>"0.87"</f>
        <v>0.87</v>
      </c>
      <c r="C12525" t="str">
        <f>"19"</f>
        <v>19</v>
      </c>
      <c r="D12525" t="str">
        <f>"The Wants"</f>
        <v>The Wants</v>
      </c>
    </row>
    <row r="12526" spans="1:4" x14ac:dyDescent="0.2">
      <c r="A12526" t="str">
        <f>"12525"</f>
        <v>12525</v>
      </c>
      <c r="B12526" t="str">
        <f>"0.78"</f>
        <v>0.78</v>
      </c>
      <c r="C12526" t="str">
        <f>"21"</f>
        <v>21</v>
      </c>
      <c r="D12526" t="str">
        <f>"iTunes Session EP"</f>
        <v>iTunes Session EP</v>
      </c>
    </row>
    <row r="12527" spans="1:4" x14ac:dyDescent="0.2">
      <c r="A12527" t="str">
        <f>"12526"</f>
        <v>12526</v>
      </c>
      <c r="B12527" t="str">
        <f>"1.08"</f>
        <v>1.08</v>
      </c>
      <c r="C12527" t="str">
        <f>"22"</f>
        <v>22</v>
      </c>
      <c r="D12527" t="str">
        <f>"Kompilation"</f>
        <v>Kompilation</v>
      </c>
    </row>
    <row r="12528" spans="1:4" x14ac:dyDescent="0.2">
      <c r="A12528" t="str">
        <f>"12527"</f>
        <v>12527</v>
      </c>
      <c r="B12528" t="str">
        <f>"0.05"</f>
        <v>0.05</v>
      </c>
      <c r="C12528" t="str">
        <f>"38"</f>
        <v>38</v>
      </c>
      <c r="D12528" t="str">
        <f>"Penelope"</f>
        <v>Penelope</v>
      </c>
    </row>
    <row r="12529" spans="1:4" x14ac:dyDescent="0.2">
      <c r="A12529" t="str">
        <f>"12528"</f>
        <v>12528</v>
      </c>
      <c r="B12529" t="str">
        <f>"0"</f>
        <v>0</v>
      </c>
      <c r="C12529" t="str">
        <f>"22"</f>
        <v>22</v>
      </c>
      <c r="D12529" t="str">
        <f>"Floored By Four"</f>
        <v>Floored By Four</v>
      </c>
    </row>
    <row r="12530" spans="1:4" x14ac:dyDescent="0.2">
      <c r="A12530" t="str">
        <f>"12529"</f>
        <v>12529</v>
      </c>
      <c r="B12530" t="str">
        <f>"1.45"</f>
        <v>1.45</v>
      </c>
      <c r="C12530" t="str">
        <f>"17"</f>
        <v>17</v>
      </c>
      <c r="D12530" t="str">
        <f>"Silver"</f>
        <v>Silver</v>
      </c>
    </row>
    <row r="12531" spans="1:4" x14ac:dyDescent="0.2">
      <c r="A12531" t="str">
        <f>"12530"</f>
        <v>12530</v>
      </c>
      <c r="B12531" t="str">
        <f>"-0.12"</f>
        <v>-0.12</v>
      </c>
      <c r="C12531" t="str">
        <f>"20"</f>
        <v>20</v>
      </c>
      <c r="D12531" t="str">
        <f>"Seeds"</f>
        <v>Seeds</v>
      </c>
    </row>
    <row r="12532" spans="1:4" x14ac:dyDescent="0.2">
      <c r="A12532" t="str">
        <f>"12531"</f>
        <v>12531</v>
      </c>
      <c r="B12532" t="str">
        <f>"0.48"</f>
        <v>0.48</v>
      </c>
      <c r="C12532" t="str">
        <f>"21"</f>
        <v>21</v>
      </c>
      <c r="D12532" t="str">
        <f>"III/IV"</f>
        <v>III/IV</v>
      </c>
    </row>
    <row r="12533" spans="1:4" x14ac:dyDescent="0.2">
      <c r="A12533" t="str">
        <f>"12532"</f>
        <v>12532</v>
      </c>
      <c r="B12533" t="str">
        <f>"0.68"</f>
        <v>0.68</v>
      </c>
      <c r="C12533" t="str">
        <f>"39"</f>
        <v>39</v>
      </c>
      <c r="D12533" t="str">
        <f>"Death Seat"</f>
        <v>Death Seat</v>
      </c>
    </row>
    <row r="12534" spans="1:4" x14ac:dyDescent="0.2">
      <c r="A12534" t="str">
        <f>"12533"</f>
        <v>12533</v>
      </c>
      <c r="B12534" t="str">
        <f>"0.58"</f>
        <v>0.58</v>
      </c>
      <c r="C12534" t="str">
        <f>"29"</f>
        <v>29</v>
      </c>
      <c r="D12534" t="str">
        <f>"Life of Love"</f>
        <v>Life of Love</v>
      </c>
    </row>
    <row r="12535" spans="1:4" x14ac:dyDescent="0.2">
      <c r="A12535" t="str">
        <f>"12534"</f>
        <v>12534</v>
      </c>
      <c r="B12535" t="str">
        <f>"0.92"</f>
        <v>0.92</v>
      </c>
      <c r="C12535" t="str">
        <f>"17"</f>
        <v>17</v>
      </c>
      <c r="D12535" t="str">
        <f>"Donnie G: Don Gorilla"</f>
        <v>Donnie G: Don Gorilla</v>
      </c>
    </row>
    <row r="12536" spans="1:4" x14ac:dyDescent="0.2">
      <c r="A12536" t="str">
        <f>"12535"</f>
        <v>12535</v>
      </c>
      <c r="B12536" t="str">
        <f>"-0.56"</f>
        <v>-0.56</v>
      </c>
      <c r="C12536" t="str">
        <f>"32"</f>
        <v>32</v>
      </c>
      <c r="D12536" t="str">
        <f>"Apollo Kids"</f>
        <v>Apollo Kids</v>
      </c>
    </row>
    <row r="12537" spans="1:4" x14ac:dyDescent="0.2">
      <c r="A12537" t="str">
        <f>"12536"</f>
        <v>12536</v>
      </c>
      <c r="B12537" t="str">
        <f>"0.21"</f>
        <v>0.21</v>
      </c>
      <c r="C12537" t="str">
        <f>"30"</f>
        <v>30</v>
      </c>
      <c r="D12537" t="str">
        <f>"Fabric 55"</f>
        <v>Fabric 55</v>
      </c>
    </row>
    <row r="12538" spans="1:4" x14ac:dyDescent="0.2">
      <c r="A12538" t="str">
        <f>"12537"</f>
        <v>12537</v>
      </c>
      <c r="B12538" t="str">
        <f>"-0.06"</f>
        <v>-0.06</v>
      </c>
      <c r="C12538" t="str">
        <f>"23"</f>
        <v>23</v>
      </c>
      <c r="D12538" t="str">
        <f>"Utopia EP"</f>
        <v>Utopia EP</v>
      </c>
    </row>
    <row r="12539" spans="1:4" x14ac:dyDescent="0.2">
      <c r="A12539" t="str">
        <f>"12538"</f>
        <v>12538</v>
      </c>
      <c r="B12539" t="str">
        <f>"-0.78"</f>
        <v>-0.78</v>
      </c>
      <c r="C12539" t="str">
        <f>"22"</f>
        <v>22</v>
      </c>
      <c r="D12539" t="str">
        <f>"Worry"</f>
        <v>Worry</v>
      </c>
    </row>
    <row r="12540" spans="1:4" x14ac:dyDescent="0.2">
      <c r="A12540" t="str">
        <f>"12539"</f>
        <v>12539</v>
      </c>
      <c r="B12540" t="str">
        <f>"0.97"</f>
        <v>0.97</v>
      </c>
      <c r="C12540" t="str">
        <f>"19"</f>
        <v>19</v>
      </c>
      <c r="D12540" t="str">
        <f>"She Was Coloured In"</f>
        <v>She Was Coloured In</v>
      </c>
    </row>
    <row r="12541" spans="1:4" x14ac:dyDescent="0.2">
      <c r="A12541" t="str">
        <f>"12540"</f>
        <v>12540</v>
      </c>
      <c r="B12541" t="str">
        <f>"0.23"</f>
        <v>0.23</v>
      </c>
      <c r="C12541" t="str">
        <f>"42"</f>
        <v>42</v>
      </c>
      <c r="D12541" t="str">
        <f>"Tron: Legacy OST"</f>
        <v>Tron: Legacy OST</v>
      </c>
    </row>
    <row r="12542" spans="1:4" x14ac:dyDescent="0.2">
      <c r="A12542" t="str">
        <f>"12541"</f>
        <v>12541</v>
      </c>
      <c r="B12542" t="str">
        <f>"1.22"</f>
        <v>1.22</v>
      </c>
      <c r="C12542" t="str">
        <f>"16"</f>
        <v>16</v>
      </c>
      <c r="D12542" t="str">
        <f>"Golden Haze EP"</f>
        <v>Golden Haze EP</v>
      </c>
    </row>
    <row r="12543" spans="1:4" x14ac:dyDescent="0.2">
      <c r="A12543" t="str">
        <f>"12542"</f>
        <v>12542</v>
      </c>
      <c r="B12543" t="str">
        <f>"-0.78"</f>
        <v>-0.78</v>
      </c>
      <c r="C12543" t="str">
        <f>"47"</f>
        <v>47</v>
      </c>
      <c r="D12543" t="str">
        <f>"No Mercy"</f>
        <v>No Mercy</v>
      </c>
    </row>
    <row r="12544" spans="1:4" x14ac:dyDescent="0.2">
      <c r="A12544" t="str">
        <f>"12543"</f>
        <v>12543</v>
      </c>
      <c r="B12544" t="str">
        <f>"0.31"</f>
        <v>0.31</v>
      </c>
      <c r="C12544" t="str">
        <f>"25"</f>
        <v>25</v>
      </c>
      <c r="D12544" t="s">
        <v>379</v>
      </c>
    </row>
    <row r="12545" spans="1:4" x14ac:dyDescent="0.2">
      <c r="A12545" t="str">
        <f>"12544"</f>
        <v>12544</v>
      </c>
      <c r="B12545" t="str">
        <f>"0.54"</f>
        <v>0.54</v>
      </c>
      <c r="C12545" t="str">
        <f>"29"</f>
        <v>29</v>
      </c>
      <c r="D12545" t="str">
        <f>"Autre Ne Veut"</f>
        <v>Autre Ne Veut</v>
      </c>
    </row>
    <row r="12546" spans="1:4" x14ac:dyDescent="0.2">
      <c r="A12546" t="str">
        <f>"12545"</f>
        <v>12545</v>
      </c>
      <c r="B12546" t="str">
        <f>"-0.1"</f>
        <v>-0.1</v>
      </c>
      <c r="C12546" t="str">
        <f>"52"</f>
        <v>52</v>
      </c>
      <c r="D12546" t="str">
        <f>"First Four EPs"</f>
        <v>First Four EPs</v>
      </c>
    </row>
    <row r="12547" spans="1:4" x14ac:dyDescent="0.2">
      <c r="A12547" t="str">
        <f>"12546"</f>
        <v>12546</v>
      </c>
      <c r="B12547" t="str">
        <f>"0.38"</f>
        <v>0.38</v>
      </c>
      <c r="C12547" t="str">
        <f>"22"</f>
        <v>22</v>
      </c>
      <c r="D12547" t="str">
        <f>"Land and Fixed"</f>
        <v>Land and Fixed</v>
      </c>
    </row>
    <row r="12548" spans="1:4" x14ac:dyDescent="0.2">
      <c r="A12548" t="str">
        <f>"12547"</f>
        <v>12547</v>
      </c>
      <c r="B12548" t="str">
        <f>"0.17"</f>
        <v>0.17</v>
      </c>
      <c r="C12548" t="str">
        <f>"17"</f>
        <v>17</v>
      </c>
      <c r="D12548" t="str">
        <f>"Gravity/Bees"</f>
        <v>Gravity/Bees</v>
      </c>
    </row>
    <row r="12549" spans="1:4" x14ac:dyDescent="0.2">
      <c r="A12549" t="str">
        <f>"12548"</f>
        <v>12548</v>
      </c>
      <c r="B12549" t="str">
        <f>"0.14"</f>
        <v>0.14</v>
      </c>
      <c r="C12549" t="str">
        <f>"31"</f>
        <v>31</v>
      </c>
      <c r="D12549" t="str">
        <f>"Fire Like This"</f>
        <v>Fire Like This</v>
      </c>
    </row>
    <row r="12550" spans="1:4" x14ac:dyDescent="0.2">
      <c r="A12550" t="str">
        <f>"12549"</f>
        <v>12549</v>
      </c>
      <c r="B12550" t="str">
        <f>"-0.98"</f>
        <v>-0.98</v>
      </c>
      <c r="C12550" t="str">
        <f>"16"</f>
        <v>16</v>
      </c>
      <c r="D12550" t="str">
        <f>"Dead Head"</f>
        <v>Dead Head</v>
      </c>
    </row>
    <row r="12551" spans="1:4" x14ac:dyDescent="0.2">
      <c r="A12551" t="str">
        <f>"12550"</f>
        <v>12550</v>
      </c>
      <c r="B12551" t="str">
        <f>"0.1"</f>
        <v>0.1</v>
      </c>
      <c r="C12551" t="str">
        <f>"26"</f>
        <v>26</v>
      </c>
      <c r="D12551" t="str">
        <f>"Bonus Tracks 2008-2009"</f>
        <v>Bonus Tracks 2008-2009</v>
      </c>
    </row>
    <row r="12552" spans="1:4" x14ac:dyDescent="0.2">
      <c r="A12552" t="str">
        <f>"12551"</f>
        <v>12551</v>
      </c>
      <c r="B12552" t="str">
        <f>"0.44"</f>
        <v>0.44</v>
      </c>
      <c r="C12552" t="str">
        <f>"39"</f>
        <v>39</v>
      </c>
      <c r="D12552" t="str">
        <f>"I Drink the Air Before Me"</f>
        <v>I Drink the Air Before Me</v>
      </c>
    </row>
    <row r="12553" spans="1:4" x14ac:dyDescent="0.2">
      <c r="A12553" t="str">
        <f>"12552"</f>
        <v>12552</v>
      </c>
      <c r="B12553" t="str">
        <f>"-0.06"</f>
        <v>-0.06</v>
      </c>
      <c r="C12553" t="str">
        <f>"25"</f>
        <v>25</v>
      </c>
      <c r="D12553" t="str">
        <f>"Volume On"</f>
        <v>Volume On</v>
      </c>
    </row>
    <row r="12554" spans="1:4" x14ac:dyDescent="0.2">
      <c r="A12554" t="str">
        <f>"12553"</f>
        <v>12553</v>
      </c>
      <c r="B12554" t="str">
        <f>"0.88"</f>
        <v>0.88</v>
      </c>
      <c r="C12554" t="str">
        <f>"19"</f>
        <v>19</v>
      </c>
      <c r="D12554" t="str">
        <f>"Chandelier"</f>
        <v>Chandelier</v>
      </c>
    </row>
    <row r="12555" spans="1:4" x14ac:dyDescent="0.2">
      <c r="A12555" t="str">
        <f>"12554"</f>
        <v>12554</v>
      </c>
      <c r="B12555" t="str">
        <f>"-0.33"</f>
        <v>-0.33</v>
      </c>
      <c r="C12555" t="str">
        <f>"24"</f>
        <v>24</v>
      </c>
      <c r="D12555" t="str">
        <f>"Palinopsia"</f>
        <v>Palinopsia</v>
      </c>
    </row>
    <row r="12556" spans="1:4" x14ac:dyDescent="0.2">
      <c r="A12556" t="str">
        <f>"12555"</f>
        <v>12555</v>
      </c>
      <c r="B12556" t="str">
        <f>"0.35"</f>
        <v>0.35</v>
      </c>
      <c r="C12556" t="str">
        <f>"43"</f>
        <v>43</v>
      </c>
      <c r="D12556" t="str">
        <f>"Marrow of the Spirit"</f>
        <v>Marrow of the Spirit</v>
      </c>
    </row>
    <row r="12557" spans="1:4" x14ac:dyDescent="0.2">
      <c r="A12557" t="str">
        <f>"12556"</f>
        <v>12556</v>
      </c>
      <c r="B12557" t="str">
        <f>"-0.23"</f>
        <v>-0.23</v>
      </c>
      <c r="C12557" t="str">
        <f>"33"</f>
        <v>33</v>
      </c>
      <c r="D12557" t="str">
        <f>"Quest for the Sonic Bounty"</f>
        <v>Quest for the Sonic Bounty</v>
      </c>
    </row>
    <row r="12558" spans="1:4" x14ac:dyDescent="0.2">
      <c r="A12558" t="str">
        <f>"12557"</f>
        <v>12557</v>
      </c>
      <c r="B12558" t="str">
        <f>"1.2"</f>
        <v>1.2</v>
      </c>
      <c r="C12558" t="str">
        <f>"28"</f>
        <v>28</v>
      </c>
      <c r="D12558" t="str">
        <f>"Kokning"</f>
        <v>Kokning</v>
      </c>
    </row>
    <row r="12559" spans="1:4" x14ac:dyDescent="0.2">
      <c r="A12559" t="str">
        <f>"12558"</f>
        <v>12558</v>
      </c>
      <c r="B12559" t="str">
        <f>"0"</f>
        <v>0</v>
      </c>
      <c r="C12559" t="str">
        <f>"21"</f>
        <v>21</v>
      </c>
      <c r="D12559" t="str">
        <f>"Public Service Announcement"</f>
        <v>Public Service Announcement</v>
      </c>
    </row>
    <row r="12560" spans="1:4" x14ac:dyDescent="0.2">
      <c r="A12560" t="str">
        <f>"12559"</f>
        <v>12559</v>
      </c>
      <c r="B12560" t="str">
        <f>"-0.73"</f>
        <v>-0.73</v>
      </c>
      <c r="C12560" t="str">
        <f>"24"</f>
        <v>24</v>
      </c>
      <c r="D12560" t="str">
        <f>"Wild Go"</f>
        <v>Wild Go</v>
      </c>
    </row>
    <row r="12561" spans="1:4" x14ac:dyDescent="0.2">
      <c r="A12561" t="str">
        <f>"12560"</f>
        <v>12560</v>
      </c>
      <c r="B12561" t="str">
        <f>"0.06"</f>
        <v>0.06</v>
      </c>
      <c r="C12561" t="str">
        <f>"27"</f>
        <v>27</v>
      </c>
      <c r="D12561" t="str">
        <f>"Go Live"</f>
        <v>Go Live</v>
      </c>
    </row>
    <row r="12562" spans="1:4" x14ac:dyDescent="0.2">
      <c r="A12562" t="str">
        <f>"12561"</f>
        <v>12561</v>
      </c>
      <c r="B12562" t="str">
        <f>"1.24"</f>
        <v>1.24</v>
      </c>
      <c r="C12562" t="str">
        <f>"29"</f>
        <v>29</v>
      </c>
      <c r="D12562" t="str">
        <f>"A Can of Bees"</f>
        <v>A Can of Bees</v>
      </c>
    </row>
    <row r="12563" spans="1:4" x14ac:dyDescent="0.2">
      <c r="A12563" t="str">
        <f>"12562"</f>
        <v>12562</v>
      </c>
      <c r="B12563" t="str">
        <f>"0.19"</f>
        <v>0.19</v>
      </c>
      <c r="C12563" t="str">
        <f>"26"</f>
        <v>26</v>
      </c>
      <c r="D12563" t="str">
        <f>"Zeus EP"</f>
        <v>Zeus EP</v>
      </c>
    </row>
    <row r="12564" spans="1:4" x14ac:dyDescent="0.2">
      <c r="A12564" t="str">
        <f>"12563"</f>
        <v>12563</v>
      </c>
      <c r="B12564" t="str">
        <f>"0.1"</f>
        <v>0.1</v>
      </c>
      <c r="C12564" t="str">
        <f>"30"</f>
        <v>30</v>
      </c>
      <c r="D12564" t="str">
        <f>"Duettes"</f>
        <v>Duettes</v>
      </c>
    </row>
    <row r="12565" spans="1:4" x14ac:dyDescent="0.2">
      <c r="A12565" t="str">
        <f>"12564"</f>
        <v>12564</v>
      </c>
      <c r="B12565" t="str">
        <f>"0.8"</f>
        <v>0.8</v>
      </c>
      <c r="C12565" t="str">
        <f>"22"</f>
        <v>22</v>
      </c>
      <c r="D12565" t="str">
        <f>"Shore Obsessed"</f>
        <v>Shore Obsessed</v>
      </c>
    </row>
    <row r="12566" spans="1:4" x14ac:dyDescent="0.2">
      <c r="A12566" t="str">
        <f>"12565"</f>
        <v>12565</v>
      </c>
      <c r="B12566" t="str">
        <f>"0.74"</f>
        <v>0.74</v>
      </c>
      <c r="C12566" t="str">
        <f>"25"</f>
        <v>25</v>
      </c>
      <c r="D12566" t="str">
        <f>"Body Talk"</f>
        <v>Body Talk</v>
      </c>
    </row>
    <row r="12567" spans="1:4" x14ac:dyDescent="0.2">
      <c r="A12567" t="str">
        <f>"12566"</f>
        <v>12566</v>
      </c>
      <c r="B12567" t="str">
        <f>"0.04"</f>
        <v>0.04</v>
      </c>
      <c r="C12567" t="str">
        <f>"19"</f>
        <v>19</v>
      </c>
      <c r="D12567" t="str">
        <f>"Legend Recognize Legend"</f>
        <v>Legend Recognize Legend</v>
      </c>
    </row>
    <row r="12568" spans="1:4" x14ac:dyDescent="0.2">
      <c r="A12568" t="str">
        <f>"12567"</f>
        <v>12567</v>
      </c>
      <c r="B12568" t="str">
        <f>"0.53"</f>
        <v>0.53</v>
      </c>
      <c r="C12568" t="str">
        <f>"20"</f>
        <v>20</v>
      </c>
      <c r="D12568" t="str">
        <f>"Prism Eyes"</f>
        <v>Prism Eyes</v>
      </c>
    </row>
    <row r="12569" spans="1:4" x14ac:dyDescent="0.2">
      <c r="A12569" t="str">
        <f>"12568"</f>
        <v>12568</v>
      </c>
      <c r="B12569" t="str">
        <f>"-1.11"</f>
        <v>-1.11</v>
      </c>
      <c r="C12569" t="str">
        <f>"15"</f>
        <v>15</v>
      </c>
      <c r="D12569" t="str">
        <f>"Farad: The Electric Voice"</f>
        <v>Farad: The Electric Voice</v>
      </c>
    </row>
    <row r="12570" spans="1:4" x14ac:dyDescent="0.2">
      <c r="A12570" t="str">
        <f>"12569"</f>
        <v>12569</v>
      </c>
      <c r="B12570" t="str">
        <f>"-0.03"</f>
        <v>-0.03</v>
      </c>
      <c r="C12570" t="str">
        <f>"20"</f>
        <v>20</v>
      </c>
      <c r="D12570" t="s">
        <v>380</v>
      </c>
    </row>
    <row r="12571" spans="1:4" x14ac:dyDescent="0.2">
      <c r="A12571" t="str">
        <f>"12570"</f>
        <v>12570</v>
      </c>
      <c r="B12571" t="str">
        <f>"-0.29"</f>
        <v>-0.29</v>
      </c>
      <c r="C12571" t="str">
        <f>"20"</f>
        <v>20</v>
      </c>
      <c r="D12571" t="str">
        <f>"Delicacies"</f>
        <v>Delicacies</v>
      </c>
    </row>
    <row r="12572" spans="1:4" x14ac:dyDescent="0.2">
      <c r="A12572" t="str">
        <f>"12571"</f>
        <v>12571</v>
      </c>
      <c r="B12572" t="str">
        <f>"-0.54"</f>
        <v>-0.54</v>
      </c>
      <c r="C12572" t="str">
        <f>"40"</f>
        <v>40</v>
      </c>
      <c r="D12572" t="str">
        <f>"Ugly But Honest: 1996-1999"</f>
        <v>Ugly But Honest: 1996-1999</v>
      </c>
    </row>
    <row r="12573" spans="1:4" x14ac:dyDescent="0.2">
      <c r="A12573" t="str">
        <f>"12572"</f>
        <v>12572</v>
      </c>
      <c r="B12573" t="str">
        <f>"1.09"</f>
        <v>1.09</v>
      </c>
      <c r="C12573" t="str">
        <f>"50"</f>
        <v>50</v>
      </c>
      <c r="D12573" t="s">
        <v>381</v>
      </c>
    </row>
    <row r="12574" spans="1:4" x14ac:dyDescent="0.2">
      <c r="A12574" t="str">
        <f>"12573"</f>
        <v>12573</v>
      </c>
      <c r="B12574" t="str">
        <f>"0.11"</f>
        <v>0.11</v>
      </c>
      <c r="C12574" t="str">
        <f>"15"</f>
        <v>15</v>
      </c>
      <c r="D12574" t="str">
        <f>"Restless People"</f>
        <v>Restless People</v>
      </c>
    </row>
    <row r="12575" spans="1:4" x14ac:dyDescent="0.2">
      <c r="A12575" t="str">
        <f>"12574"</f>
        <v>12574</v>
      </c>
      <c r="B12575" t="str">
        <f>"0.31"</f>
        <v>0.31</v>
      </c>
      <c r="C12575" t="str">
        <f>"25"</f>
        <v>25</v>
      </c>
      <c r="D12575" t="str">
        <f>"Fifteen"</f>
        <v>Fifteen</v>
      </c>
    </row>
    <row r="12576" spans="1:4" x14ac:dyDescent="0.2">
      <c r="A12576" t="str">
        <f>"12575"</f>
        <v>12575</v>
      </c>
      <c r="B12576" t="str">
        <f>"0.1"</f>
        <v>0.1</v>
      </c>
      <c r="C12576" t="str">
        <f>"30"</f>
        <v>30</v>
      </c>
      <c r="D12576" t="str">
        <f>"Dagger Paths [Expanded Edition]"</f>
        <v>Dagger Paths [Expanded Edition]</v>
      </c>
    </row>
    <row r="12577" spans="1:4" x14ac:dyDescent="0.2">
      <c r="A12577" t="str">
        <f>"12576"</f>
        <v>12576</v>
      </c>
      <c r="B12577" t="str">
        <f>"-0.04"</f>
        <v>-0.04</v>
      </c>
      <c r="C12577" t="str">
        <f>"24"</f>
        <v>24</v>
      </c>
      <c r="D12577" t="str">
        <f>"Fan No. 2"</f>
        <v>Fan No. 2</v>
      </c>
    </row>
    <row r="12578" spans="1:4" x14ac:dyDescent="0.2">
      <c r="A12578" t="str">
        <f>"12577"</f>
        <v>12577</v>
      </c>
      <c r="B12578" t="str">
        <f>"0.29"</f>
        <v>0.29</v>
      </c>
      <c r="C12578" t="str">
        <f>"20"</f>
        <v>20</v>
      </c>
      <c r="D12578" t="s">
        <v>382</v>
      </c>
    </row>
    <row r="12579" spans="1:4" x14ac:dyDescent="0.2">
      <c r="A12579" t="str">
        <f>"12578"</f>
        <v>12578</v>
      </c>
      <c r="B12579" t="str">
        <f>"0.52"</f>
        <v>0.52</v>
      </c>
      <c r="C12579" t="str">
        <f>"24"</f>
        <v>24</v>
      </c>
      <c r="D12579" t="str">
        <f>"Cathedral City"</f>
        <v>Cathedral City</v>
      </c>
    </row>
    <row r="12580" spans="1:4" x14ac:dyDescent="0.2">
      <c r="A12580" t="str">
        <f>"12579"</f>
        <v>12579</v>
      </c>
      <c r="B12580" t="str">
        <f>"0.23"</f>
        <v>0.23</v>
      </c>
      <c r="C12580" t="str">
        <f>"19"</f>
        <v>19</v>
      </c>
      <c r="D12580" t="str">
        <f>"Magic Central"</f>
        <v>Magic Central</v>
      </c>
    </row>
    <row r="12581" spans="1:4" x14ac:dyDescent="0.2">
      <c r="A12581" t="str">
        <f>"12580"</f>
        <v>12580</v>
      </c>
      <c r="B12581" t="str">
        <f>"1.09"</f>
        <v>1.09</v>
      </c>
      <c r="C12581" t="str">
        <f>"31"</f>
        <v>31</v>
      </c>
      <c r="D12581" t="str">
        <f>"Pilot Talk II"</f>
        <v>Pilot Talk II</v>
      </c>
    </row>
    <row r="12582" spans="1:4" x14ac:dyDescent="0.2">
      <c r="A12582" t="str">
        <f>"12581"</f>
        <v>12581</v>
      </c>
      <c r="B12582" t="str">
        <f>"0.83"</f>
        <v>0.83</v>
      </c>
      <c r="C12582" t="str">
        <f>"26"</f>
        <v>26</v>
      </c>
      <c r="D12582" t="str">
        <f>"Shleep"</f>
        <v>Shleep</v>
      </c>
    </row>
    <row r="12583" spans="1:4" x14ac:dyDescent="0.2">
      <c r="A12583" t="str">
        <f>"12582"</f>
        <v>12582</v>
      </c>
      <c r="B12583" t="str">
        <f>"0.62"</f>
        <v>0.62</v>
      </c>
      <c r="C12583" t="str">
        <f>"25"</f>
        <v>25</v>
      </c>
      <c r="D12583" t="s">
        <v>383</v>
      </c>
    </row>
    <row r="12584" spans="1:4" x14ac:dyDescent="0.2">
      <c r="A12584" t="str">
        <f>"12583"</f>
        <v>12583</v>
      </c>
      <c r="B12584" t="str">
        <f>"0.28"</f>
        <v>0.28</v>
      </c>
      <c r="C12584" t="str">
        <f>"26"</f>
        <v>26</v>
      </c>
      <c r="D12584" t="s">
        <v>384</v>
      </c>
    </row>
    <row r="12585" spans="1:4" x14ac:dyDescent="0.2">
      <c r="A12585" t="str">
        <f>"12584"</f>
        <v>12584</v>
      </c>
      <c r="B12585" t="str">
        <f>"-0.63"</f>
        <v>-0.63</v>
      </c>
      <c r="C12585" t="str">
        <f>"23"</f>
        <v>23</v>
      </c>
      <c r="D12585" t="str">
        <f>"Hearts on Hold"</f>
        <v>Hearts on Hold</v>
      </c>
    </row>
    <row r="12586" spans="1:4" x14ac:dyDescent="0.2">
      <c r="A12586" t="str">
        <f>"12585"</f>
        <v>12585</v>
      </c>
      <c r="B12586" t="str">
        <f>"0.66"</f>
        <v>0.66</v>
      </c>
      <c r="C12586" t="str">
        <f>"44"</f>
        <v>44</v>
      </c>
      <c r="D12586" t="str">
        <f>"All Day"</f>
        <v>All Day</v>
      </c>
    </row>
    <row r="12587" spans="1:4" x14ac:dyDescent="0.2">
      <c r="A12587" t="str">
        <f>"12586"</f>
        <v>12586</v>
      </c>
      <c r="B12587" t="str">
        <f>"-0.23"</f>
        <v>-0.23</v>
      </c>
      <c r="C12587" t="str">
        <f>"35"</f>
        <v>35</v>
      </c>
      <c r="D12587" t="str">
        <f>"Friday Night Lights"</f>
        <v>Friday Night Lights</v>
      </c>
    </row>
    <row r="12588" spans="1:4" x14ac:dyDescent="0.2">
      <c r="A12588" t="str">
        <f>"12587"</f>
        <v>12587</v>
      </c>
      <c r="B12588" t="str">
        <f>"-0.32"</f>
        <v>-0.32</v>
      </c>
      <c r="C12588" t="str">
        <f>"18"</f>
        <v>18</v>
      </c>
      <c r="D12588" t="str">
        <f>"Lina"</f>
        <v>Lina</v>
      </c>
    </row>
    <row r="12589" spans="1:4" x14ac:dyDescent="0.2">
      <c r="A12589" t="str">
        <f>"12588"</f>
        <v>12588</v>
      </c>
      <c r="B12589" t="str">
        <f>"-0.11"</f>
        <v>-0.11</v>
      </c>
      <c r="C12589" t="str">
        <f>"24"</f>
        <v>24</v>
      </c>
      <c r="D12589" t="str">
        <f>"As U Were"</f>
        <v>As U Were</v>
      </c>
    </row>
    <row r="12590" spans="1:4" x14ac:dyDescent="0.2">
      <c r="A12590" t="str">
        <f>"12589"</f>
        <v>12589</v>
      </c>
      <c r="B12590" t="str">
        <f>"0.1"</f>
        <v>0.1</v>
      </c>
      <c r="C12590" t="str">
        <f>"15"</f>
        <v>15</v>
      </c>
      <c r="D12590" t="str">
        <f>"Parallel Seismic Conspiracies EP"</f>
        <v>Parallel Seismic Conspiracies EP</v>
      </c>
    </row>
    <row r="12591" spans="1:4" x14ac:dyDescent="0.2">
      <c r="A12591" t="str">
        <f>"12590"</f>
        <v>12590</v>
      </c>
      <c r="B12591" t="str">
        <f>"-0.24"</f>
        <v>-0.24</v>
      </c>
      <c r="C12591" t="str">
        <f>"60"</f>
        <v>60</v>
      </c>
      <c r="D12591" t="str">
        <f>"Pretty Hate Machine"</f>
        <v>Pretty Hate Machine</v>
      </c>
    </row>
    <row r="12592" spans="1:4" x14ac:dyDescent="0.2">
      <c r="A12592" t="str">
        <f>"12591"</f>
        <v>12591</v>
      </c>
      <c r="B12592" t="str">
        <f>"0.22"</f>
        <v>0.22</v>
      </c>
      <c r="C12592" t="str">
        <f>"34"</f>
        <v>34</v>
      </c>
      <c r="D12592" t="str">
        <f>"Loud"</f>
        <v>Loud</v>
      </c>
    </row>
    <row r="12593" spans="1:4" x14ac:dyDescent="0.2">
      <c r="A12593" t="str">
        <f>"12592"</f>
        <v>12592</v>
      </c>
      <c r="B12593" t="str">
        <f>"0.87"</f>
        <v>0.87</v>
      </c>
      <c r="C12593" t="str">
        <f>"36"</f>
        <v>36</v>
      </c>
      <c r="D12593" t="str">
        <f>"Pink Friday"</f>
        <v>Pink Friday</v>
      </c>
    </row>
    <row r="12594" spans="1:4" x14ac:dyDescent="0.2">
      <c r="A12594" t="str">
        <f>"12593"</f>
        <v>12593</v>
      </c>
      <c r="B12594" t="str">
        <f>"0.44"</f>
        <v>0.44</v>
      </c>
      <c r="C12594" t="str">
        <f>"15"</f>
        <v>15</v>
      </c>
      <c r="D12594" t="str">
        <f>"Off Duty EP"</f>
        <v>Off Duty EP</v>
      </c>
    </row>
    <row r="12595" spans="1:4" x14ac:dyDescent="0.2">
      <c r="A12595" t="str">
        <f>"12594"</f>
        <v>12594</v>
      </c>
      <c r="B12595" t="str">
        <f>"-0.18"</f>
        <v>-0.18</v>
      </c>
      <c r="C12595" t="str">
        <f>"16"</f>
        <v>16</v>
      </c>
      <c r="D12595" t="str">
        <f>"Burning Bush Supper Club"</f>
        <v>Burning Bush Supper Club</v>
      </c>
    </row>
    <row r="12596" spans="1:4" x14ac:dyDescent="0.2">
      <c r="A12596" t="str">
        <f>"12595"</f>
        <v>12595</v>
      </c>
      <c r="B12596" t="str">
        <f>"0.03"</f>
        <v>0.03</v>
      </c>
      <c r="C12596" t="str">
        <f>"47"</f>
        <v>47</v>
      </c>
      <c r="D12596" t="s">
        <v>385</v>
      </c>
    </row>
    <row r="12597" spans="1:4" x14ac:dyDescent="0.2">
      <c r="A12597" t="str">
        <f>"12596"</f>
        <v>12596</v>
      </c>
      <c r="B12597" t="str">
        <f>"0.58"</f>
        <v>0.58</v>
      </c>
      <c r="C12597" t="str">
        <f>"22"</f>
        <v>22</v>
      </c>
      <c r="D12597" t="str">
        <f>"Mighty EP"</f>
        <v>Mighty EP</v>
      </c>
    </row>
    <row r="12598" spans="1:4" x14ac:dyDescent="0.2">
      <c r="A12598" t="str">
        <f>"12597"</f>
        <v>12597</v>
      </c>
      <c r="B12598" t="str">
        <f>"-0.54"</f>
        <v>-0.54</v>
      </c>
      <c r="C12598" t="str">
        <f>"23"</f>
        <v>23</v>
      </c>
      <c r="D12598" t="s">
        <v>386</v>
      </c>
    </row>
    <row r="12599" spans="1:4" x14ac:dyDescent="0.2">
      <c r="A12599" t="str">
        <f>"12598"</f>
        <v>12598</v>
      </c>
      <c r="B12599" t="str">
        <f>"0.5"</f>
        <v>0.5</v>
      </c>
      <c r="C12599" t="str">
        <f>"16"</f>
        <v>16</v>
      </c>
      <c r="D12599" t="str">
        <f>"It's What I'm Thinking (Part One: Photographing Snowflakes)"</f>
        <v>It's What I'm Thinking (Part One: Photographing Snowflakes)</v>
      </c>
    </row>
    <row r="12600" spans="1:4" x14ac:dyDescent="0.2">
      <c r="A12600" t="str">
        <f>"12599"</f>
        <v>12599</v>
      </c>
      <c r="B12600" t="str">
        <f>"0.31"</f>
        <v>0.31</v>
      </c>
      <c r="C12600" t="str">
        <f>"28"</f>
        <v>28</v>
      </c>
      <c r="D12600" t="str">
        <f>"Come and Get It: The Best of Apple Records"</f>
        <v>Come and Get It: The Best of Apple Records</v>
      </c>
    </row>
    <row r="12601" spans="1:4" x14ac:dyDescent="0.2">
      <c r="A12601" t="str">
        <f>"12600"</f>
        <v>12600</v>
      </c>
      <c r="B12601" t="str">
        <f>"-0.32"</f>
        <v>-0.32</v>
      </c>
      <c r="C12601" t="str">
        <f>"88"</f>
        <v>88</v>
      </c>
      <c r="D12601" t="str">
        <f>"My Beautiful Dark Twisted Fantasy"</f>
        <v>My Beautiful Dark Twisted Fantasy</v>
      </c>
    </row>
    <row r="12602" spans="1:4" x14ac:dyDescent="0.2">
      <c r="A12602" t="str">
        <f>"12601"</f>
        <v>12601</v>
      </c>
      <c r="B12602" t="str">
        <f>"-0.41"</f>
        <v>-0.41</v>
      </c>
      <c r="C12602" t="str">
        <f>"22"</f>
        <v>22</v>
      </c>
      <c r="D12602" t="str">
        <f>"Atlas Air EP"</f>
        <v>Atlas Air EP</v>
      </c>
    </row>
    <row r="12603" spans="1:4" x14ac:dyDescent="0.2">
      <c r="A12603" t="str">
        <f>"12602"</f>
        <v>12602</v>
      </c>
      <c r="B12603" t="str">
        <f>"0"</f>
        <v>0</v>
      </c>
      <c r="C12603" t="str">
        <f>"37"</f>
        <v>37</v>
      </c>
      <c r="D12603" t="str">
        <f>"Heart Ache &amp; Dethroned"</f>
        <v>Heart Ache &amp; Dethroned</v>
      </c>
    </row>
    <row r="12604" spans="1:4" x14ac:dyDescent="0.2">
      <c r="A12604" t="str">
        <f>"12603"</f>
        <v>12603</v>
      </c>
      <c r="B12604" t="str">
        <f>"-0.61"</f>
        <v>-0.61</v>
      </c>
      <c r="C12604" t="str">
        <f>"22"</f>
        <v>22</v>
      </c>
      <c r="D12604" t="str">
        <f>"March to the Sea"</f>
        <v>March to the Sea</v>
      </c>
    </row>
    <row r="12605" spans="1:4" x14ac:dyDescent="0.2">
      <c r="A12605" t="str">
        <f>"12604"</f>
        <v>12604</v>
      </c>
      <c r="B12605" t="str">
        <f>"0.32"</f>
        <v>0.32</v>
      </c>
      <c r="C12605" t="str">
        <f>"24"</f>
        <v>24</v>
      </c>
      <c r="D12605" t="str">
        <f>"I Love Funky"</f>
        <v>I Love Funky</v>
      </c>
    </row>
    <row r="12606" spans="1:4" x14ac:dyDescent="0.2">
      <c r="A12606" t="str">
        <f>"12605"</f>
        <v>12605</v>
      </c>
      <c r="B12606" t="str">
        <f>"0.46"</f>
        <v>0.46</v>
      </c>
      <c r="C12606" t="str">
        <f>"32"</f>
        <v>32</v>
      </c>
      <c r="D12606" t="str">
        <f>"Coals to Newcastle"</f>
        <v>Coals to Newcastle</v>
      </c>
    </row>
    <row r="12607" spans="1:4" x14ac:dyDescent="0.2">
      <c r="A12607" t="str">
        <f>"12606"</f>
        <v>12606</v>
      </c>
      <c r="B12607" t="str">
        <f>"0.43"</f>
        <v>0.43</v>
      </c>
      <c r="C12607" t="str">
        <f>"23"</f>
        <v>23</v>
      </c>
      <c r="D12607" t="str">
        <f>"Infected EP"</f>
        <v>Infected EP</v>
      </c>
    </row>
    <row r="12608" spans="1:4" x14ac:dyDescent="0.2">
      <c r="A12608" t="str">
        <f>"12607"</f>
        <v>12607</v>
      </c>
      <c r="B12608" t="str">
        <f>"-0.4"</f>
        <v>-0.4</v>
      </c>
      <c r="C12608" t="str">
        <f>"25"</f>
        <v>25</v>
      </c>
      <c r="D12608" t="str">
        <f>"Da Trak Genious"</f>
        <v>Da Trak Genious</v>
      </c>
    </row>
    <row r="12609" spans="1:4" x14ac:dyDescent="0.2">
      <c r="A12609" t="str">
        <f>"12608"</f>
        <v>12608</v>
      </c>
      <c r="B12609" t="str">
        <f>"0.91"</f>
        <v>0.91</v>
      </c>
      <c r="C12609" t="str">
        <f>"28"</f>
        <v>28</v>
      </c>
      <c r="D12609" t="str">
        <f>"Glass Eights"</f>
        <v>Glass Eights</v>
      </c>
    </row>
    <row r="12610" spans="1:4" x14ac:dyDescent="0.2">
      <c r="A12610" t="str">
        <f>"12609"</f>
        <v>12609</v>
      </c>
      <c r="B12610" t="str">
        <f>"-0.26"</f>
        <v>-0.26</v>
      </c>
      <c r="C12610" t="str">
        <f>"22"</f>
        <v>22</v>
      </c>
      <c r="D12610" t="str">
        <f>"The Weight's on the Wheels"</f>
        <v>The Weight's on the Wheels</v>
      </c>
    </row>
    <row r="12611" spans="1:4" x14ac:dyDescent="0.2">
      <c r="A12611" t="str">
        <f>"12610"</f>
        <v>12610</v>
      </c>
      <c r="B12611" t="str">
        <f>"-0.26"</f>
        <v>-0.26</v>
      </c>
      <c r="C12611" t="str">
        <f>"34"</f>
        <v>34</v>
      </c>
      <c r="D12611" t="str">
        <f>"Broken Dreams Club EP"</f>
        <v>Broken Dreams Club EP</v>
      </c>
    </row>
    <row r="12612" spans="1:4" x14ac:dyDescent="0.2">
      <c r="A12612" t="str">
        <f>"12611"</f>
        <v>12611</v>
      </c>
      <c r="B12612" t="str">
        <f>"0.11"</f>
        <v>0.11</v>
      </c>
      <c r="C12612" t="str">
        <f>"29"</f>
        <v>29</v>
      </c>
      <c r="D12612" t="str">
        <f>"Man on the Moon II: The Legend of Mr. Rager"</f>
        <v>Man on the Moon II: The Legend of Mr. Rager</v>
      </c>
    </row>
    <row r="12613" spans="1:4" x14ac:dyDescent="0.2">
      <c r="A12613" t="str">
        <f>"12612"</f>
        <v>12612</v>
      </c>
      <c r="B12613" t="str">
        <f>"0.86"</f>
        <v>0.86</v>
      </c>
      <c r="C12613" t="str">
        <f>"32"</f>
        <v>32</v>
      </c>
      <c r="D12613" t="str">
        <f>"Complete Mythology"</f>
        <v>Complete Mythology</v>
      </c>
    </row>
    <row r="12614" spans="1:4" x14ac:dyDescent="0.2">
      <c r="A12614" t="str">
        <f>"12613"</f>
        <v>12613</v>
      </c>
      <c r="B12614" t="str">
        <f>"0.01"</f>
        <v>0.01</v>
      </c>
      <c r="C12614" t="str">
        <f>"35"</f>
        <v>35</v>
      </c>
      <c r="D12614" t="str">
        <f>"We Love"</f>
        <v>We Love</v>
      </c>
    </row>
    <row r="12615" spans="1:4" x14ac:dyDescent="0.2">
      <c r="A12615" t="str">
        <f>"12614"</f>
        <v>12614</v>
      </c>
      <c r="B12615" t="str">
        <f>"-0.01"</f>
        <v>-0.01</v>
      </c>
      <c r="C12615" t="str">
        <f>"29"</f>
        <v>29</v>
      </c>
      <c r="D12615" t="str">
        <f>"New Love"</f>
        <v>New Love</v>
      </c>
    </row>
    <row r="12616" spans="1:4" x14ac:dyDescent="0.2">
      <c r="A12616" t="str">
        <f>"12615"</f>
        <v>12615</v>
      </c>
      <c r="B12616" t="str">
        <f>"0.36"</f>
        <v>0.36</v>
      </c>
      <c r="C12616" t="str">
        <f>"89"</f>
        <v>89</v>
      </c>
      <c r="D12616" t="str">
        <f>"The Promise: The Darkness on the Edge of Town Story"</f>
        <v>The Promise: The Darkness on the Edge of Town Story</v>
      </c>
    </row>
    <row r="12617" spans="1:4" x14ac:dyDescent="0.2">
      <c r="A12617" t="str">
        <f>"12616"</f>
        <v>12616</v>
      </c>
      <c r="B12617" t="str">
        <f>"0.43"</f>
        <v>0.43</v>
      </c>
      <c r="C12617" t="str">
        <f>"22"</f>
        <v>22</v>
      </c>
      <c r="D12617" t="str">
        <f>"Impossible Oddities"</f>
        <v>Impossible Oddities</v>
      </c>
    </row>
    <row r="12618" spans="1:4" x14ac:dyDescent="0.2">
      <c r="A12618" t="str">
        <f>"12617"</f>
        <v>12617</v>
      </c>
      <c r="B12618" t="str">
        <f>"-0.54"</f>
        <v>-0.54</v>
      </c>
      <c r="C12618" t="str">
        <f>"19"</f>
        <v>19</v>
      </c>
      <c r="D12618" t="str">
        <f>"LA UTI EP"</f>
        <v>LA UTI EP</v>
      </c>
    </row>
    <row r="12619" spans="1:4" x14ac:dyDescent="0.2">
      <c r="A12619" t="str">
        <f>"12618"</f>
        <v>12618</v>
      </c>
      <c r="B12619" t="str">
        <f>"0.71"</f>
        <v>0.71</v>
      </c>
      <c r="C12619" t="str">
        <f>"21"</f>
        <v>21</v>
      </c>
      <c r="D12619" t="str">
        <f>"Golden Week for the Poco Poco Beat"</f>
        <v>Golden Week for the Poco Poco Beat</v>
      </c>
    </row>
    <row r="12620" spans="1:4" x14ac:dyDescent="0.2">
      <c r="A12620" t="str">
        <f>"12619"</f>
        <v>12619</v>
      </c>
      <c r="B12620" t="str">
        <f>"0.85"</f>
        <v>0.85</v>
      </c>
      <c r="C12620" t="str">
        <f>"17"</f>
        <v>17</v>
      </c>
      <c r="D12620" t="str">
        <f>"Confusion"</f>
        <v>Confusion</v>
      </c>
    </row>
    <row r="12621" spans="1:4" x14ac:dyDescent="0.2">
      <c r="A12621" t="str">
        <f>"12620"</f>
        <v>12620</v>
      </c>
      <c r="B12621" t="str">
        <f>"0.82"</f>
        <v>0.82</v>
      </c>
      <c r="C12621" t="str">
        <f>"24"</f>
        <v>24</v>
      </c>
      <c r="D12621" t="str">
        <f>"Not Music"</f>
        <v>Not Music</v>
      </c>
    </row>
    <row r="12622" spans="1:4" x14ac:dyDescent="0.2">
      <c r="A12622" t="str">
        <f>"12621"</f>
        <v>12621</v>
      </c>
      <c r="B12622" t="str">
        <f>"-0.38"</f>
        <v>-0.38</v>
      </c>
      <c r="C12622" t="str">
        <f>"25"</f>
        <v>25</v>
      </c>
      <c r="D12622" t="str">
        <f>"Worth the Weight: Bristol Dubstep Classics"</f>
        <v>Worth the Weight: Bristol Dubstep Classics</v>
      </c>
    </row>
    <row r="12623" spans="1:4" x14ac:dyDescent="0.2">
      <c r="A12623" t="str">
        <f>"12622"</f>
        <v>12622</v>
      </c>
      <c r="B12623" t="str">
        <f>"0.28"</f>
        <v>0.28</v>
      </c>
      <c r="C12623" t="str">
        <f>"18"</f>
        <v>18</v>
      </c>
      <c r="D12623" t="str">
        <f>"History of Modern"</f>
        <v>History of Modern</v>
      </c>
    </row>
    <row r="12624" spans="1:4" x14ac:dyDescent="0.2">
      <c r="A12624" t="str">
        <f>"12623"</f>
        <v>12623</v>
      </c>
      <c r="B12624" t="str">
        <f>"1.2"</f>
        <v>1.2</v>
      </c>
      <c r="C12624" t="str">
        <f>"12"</f>
        <v>12</v>
      </c>
      <c r="D12624" t="str">
        <f>"Forget the Mantra"</f>
        <v>Forget the Mantra</v>
      </c>
    </row>
    <row r="12625" spans="1:4" x14ac:dyDescent="0.2">
      <c r="A12625" t="str">
        <f>"12624"</f>
        <v>12624</v>
      </c>
      <c r="B12625" t="str">
        <f>"0.41"</f>
        <v>0.41</v>
      </c>
      <c r="C12625" t="str">
        <f>"24"</f>
        <v>24</v>
      </c>
      <c r="D12625" t="str">
        <f>"Magnetic Man"</f>
        <v>Magnetic Man</v>
      </c>
    </row>
    <row r="12626" spans="1:4" x14ac:dyDescent="0.2">
      <c r="A12626" t="str">
        <f>"12625"</f>
        <v>12625</v>
      </c>
      <c r="B12626" t="str">
        <f>"1.58"</f>
        <v>1.58</v>
      </c>
      <c r="C12626" t="str">
        <f>"19"</f>
        <v>19</v>
      </c>
      <c r="D12626" t="str">
        <f>"London Sessions"</f>
        <v>London Sessions</v>
      </c>
    </row>
    <row r="12627" spans="1:4" x14ac:dyDescent="0.2">
      <c r="A12627" t="str">
        <f>"12626"</f>
        <v>12626</v>
      </c>
      <c r="B12627" t="str">
        <f>"0.18"</f>
        <v>0.18</v>
      </c>
      <c r="C12627" t="str">
        <f>"19"</f>
        <v>19</v>
      </c>
      <c r="D12627" t="str">
        <f>"Tapes"</f>
        <v>Tapes</v>
      </c>
    </row>
    <row r="12628" spans="1:4" x14ac:dyDescent="0.2">
      <c r="A12628" t="str">
        <f>"12627"</f>
        <v>12627</v>
      </c>
      <c r="B12628" t="str">
        <f>"0.07"</f>
        <v>0.07</v>
      </c>
      <c r="C12628" t="str">
        <f>"25"</f>
        <v>25</v>
      </c>
      <c r="D12628" t="str">
        <f>"Captured Anthems For an Empty Bathtub / Anthems For the Could've Bin Pills"</f>
        <v>Captured Anthems For an Empty Bathtub / Anthems For the Could've Bin Pills</v>
      </c>
    </row>
    <row r="12629" spans="1:4" x14ac:dyDescent="0.2">
      <c r="A12629" t="str">
        <f>"12628"</f>
        <v>12628</v>
      </c>
      <c r="B12629" t="str">
        <f>"0.21"</f>
        <v>0.21</v>
      </c>
      <c r="C12629" t="str">
        <f>"27"</f>
        <v>27</v>
      </c>
      <c r="D12629" t="str">
        <f>"10"</f>
        <v>10</v>
      </c>
    </row>
    <row r="12630" spans="1:4" x14ac:dyDescent="0.2">
      <c r="A12630" t="str">
        <f>"12629"</f>
        <v>12629</v>
      </c>
      <c r="B12630" t="str">
        <f>"-0.36"</f>
        <v>-0.36</v>
      </c>
      <c r="C12630" t="str">
        <f>"15"</f>
        <v>15</v>
      </c>
      <c r="D12630" t="str">
        <f>"Quarters"</f>
        <v>Quarters</v>
      </c>
    </row>
    <row r="12631" spans="1:4" x14ac:dyDescent="0.2">
      <c r="A12631" t="str">
        <f>"12630"</f>
        <v>12630</v>
      </c>
      <c r="B12631" t="str">
        <f>"-0.4"</f>
        <v>-0.4</v>
      </c>
      <c r="C12631" t="str">
        <f>"33"</f>
        <v>33</v>
      </c>
      <c r="D12631" t="str">
        <f>"Sad Sappy Sucker"</f>
        <v>Sad Sappy Sucker</v>
      </c>
    </row>
    <row r="12632" spans="1:4" x14ac:dyDescent="0.2">
      <c r="A12632" t="str">
        <f>"12631"</f>
        <v>12631</v>
      </c>
      <c r="B12632" t="str">
        <f>"-1.11"</f>
        <v>-1.11</v>
      </c>
      <c r="C12632" t="str">
        <f>"46"</f>
        <v>46</v>
      </c>
      <c r="D12632" t="str">
        <f>"BLACKENEDWHITE"</f>
        <v>BLACKENEDWHITE</v>
      </c>
    </row>
    <row r="12633" spans="1:4" x14ac:dyDescent="0.2">
      <c r="A12633" t="str">
        <f>"12632"</f>
        <v>12632</v>
      </c>
      <c r="B12633" t="str">
        <f>"0.29"</f>
        <v>0.29</v>
      </c>
      <c r="C12633" t="str">
        <f>"23"</f>
        <v>23</v>
      </c>
      <c r="D12633" t="str">
        <f>"That We Can Play EP"</f>
        <v>That We Can Play EP</v>
      </c>
    </row>
    <row r="12634" spans="1:4" x14ac:dyDescent="0.2">
      <c r="A12634" t="str">
        <f>"12633"</f>
        <v>12633</v>
      </c>
      <c r="B12634" t="str">
        <f>"-0.18"</f>
        <v>-0.18</v>
      </c>
      <c r="C12634" t="str">
        <f>"33"</f>
        <v>33</v>
      </c>
      <c r="D12634" t="str">
        <f>"Nothing Fits"</f>
        <v>Nothing Fits</v>
      </c>
    </row>
    <row r="12635" spans="1:4" x14ac:dyDescent="0.2">
      <c r="A12635" t="str">
        <f>"12634"</f>
        <v>12634</v>
      </c>
      <c r="B12635" t="str">
        <f>"1.08"</f>
        <v>1.08</v>
      </c>
      <c r="C12635" t="str">
        <f>"21"</f>
        <v>21</v>
      </c>
      <c r="D12635" t="str">
        <f>"Radioclit Presents: The Sound of Club Secousse"</f>
        <v>Radioclit Presents: The Sound of Club Secousse</v>
      </c>
    </row>
    <row r="12636" spans="1:4" x14ac:dyDescent="0.2">
      <c r="A12636" t="str">
        <f>"12635"</f>
        <v>12635</v>
      </c>
      <c r="B12636" t="str">
        <f>"-0.29"</f>
        <v>-0.29</v>
      </c>
      <c r="C12636" t="str">
        <f>"24"</f>
        <v>24</v>
      </c>
      <c r="D12636" t="str">
        <f>"The Lady Killer"</f>
        <v>The Lady Killer</v>
      </c>
    </row>
    <row r="12637" spans="1:4" x14ac:dyDescent="0.2">
      <c r="A12637" t="str">
        <f>"12636"</f>
        <v>12636</v>
      </c>
      <c r="B12637" t="str">
        <f>"0.33"</f>
        <v>0.33</v>
      </c>
      <c r="C12637" t="str">
        <f>"47"</f>
        <v>47</v>
      </c>
      <c r="D12637" t="str">
        <f>"The Best of Suede"</f>
        <v>The Best of Suede</v>
      </c>
    </row>
    <row r="12638" spans="1:4" x14ac:dyDescent="0.2">
      <c r="A12638" t="str">
        <f>"12637"</f>
        <v>12637</v>
      </c>
      <c r="B12638" t="str">
        <f>"0.06"</f>
        <v>0.06</v>
      </c>
      <c r="C12638" t="str">
        <f>"20"</f>
        <v>20</v>
      </c>
      <c r="D12638" t="str">
        <f>"Sports"</f>
        <v>Sports</v>
      </c>
    </row>
    <row r="12639" spans="1:4" x14ac:dyDescent="0.2">
      <c r="A12639" t="str">
        <f>"12638"</f>
        <v>12638</v>
      </c>
      <c r="B12639" t="str">
        <f>"0.77"</f>
        <v>0.77</v>
      </c>
      <c r="C12639" t="str">
        <f>"16"</f>
        <v>16</v>
      </c>
      <c r="D12639" t="str">
        <f>"Electric Sunset"</f>
        <v>Electric Sunset</v>
      </c>
    </row>
    <row r="12640" spans="1:4" x14ac:dyDescent="0.2">
      <c r="A12640" t="str">
        <f>"12639"</f>
        <v>12639</v>
      </c>
      <c r="B12640" t="str">
        <f>"0.7"</f>
        <v>0.7</v>
      </c>
      <c r="C12640" t="str">
        <f>"28"</f>
        <v>28</v>
      </c>
      <c r="D12640" t="str">
        <f>"How to Live"</f>
        <v>How to Live</v>
      </c>
    </row>
    <row r="12641" spans="1:4" x14ac:dyDescent="0.2">
      <c r="A12641" t="str">
        <f>"12640"</f>
        <v>12640</v>
      </c>
      <c r="B12641" t="str">
        <f>"-0.8"</f>
        <v>-0.8</v>
      </c>
      <c r="C12641" t="str">
        <f>"23"</f>
        <v>23</v>
      </c>
      <c r="D12641" t="str">
        <f>"Patience"</f>
        <v>Patience</v>
      </c>
    </row>
    <row r="12642" spans="1:4" x14ac:dyDescent="0.2">
      <c r="A12642" t="str">
        <f>"12641"</f>
        <v>12641</v>
      </c>
      <c r="B12642" t="str">
        <f>"0.39"</f>
        <v>0.39</v>
      </c>
      <c r="C12642" t="str">
        <f>"29"</f>
        <v>29</v>
      </c>
      <c r="D12642" t="str">
        <f>"Tradi-Mods vs. Rockers: Alternative Takes on Congotronics"</f>
        <v>Tradi-Mods vs. Rockers: Alternative Takes on Congotronics</v>
      </c>
    </row>
    <row r="12643" spans="1:4" x14ac:dyDescent="0.2">
      <c r="A12643" t="str">
        <f>"12642"</f>
        <v>12642</v>
      </c>
      <c r="B12643" t="str">
        <f>"1.11"</f>
        <v>1.11</v>
      </c>
      <c r="C12643" t="str">
        <f>"29"</f>
        <v>29</v>
      </c>
      <c r="D12643" t="str">
        <f>"Good Humor"</f>
        <v>Good Humor</v>
      </c>
    </row>
    <row r="12644" spans="1:4" x14ac:dyDescent="0.2">
      <c r="A12644" t="str">
        <f>"12643"</f>
        <v>12643</v>
      </c>
      <c r="B12644" t="str">
        <f>"0.79"</f>
        <v>0.79</v>
      </c>
      <c r="C12644" t="str">
        <f>"22"</f>
        <v>22</v>
      </c>
      <c r="D12644" t="str">
        <f>"Pyramid of the Sun"</f>
        <v>Pyramid of the Sun</v>
      </c>
    </row>
    <row r="12645" spans="1:4" x14ac:dyDescent="0.2">
      <c r="A12645" t="str">
        <f>"12644"</f>
        <v>12644</v>
      </c>
      <c r="B12645" t="str">
        <f>"-1.17"</f>
        <v>-1.17</v>
      </c>
      <c r="C12645" t="str">
        <f>"17"</f>
        <v>17</v>
      </c>
      <c r="D12645" t="str">
        <f>"Litanies"</f>
        <v>Litanies</v>
      </c>
    </row>
    <row r="12646" spans="1:4" x14ac:dyDescent="0.2">
      <c r="A12646" t="str">
        <f>"12645"</f>
        <v>12645</v>
      </c>
      <c r="B12646" t="str">
        <f>"0.68"</f>
        <v>0.68</v>
      </c>
      <c r="C12646" t="str">
        <f>"21"</f>
        <v>21</v>
      </c>
      <c r="D12646" t="str">
        <f>"Ironto Special"</f>
        <v>Ironto Special</v>
      </c>
    </row>
    <row r="12647" spans="1:4" x14ac:dyDescent="0.2">
      <c r="A12647" t="str">
        <f>"12646"</f>
        <v>12646</v>
      </c>
      <c r="B12647" t="str">
        <f>"0.53"</f>
        <v>0.53</v>
      </c>
      <c r="C12647" t="str">
        <f>"23"</f>
        <v>23</v>
      </c>
      <c r="D12647" t="str">
        <f>"Special Affections"</f>
        <v>Special Affections</v>
      </c>
    </row>
    <row r="12648" spans="1:4" x14ac:dyDescent="0.2">
      <c r="A12648" t="str">
        <f>"12647"</f>
        <v>12647</v>
      </c>
      <c r="B12648" t="str">
        <f>"0.67"</f>
        <v>0.67</v>
      </c>
      <c r="C12648" t="str">
        <f>"30"</f>
        <v>30</v>
      </c>
      <c r="D12648" t="str">
        <f>"WYWH"</f>
        <v>WYWH</v>
      </c>
    </row>
    <row r="12649" spans="1:4" x14ac:dyDescent="0.2">
      <c r="A12649" t="str">
        <f>"12648"</f>
        <v>12648</v>
      </c>
      <c r="B12649" t="str">
        <f>"-0.53"</f>
        <v>-0.53</v>
      </c>
      <c r="C12649" t="str">
        <f>"19"</f>
        <v>19</v>
      </c>
      <c r="D12649" t="str">
        <f>"Ardour"</f>
        <v>Ardour</v>
      </c>
    </row>
    <row r="12650" spans="1:4" x14ac:dyDescent="0.2">
      <c r="A12650" t="str">
        <f>"12649"</f>
        <v>12649</v>
      </c>
      <c r="B12650" t="str">
        <f>"0.07"</f>
        <v>0.07</v>
      </c>
      <c r="C12650" t="str">
        <f>"37"</f>
        <v>37</v>
      </c>
      <c r="D12650" t="str">
        <f>"LATE EP"</f>
        <v>LATE EP</v>
      </c>
    </row>
    <row r="12651" spans="1:4" x14ac:dyDescent="0.2">
      <c r="A12651" t="str">
        <f>"12650"</f>
        <v>12650</v>
      </c>
      <c r="B12651" t="str">
        <f>"-0.43"</f>
        <v>-0.43</v>
      </c>
      <c r="C12651" t="str">
        <f>"22"</f>
        <v>22</v>
      </c>
      <c r="D12651" t="str">
        <f>"Funeral Mariachi"</f>
        <v>Funeral Mariachi</v>
      </c>
    </row>
    <row r="12652" spans="1:4" x14ac:dyDescent="0.2">
      <c r="A12652" t="str">
        <f>"12651"</f>
        <v>12651</v>
      </c>
      <c r="B12652" t="str">
        <f>"0.43"</f>
        <v>0.43</v>
      </c>
      <c r="C12652" t="str">
        <f>"26"</f>
        <v>26</v>
      </c>
      <c r="D12652" t="str">
        <f>"Swim Remixes"</f>
        <v>Swim Remixes</v>
      </c>
    </row>
    <row r="12653" spans="1:4" x14ac:dyDescent="0.2">
      <c r="A12653" t="str">
        <f>"12652"</f>
        <v>12652</v>
      </c>
      <c r="B12653" t="str">
        <f>"0.7"</f>
        <v>0.7</v>
      </c>
      <c r="C12653" t="str">
        <f>"19"</f>
        <v>19</v>
      </c>
      <c r="D12653" t="str">
        <f>"Margins"</f>
        <v>Margins</v>
      </c>
    </row>
    <row r="12654" spans="1:4" x14ac:dyDescent="0.2">
      <c r="A12654" t="str">
        <f>"12653"</f>
        <v>12653</v>
      </c>
      <c r="B12654" t="str">
        <f>"-0.5"</f>
        <v>-0.5</v>
      </c>
      <c r="C12654" t="str">
        <f>"19"</f>
        <v>19</v>
      </c>
      <c r="D12654" t="str">
        <f>"Castle Talk"</f>
        <v>Castle Talk</v>
      </c>
    </row>
    <row r="12655" spans="1:4" x14ac:dyDescent="0.2">
      <c r="A12655" t="str">
        <f>"12654"</f>
        <v>12654</v>
      </c>
      <c r="B12655" t="str">
        <f>"-0.63"</f>
        <v>-0.63</v>
      </c>
      <c r="C12655" t="str">
        <f>"16"</f>
        <v>16</v>
      </c>
      <c r="D12655" t="str">
        <f>"Live in Japan"</f>
        <v>Live in Japan</v>
      </c>
    </row>
    <row r="12656" spans="1:4" x14ac:dyDescent="0.2">
      <c r="A12656" t="str">
        <f>"12655"</f>
        <v>12655</v>
      </c>
      <c r="B12656" t="str">
        <f>"-0.33"</f>
        <v>-0.33</v>
      </c>
      <c r="C12656" t="str">
        <f>"34"</f>
        <v>34</v>
      </c>
      <c r="D12656" t="str">
        <f>"Gutter Water"</f>
        <v>Gutter Water</v>
      </c>
    </row>
    <row r="12657" spans="1:4" x14ac:dyDescent="0.2">
      <c r="A12657" t="str">
        <f>"12656"</f>
        <v>12656</v>
      </c>
      <c r="B12657" t="str">
        <f>"0.85"</f>
        <v>0.85</v>
      </c>
      <c r="C12657" t="str">
        <f>"29"</f>
        <v>29</v>
      </c>
      <c r="D12657" t="s">
        <v>387</v>
      </c>
    </row>
    <row r="12658" spans="1:4" x14ac:dyDescent="0.2">
      <c r="A12658" t="str">
        <f>"12657"</f>
        <v>12657</v>
      </c>
      <c r="B12658" t="str">
        <f>"-0.89"</f>
        <v>-0.89</v>
      </c>
      <c r="C12658" t="str">
        <f>"27"</f>
        <v>27</v>
      </c>
      <c r="D12658" t="str">
        <f>"Come Around Sundown"</f>
        <v>Come Around Sundown</v>
      </c>
    </row>
    <row r="12659" spans="1:4" x14ac:dyDescent="0.2">
      <c r="A12659" t="str">
        <f>"12658"</f>
        <v>12658</v>
      </c>
      <c r="B12659" t="str">
        <f>"-0.89"</f>
        <v>-0.89</v>
      </c>
      <c r="C12659" t="str">
        <f>"21"</f>
        <v>21</v>
      </c>
      <c r="D12659" t="str">
        <f>"Nothing"</f>
        <v>Nothing</v>
      </c>
    </row>
    <row r="12660" spans="1:4" x14ac:dyDescent="0.2">
      <c r="A12660" t="str">
        <f>"12659"</f>
        <v>12659</v>
      </c>
      <c r="B12660" t="str">
        <f>"-0.01"</f>
        <v>-0.01</v>
      </c>
      <c r="C12660" t="str">
        <f>"37"</f>
        <v>37</v>
      </c>
      <c r="D12660" t="str">
        <f>"Blow Your Head Volume 1: Diplo Presents Dubstep"</f>
        <v>Blow Your Head Volume 1: Diplo Presents Dubstep</v>
      </c>
    </row>
    <row r="12661" spans="1:4" x14ac:dyDescent="0.2">
      <c r="A12661" t="str">
        <f>"12660"</f>
        <v>12660</v>
      </c>
      <c r="B12661" t="str">
        <f>"-0.7"</f>
        <v>-0.7</v>
      </c>
      <c r="C12661" t="str">
        <f>"23"</f>
        <v>23</v>
      </c>
      <c r="D12661" t="str">
        <f>"Clairaudience Fellowship"</f>
        <v>Clairaudience Fellowship</v>
      </c>
    </row>
    <row r="12662" spans="1:4" x14ac:dyDescent="0.2">
      <c r="A12662" t="str">
        <f>"12661"</f>
        <v>12661</v>
      </c>
      <c r="B12662" t="str">
        <f>"0.5"</f>
        <v>0.5</v>
      </c>
      <c r="C12662" t="str">
        <f>"30"</f>
        <v>30</v>
      </c>
      <c r="D12662" t="str">
        <f>"Small Craft on a Milk Sea"</f>
        <v>Small Craft on a Milk Sea</v>
      </c>
    </row>
    <row r="12663" spans="1:4" x14ac:dyDescent="0.2">
      <c r="A12663" t="str">
        <f>"12662"</f>
        <v>12662</v>
      </c>
      <c r="B12663" t="str">
        <f>"0.33"</f>
        <v>0.33</v>
      </c>
      <c r="C12663" t="str">
        <f>"36"</f>
        <v>36</v>
      </c>
      <c r="D12663" t="str">
        <f>"Rock Bottom"</f>
        <v>Rock Bottom</v>
      </c>
    </row>
    <row r="12664" spans="1:4" x14ac:dyDescent="0.2">
      <c r="A12664" t="str">
        <f>"12663"</f>
        <v>12663</v>
      </c>
      <c r="B12664" t="str">
        <f>"1.07"</f>
        <v>1.07</v>
      </c>
      <c r="C12664" t="str">
        <f>"29"</f>
        <v>29</v>
      </c>
      <c r="D12664" t="str">
        <f>"Adolescent Funk"</f>
        <v>Adolescent Funk</v>
      </c>
    </row>
    <row r="12665" spans="1:4" x14ac:dyDescent="0.2">
      <c r="A12665" t="str">
        <f>"12664"</f>
        <v>12664</v>
      </c>
      <c r="B12665" t="str">
        <f>"-0.6"</f>
        <v>-0.6</v>
      </c>
      <c r="C12665" t="str">
        <f>"21"</f>
        <v>21</v>
      </c>
      <c r="D12665" t="str">
        <f>"Penpals Forever (and Ever)"</f>
        <v>Penpals Forever (and Ever)</v>
      </c>
    </row>
    <row r="12666" spans="1:4" x14ac:dyDescent="0.2">
      <c r="A12666" t="str">
        <f>"12665"</f>
        <v>12665</v>
      </c>
      <c r="B12666" t="str">
        <f>"-0.46"</f>
        <v>-0.46</v>
      </c>
      <c r="C12666" t="str">
        <f>"26"</f>
        <v>26</v>
      </c>
      <c r="D12666" t="str">
        <f>"Codename: Rondo"</f>
        <v>Codename: Rondo</v>
      </c>
    </row>
    <row r="12667" spans="1:4" x14ac:dyDescent="0.2">
      <c r="A12667" t="str">
        <f>"12666"</f>
        <v>12666</v>
      </c>
      <c r="B12667" t="str">
        <f>"-0.5"</f>
        <v>-0.5</v>
      </c>
      <c r="C12667" t="str">
        <f>"60"</f>
        <v>60</v>
      </c>
      <c r="D12667" t="str">
        <f>"Pinkerton [Deluxe Edition]"</f>
        <v>Pinkerton [Deluxe Edition]</v>
      </c>
    </row>
    <row r="12668" spans="1:4" x14ac:dyDescent="0.2">
      <c r="A12668" t="str">
        <f>"12667"</f>
        <v>12667</v>
      </c>
      <c r="B12668" t="str">
        <f>"0.36"</f>
        <v>0.36</v>
      </c>
      <c r="C12668" t="str">
        <f>"22"</f>
        <v>22</v>
      </c>
      <c r="D12668" t="str">
        <f>"Sidewalks"</f>
        <v>Sidewalks</v>
      </c>
    </row>
    <row r="12669" spans="1:4" x14ac:dyDescent="0.2">
      <c r="A12669" t="str">
        <f>"12668"</f>
        <v>12668</v>
      </c>
      <c r="B12669" t="str">
        <f>"-0.35"</f>
        <v>-0.35</v>
      </c>
      <c r="C12669" t="str">
        <f>"30"</f>
        <v>30</v>
      </c>
      <c r="D12669" t="str">
        <f>"A Bureaucratic Desire for Extra-Capsular Extraction"</f>
        <v>A Bureaucratic Desire for Extra-Capsular Extraction</v>
      </c>
    </row>
    <row r="12670" spans="1:4" x14ac:dyDescent="0.2">
      <c r="A12670" t="str">
        <f>"12669"</f>
        <v>12669</v>
      </c>
      <c r="B12670" t="str">
        <f>"0.52"</f>
        <v>0.52</v>
      </c>
      <c r="C12670" t="str">
        <f>"32"</f>
        <v>32</v>
      </c>
      <c r="D12670" t="str">
        <f>"Slime Flu"</f>
        <v>Slime Flu</v>
      </c>
    </row>
    <row r="12671" spans="1:4" x14ac:dyDescent="0.2">
      <c r="A12671" t="str">
        <f>"12670"</f>
        <v>12670</v>
      </c>
      <c r="B12671" t="str">
        <f>"-0.22"</f>
        <v>-0.22</v>
      </c>
      <c r="C12671" t="str">
        <f>"15"</f>
        <v>15</v>
      </c>
      <c r="D12671" t="str">
        <f>"All Night"</f>
        <v>All Night</v>
      </c>
    </row>
    <row r="12672" spans="1:4" x14ac:dyDescent="0.2">
      <c r="A12672" t="str">
        <f>"12671"</f>
        <v>12671</v>
      </c>
      <c r="B12672" t="str">
        <f>"0.03"</f>
        <v>0.03</v>
      </c>
      <c r="C12672" t="str">
        <f>"18"</f>
        <v>18</v>
      </c>
      <c r="D12672" t="str">
        <f>"An Introduction To..."</f>
        <v>An Introduction To...</v>
      </c>
    </row>
    <row r="12673" spans="1:4" x14ac:dyDescent="0.2">
      <c r="A12673" t="str">
        <f>"12672"</f>
        <v>12672</v>
      </c>
      <c r="B12673" t="str">
        <f>"-0.34"</f>
        <v>-0.34</v>
      </c>
      <c r="C12673" t="str">
        <f>"23"</f>
        <v>23</v>
      </c>
      <c r="D12673" t="str">
        <f>"Spiral Shadow"</f>
        <v>Spiral Shadow</v>
      </c>
    </row>
    <row r="12674" spans="1:4" x14ac:dyDescent="0.2">
      <c r="A12674" t="str">
        <f>"12673"</f>
        <v>12673</v>
      </c>
      <c r="B12674" t="str">
        <f>"-0.41"</f>
        <v>-0.41</v>
      </c>
      <c r="C12674" t="str">
        <f>"16"</f>
        <v>16</v>
      </c>
      <c r="D12674" t="str">
        <f>"Amoral"</f>
        <v>Amoral</v>
      </c>
    </row>
    <row r="12675" spans="1:4" x14ac:dyDescent="0.2">
      <c r="A12675" t="str">
        <f>"12674"</f>
        <v>12674</v>
      </c>
      <c r="B12675" t="str">
        <f>"2.21"</f>
        <v>2.21</v>
      </c>
      <c r="C12675" t="str">
        <f>"21"</f>
        <v>21</v>
      </c>
      <c r="D12675" t="str">
        <f>"Opticks"</f>
        <v>Opticks</v>
      </c>
    </row>
    <row r="12676" spans="1:4" x14ac:dyDescent="0.2">
      <c r="A12676" t="str">
        <f>"12675"</f>
        <v>12675</v>
      </c>
      <c r="B12676" t="str">
        <f>"-0.64"</f>
        <v>-0.64</v>
      </c>
      <c r="C12676" t="str">
        <f>"29"</f>
        <v>29</v>
      </c>
      <c r="D12676" t="str">
        <f>"24 Hour Karate School"</f>
        <v>24 Hour Karate School</v>
      </c>
    </row>
    <row r="12677" spans="1:4" x14ac:dyDescent="0.2">
      <c r="A12677" t="str">
        <f>"12676"</f>
        <v>12676</v>
      </c>
      <c r="B12677" t="str">
        <f>"0.38"</f>
        <v>0.38</v>
      </c>
      <c r="C12677" t="str">
        <f>"25"</f>
        <v>25</v>
      </c>
      <c r="D12677" t="s">
        <v>388</v>
      </c>
    </row>
    <row r="12678" spans="1:4" x14ac:dyDescent="0.2">
      <c r="A12678" t="str">
        <f>"12677"</f>
        <v>12677</v>
      </c>
      <c r="B12678" t="str">
        <f>"1.03"</f>
        <v>1.03</v>
      </c>
      <c r="C12678" t="str">
        <f>"39"</f>
        <v>39</v>
      </c>
      <c r="D12678" t="str">
        <f>"The Appeal: Georgia's Most Wanted"</f>
        <v>The Appeal: Georgia's Most Wanted</v>
      </c>
    </row>
    <row r="12679" spans="1:4" x14ac:dyDescent="0.2">
      <c r="A12679" t="str">
        <f>"12678"</f>
        <v>12678</v>
      </c>
      <c r="B12679" t="str">
        <f>"1.03"</f>
        <v>1.03</v>
      </c>
      <c r="C12679" t="str">
        <f>"23"</f>
        <v>23</v>
      </c>
      <c r="D12679" t="str">
        <f>"Sleepwalkers"</f>
        <v>Sleepwalkers</v>
      </c>
    </row>
    <row r="12680" spans="1:4" x14ac:dyDescent="0.2">
      <c r="A12680" t="str">
        <f>"12679"</f>
        <v>12679</v>
      </c>
      <c r="B12680" t="str">
        <f>"-0.32"</f>
        <v>-0.32</v>
      </c>
      <c r="C12680" t="str">
        <f>"17"</f>
        <v>17</v>
      </c>
      <c r="D12680" t="str">
        <f>"Future Weather EP"</f>
        <v>Future Weather EP</v>
      </c>
    </row>
    <row r="12681" spans="1:4" x14ac:dyDescent="0.2">
      <c r="A12681" t="str">
        <f>"12680"</f>
        <v>12680</v>
      </c>
      <c r="B12681" t="str">
        <f>"0.38"</f>
        <v>0.38</v>
      </c>
      <c r="C12681" t="str">
        <f>"25"</f>
        <v>25</v>
      </c>
      <c r="D12681" t="str">
        <f>"What It Means to Be Left-Handed"</f>
        <v>What It Means to Be Left-Handed</v>
      </c>
    </row>
    <row r="12682" spans="1:4" x14ac:dyDescent="0.2">
      <c r="A12682" t="str">
        <f>"12681"</f>
        <v>12681</v>
      </c>
      <c r="B12682" t="str">
        <f>"0.02"</f>
        <v>0.02</v>
      </c>
      <c r="C12682" t="str">
        <f>"25"</f>
        <v>25</v>
      </c>
      <c r="D12682" t="str">
        <f>"Archer on the Beach 12"""</f>
        <v>Archer on the Beach 12"</v>
      </c>
    </row>
    <row r="12683" spans="1:4" x14ac:dyDescent="0.2">
      <c r="A12683" t="str">
        <f>"12682"</f>
        <v>12682</v>
      </c>
      <c r="B12683" t="str">
        <f>"-0.77"</f>
        <v>-0.77</v>
      </c>
      <c r="C12683" t="str">
        <f>"30"</f>
        <v>30</v>
      </c>
      <c r="D12683" t="str">
        <f>"The Fool"</f>
        <v>The Fool</v>
      </c>
    </row>
    <row r="12684" spans="1:4" x14ac:dyDescent="0.2">
      <c r="A12684" t="str">
        <f>"12683"</f>
        <v>12683</v>
      </c>
      <c r="B12684" t="str">
        <f>"0.45"</f>
        <v>0.45</v>
      </c>
      <c r="C12684" t="str">
        <f>"19"</f>
        <v>19</v>
      </c>
      <c r="D12684" t="str">
        <f>"The Effective Disconnect (Music Composed for the Documentary ""Vanishing of the Bees"")"</f>
        <v>The Effective Disconnect (Music Composed for the Documentary "Vanishing of the Bees")</v>
      </c>
    </row>
    <row r="12685" spans="1:4" x14ac:dyDescent="0.2">
      <c r="A12685" t="str">
        <f>"12684"</f>
        <v>12684</v>
      </c>
      <c r="B12685" t="str">
        <f>"-0.57"</f>
        <v>-0.57</v>
      </c>
      <c r="C12685" t="str">
        <f>"16"</f>
        <v>16</v>
      </c>
      <c r="D12685" t="str">
        <f>"Paupers Field"</f>
        <v>Paupers Field</v>
      </c>
    </row>
    <row r="12686" spans="1:4" x14ac:dyDescent="0.2">
      <c r="A12686" t="str">
        <f>"12685"</f>
        <v>12685</v>
      </c>
      <c r="B12686" t="str">
        <f>"-0.99"</f>
        <v>-0.99</v>
      </c>
      <c r="C12686" t="str">
        <f>"35"</f>
        <v>35</v>
      </c>
      <c r="D12686" t="str">
        <f>"Bloody War: Songs 1924-1939"</f>
        <v>Bloody War: Songs 1924-1939</v>
      </c>
    </row>
    <row r="12687" spans="1:4" x14ac:dyDescent="0.2">
      <c r="A12687" t="str">
        <f>"12686"</f>
        <v>12686</v>
      </c>
      <c r="B12687" t="str">
        <f>"-1.4"</f>
        <v>-1.4</v>
      </c>
      <c r="C12687" t="str">
        <f>"30"</f>
        <v>30</v>
      </c>
      <c r="D12687" t="str">
        <f>"Flockaveli"</f>
        <v>Flockaveli</v>
      </c>
    </row>
    <row r="12688" spans="1:4" x14ac:dyDescent="0.2">
      <c r="A12688" t="str">
        <f>"12687"</f>
        <v>12687</v>
      </c>
      <c r="B12688" t="str">
        <f>"-0.14"</f>
        <v>-0.14</v>
      </c>
      <c r="C12688" t="str">
        <f>"18"</f>
        <v>18</v>
      </c>
      <c r="D12688" t="str">
        <f>"Nocturne of Exploded Crystal Chandelier"</f>
        <v>Nocturne of Exploded Crystal Chandelier</v>
      </c>
    </row>
    <row r="12689" spans="1:4" x14ac:dyDescent="0.2">
      <c r="A12689" t="str">
        <f>"12688"</f>
        <v>12688</v>
      </c>
      <c r="B12689" t="str">
        <f>"1.2"</f>
        <v>1.2</v>
      </c>
      <c r="C12689" t="str">
        <f>"22"</f>
        <v>22</v>
      </c>
      <c r="D12689" t="str">
        <f>"Anda Jaleo"</f>
        <v>Anda Jaleo</v>
      </c>
    </row>
    <row r="12690" spans="1:4" x14ac:dyDescent="0.2">
      <c r="A12690" t="str">
        <f>"12689"</f>
        <v>12689</v>
      </c>
      <c r="B12690" t="str">
        <f>"0.7"</f>
        <v>0.7</v>
      </c>
      <c r="C12690" t="str">
        <f>"19"</f>
        <v>19</v>
      </c>
      <c r="D12690" t="str">
        <f>"Port Entropy"</f>
        <v>Port Entropy</v>
      </c>
    </row>
    <row r="12691" spans="1:4" x14ac:dyDescent="0.2">
      <c r="A12691" t="str">
        <f>"12690"</f>
        <v>12690</v>
      </c>
      <c r="B12691" t="str">
        <f>"1.06"</f>
        <v>1.06</v>
      </c>
      <c r="C12691" t="str">
        <f>"26"</f>
        <v>26</v>
      </c>
      <c r="D12691" t="str">
        <f>"Infinite Love"</f>
        <v>Infinite Love</v>
      </c>
    </row>
    <row r="12692" spans="1:4" x14ac:dyDescent="0.2">
      <c r="A12692" t="str">
        <f>"12691"</f>
        <v>12691</v>
      </c>
      <c r="B12692" t="str">
        <f>"0.09"</f>
        <v>0.09</v>
      </c>
      <c r="C12692" t="str">
        <f>"29"</f>
        <v>29</v>
      </c>
      <c r="D12692" t="str">
        <f>"Song Islands Vol. 2"</f>
        <v>Song Islands Vol. 2</v>
      </c>
    </row>
    <row r="12693" spans="1:4" x14ac:dyDescent="0.2">
      <c r="A12693" t="str">
        <f>"12692"</f>
        <v>12692</v>
      </c>
      <c r="B12693" t="str">
        <f>"1.2"</f>
        <v>1.2</v>
      </c>
      <c r="C12693" t="str">
        <f>"23"</f>
        <v>23</v>
      </c>
      <c r="D12693" t="str">
        <f>"Olympia"</f>
        <v>Olympia</v>
      </c>
    </row>
    <row r="12694" spans="1:4" x14ac:dyDescent="0.2">
      <c r="A12694" t="str">
        <f>"12693"</f>
        <v>12693</v>
      </c>
      <c r="B12694" t="str">
        <f>"0.66"</f>
        <v>0.66</v>
      </c>
      <c r="C12694" t="str">
        <f>"21"</f>
        <v>21</v>
      </c>
      <c r="D12694" t="str">
        <f>"Authenticity"</f>
        <v>Authenticity</v>
      </c>
    </row>
    <row r="12695" spans="1:4" x14ac:dyDescent="0.2">
      <c r="A12695" t="str">
        <f>"12694"</f>
        <v>12694</v>
      </c>
      <c r="B12695" t="str">
        <f>"-1.03"</f>
        <v>-1.03</v>
      </c>
      <c r="C12695" t="str">
        <f>"25"</f>
        <v>25</v>
      </c>
      <c r="D12695" t="str">
        <f>"DJ-Kicks"</f>
        <v>DJ-Kicks</v>
      </c>
    </row>
    <row r="12696" spans="1:4" x14ac:dyDescent="0.2">
      <c r="A12696" t="str">
        <f>"12695"</f>
        <v>12695</v>
      </c>
      <c r="B12696" t="str">
        <f>"1.1"</f>
        <v>1.1</v>
      </c>
      <c r="C12696" t="str">
        <f>"21"</f>
        <v>21</v>
      </c>
      <c r="D12696" t="str">
        <f>"Facit"</f>
        <v>Facit</v>
      </c>
    </row>
    <row r="12697" spans="1:4" x14ac:dyDescent="0.2">
      <c r="A12697" t="str">
        <f>"12696"</f>
        <v>12696</v>
      </c>
      <c r="B12697" t="str">
        <f>"0.25"</f>
        <v>0.25</v>
      </c>
      <c r="C12697" t="str">
        <f>"22"</f>
        <v>22</v>
      </c>
      <c r="D12697" t="str">
        <f>"Live at Shepherds Bush Empire EP"</f>
        <v>Live at Shepherds Bush Empire EP</v>
      </c>
    </row>
    <row r="12698" spans="1:4" x14ac:dyDescent="0.2">
      <c r="A12698" t="str">
        <f>"12697"</f>
        <v>12697</v>
      </c>
      <c r="B12698" t="str">
        <f>"-0.71"</f>
        <v>-0.71</v>
      </c>
      <c r="C12698" t="str">
        <f>"62"</f>
        <v>62</v>
      </c>
      <c r="D12698" t="str">
        <f>"Orange"</f>
        <v>Orange</v>
      </c>
    </row>
    <row r="12699" spans="1:4" x14ac:dyDescent="0.2">
      <c r="A12699" t="str">
        <f>"12698"</f>
        <v>12698</v>
      </c>
      <c r="B12699" t="str">
        <f>"1.15"</f>
        <v>1.15</v>
      </c>
      <c r="C12699" t="str">
        <f>"19"</f>
        <v>19</v>
      </c>
      <c r="D12699" t="str">
        <f>"New Chain"</f>
        <v>New Chain</v>
      </c>
    </row>
    <row r="12700" spans="1:4" x14ac:dyDescent="0.2">
      <c r="A12700" t="str">
        <f>"12699"</f>
        <v>12699</v>
      </c>
      <c r="B12700" t="str">
        <f>"-0.81"</f>
        <v>-0.81</v>
      </c>
      <c r="C12700" t="str">
        <f>"43"</f>
        <v>43</v>
      </c>
      <c r="D12700" t="str">
        <f>"The Naked Soul of Sweet Jones"</f>
        <v>The Naked Soul of Sweet Jones</v>
      </c>
    </row>
    <row r="12701" spans="1:4" x14ac:dyDescent="0.2">
      <c r="A12701" t="str">
        <f>"12700"</f>
        <v>12700</v>
      </c>
      <c r="B12701" t="str">
        <f>"0.13"</f>
        <v>0.13</v>
      </c>
      <c r="C12701" t="str">
        <f>"21"</f>
        <v>21</v>
      </c>
      <c r="D12701" t="str">
        <f>"Innundir Skinni"</f>
        <v>Innundir Skinni</v>
      </c>
    </row>
    <row r="12702" spans="1:4" x14ac:dyDescent="0.2">
      <c r="A12702" t="str">
        <f>"12701"</f>
        <v>12701</v>
      </c>
      <c r="B12702" t="str">
        <f>"-1.03"</f>
        <v>-1.03</v>
      </c>
      <c r="C12702" t="str">
        <f>"34"</f>
        <v>34</v>
      </c>
      <c r="D12702" t="str">
        <f>"Down There"</f>
        <v>Down There</v>
      </c>
    </row>
    <row r="12703" spans="1:4" x14ac:dyDescent="0.2">
      <c r="A12703" t="str">
        <f>"12702"</f>
        <v>12702</v>
      </c>
      <c r="B12703" t="str">
        <f>"0.02"</f>
        <v>0.02</v>
      </c>
      <c r="C12703" t="str">
        <f>"28"</f>
        <v>28</v>
      </c>
      <c r="D12703" t="str">
        <f>"For the Ghosts Within"</f>
        <v>For the Ghosts Within</v>
      </c>
    </row>
    <row r="12704" spans="1:4" x14ac:dyDescent="0.2">
      <c r="A12704" t="str">
        <f>"12703"</f>
        <v>12703</v>
      </c>
      <c r="B12704" t="str">
        <f>"0.81"</f>
        <v>0.81</v>
      </c>
      <c r="C12704" t="str">
        <f>"24"</f>
        <v>24</v>
      </c>
      <c r="D12704" t="str">
        <f>"Turning On"</f>
        <v>Turning On</v>
      </c>
    </row>
    <row r="12705" spans="1:4" x14ac:dyDescent="0.2">
      <c r="A12705" t="str">
        <f>"12704"</f>
        <v>12704</v>
      </c>
      <c r="B12705" t="str">
        <f>"-0.6"</f>
        <v>-0.6</v>
      </c>
      <c r="C12705" t="str">
        <f>"17"</f>
        <v>17</v>
      </c>
      <c r="D12705" t="str">
        <f>"Let Me Come Home"</f>
        <v>Let Me Come Home</v>
      </c>
    </row>
    <row r="12706" spans="1:4" x14ac:dyDescent="0.2">
      <c r="A12706" t="str">
        <f>"12705"</f>
        <v>12705</v>
      </c>
      <c r="B12706" t="str">
        <f>"0.13"</f>
        <v>0.13</v>
      </c>
      <c r="C12706" t="str">
        <f>"14"</f>
        <v>14</v>
      </c>
      <c r="D12706" t="str">
        <f>"NYMPH"</f>
        <v>NYMPH</v>
      </c>
    </row>
    <row r="12707" spans="1:4" x14ac:dyDescent="0.2">
      <c r="A12707" t="str">
        <f>"12706"</f>
        <v>12706</v>
      </c>
      <c r="B12707" t="str">
        <f>"-0.34"</f>
        <v>-0.34</v>
      </c>
      <c r="C12707" t="str">
        <f>"79"</f>
        <v>79</v>
      </c>
      <c r="D12707" t="str">
        <f>"Signature Box"</f>
        <v>Signature Box</v>
      </c>
    </row>
    <row r="12708" spans="1:4" x14ac:dyDescent="0.2">
      <c r="A12708" t="str">
        <f>"12707"</f>
        <v>12707</v>
      </c>
      <c r="B12708" t="str">
        <f>"0.68"</f>
        <v>0.68</v>
      </c>
      <c r="C12708" t="str">
        <f>"22"</f>
        <v>22</v>
      </c>
      <c r="D12708" t="str">
        <f>"Searching for the Young Soul Rebels [30th Anniversary Edition]"</f>
        <v>Searching for the Young Soul Rebels [30th Anniversary Edition]</v>
      </c>
    </row>
    <row r="12709" spans="1:4" x14ac:dyDescent="0.2">
      <c r="A12709" t="str">
        <f>"12708"</f>
        <v>12708</v>
      </c>
      <c r="B12709" t="str">
        <f>"0.19"</f>
        <v>0.19</v>
      </c>
      <c r="C12709" t="str">
        <f>"17"</f>
        <v>17</v>
      </c>
      <c r="D12709" t="str">
        <f>"Is Fixed"</f>
        <v>Is Fixed</v>
      </c>
    </row>
    <row r="12710" spans="1:4" x14ac:dyDescent="0.2">
      <c r="A12710" t="str">
        <f>"12709"</f>
        <v>12709</v>
      </c>
      <c r="B12710" t="str">
        <f>"-0.04"</f>
        <v>-0.04</v>
      </c>
      <c r="C12710" t="str">
        <f>"15"</f>
        <v>15</v>
      </c>
      <c r="D12710" t="str">
        <f>"The Inevitable Past Is the Future Forgotten"</f>
        <v>The Inevitable Past Is the Future Forgotten</v>
      </c>
    </row>
    <row r="12711" spans="1:4" x14ac:dyDescent="0.2">
      <c r="A12711" t="str">
        <f>"12710"</f>
        <v>12710</v>
      </c>
      <c r="B12711" t="str">
        <f>"0.22"</f>
        <v>0.22</v>
      </c>
      <c r="C12711" t="str">
        <f>"17"</f>
        <v>17</v>
      </c>
      <c r="D12711" t="str">
        <f>"Riposte"</f>
        <v>Riposte</v>
      </c>
    </row>
    <row r="12712" spans="1:4" x14ac:dyDescent="0.2">
      <c r="A12712" t="str">
        <f>"12711"</f>
        <v>12711</v>
      </c>
      <c r="B12712" t="str">
        <f>"0.14"</f>
        <v>0.14</v>
      </c>
      <c r="C12712" t="str">
        <f>"25"</f>
        <v>25</v>
      </c>
      <c r="D12712" t="str">
        <f>"Undercard"</f>
        <v>Undercard</v>
      </c>
    </row>
    <row r="12713" spans="1:4" x14ac:dyDescent="0.2">
      <c r="A12713" t="str">
        <f>"12712"</f>
        <v>12712</v>
      </c>
      <c r="B12713" t="str">
        <f>"1.25"</f>
        <v>1.25</v>
      </c>
      <c r="C12713" t="str">
        <f>"25"</f>
        <v>25</v>
      </c>
      <c r="D12713" t="str">
        <f>"Cinema Red and Blue"</f>
        <v>Cinema Red and Blue</v>
      </c>
    </row>
    <row r="12714" spans="1:4" x14ac:dyDescent="0.2">
      <c r="A12714" t="str">
        <f>"12713"</f>
        <v>12713</v>
      </c>
      <c r="B12714" t="str">
        <f>"0.68"</f>
        <v>0.68</v>
      </c>
      <c r="C12714" t="str">
        <f>"34"</f>
        <v>34</v>
      </c>
      <c r="D12714" t="str">
        <f>"I Plan to Stay a Believer: The Inside Songs of Curtis Mayfield"</f>
        <v>I Plan to Stay a Believer: The Inside Songs of Curtis Mayfield</v>
      </c>
    </row>
    <row r="12715" spans="1:4" x14ac:dyDescent="0.2">
      <c r="A12715" t="str">
        <f>"12714"</f>
        <v>12714</v>
      </c>
      <c r="B12715" t="str">
        <f>"-0.08"</f>
        <v>-0.08</v>
      </c>
      <c r="C12715" t="str">
        <f>"20"</f>
        <v>20</v>
      </c>
      <c r="D12715" t="str">
        <f>"Way Slow Volume One"</f>
        <v>Way Slow Volume One</v>
      </c>
    </row>
    <row r="12716" spans="1:4" x14ac:dyDescent="0.2">
      <c r="A12716" t="str">
        <f>"12715"</f>
        <v>12715</v>
      </c>
      <c r="B12716" t="str">
        <f>"0.21"</f>
        <v>0.21</v>
      </c>
      <c r="C12716" t="str">
        <f>"28"</f>
        <v>28</v>
      </c>
      <c r="D12716" t="str">
        <f>"I Will Love You at All"</f>
        <v>I Will Love You at All</v>
      </c>
    </row>
    <row r="12717" spans="1:4" x14ac:dyDescent="0.2">
      <c r="A12717" t="str">
        <f>"12716"</f>
        <v>12716</v>
      </c>
      <c r="B12717" t="str">
        <f>"-0.46"</f>
        <v>-0.46</v>
      </c>
      <c r="C12717" t="str">
        <f>"41"</f>
        <v>41</v>
      </c>
      <c r="D12717" t="str">
        <f>"$O$"</f>
        <v>$O$</v>
      </c>
    </row>
    <row r="12718" spans="1:4" x14ac:dyDescent="0.2">
      <c r="A12718" t="str">
        <f>"12717"</f>
        <v>12717</v>
      </c>
      <c r="B12718" t="str">
        <f>"1.07"</f>
        <v>1.07</v>
      </c>
      <c r="C12718" t="str">
        <f>"28"</f>
        <v>28</v>
      </c>
      <c r="D12718" t="str">
        <f>"Jon McMillion LP"</f>
        <v>Jon McMillion LP</v>
      </c>
    </row>
    <row r="12719" spans="1:4" x14ac:dyDescent="0.2">
      <c r="A12719" t="str">
        <f>"12718"</f>
        <v>12718</v>
      </c>
      <c r="B12719" t="str">
        <f>"0.35"</f>
        <v>0.35</v>
      </c>
      <c r="C12719" t="str">
        <f>"26"</f>
        <v>26</v>
      </c>
      <c r="D12719" t="str">
        <f>"Death Gate EP"</f>
        <v>Death Gate EP</v>
      </c>
    </row>
    <row r="12720" spans="1:4" x14ac:dyDescent="0.2">
      <c r="A12720" t="str">
        <f>"12719"</f>
        <v>12719</v>
      </c>
      <c r="B12720" t="str">
        <f>"0.77"</f>
        <v>0.77</v>
      </c>
      <c r="C12720" t="str">
        <f>"35"</f>
        <v>35</v>
      </c>
      <c r="D12720" t="str">
        <f>"Zeroes QC"</f>
        <v>Zeroes QC</v>
      </c>
    </row>
    <row r="12721" spans="1:4" x14ac:dyDescent="0.2">
      <c r="A12721" t="str">
        <f>"12720"</f>
        <v>12720</v>
      </c>
      <c r="B12721" t="str">
        <f>"0.39"</f>
        <v>0.39</v>
      </c>
      <c r="C12721" t="str">
        <f>"21"</f>
        <v>21</v>
      </c>
      <c r="D12721" t="str">
        <f>"The Hybrid"</f>
        <v>The Hybrid</v>
      </c>
    </row>
    <row r="12722" spans="1:4" x14ac:dyDescent="0.2">
      <c r="A12722" t="str">
        <f>"12721"</f>
        <v>12721</v>
      </c>
      <c r="B12722" t="str">
        <f>"-0.55"</f>
        <v>-0.55</v>
      </c>
      <c r="C12722" t="str">
        <f>"18"</f>
        <v>18</v>
      </c>
      <c r="D12722" t="str">
        <f>"Shobaleader One: d’Demonstrator"</f>
        <v>Shobaleader One: d’Demonstrator</v>
      </c>
    </row>
    <row r="12723" spans="1:4" x14ac:dyDescent="0.2">
      <c r="A12723" t="str">
        <f>"12722"</f>
        <v>12722</v>
      </c>
      <c r="B12723" t="str">
        <f>"0.51"</f>
        <v>0.51</v>
      </c>
      <c r="C12723" t="str">
        <f>"21"</f>
        <v>21</v>
      </c>
      <c r="D12723" t="str">
        <f>"Living With Yourself"</f>
        <v>Living With Yourself</v>
      </c>
    </row>
    <row r="12724" spans="1:4" x14ac:dyDescent="0.2">
      <c r="A12724" t="str">
        <f>"12723"</f>
        <v>12723</v>
      </c>
      <c r="B12724" t="str">
        <f>"1.14"</f>
        <v>1.14</v>
      </c>
      <c r="C12724" t="str">
        <f>"17"</f>
        <v>17</v>
      </c>
      <c r="D12724" t="str">
        <f>"Last Chants"</f>
        <v>Last Chants</v>
      </c>
    </row>
    <row r="12725" spans="1:4" x14ac:dyDescent="0.2">
      <c r="A12725" t="str">
        <f>"12724"</f>
        <v>12724</v>
      </c>
      <c r="B12725" t="str">
        <f>"0.84"</f>
        <v>0.84</v>
      </c>
      <c r="C12725" t="str">
        <f>"17"</f>
        <v>17</v>
      </c>
      <c r="D12725" t="str">
        <f>"A Path Less Travelled"</f>
        <v>A Path Less Travelled</v>
      </c>
    </row>
    <row r="12726" spans="1:4" x14ac:dyDescent="0.2">
      <c r="A12726" t="str">
        <f>"12725"</f>
        <v>12725</v>
      </c>
      <c r="B12726" t="str">
        <f>"0.14"</f>
        <v>0.14</v>
      </c>
      <c r="C12726" t="str">
        <f>"26"</f>
        <v>26</v>
      </c>
      <c r="D12726" t="str">
        <f>"Play It Strange"</f>
        <v>Play It Strange</v>
      </c>
    </row>
    <row r="12727" spans="1:4" x14ac:dyDescent="0.2">
      <c r="A12727" t="str">
        <f>"12726"</f>
        <v>12726</v>
      </c>
      <c r="B12727" t="str">
        <f>"-0.02"</f>
        <v>-0.02</v>
      </c>
      <c r="C12727" t="str">
        <f>"20"</f>
        <v>20</v>
      </c>
      <c r="D12727" t="s">
        <v>389</v>
      </c>
    </row>
    <row r="12728" spans="1:4" x14ac:dyDescent="0.2">
      <c r="A12728" t="str">
        <f>"12727"</f>
        <v>12727</v>
      </c>
      <c r="B12728" t="str">
        <f>"0.14"</f>
        <v>0.14</v>
      </c>
      <c r="C12728" t="str">
        <f>"20"</f>
        <v>20</v>
      </c>
      <c r="D12728" t="str">
        <f>"North"</f>
        <v>North</v>
      </c>
    </row>
    <row r="12729" spans="1:4" x14ac:dyDescent="0.2">
      <c r="A12729" t="str">
        <f>"12728"</f>
        <v>12728</v>
      </c>
      <c r="B12729" t="str">
        <f>"0.4"</f>
        <v>0.4</v>
      </c>
      <c r="C12729" t="str">
        <f>"20"</f>
        <v>20</v>
      </c>
      <c r="D12729" t="str">
        <f>"Tall Hours in the Glowstream"</f>
        <v>Tall Hours in the Glowstream</v>
      </c>
    </row>
    <row r="12730" spans="1:4" x14ac:dyDescent="0.2">
      <c r="A12730" t="str">
        <f>"12729"</f>
        <v>12729</v>
      </c>
      <c r="B12730" t="str">
        <f>"-0.75"</f>
        <v>-0.75</v>
      </c>
      <c r="C12730" t="str">
        <f>"28"</f>
        <v>28</v>
      </c>
      <c r="D12730" t="str">
        <f>"I Am the West"</f>
        <v>I Am the West</v>
      </c>
    </row>
    <row r="12731" spans="1:4" x14ac:dyDescent="0.2">
      <c r="A12731" t="str">
        <f>"12730"</f>
        <v>12730</v>
      </c>
      <c r="B12731" t="str">
        <f>"0.08"</f>
        <v>0.08</v>
      </c>
      <c r="C12731" t="str">
        <f>"31"</f>
        <v>31</v>
      </c>
      <c r="D12731" t="str">
        <f>"Bona Drag [20th Anniversary Edition]"</f>
        <v>Bona Drag [20th Anniversary Edition]</v>
      </c>
    </row>
    <row r="12732" spans="1:4" x14ac:dyDescent="0.2">
      <c r="A12732" t="str">
        <f>"12731"</f>
        <v>12731</v>
      </c>
      <c r="B12732" t="str">
        <f>"-0.5"</f>
        <v>-0.5</v>
      </c>
      <c r="C12732" t="str">
        <f>"20"</f>
        <v>20</v>
      </c>
      <c r="D12732" t="str">
        <f>"Valusia EP"</f>
        <v>Valusia EP</v>
      </c>
    </row>
    <row r="12733" spans="1:4" x14ac:dyDescent="0.2">
      <c r="A12733" t="str">
        <f>"12732"</f>
        <v>12732</v>
      </c>
      <c r="B12733" t="str">
        <f>"0.52"</f>
        <v>0.52</v>
      </c>
      <c r="C12733" t="str">
        <f>"23"</f>
        <v>23</v>
      </c>
      <c r="D12733" t="str">
        <f>"Lasted"</f>
        <v>Lasted</v>
      </c>
    </row>
    <row r="12734" spans="1:4" x14ac:dyDescent="0.2">
      <c r="A12734" t="str">
        <f>"12733"</f>
        <v>12733</v>
      </c>
      <c r="B12734" t="str">
        <f>"-0.41"</f>
        <v>-0.41</v>
      </c>
      <c r="C12734" t="str">
        <f>"27"</f>
        <v>27</v>
      </c>
      <c r="D12734" t="str">
        <f>"Home Sweet Mobile Home"</f>
        <v>Home Sweet Mobile Home</v>
      </c>
    </row>
    <row r="12735" spans="1:4" x14ac:dyDescent="0.2">
      <c r="A12735" t="str">
        <f>"12734"</f>
        <v>12734</v>
      </c>
      <c r="B12735" t="str">
        <f>"0.23"</f>
        <v>0.23</v>
      </c>
      <c r="C12735" t="str">
        <f>"37"</f>
        <v>37</v>
      </c>
      <c r="D12735" t="str">
        <f>"Lawless Darkness"</f>
        <v>Lawless Darkness</v>
      </c>
    </row>
    <row r="12736" spans="1:4" x14ac:dyDescent="0.2">
      <c r="A12736" t="str">
        <f>"12735"</f>
        <v>12735</v>
      </c>
      <c r="B12736" t="str">
        <f>"-0.09"</f>
        <v>-0.09</v>
      </c>
      <c r="C12736" t="str">
        <f>"44"</f>
        <v>44</v>
      </c>
      <c r="D12736" t="str">
        <f>"Swanlights"</f>
        <v>Swanlights</v>
      </c>
    </row>
    <row r="12737" spans="1:4" x14ac:dyDescent="0.2">
      <c r="A12737" t="str">
        <f>"12736"</f>
        <v>12736</v>
      </c>
      <c r="B12737" t="str">
        <f>"0.4"</f>
        <v>0.4</v>
      </c>
      <c r="C12737" t="str">
        <f>"34"</f>
        <v>34</v>
      </c>
      <c r="D12737" t="str">
        <f>"Record Collection"</f>
        <v>Record Collection</v>
      </c>
    </row>
    <row r="12738" spans="1:4" x14ac:dyDescent="0.2">
      <c r="A12738" t="str">
        <f>"12737"</f>
        <v>12737</v>
      </c>
      <c r="B12738" t="str">
        <f>"1.53"</f>
        <v>1.53</v>
      </c>
      <c r="C12738" t="str">
        <f>"17"</f>
        <v>17</v>
      </c>
      <c r="D12738" t="str">
        <f>"Every Step's a Yes"</f>
        <v>Every Step's a Yes</v>
      </c>
    </row>
    <row r="12739" spans="1:4" x14ac:dyDescent="0.2">
      <c r="A12739" t="str">
        <f>"12738"</f>
        <v>12738</v>
      </c>
      <c r="B12739" t="str">
        <f>"-1.02"</f>
        <v>-1.02</v>
      </c>
      <c r="C12739" t="str">
        <f>"21"</f>
        <v>21</v>
      </c>
      <c r="D12739" t="str">
        <f>"Under the Jaguar Sun"</f>
        <v>Under the Jaguar Sun</v>
      </c>
    </row>
    <row r="12740" spans="1:4" x14ac:dyDescent="0.2">
      <c r="A12740" t="str">
        <f>"12739"</f>
        <v>12739</v>
      </c>
      <c r="B12740" t="str">
        <f>"0.64"</f>
        <v>0.64</v>
      </c>
      <c r="C12740" t="str">
        <f>"31"</f>
        <v>31</v>
      </c>
      <c r="D12740" t="str">
        <f>"Life! Death! Prizes!"</f>
        <v>Life! Death! Prizes!</v>
      </c>
    </row>
    <row r="12741" spans="1:4" x14ac:dyDescent="0.2">
      <c r="A12741" t="str">
        <f>"12740"</f>
        <v>12740</v>
      </c>
      <c r="B12741" t="str">
        <f>"0.4"</f>
        <v>0.4</v>
      </c>
      <c r="C12741" t="str">
        <f>"59"</f>
        <v>59</v>
      </c>
      <c r="D12741" t="str">
        <f>"Matador at 21"</f>
        <v>Matador at 21</v>
      </c>
    </row>
    <row r="12742" spans="1:4" x14ac:dyDescent="0.2">
      <c r="A12742" t="str">
        <f>"12741"</f>
        <v>12741</v>
      </c>
      <c r="B12742" t="str">
        <f>"0.72"</f>
        <v>0.72</v>
      </c>
      <c r="C12742" t="str">
        <f>"50"</f>
        <v>50</v>
      </c>
      <c r="D12742" t="str">
        <f>"Lucky Shiner"</f>
        <v>Lucky Shiner</v>
      </c>
    </row>
    <row r="12743" spans="1:4" x14ac:dyDescent="0.2">
      <c r="A12743" t="str">
        <f>"12742"</f>
        <v>12742</v>
      </c>
      <c r="B12743" t="str">
        <f>"-0.27"</f>
        <v>-0.27</v>
      </c>
      <c r="C12743" t="str">
        <f>"18"</f>
        <v>18</v>
      </c>
      <c r="D12743" t="str">
        <f>"The Caliph's Tea Party"</f>
        <v>The Caliph's Tea Party</v>
      </c>
    </row>
    <row r="12744" spans="1:4" x14ac:dyDescent="0.2">
      <c r="A12744" t="str">
        <f>"12743"</f>
        <v>12743</v>
      </c>
      <c r="B12744" t="str">
        <f>"0.48"</f>
        <v>0.48</v>
      </c>
      <c r="C12744" t="str">
        <f>"20"</f>
        <v>20</v>
      </c>
      <c r="D12744" t="str">
        <f>"Face Tat"</f>
        <v>Face Tat</v>
      </c>
    </row>
    <row r="12745" spans="1:4" x14ac:dyDescent="0.2">
      <c r="A12745" t="str">
        <f>"12744"</f>
        <v>12744</v>
      </c>
      <c r="B12745" t="str">
        <f>"-0.16"</f>
        <v>-0.16</v>
      </c>
      <c r="C12745" t="str">
        <f>"20"</f>
        <v>20</v>
      </c>
      <c r="D12745" t="str">
        <f>"Ghost Fits"</f>
        <v>Ghost Fits</v>
      </c>
    </row>
    <row r="12746" spans="1:4" x14ac:dyDescent="0.2">
      <c r="A12746" t="str">
        <f>"12745"</f>
        <v>12745</v>
      </c>
      <c r="B12746" t="str">
        <f>"-0.13"</f>
        <v>-0.13</v>
      </c>
      <c r="C12746" t="str">
        <f>"50"</f>
        <v>50</v>
      </c>
      <c r="D12746" t="str">
        <f>"The Age of Adz"</f>
        <v>The Age of Adz</v>
      </c>
    </row>
    <row r="12747" spans="1:4" x14ac:dyDescent="0.2">
      <c r="A12747" t="str">
        <f>"12746"</f>
        <v>12746</v>
      </c>
      <c r="B12747" t="str">
        <f>"1.04"</f>
        <v>1.04</v>
      </c>
      <c r="C12747" t="str">
        <f>"32"</f>
        <v>32</v>
      </c>
      <c r="D12747" t="str">
        <f>"To Dreamers"</f>
        <v>To Dreamers</v>
      </c>
    </row>
    <row r="12748" spans="1:4" x14ac:dyDescent="0.2">
      <c r="A12748" t="str">
        <f>"12747"</f>
        <v>12747</v>
      </c>
      <c r="B12748" t="str">
        <f>"0.82"</f>
        <v>0.82</v>
      </c>
      <c r="C12748" t="str">
        <f>"17"</f>
        <v>17</v>
      </c>
      <c r="D12748" t="str">
        <f>"Sound of the Police"</f>
        <v>Sound of the Police</v>
      </c>
    </row>
    <row r="12749" spans="1:4" x14ac:dyDescent="0.2">
      <c r="A12749" t="str">
        <f>"12748"</f>
        <v>12748</v>
      </c>
      <c r="B12749" t="str">
        <f>"-0.13"</f>
        <v>-0.13</v>
      </c>
      <c r="C12749" t="str">
        <f>"30"</f>
        <v>30</v>
      </c>
      <c r="D12749" t="str">
        <f>"Duppy Writer"</f>
        <v>Duppy Writer</v>
      </c>
    </row>
    <row r="12750" spans="1:4" x14ac:dyDescent="0.2">
      <c r="A12750" t="str">
        <f>"12749"</f>
        <v>12749</v>
      </c>
      <c r="B12750" t="str">
        <f>"0.33"</f>
        <v>0.33</v>
      </c>
      <c r="C12750" t="str">
        <f>"30"</f>
        <v>30</v>
      </c>
      <c r="D12750" t="str">
        <f>"Foreign Landscapes"</f>
        <v>Foreign Landscapes</v>
      </c>
    </row>
    <row r="12751" spans="1:4" x14ac:dyDescent="0.2">
      <c r="A12751" t="str">
        <f>"12750"</f>
        <v>12750</v>
      </c>
      <c r="B12751" t="str">
        <f>"1.12"</f>
        <v>1.12</v>
      </c>
      <c r="C12751" t="str">
        <f>"33"</f>
        <v>33</v>
      </c>
      <c r="D12751" t="str">
        <f>"Write About Love"</f>
        <v>Write About Love</v>
      </c>
    </row>
    <row r="12752" spans="1:4" x14ac:dyDescent="0.2">
      <c r="A12752" t="str">
        <f>"12751"</f>
        <v>12751</v>
      </c>
      <c r="B12752" t="str">
        <f>"0.6"</f>
        <v>0.6</v>
      </c>
      <c r="C12752" t="str">
        <f>"30"</f>
        <v>30</v>
      </c>
      <c r="D12752" t="str">
        <f>"Blue Water White Death"</f>
        <v>Blue Water White Death</v>
      </c>
    </row>
    <row r="12753" spans="1:4" x14ac:dyDescent="0.2">
      <c r="A12753" t="str">
        <f>"12752"</f>
        <v>12752</v>
      </c>
      <c r="B12753" t="str">
        <f>"1.17"</f>
        <v>1.17</v>
      </c>
      <c r="C12753" t="str">
        <f>"16"</f>
        <v>16</v>
      </c>
      <c r="D12753" t="str">
        <f>"Last Day of Summer"</f>
        <v>Last Day of Summer</v>
      </c>
    </row>
    <row r="12754" spans="1:4" x14ac:dyDescent="0.2">
      <c r="A12754" t="str">
        <f>"12753"</f>
        <v>12753</v>
      </c>
      <c r="B12754" t="str">
        <f>"0.85"</f>
        <v>0.85</v>
      </c>
      <c r="C12754" t="str">
        <f>"33"</f>
        <v>33</v>
      </c>
      <c r="D12754" t="str">
        <f>"Holkham Drones"</f>
        <v>Holkham Drones</v>
      </c>
    </row>
    <row r="12755" spans="1:4" x14ac:dyDescent="0.2">
      <c r="A12755" t="str">
        <f>"12754"</f>
        <v>12754</v>
      </c>
      <c r="B12755" t="str">
        <f>"0.01"</f>
        <v>0.01</v>
      </c>
      <c r="C12755" t="str">
        <f>"26"</f>
        <v>26</v>
      </c>
      <c r="D12755" t="str">
        <f>"Graffiti Composition"</f>
        <v>Graffiti Composition</v>
      </c>
    </row>
    <row r="12756" spans="1:4" x14ac:dyDescent="0.2">
      <c r="A12756" t="str">
        <f>"12755"</f>
        <v>12755</v>
      </c>
      <c r="B12756" t="str">
        <f>"-1.56"</f>
        <v>-1.56</v>
      </c>
      <c r="C12756" t="str">
        <f>"40"</f>
        <v>40</v>
      </c>
      <c r="D12756" t="str">
        <f>"King Night"</f>
        <v>King Night</v>
      </c>
    </row>
    <row r="12757" spans="1:4" x14ac:dyDescent="0.2">
      <c r="A12757" t="str">
        <f>"12756"</f>
        <v>12756</v>
      </c>
      <c r="B12757" t="str">
        <f>"0.1"</f>
        <v>0.1</v>
      </c>
      <c r="C12757" t="str">
        <f>"21"</f>
        <v>21</v>
      </c>
      <c r="D12757" t="s">
        <v>390</v>
      </c>
    </row>
    <row r="12758" spans="1:4" x14ac:dyDescent="0.2">
      <c r="A12758" t="str">
        <f>"12757"</f>
        <v>12757</v>
      </c>
      <c r="B12758" t="str">
        <f>"0.13"</f>
        <v>0.13</v>
      </c>
      <c r="C12758" t="str">
        <f>"29"</f>
        <v>29</v>
      </c>
      <c r="D12758" t="str">
        <f>"An Ark for the Listener"</f>
        <v>An Ark for the Listener</v>
      </c>
    </row>
    <row r="12759" spans="1:4" x14ac:dyDescent="0.2">
      <c r="A12759" t="str">
        <f>"12758"</f>
        <v>12758</v>
      </c>
      <c r="B12759" t="str">
        <f>"-0.73"</f>
        <v>-0.73</v>
      </c>
      <c r="C12759" t="str">
        <f>"17"</f>
        <v>17</v>
      </c>
      <c r="D12759" t="str">
        <f>"Sailors With Wax Wings"</f>
        <v>Sailors With Wax Wings</v>
      </c>
    </row>
    <row r="12760" spans="1:4" x14ac:dyDescent="0.2">
      <c r="A12760" t="str">
        <f>"12759"</f>
        <v>12759</v>
      </c>
      <c r="B12760" t="str">
        <f>"-0.6"</f>
        <v>-0.6</v>
      </c>
      <c r="C12760" t="str">
        <f>"26"</f>
        <v>26</v>
      </c>
      <c r="D12760" t="str">
        <f>"Marcberg"</f>
        <v>Marcberg</v>
      </c>
    </row>
    <row r="12761" spans="1:4" x14ac:dyDescent="0.2">
      <c r="A12761" t="str">
        <f>"12760"</f>
        <v>12760</v>
      </c>
      <c r="B12761" t="str">
        <f>"-0.97"</f>
        <v>-0.97</v>
      </c>
      <c r="C12761" t="str">
        <f>"32"</f>
        <v>32</v>
      </c>
      <c r="D12761" t="str">
        <f>"Marnie Stern"</f>
        <v>Marnie Stern</v>
      </c>
    </row>
    <row r="12762" spans="1:4" x14ac:dyDescent="0.2">
      <c r="A12762" t="str">
        <f>"12761"</f>
        <v>12761</v>
      </c>
      <c r="B12762" t="str">
        <f>"-0.3"</f>
        <v>-0.3</v>
      </c>
      <c r="C12762" t="str">
        <f>"21"</f>
        <v>21</v>
      </c>
      <c r="D12762" t="str">
        <f>"A Swedish Love Story EP"</f>
        <v>A Swedish Love Story EP</v>
      </c>
    </row>
    <row r="12763" spans="1:4" x14ac:dyDescent="0.2">
      <c r="A12763" t="str">
        <f>"12762"</f>
        <v>12762</v>
      </c>
      <c r="B12763" t="str">
        <f>"0.8"</f>
        <v>0.8</v>
      </c>
      <c r="C12763" t="str">
        <f>"21"</f>
        <v>21</v>
      </c>
      <c r="D12763" t="str">
        <f>"Epic"</f>
        <v>Epic</v>
      </c>
    </row>
    <row r="12764" spans="1:4" x14ac:dyDescent="0.2">
      <c r="A12764" t="str">
        <f>"12763"</f>
        <v>12763</v>
      </c>
      <c r="B12764" t="str">
        <f>"0.62"</f>
        <v>0.62</v>
      </c>
      <c r="C12764" t="str">
        <f>"20"</f>
        <v>20</v>
      </c>
      <c r="D12764" t="str">
        <f>"Wolfpack Party"</f>
        <v>Wolfpack Party</v>
      </c>
    </row>
    <row r="12765" spans="1:4" x14ac:dyDescent="0.2">
      <c r="A12765" t="str">
        <f>"12764"</f>
        <v>12764</v>
      </c>
      <c r="B12765" t="str">
        <f>"0.67"</f>
        <v>0.67</v>
      </c>
      <c r="C12765" t="str">
        <f>"21"</f>
        <v>21</v>
      </c>
      <c r="D12765" t="str">
        <f>"Past Time"</f>
        <v>Past Time</v>
      </c>
    </row>
    <row r="12766" spans="1:4" x14ac:dyDescent="0.2">
      <c r="A12766" t="str">
        <f>"12765"</f>
        <v>12765</v>
      </c>
      <c r="B12766" t="str">
        <f>"-1.11"</f>
        <v>-1.11</v>
      </c>
      <c r="C12766" t="str">
        <f>"29"</f>
        <v>29</v>
      </c>
      <c r="D12766" t="str">
        <f>"Caribou Vibration Ensemble"</f>
        <v>Caribou Vibration Ensemble</v>
      </c>
    </row>
    <row r="12767" spans="1:4" x14ac:dyDescent="0.2">
      <c r="A12767" t="str">
        <f>"12766"</f>
        <v>12766</v>
      </c>
      <c r="B12767" t="str">
        <f>"1.22"</f>
        <v>1.22</v>
      </c>
      <c r="C12767" t="str">
        <f>"23"</f>
        <v>23</v>
      </c>
      <c r="D12767" t="str">
        <f>"BXI EP"</f>
        <v>BXI EP</v>
      </c>
    </row>
    <row r="12768" spans="1:4" x14ac:dyDescent="0.2">
      <c r="A12768" t="str">
        <f>"12767"</f>
        <v>12767</v>
      </c>
      <c r="B12768" t="str">
        <f>"0.84"</f>
        <v>0.84</v>
      </c>
      <c r="C12768" t="str">
        <f>"25"</f>
        <v>25</v>
      </c>
      <c r="D12768" t="str">
        <f>"Solo"</f>
        <v>Solo</v>
      </c>
    </row>
    <row r="12769" spans="1:4" x14ac:dyDescent="0.2">
      <c r="A12769" t="str">
        <f>"12768"</f>
        <v>12768</v>
      </c>
      <c r="B12769" t="str">
        <f>"-1.14"</f>
        <v>-1.14</v>
      </c>
      <c r="C12769" t="str">
        <f>"18"</f>
        <v>18</v>
      </c>
      <c r="D12769" t="s">
        <v>391</v>
      </c>
    </row>
    <row r="12770" spans="1:4" x14ac:dyDescent="0.2">
      <c r="A12770" t="str">
        <f>"12769"</f>
        <v>12769</v>
      </c>
      <c r="B12770" t="str">
        <f>"0.01"</f>
        <v>0.01</v>
      </c>
      <c r="C12770" t="str">
        <f>"45"</f>
        <v>45</v>
      </c>
      <c r="D12770" t="str">
        <f>"I Am Not a Human Being"</f>
        <v>I Am Not a Human Being</v>
      </c>
    </row>
    <row r="12771" spans="1:4" x14ac:dyDescent="0.2">
      <c r="A12771" t="str">
        <f>"12770"</f>
        <v>12770</v>
      </c>
      <c r="B12771" t="str">
        <f>"1.22"</f>
        <v>1.22</v>
      </c>
      <c r="C12771" t="str">
        <f>"27"</f>
        <v>27</v>
      </c>
      <c r="D12771" t="str">
        <f>"Best Bless EP"</f>
        <v>Best Bless EP</v>
      </c>
    </row>
    <row r="12772" spans="1:4" x14ac:dyDescent="0.2">
      <c r="A12772" t="str">
        <f>"12771"</f>
        <v>12771</v>
      </c>
      <c r="B12772" t="str">
        <f>"0.12"</f>
        <v>0.12</v>
      </c>
      <c r="C12772" t="str">
        <f>"19"</f>
        <v>19</v>
      </c>
      <c r="D12772" t="str">
        <f>"Meet Me at the Muster Station"</f>
        <v>Meet Me at the Muster Station</v>
      </c>
    </row>
    <row r="12773" spans="1:4" x14ac:dyDescent="0.2">
      <c r="A12773" t="str">
        <f>"12772"</f>
        <v>12772</v>
      </c>
      <c r="B12773" t="str">
        <f>"-0.09"</f>
        <v>-0.09</v>
      </c>
      <c r="C12773" t="str">
        <f>"21"</f>
        <v>21</v>
      </c>
      <c r="D12773" t="str">
        <f>"Shadow Temple"</f>
        <v>Shadow Temple</v>
      </c>
    </row>
    <row r="12774" spans="1:4" x14ac:dyDescent="0.2">
      <c r="A12774" t="str">
        <f>"12773"</f>
        <v>12773</v>
      </c>
      <c r="B12774" t="str">
        <f>"0.9"</f>
        <v>0.9</v>
      </c>
      <c r="C12774" t="str">
        <f>"15"</f>
        <v>15</v>
      </c>
      <c r="D12774" t="str">
        <f>"oOoOO EP"</f>
        <v>oOoOO EP</v>
      </c>
    </row>
    <row r="12775" spans="1:4" x14ac:dyDescent="0.2">
      <c r="A12775" t="str">
        <f>"12774"</f>
        <v>12774</v>
      </c>
      <c r="B12775" t="str">
        <f>"0.85"</f>
        <v>0.85</v>
      </c>
      <c r="C12775" t="str">
        <f>"29"</f>
        <v>29</v>
      </c>
      <c r="D12775" t="str">
        <f>"Forget"</f>
        <v>Forget</v>
      </c>
    </row>
    <row r="12776" spans="1:4" x14ac:dyDescent="0.2">
      <c r="A12776" t="str">
        <f>"12775"</f>
        <v>12775</v>
      </c>
      <c r="B12776" t="str">
        <f>"0.36"</f>
        <v>0.36</v>
      </c>
      <c r="C12776" t="str">
        <f>"31"</f>
        <v>31</v>
      </c>
      <c r="D12776" t="str">
        <f>"Telephantasm"</f>
        <v>Telephantasm</v>
      </c>
    </row>
    <row r="12777" spans="1:4" x14ac:dyDescent="0.2">
      <c r="A12777" t="str">
        <f>"12776"</f>
        <v>12776</v>
      </c>
      <c r="B12777" t="str">
        <f>"1.39"</f>
        <v>1.39</v>
      </c>
      <c r="C12777" t="str">
        <f>"27"</f>
        <v>27</v>
      </c>
      <c r="D12777" t="str">
        <f>"Metallic Spheres"</f>
        <v>Metallic Spheres</v>
      </c>
    </row>
    <row r="12778" spans="1:4" x14ac:dyDescent="0.2">
      <c r="A12778" t="str">
        <f>"12777"</f>
        <v>12777</v>
      </c>
      <c r="B12778" t="str">
        <f>"-0.24"</f>
        <v>-0.24</v>
      </c>
      <c r="C12778" t="str">
        <f>"27"</f>
        <v>27</v>
      </c>
      <c r="D12778" t="str">
        <f>"Losing Sleep"</f>
        <v>Losing Sleep</v>
      </c>
    </row>
    <row r="12779" spans="1:4" x14ac:dyDescent="0.2">
      <c r="A12779" t="str">
        <f>"12778"</f>
        <v>12778</v>
      </c>
      <c r="B12779" t="str">
        <f>"0.4"</f>
        <v>0.4</v>
      </c>
      <c r="C12779" t="str">
        <f>"21"</f>
        <v>21</v>
      </c>
      <c r="D12779" t="str">
        <f>"Males"</f>
        <v>Males</v>
      </c>
    </row>
    <row r="12780" spans="1:4" x14ac:dyDescent="0.2">
      <c r="A12780" t="str">
        <f>"12779"</f>
        <v>12779</v>
      </c>
      <c r="B12780" t="str">
        <f>"0.27"</f>
        <v>0.27</v>
      </c>
      <c r="C12780" t="str">
        <f>"27"</f>
        <v>27</v>
      </c>
      <c r="D12780" t="str">
        <f>"Le Noise"</f>
        <v>Le Noise</v>
      </c>
    </row>
    <row r="12781" spans="1:4" x14ac:dyDescent="0.2">
      <c r="A12781" t="str">
        <f>"12780"</f>
        <v>12780</v>
      </c>
      <c r="B12781" t="str">
        <f>"0.41"</f>
        <v>0.41</v>
      </c>
      <c r="C12781" t="str">
        <f>"33"</f>
        <v>33</v>
      </c>
      <c r="D12781" t="str">
        <f>"Bubblegum"</f>
        <v>Bubblegum</v>
      </c>
    </row>
    <row r="12782" spans="1:4" x14ac:dyDescent="0.2">
      <c r="A12782" t="str">
        <f>"12781"</f>
        <v>12781</v>
      </c>
      <c r="B12782" t="str">
        <f>"1.4"</f>
        <v>1.4</v>
      </c>
      <c r="C12782" t="str">
        <f>"18"</f>
        <v>18</v>
      </c>
      <c r="D12782" t="str">
        <f>"Jojo Burger Tempest"</f>
        <v>Jojo Burger Tempest</v>
      </c>
    </row>
    <row r="12783" spans="1:4" x14ac:dyDescent="0.2">
      <c r="A12783" t="str">
        <f>"12782"</f>
        <v>12782</v>
      </c>
      <c r="B12783" t="str">
        <f>"0.8"</f>
        <v>0.8</v>
      </c>
      <c r="C12783" t="str">
        <f>"19"</f>
        <v>19</v>
      </c>
      <c r="D12783" t="str">
        <f>"TSOL"</f>
        <v>TSOL</v>
      </c>
    </row>
    <row r="12784" spans="1:4" x14ac:dyDescent="0.2">
      <c r="A12784" t="str">
        <f>"12783"</f>
        <v>12783</v>
      </c>
      <c r="B12784" t="str">
        <f>"-0.12"</f>
        <v>-0.12</v>
      </c>
      <c r="C12784" t="str">
        <f>"30"</f>
        <v>30</v>
      </c>
      <c r="D12784" t="str">
        <f>"Warp Riders"</f>
        <v>Warp Riders</v>
      </c>
    </row>
    <row r="12785" spans="1:4" x14ac:dyDescent="0.2">
      <c r="A12785" t="str">
        <f>"12784"</f>
        <v>12784</v>
      </c>
      <c r="B12785" t="str">
        <f>"0.63"</f>
        <v>0.63</v>
      </c>
      <c r="C12785" t="str">
        <f>"29"</f>
        <v>29</v>
      </c>
      <c r="D12785" t="str">
        <f>"Klavierwerke EP"</f>
        <v>Klavierwerke EP</v>
      </c>
    </row>
    <row r="12786" spans="1:4" x14ac:dyDescent="0.2">
      <c r="A12786" t="str">
        <f>"12785"</f>
        <v>12785</v>
      </c>
      <c r="B12786" t="str">
        <f>"-0.44"</f>
        <v>-0.44</v>
      </c>
      <c r="C12786" t="str">
        <f>"32"</f>
        <v>32</v>
      </c>
      <c r="D12786" t="str">
        <f>"Public Strain"</f>
        <v>Public Strain</v>
      </c>
    </row>
    <row r="12787" spans="1:4" x14ac:dyDescent="0.2">
      <c r="A12787" t="str">
        <f>"12786"</f>
        <v>12786</v>
      </c>
      <c r="B12787" t="str">
        <f>"-0.88"</f>
        <v>-0.88</v>
      </c>
      <c r="C12787" t="str">
        <f>"20"</f>
        <v>20</v>
      </c>
      <c r="D12787" t="str">
        <f>"The Game of Monogamy"</f>
        <v>The Game of Monogamy</v>
      </c>
    </row>
    <row r="12788" spans="1:4" x14ac:dyDescent="0.2">
      <c r="A12788" t="str">
        <f>"12787"</f>
        <v>12787</v>
      </c>
      <c r="B12788" t="str">
        <f>"0.38"</f>
        <v>0.38</v>
      </c>
      <c r="C12788" t="str">
        <f>"28"</f>
        <v>28</v>
      </c>
      <c r="D12788" t="str">
        <f>"Good Things"</f>
        <v>Good Things</v>
      </c>
    </row>
    <row r="12789" spans="1:4" x14ac:dyDescent="0.2">
      <c r="A12789" t="str">
        <f>"12788"</f>
        <v>12788</v>
      </c>
      <c r="B12789" t="str">
        <f>"-1.06"</f>
        <v>-1.06</v>
      </c>
      <c r="C12789" t="str">
        <f>"17"</f>
        <v>17</v>
      </c>
      <c r="D12789" t="str">
        <f>"Eskmo"</f>
        <v>Eskmo</v>
      </c>
    </row>
    <row r="12790" spans="1:4" x14ac:dyDescent="0.2">
      <c r="A12790" t="str">
        <f>"12789"</f>
        <v>12789</v>
      </c>
      <c r="B12790" t="str">
        <f>"-0.06"</f>
        <v>-0.06</v>
      </c>
      <c r="C12790" t="str">
        <f>"22"</f>
        <v>22</v>
      </c>
      <c r="D12790" t="str">
        <f>"Station to Station [Deluxe Edition]"</f>
        <v>Station to Station [Deluxe Edition]</v>
      </c>
    </row>
    <row r="12791" spans="1:4" x14ac:dyDescent="0.2">
      <c r="A12791" t="str">
        <f>"12790"</f>
        <v>12790</v>
      </c>
      <c r="B12791" t="str">
        <f>"0.02"</f>
        <v>0.02</v>
      </c>
      <c r="C12791" t="str">
        <f>"17"</f>
        <v>17</v>
      </c>
      <c r="D12791" t="str">
        <f>"Safehouses EP"</f>
        <v>Safehouses EP</v>
      </c>
    </row>
    <row r="12792" spans="1:4" x14ac:dyDescent="0.2">
      <c r="A12792" t="str">
        <f>"12791"</f>
        <v>12791</v>
      </c>
      <c r="B12792" t="str">
        <f>"0.48"</f>
        <v>0.48</v>
      </c>
      <c r="C12792" t="str">
        <f>"23"</f>
        <v>23</v>
      </c>
      <c r="D12792" t="str">
        <f>"Blood Under the Bridge"</f>
        <v>Blood Under the Bridge</v>
      </c>
    </row>
    <row r="12793" spans="1:4" x14ac:dyDescent="0.2">
      <c r="A12793" t="str">
        <f>"12792"</f>
        <v>12792</v>
      </c>
      <c r="B12793" t="str">
        <f>"-0.51"</f>
        <v>-0.51</v>
      </c>
      <c r="C12793" t="str">
        <f>"22"</f>
        <v>22</v>
      </c>
      <c r="D12793" t="str">
        <f>"AM/FM"</f>
        <v>AM/FM</v>
      </c>
    </row>
    <row r="12794" spans="1:4" x14ac:dyDescent="0.2">
      <c r="A12794" t="str">
        <f>"12793"</f>
        <v>12793</v>
      </c>
      <c r="B12794" t="str">
        <f>"0.12"</f>
        <v>0.12</v>
      </c>
      <c r="C12794" t="str">
        <f>"23"</f>
        <v>23</v>
      </c>
      <c r="D12794" t="str">
        <f>"Tidelands"</f>
        <v>Tidelands</v>
      </c>
    </row>
    <row r="12795" spans="1:4" x14ac:dyDescent="0.2">
      <c r="A12795" t="str">
        <f>"12794"</f>
        <v>12794</v>
      </c>
      <c r="B12795" t="str">
        <f>"0.87"</f>
        <v>0.87</v>
      </c>
      <c r="C12795" t="str">
        <f>"51"</f>
        <v>51</v>
      </c>
      <c r="D12795" t="str">
        <f>"Everything in Between"</f>
        <v>Everything in Between</v>
      </c>
    </row>
    <row r="12796" spans="1:4" x14ac:dyDescent="0.2">
      <c r="A12796" t="str">
        <f>"12795"</f>
        <v>12795</v>
      </c>
      <c r="B12796" t="str">
        <f>"0.08"</f>
        <v>0.08</v>
      </c>
      <c r="C12796" t="str">
        <f>"44"</f>
        <v>44</v>
      </c>
      <c r="D12796" t="str">
        <f>"Ninja Tune XX: 20 Years of Beats and Pieces"</f>
        <v>Ninja Tune XX: 20 Years of Beats and Pieces</v>
      </c>
    </row>
    <row r="12797" spans="1:4" x14ac:dyDescent="0.2">
      <c r="A12797" t="str">
        <f>"12796"</f>
        <v>12796</v>
      </c>
      <c r="B12797" t="str">
        <f>"0.68"</f>
        <v>0.68</v>
      </c>
      <c r="C12797" t="str">
        <f>"30"</f>
        <v>30</v>
      </c>
      <c r="D12797" t="str">
        <f>"Help Me Name Melody"</f>
        <v>Help Me Name Melody</v>
      </c>
    </row>
    <row r="12798" spans="1:4" x14ac:dyDescent="0.2">
      <c r="A12798" t="str">
        <f>"12797"</f>
        <v>12797</v>
      </c>
      <c r="B12798" t="str">
        <f>"-0.3"</f>
        <v>-0.3</v>
      </c>
      <c r="C12798" t="str">
        <f>"25"</f>
        <v>25</v>
      </c>
      <c r="D12798" t="str">
        <f>"Return II Space"</f>
        <v>Return II Space</v>
      </c>
    </row>
    <row r="12799" spans="1:4" x14ac:dyDescent="0.2">
      <c r="A12799" t="str">
        <f>"12798"</f>
        <v>12798</v>
      </c>
      <c r="B12799" t="str">
        <f>"0.69"</f>
        <v>0.69</v>
      </c>
      <c r="C12799" t="str">
        <f>"15"</f>
        <v>15</v>
      </c>
      <c r="D12799" t="str">
        <f>"The Hundred in the Hands"</f>
        <v>The Hundred in the Hands</v>
      </c>
    </row>
    <row r="12800" spans="1:4" x14ac:dyDescent="0.2">
      <c r="A12800" t="str">
        <f>"12799"</f>
        <v>12799</v>
      </c>
      <c r="B12800" t="str">
        <f>"0.88"</f>
        <v>0.88</v>
      </c>
      <c r="C12800" t="str">
        <f>"32"</f>
        <v>32</v>
      </c>
      <c r="D12800" t="str">
        <f>"Halcyon Digest"</f>
        <v>Halcyon Digest</v>
      </c>
    </row>
    <row r="12801" spans="1:4" x14ac:dyDescent="0.2">
      <c r="A12801" t="str">
        <f>"12800"</f>
        <v>12800</v>
      </c>
      <c r="B12801" t="str">
        <f>"0.88"</f>
        <v>0.88</v>
      </c>
      <c r="C12801" t="str">
        <f>"26"</f>
        <v>26</v>
      </c>
      <c r="D12801" t="str">
        <f>"The Trip"</f>
        <v>The Trip</v>
      </c>
    </row>
    <row r="12802" spans="1:4" x14ac:dyDescent="0.2">
      <c r="A12802" t="str">
        <f>"12801"</f>
        <v>12801</v>
      </c>
      <c r="B12802" t="str">
        <f>"-0.76"</f>
        <v>-0.76</v>
      </c>
      <c r="C12802" t="str">
        <f>"27"</f>
        <v>27</v>
      </c>
      <c r="D12802" t="str">
        <f>"Mixed Race"</f>
        <v>Mixed Race</v>
      </c>
    </row>
    <row r="12803" spans="1:4" x14ac:dyDescent="0.2">
      <c r="A12803" t="str">
        <f>"12802"</f>
        <v>12802</v>
      </c>
      <c r="B12803" t="str">
        <f>"0.7"</f>
        <v>0.7</v>
      </c>
      <c r="C12803" t="str">
        <f>"25"</f>
        <v>25</v>
      </c>
      <c r="D12803" t="str">
        <f>"Postcards From a Young Man"</f>
        <v>Postcards From a Young Man</v>
      </c>
    </row>
    <row r="12804" spans="1:4" x14ac:dyDescent="0.2">
      <c r="A12804" t="str">
        <f>"12803"</f>
        <v>12803</v>
      </c>
      <c r="B12804" t="str">
        <f>"1.48"</f>
        <v>1.48</v>
      </c>
      <c r="C12804" t="str">
        <f>"25"</f>
        <v>25</v>
      </c>
      <c r="D12804" t="str">
        <f>"From the Cradle to the Rave"</f>
        <v>From the Cradle to the Rave</v>
      </c>
    </row>
    <row r="12805" spans="1:4" x14ac:dyDescent="0.2">
      <c r="A12805" t="str">
        <f>"12804"</f>
        <v>12804</v>
      </c>
      <c r="B12805" t="str">
        <f>"0.2"</f>
        <v>0.2</v>
      </c>
      <c r="C12805" t="str">
        <f>"50"</f>
        <v>50</v>
      </c>
      <c r="D12805" t="str">
        <f>"Love Remains"</f>
        <v>Love Remains</v>
      </c>
    </row>
    <row r="12806" spans="1:4" x14ac:dyDescent="0.2">
      <c r="A12806" t="str">
        <f>"12805"</f>
        <v>12805</v>
      </c>
      <c r="B12806" t="str">
        <f>"0.23"</f>
        <v>0.23</v>
      </c>
      <c r="C12806" t="str">
        <f>"31"</f>
        <v>31</v>
      </c>
      <c r="D12806" t="str">
        <f>"Beast Rest Forth Mouth Remixed"</f>
        <v>Beast Rest Forth Mouth Remixed</v>
      </c>
    </row>
    <row r="12807" spans="1:4" x14ac:dyDescent="0.2">
      <c r="A12807" t="str">
        <f>"12806"</f>
        <v>12806</v>
      </c>
      <c r="B12807" t="str">
        <f>"-1.41"</f>
        <v>-1.41</v>
      </c>
      <c r="C12807" t="str">
        <f>"17"</f>
        <v>17</v>
      </c>
      <c r="D12807" t="str">
        <f>"Singing Ax"</f>
        <v>Singing Ax</v>
      </c>
    </row>
    <row r="12808" spans="1:4" x14ac:dyDescent="0.2">
      <c r="A12808" t="str">
        <f>"12807"</f>
        <v>12807</v>
      </c>
      <c r="B12808" t="str">
        <f>"0.07"</f>
        <v>0.07</v>
      </c>
      <c r="C12808" t="str">
        <f>"41"</f>
        <v>41</v>
      </c>
      <c r="D12808" t="str">
        <f>"The Princess Is Here"</f>
        <v>The Princess Is Here</v>
      </c>
    </row>
    <row r="12809" spans="1:4" x14ac:dyDescent="0.2">
      <c r="A12809" t="str">
        <f>"12808"</f>
        <v>12808</v>
      </c>
      <c r="B12809" t="str">
        <f>"-0.71"</f>
        <v>-0.71</v>
      </c>
      <c r="C12809" t="str">
        <f>"28"</f>
        <v>28</v>
      </c>
      <c r="D12809" t="str">
        <f>"Phosphene Dream"</f>
        <v>Phosphene Dream</v>
      </c>
    </row>
    <row r="12810" spans="1:4" x14ac:dyDescent="0.2">
      <c r="A12810" t="str">
        <f>"12809"</f>
        <v>12809</v>
      </c>
      <c r="B12810" t="str">
        <f>"0.42"</f>
        <v>0.42</v>
      </c>
      <c r="C12810" t="str">
        <f>"37"</f>
        <v>37</v>
      </c>
      <c r="D12810" t="s">
        <v>392</v>
      </c>
    </row>
    <row r="12811" spans="1:4" x14ac:dyDescent="0.2">
      <c r="A12811" t="str">
        <f>"12810"</f>
        <v>12810</v>
      </c>
      <c r="B12811" t="str">
        <f>"1.22"</f>
        <v>1.22</v>
      </c>
      <c r="C12811" t="str">
        <f>"21"</f>
        <v>21</v>
      </c>
      <c r="D12811" t="str">
        <f>"Fields"</f>
        <v>Fields</v>
      </c>
    </row>
    <row r="12812" spans="1:4" x14ac:dyDescent="0.2">
      <c r="A12812" t="str">
        <f>"12811"</f>
        <v>12811</v>
      </c>
      <c r="B12812" t="str">
        <f>"1.06"</f>
        <v>1.06</v>
      </c>
      <c r="C12812" t="str">
        <f>"29"</f>
        <v>29</v>
      </c>
      <c r="D12812" t="str">
        <f>"You Are Not Alone"</f>
        <v>You Are Not Alone</v>
      </c>
    </row>
    <row r="12813" spans="1:4" x14ac:dyDescent="0.2">
      <c r="A12813" t="str">
        <f>"12812"</f>
        <v>12812</v>
      </c>
      <c r="B12813" t="str">
        <f>"-0.45"</f>
        <v>-0.45</v>
      </c>
      <c r="C12813" t="str">
        <f>"34"</f>
        <v>34</v>
      </c>
      <c r="D12813" t="str">
        <f>"Elf Power"</f>
        <v>Elf Power</v>
      </c>
    </row>
    <row r="12814" spans="1:4" x14ac:dyDescent="0.2">
      <c r="A12814" t="str">
        <f>"12813"</f>
        <v>12813</v>
      </c>
      <c r="B12814" t="str">
        <f>"0.9"</f>
        <v>0.9</v>
      </c>
      <c r="C12814" t="str">
        <f>"28"</f>
        <v>28</v>
      </c>
      <c r="D12814" t="str">
        <f>"Drawing Down the Moon"</f>
        <v>Drawing Down the Moon</v>
      </c>
    </row>
    <row r="12815" spans="1:4" x14ac:dyDescent="0.2">
      <c r="A12815" t="str">
        <f>"12814"</f>
        <v>12814</v>
      </c>
      <c r="B12815" t="str">
        <f>"0.43"</f>
        <v>0.43</v>
      </c>
      <c r="C12815" t="str">
        <f>"19"</f>
        <v>19</v>
      </c>
      <c r="D12815" t="str">
        <f>"Business Casual"</f>
        <v>Business Casual</v>
      </c>
    </row>
    <row r="12816" spans="1:4" x14ac:dyDescent="0.2">
      <c r="A12816" t="str">
        <f>"12815"</f>
        <v>12815</v>
      </c>
      <c r="B12816" t="str">
        <f>"0.01"</f>
        <v>0.01</v>
      </c>
      <c r="C12816" t="str">
        <f>"40"</f>
        <v>40</v>
      </c>
      <c r="D12816" t="s">
        <v>393</v>
      </c>
    </row>
    <row r="12817" spans="1:4" x14ac:dyDescent="0.2">
      <c r="A12817" t="str">
        <f>"12816"</f>
        <v>12816</v>
      </c>
      <c r="B12817" t="str">
        <f>"-0.03"</f>
        <v>-0.03</v>
      </c>
      <c r="C12817" t="str">
        <f>"53"</f>
        <v>53</v>
      </c>
      <c r="D12817" t="str">
        <f>"My Father Will Guide Me Up a Rope to the Sky"</f>
        <v>My Father Will Guide Me Up a Rope to the Sky</v>
      </c>
    </row>
    <row r="12818" spans="1:4" x14ac:dyDescent="0.2">
      <c r="A12818" t="str">
        <f>"12817"</f>
        <v>12817</v>
      </c>
      <c r="B12818" t="str">
        <f>"1.43"</f>
        <v>1.43</v>
      </c>
      <c r="C12818" t="str">
        <f>"37"</f>
        <v>37</v>
      </c>
      <c r="D12818" t="str">
        <f>"In Live Concert at the Royal Albert Hall"</f>
        <v>In Live Concert at the Royal Albert Hall</v>
      </c>
    </row>
    <row r="12819" spans="1:4" x14ac:dyDescent="0.2">
      <c r="A12819" t="str">
        <f>"12818"</f>
        <v>12818</v>
      </c>
      <c r="B12819" t="str">
        <f>"0.13"</f>
        <v>0.13</v>
      </c>
      <c r="C12819" t="str">
        <f>"30"</f>
        <v>30</v>
      </c>
      <c r="D12819" t="str">
        <f>"The Traveller"</f>
        <v>The Traveller</v>
      </c>
    </row>
    <row r="12820" spans="1:4" x14ac:dyDescent="0.2">
      <c r="A12820" t="str">
        <f>"12819"</f>
        <v>12819</v>
      </c>
      <c r="B12820" t="str">
        <f>"0.36"</f>
        <v>0.36</v>
      </c>
      <c r="C12820" t="str">
        <f>"38"</f>
        <v>38</v>
      </c>
      <c r="D12820" t="str">
        <f>"Majesty Shredding"</f>
        <v>Majesty Shredding</v>
      </c>
    </row>
    <row r="12821" spans="1:4" x14ac:dyDescent="0.2">
      <c r="A12821" t="str">
        <f>"12820"</f>
        <v>12820</v>
      </c>
      <c r="B12821" t="str">
        <f>"0.53"</f>
        <v>0.53</v>
      </c>
      <c r="C12821" t="str">
        <f>"31"</f>
        <v>31</v>
      </c>
      <c r="D12821" t="str">
        <f>"Barking"</f>
        <v>Barking</v>
      </c>
    </row>
    <row r="12822" spans="1:4" x14ac:dyDescent="0.2">
      <c r="A12822" t="str">
        <f>"12821"</f>
        <v>12821</v>
      </c>
      <c r="B12822" t="str">
        <f>"-0.17"</f>
        <v>-0.17</v>
      </c>
      <c r="C12822" t="str">
        <f>"20"</f>
        <v>20</v>
      </c>
      <c r="D12822" t="str">
        <f>"Moon Deluxe"</f>
        <v>Moon Deluxe</v>
      </c>
    </row>
    <row r="12823" spans="1:4" x14ac:dyDescent="0.2">
      <c r="A12823" t="str">
        <f>"12822"</f>
        <v>12822</v>
      </c>
      <c r="B12823" t="str">
        <f>"1.29"</f>
        <v>1.29</v>
      </c>
      <c r="C12823" t="str">
        <f>"12"</f>
        <v>12</v>
      </c>
      <c r="D12823" t="str">
        <f>"Frankie Rose and the Outs"</f>
        <v>Frankie Rose and the Outs</v>
      </c>
    </row>
    <row r="12824" spans="1:4" x14ac:dyDescent="0.2">
      <c r="A12824" t="str">
        <f>"12823"</f>
        <v>12823</v>
      </c>
      <c r="B12824" t="str">
        <f>"0.98"</f>
        <v>0.98</v>
      </c>
      <c r="C12824" t="str">
        <f>"19"</f>
        <v>19</v>
      </c>
      <c r="D12824" t="str">
        <f>"Fission"</f>
        <v>Fission</v>
      </c>
    </row>
    <row r="12825" spans="1:4" x14ac:dyDescent="0.2">
      <c r="A12825" t="str">
        <f>"12824"</f>
        <v>12824</v>
      </c>
      <c r="B12825" t="str">
        <f>"-0.47"</f>
        <v>-0.47</v>
      </c>
      <c r="C12825" t="str">
        <f>"18"</f>
        <v>18</v>
      </c>
      <c r="D12825" t="str">
        <f>"Pattern + Grid World EP"</f>
        <v>Pattern + Grid World EP</v>
      </c>
    </row>
    <row r="12826" spans="1:4" x14ac:dyDescent="0.2">
      <c r="A12826" t="str">
        <f>"12825"</f>
        <v>12825</v>
      </c>
      <c r="B12826" t="str">
        <f>"0.02"</f>
        <v>0.02</v>
      </c>
      <c r="C12826" t="str">
        <f>"25"</f>
        <v>25</v>
      </c>
      <c r="D12826" t="str">
        <f>"One Club"</f>
        <v>One Club</v>
      </c>
    </row>
    <row r="12827" spans="1:4" x14ac:dyDescent="0.2">
      <c r="A12827" t="str">
        <f>"12826"</f>
        <v>12826</v>
      </c>
      <c r="B12827" t="str">
        <f>"0.53"</f>
        <v>0.53</v>
      </c>
      <c r="C12827" t="str">
        <f>"28"</f>
        <v>28</v>
      </c>
      <c r="D12827" t="str">
        <f>"Heretofore EP"</f>
        <v>Heretofore EP</v>
      </c>
    </row>
    <row r="12828" spans="1:4" x14ac:dyDescent="0.2">
      <c r="A12828" t="str">
        <f>"12827"</f>
        <v>12827</v>
      </c>
      <c r="B12828" t="str">
        <f>"-0.3"</f>
        <v>-0.3</v>
      </c>
      <c r="C12828" t="str">
        <f>"24"</f>
        <v>24</v>
      </c>
      <c r="D12828" t="str">
        <f>"Faults"</f>
        <v>Faults</v>
      </c>
    </row>
    <row r="12829" spans="1:4" x14ac:dyDescent="0.2">
      <c r="A12829" t="str">
        <f>"12828"</f>
        <v>12828</v>
      </c>
      <c r="B12829" t="str">
        <f>"1.42"</f>
        <v>1.42</v>
      </c>
      <c r="C12829" t="str">
        <f>"24"</f>
        <v>24</v>
      </c>
      <c r="D12829" t="str">
        <f>"Our Cubehouse Still Rocks"</f>
        <v>Our Cubehouse Still Rocks</v>
      </c>
    </row>
    <row r="12830" spans="1:4" x14ac:dyDescent="0.2">
      <c r="A12830" t="str">
        <f>"12829"</f>
        <v>12829</v>
      </c>
      <c r="B12830" t="str">
        <f>"0.76"</f>
        <v>0.76</v>
      </c>
      <c r="C12830" t="str">
        <f>"21"</f>
        <v>21</v>
      </c>
      <c r="D12830" t="str">
        <f>"Hurley"</f>
        <v>Hurley</v>
      </c>
    </row>
    <row r="12831" spans="1:4" x14ac:dyDescent="0.2">
      <c r="A12831" t="str">
        <f>"12830"</f>
        <v>12830</v>
      </c>
      <c r="B12831" t="str">
        <f>"-0.79"</f>
        <v>-0.79</v>
      </c>
      <c r="C12831" t="str">
        <f>"43"</f>
        <v>43</v>
      </c>
      <c r="D12831" t="str">
        <f>"Expektoration Live"</f>
        <v>Expektoration Live</v>
      </c>
    </row>
    <row r="12832" spans="1:4" x14ac:dyDescent="0.2">
      <c r="A12832" t="str">
        <f>"12831"</f>
        <v>12831</v>
      </c>
      <c r="B12832" t="str">
        <f>"-1.23"</f>
        <v>-1.23</v>
      </c>
      <c r="C12832" t="str">
        <f>"16"</f>
        <v>16</v>
      </c>
      <c r="D12832" t="str">
        <f>"Crush"</f>
        <v>Crush</v>
      </c>
    </row>
    <row r="12833" spans="1:4" x14ac:dyDescent="0.2">
      <c r="A12833" t="str">
        <f>"12832"</f>
        <v>12832</v>
      </c>
      <c r="B12833" t="str">
        <f>"0.18"</f>
        <v>0.18</v>
      </c>
      <c r="C12833" t="str">
        <f>"28"</f>
        <v>28</v>
      </c>
      <c r="D12833" t="str">
        <f>"Old Punch Card"</f>
        <v>Old Punch Card</v>
      </c>
    </row>
    <row r="12834" spans="1:4" x14ac:dyDescent="0.2">
      <c r="A12834" t="str">
        <f>"12833"</f>
        <v>12833</v>
      </c>
      <c r="B12834" t="str">
        <f>"-0.59"</f>
        <v>-0.59</v>
      </c>
      <c r="C12834" t="str">
        <f>"25"</f>
        <v>25</v>
      </c>
      <c r="D12834" t="str">
        <f>"Sleep Forever"</f>
        <v>Sleep Forever</v>
      </c>
    </row>
    <row r="12835" spans="1:4" x14ac:dyDescent="0.2">
      <c r="A12835" t="str">
        <f>"12834"</f>
        <v>12834</v>
      </c>
      <c r="B12835" t="str">
        <f>"-0.48"</f>
        <v>-0.48</v>
      </c>
      <c r="C12835" t="str">
        <f>"42"</f>
        <v>42</v>
      </c>
      <c r="D12835" t="str">
        <f>"Grinderman 2"</f>
        <v>Grinderman 2</v>
      </c>
    </row>
    <row r="12836" spans="1:4" x14ac:dyDescent="0.2">
      <c r="A12836" t="str">
        <f>"12835"</f>
        <v>12835</v>
      </c>
      <c r="B12836" t="str">
        <f>"0.06"</f>
        <v>0.06</v>
      </c>
      <c r="C12836" t="str">
        <f>"18"</f>
        <v>18</v>
      </c>
      <c r="D12836" t="str">
        <f>"Sometimes the Blues Is Just a Passing Bird EP"</f>
        <v>Sometimes the Blues Is Just a Passing Bird EP</v>
      </c>
    </row>
    <row r="12837" spans="1:4" x14ac:dyDescent="0.2">
      <c r="A12837" t="str">
        <f>"12836"</f>
        <v>12836</v>
      </c>
      <c r="B12837" t="str">
        <f>"0.79"</f>
        <v>0.79</v>
      </c>
      <c r="C12837" t="str">
        <f>"26"</f>
        <v>26</v>
      </c>
      <c r="D12837" t="str">
        <f>"Songs for Singles"</f>
        <v>Songs for Singles</v>
      </c>
    </row>
    <row r="12838" spans="1:4" x14ac:dyDescent="0.2">
      <c r="A12838" t="str">
        <f>"12837"</f>
        <v>12837</v>
      </c>
      <c r="B12838" t="str">
        <f>"0.04"</f>
        <v>0.04</v>
      </c>
      <c r="C12838" t="str">
        <f>"16"</f>
        <v>16</v>
      </c>
      <c r="D12838" t="str">
        <f>"Skit I Allt"</f>
        <v>Skit I Allt</v>
      </c>
    </row>
    <row r="12839" spans="1:4" x14ac:dyDescent="0.2">
      <c r="A12839" t="str">
        <f>"12838"</f>
        <v>12838</v>
      </c>
      <c r="B12839" t="str">
        <f>"-0.48"</f>
        <v>-0.48</v>
      </c>
      <c r="C12839" t="str">
        <f>"23"</f>
        <v>23</v>
      </c>
      <c r="D12839" t="str">
        <f>"Alibi Coast"</f>
        <v>Alibi Coast</v>
      </c>
    </row>
    <row r="12840" spans="1:4" x14ac:dyDescent="0.2">
      <c r="A12840" t="str">
        <f>"12839"</f>
        <v>12839</v>
      </c>
      <c r="B12840" t="str">
        <f>"-0.57"</f>
        <v>-0.57</v>
      </c>
      <c r="C12840" t="str">
        <f>"30"</f>
        <v>30</v>
      </c>
      <c r="D12840" t="str">
        <f>"False Priest"</f>
        <v>False Priest</v>
      </c>
    </row>
    <row r="12841" spans="1:4" x14ac:dyDescent="0.2">
      <c r="A12841" t="str">
        <f>"12840"</f>
        <v>12840</v>
      </c>
      <c r="B12841" t="str">
        <f>"-0.51"</f>
        <v>-0.51</v>
      </c>
      <c r="C12841" t="str">
        <f>"18"</f>
        <v>18</v>
      </c>
      <c r="D12841" t="str">
        <f>"Pop Negro"</f>
        <v>Pop Negro</v>
      </c>
    </row>
    <row r="12842" spans="1:4" x14ac:dyDescent="0.2">
      <c r="A12842" t="str">
        <f>"12841"</f>
        <v>12841</v>
      </c>
      <c r="B12842" t="str">
        <f>"0.26"</f>
        <v>0.26</v>
      </c>
      <c r="C12842" t="str">
        <f>"27"</f>
        <v>27</v>
      </c>
      <c r="D12842" t="str">
        <f>"Album of the Year"</f>
        <v>Album of the Year</v>
      </c>
    </row>
    <row r="12843" spans="1:4" x14ac:dyDescent="0.2">
      <c r="A12843" t="str">
        <f>"12842"</f>
        <v>12842</v>
      </c>
      <c r="B12843" t="str">
        <f>"-1.21"</f>
        <v>-1.21</v>
      </c>
      <c r="C12843" t="str">
        <f>"20"</f>
        <v>20</v>
      </c>
      <c r="D12843" t="str">
        <f>"Man Alive"</f>
        <v>Man Alive</v>
      </c>
    </row>
    <row r="12844" spans="1:4" x14ac:dyDescent="0.2">
      <c r="A12844" t="str">
        <f>"12843"</f>
        <v>12843</v>
      </c>
      <c r="B12844" t="str">
        <f>"-0.43"</f>
        <v>-0.43</v>
      </c>
      <c r="C12844" t="str">
        <f>"13"</f>
        <v>13</v>
      </c>
      <c r="D12844" t="str">
        <f>"Lights From Paradise"</f>
        <v>Lights From Paradise</v>
      </c>
    </row>
    <row r="12845" spans="1:4" x14ac:dyDescent="0.2">
      <c r="A12845" t="str">
        <f>"12844"</f>
        <v>12844</v>
      </c>
      <c r="B12845" t="str">
        <f>"-0.08"</f>
        <v>-0.08</v>
      </c>
      <c r="C12845" t="str">
        <f>"40"</f>
        <v>40</v>
      </c>
      <c r="D12845" t="str">
        <f>"Interpol"</f>
        <v>Interpol</v>
      </c>
    </row>
    <row r="12846" spans="1:4" x14ac:dyDescent="0.2">
      <c r="A12846" t="str">
        <f>"12845"</f>
        <v>12845</v>
      </c>
      <c r="B12846" t="str">
        <f>"-0.35"</f>
        <v>-0.35</v>
      </c>
      <c r="C12846" t="str">
        <f>"22"</f>
        <v>22</v>
      </c>
      <c r="D12846" t="str">
        <f>"Penny Sparkle"</f>
        <v>Penny Sparkle</v>
      </c>
    </row>
    <row r="12847" spans="1:4" x14ac:dyDescent="0.2">
      <c r="A12847" t="str">
        <f>"12846"</f>
        <v>12846</v>
      </c>
      <c r="B12847" t="str">
        <f>"0.76"</f>
        <v>0.76</v>
      </c>
      <c r="C12847" t="str">
        <f>"29"</f>
        <v>29</v>
      </c>
      <c r="D12847" t="str">
        <f>"Memphis"</f>
        <v>Memphis</v>
      </c>
    </row>
    <row r="12848" spans="1:4" x14ac:dyDescent="0.2">
      <c r="A12848" t="str">
        <f>"12847"</f>
        <v>12847</v>
      </c>
      <c r="B12848" t="str">
        <f>"0.71"</f>
        <v>0.71</v>
      </c>
      <c r="C12848" t="str">
        <f>"20"</f>
        <v>20</v>
      </c>
      <c r="D12848" t="str">
        <f>"The Vaselines: Sex with an X"</f>
        <v>The Vaselines: Sex with an X</v>
      </c>
    </row>
    <row r="12849" spans="1:4" x14ac:dyDescent="0.2">
      <c r="A12849" t="str">
        <f>"12848"</f>
        <v>12848</v>
      </c>
      <c r="B12849" t="str">
        <f>"0.55"</f>
        <v>0.55</v>
      </c>
      <c r="C12849" t="str">
        <f>"21"</f>
        <v>21</v>
      </c>
      <c r="D12849" t="str">
        <f>"This Alone Above All Else in Spite of Everything"</f>
        <v>This Alone Above All Else in Spite of Everything</v>
      </c>
    </row>
    <row r="12850" spans="1:4" x14ac:dyDescent="0.2">
      <c r="A12850" t="str">
        <f>"12849"</f>
        <v>12849</v>
      </c>
      <c r="B12850" t="str">
        <f>"-0.36"</f>
        <v>-0.36</v>
      </c>
      <c r="C12850" t="str">
        <f>"39"</f>
        <v>39</v>
      </c>
      <c r="D12850" t="str">
        <f>"Lisbon"</f>
        <v>Lisbon</v>
      </c>
    </row>
    <row r="12851" spans="1:4" x14ac:dyDescent="0.2">
      <c r="A12851" t="str">
        <f>"12850"</f>
        <v>12850</v>
      </c>
      <c r="B12851" t="str">
        <f>"0.61"</f>
        <v>0.61</v>
      </c>
      <c r="C12851" t="str">
        <f>"17"</f>
        <v>17</v>
      </c>
      <c r="D12851" t="str">
        <f>"Senior"</f>
        <v>Senior</v>
      </c>
    </row>
    <row r="12852" spans="1:4" x14ac:dyDescent="0.2">
      <c r="A12852" t="str">
        <f>"12851"</f>
        <v>12851</v>
      </c>
      <c r="B12852" t="str">
        <f>"1"</f>
        <v>1</v>
      </c>
      <c r="C12852" t="str">
        <f>"28"</f>
        <v>28</v>
      </c>
      <c r="D12852" t="str">
        <f>"7AM"</f>
        <v>7AM</v>
      </c>
    </row>
    <row r="12853" spans="1:4" x14ac:dyDescent="0.2">
      <c r="A12853" t="str">
        <f>"12852"</f>
        <v>12852</v>
      </c>
      <c r="B12853" t="str">
        <f>"0.32"</f>
        <v>0.32</v>
      </c>
      <c r="C12853" t="str">
        <f>"25"</f>
        <v>25</v>
      </c>
      <c r="D12853" t="str">
        <f>"On the Bright Side"</f>
        <v>On the Bright Side</v>
      </c>
    </row>
    <row r="12854" spans="1:4" x14ac:dyDescent="0.2">
      <c r="A12854" t="str">
        <f>"12853"</f>
        <v>12853</v>
      </c>
      <c r="B12854" t="str">
        <f>"-0.07"</f>
        <v>-0.07</v>
      </c>
      <c r="C12854" t="str">
        <f>"20"</f>
        <v>20</v>
      </c>
      <c r="D12854" t="str">
        <f>"Fin Eaves"</f>
        <v>Fin Eaves</v>
      </c>
    </row>
    <row r="12855" spans="1:4" x14ac:dyDescent="0.2">
      <c r="A12855" t="str">
        <f>"12854"</f>
        <v>12854</v>
      </c>
      <c r="B12855" t="str">
        <f>"0.77"</f>
        <v>0.77</v>
      </c>
      <c r="C12855" t="str">
        <f>"42"</f>
        <v>42</v>
      </c>
      <c r="D12855" t="str">
        <f>"Body Talk Pt. 2"</f>
        <v>Body Talk Pt. 2</v>
      </c>
    </row>
    <row r="12856" spans="1:4" x14ac:dyDescent="0.2">
      <c r="A12856" t="str">
        <f>"12855"</f>
        <v>12855</v>
      </c>
      <c r="B12856" t="str">
        <f>"-0.32"</f>
        <v>-0.32</v>
      </c>
      <c r="C12856" t="str">
        <f>"58"</f>
        <v>58</v>
      </c>
      <c r="D12856" t="str">
        <f>"Bitches Brew [Legacy Edition]"</f>
        <v>Bitches Brew [Legacy Edition]</v>
      </c>
    </row>
    <row r="12857" spans="1:4" x14ac:dyDescent="0.2">
      <c r="A12857" t="str">
        <f>"12856"</f>
        <v>12856</v>
      </c>
      <c r="B12857" t="str">
        <f>"-1.64"</f>
        <v>-1.64</v>
      </c>
      <c r="C12857" t="str">
        <f>"17"</f>
        <v>17</v>
      </c>
      <c r="D12857" t="str">
        <f>"Pope Killdragon"</f>
        <v>Pope Killdragon</v>
      </c>
    </row>
    <row r="12858" spans="1:4" x14ac:dyDescent="0.2">
      <c r="A12858" t="str">
        <f>"12857"</f>
        <v>12857</v>
      </c>
      <c r="B12858" t="str">
        <f>"-0.51"</f>
        <v>-0.51</v>
      </c>
      <c r="C12858" t="str">
        <f>"29"</f>
        <v>29</v>
      </c>
      <c r="D12858" t="str">
        <f>"Tomorrow Morning"</f>
        <v>Tomorrow Morning</v>
      </c>
    </row>
    <row r="12859" spans="1:4" x14ac:dyDescent="0.2">
      <c r="A12859" t="str">
        <f>"12858"</f>
        <v>12858</v>
      </c>
      <c r="B12859" t="str">
        <f>"-0.1"</f>
        <v>-0.1</v>
      </c>
      <c r="C12859" t="str">
        <f>"27"</f>
        <v>27</v>
      </c>
      <c r="D12859" t="str">
        <f>"No Ghost"</f>
        <v>No Ghost</v>
      </c>
    </row>
    <row r="12860" spans="1:4" x14ac:dyDescent="0.2">
      <c r="A12860" t="str">
        <f>"12859"</f>
        <v>12859</v>
      </c>
      <c r="B12860" t="str">
        <f>"1.07"</f>
        <v>1.07</v>
      </c>
      <c r="C12860" t="str">
        <f>"32"</f>
        <v>32</v>
      </c>
      <c r="D12860" t="str">
        <f>"We Have Remixes EP"</f>
        <v>We Have Remixes EP</v>
      </c>
    </row>
    <row r="12861" spans="1:4" x14ac:dyDescent="0.2">
      <c r="A12861" t="str">
        <f>"12860"</f>
        <v>12860</v>
      </c>
      <c r="B12861" t="str">
        <f>"0.42"</f>
        <v>0.42</v>
      </c>
      <c r="C12861" t="str">
        <f>"22"</f>
        <v>22</v>
      </c>
      <c r="D12861" t="str">
        <f>"Wilderness Heart"</f>
        <v>Wilderness Heart</v>
      </c>
    </row>
    <row r="12862" spans="1:4" x14ac:dyDescent="0.2">
      <c r="A12862" t="str">
        <f>"12861"</f>
        <v>12861</v>
      </c>
      <c r="B12862" t="str">
        <f>"0.19"</f>
        <v>0.19</v>
      </c>
      <c r="C12862" t="str">
        <f>"24"</f>
        <v>24</v>
      </c>
      <c r="D12862" t="str">
        <f>"Kilimanjaro"</f>
        <v>Kilimanjaro</v>
      </c>
    </row>
    <row r="12863" spans="1:4" x14ac:dyDescent="0.2">
      <c r="A12863" t="str">
        <f>"12862"</f>
        <v>12862</v>
      </c>
      <c r="B12863" t="str">
        <f>"-0.34"</f>
        <v>-0.34</v>
      </c>
      <c r="C12863" t="str">
        <f>"31"</f>
        <v>31</v>
      </c>
      <c r="D12863" t="str">
        <f>"Live at Roadburn 2007"</f>
        <v>Live at Roadburn 2007</v>
      </c>
    </row>
    <row r="12864" spans="1:4" x14ac:dyDescent="0.2">
      <c r="A12864" t="str">
        <f>"12863"</f>
        <v>12863</v>
      </c>
      <c r="B12864" t="str">
        <f>"-0.03"</f>
        <v>-0.03</v>
      </c>
      <c r="C12864" t="str">
        <f>"19"</f>
        <v>19</v>
      </c>
      <c r="D12864" t="str">
        <f>"The Soft Wave"</f>
        <v>The Soft Wave</v>
      </c>
    </row>
    <row r="12865" spans="1:4" x14ac:dyDescent="0.2">
      <c r="A12865" t="str">
        <f>"12864"</f>
        <v>12864</v>
      </c>
      <c r="B12865" t="str">
        <f>"-0.55"</f>
        <v>-0.55</v>
      </c>
      <c r="C12865" t="str">
        <f>"36"</f>
        <v>36</v>
      </c>
      <c r="D12865" t="str">
        <f>"Personal Life"</f>
        <v>Personal Life</v>
      </c>
    </row>
    <row r="12866" spans="1:4" x14ac:dyDescent="0.2">
      <c r="A12866" t="str">
        <f>"12865"</f>
        <v>12865</v>
      </c>
      <c r="B12866" t="str">
        <f>"-0.46"</f>
        <v>-0.46</v>
      </c>
      <c r="C12866" t="str">
        <f>"13"</f>
        <v>13</v>
      </c>
      <c r="D12866" t="str">
        <f>"Minotaur"</f>
        <v>Minotaur</v>
      </c>
    </row>
    <row r="12867" spans="1:4" x14ac:dyDescent="0.2">
      <c r="A12867" t="str">
        <f>"12866"</f>
        <v>12866</v>
      </c>
      <c r="B12867" t="str">
        <f>"-0.11"</f>
        <v>-0.11</v>
      </c>
      <c r="C12867" t="str">
        <f>"48"</f>
        <v>48</v>
      </c>
      <c r="D12867" t="str">
        <f>"The Last Call"</f>
        <v>The Last Call</v>
      </c>
    </row>
    <row r="12868" spans="1:4" x14ac:dyDescent="0.2">
      <c r="A12868" t="str">
        <f>"12867"</f>
        <v>12867</v>
      </c>
      <c r="B12868" t="str">
        <f>"-0.42"</f>
        <v>-0.42</v>
      </c>
      <c r="C12868" t="str">
        <f>"26"</f>
        <v>26</v>
      </c>
      <c r="D12868" t="str">
        <f>"We Can't Fly"</f>
        <v>We Can't Fly</v>
      </c>
    </row>
    <row r="12869" spans="1:4" x14ac:dyDescent="0.2">
      <c r="A12869" t="str">
        <f>"12868"</f>
        <v>12868</v>
      </c>
      <c r="B12869" t="str">
        <f>"0.84"</f>
        <v>0.84</v>
      </c>
      <c r="C12869" t="str">
        <f>"48"</f>
        <v>48</v>
      </c>
      <c r="D12869" t="s">
        <v>394</v>
      </c>
    </row>
    <row r="12870" spans="1:4" x14ac:dyDescent="0.2">
      <c r="A12870" t="str">
        <f>"12869"</f>
        <v>12869</v>
      </c>
      <c r="B12870" t="str">
        <f>"-0.08"</f>
        <v>-0.08</v>
      </c>
      <c r="C12870" t="str">
        <f>"31"</f>
        <v>31</v>
      </c>
      <c r="D12870" t="str">
        <f>"All Delighted People EP"</f>
        <v>All Delighted People EP</v>
      </c>
    </row>
    <row r="12871" spans="1:4" x14ac:dyDescent="0.2">
      <c r="A12871" t="str">
        <f>"12870"</f>
        <v>12870</v>
      </c>
      <c r="B12871" t="str">
        <f>"0.92"</f>
        <v>0.92</v>
      </c>
      <c r="C12871" t="str">
        <f>"21"</f>
        <v>21</v>
      </c>
      <c r="D12871" t="str">
        <f>"I'm Having Fun Now"</f>
        <v>I'm Having Fun Now</v>
      </c>
    </row>
    <row r="12872" spans="1:4" x14ac:dyDescent="0.2">
      <c r="A12872" t="str">
        <f>"12871"</f>
        <v>12871</v>
      </c>
      <c r="B12872" t="str">
        <f>"0.31"</f>
        <v>0.31</v>
      </c>
      <c r="C12872" t="str">
        <f>"18"</f>
        <v>18</v>
      </c>
      <c r="D12872" t="str">
        <f>"The Capitol Years: 1995-2007"</f>
        <v>The Capitol Years: 1995-2007</v>
      </c>
    </row>
    <row r="12873" spans="1:4" x14ac:dyDescent="0.2">
      <c r="A12873" t="str">
        <f>"12872"</f>
        <v>12872</v>
      </c>
      <c r="B12873" t="str">
        <f>"-0.1"</f>
        <v>-0.1</v>
      </c>
      <c r="C12873" t="str">
        <f>"25"</f>
        <v>25</v>
      </c>
      <c r="D12873" t="str">
        <f>"O"</f>
        <v>O</v>
      </c>
    </row>
    <row r="12874" spans="1:4" x14ac:dyDescent="0.2">
      <c r="A12874" t="str">
        <f>"12873"</f>
        <v>12873</v>
      </c>
      <c r="B12874" t="str">
        <f>"-0.7"</f>
        <v>-0.7</v>
      </c>
      <c r="C12874" t="str">
        <f>"26"</f>
        <v>26</v>
      </c>
      <c r="D12874" t="str">
        <f>"Machines Hate Me"</f>
        <v>Machines Hate Me</v>
      </c>
    </row>
    <row r="12875" spans="1:4" x14ac:dyDescent="0.2">
      <c r="A12875" t="str">
        <f>"12874"</f>
        <v>12874</v>
      </c>
      <c r="B12875" t="str">
        <f>"-0.08"</f>
        <v>-0.08</v>
      </c>
      <c r="C12875" t="str">
        <f>"29"</f>
        <v>29</v>
      </c>
      <c r="D12875" t="str">
        <f>"Familial"</f>
        <v>Familial</v>
      </c>
    </row>
    <row r="12876" spans="1:4" x14ac:dyDescent="0.2">
      <c r="A12876" t="str">
        <f>"12875"</f>
        <v>12875</v>
      </c>
      <c r="B12876" t="str">
        <f>"0.24"</f>
        <v>0.24</v>
      </c>
      <c r="C12876" t="str">
        <f>"23"</f>
        <v>23</v>
      </c>
      <c r="D12876" t="str">
        <f>"Jewelry Selection"</f>
        <v>Jewelry Selection</v>
      </c>
    </row>
    <row r="12877" spans="1:4" x14ac:dyDescent="0.2">
      <c r="A12877" t="str">
        <f>"12876"</f>
        <v>12876</v>
      </c>
      <c r="B12877" t="str">
        <f>"1.86"</f>
        <v>1.86</v>
      </c>
      <c r="C12877" t="str">
        <f>"16"</f>
        <v>16</v>
      </c>
      <c r="D12877" t="str">
        <f>"Hood Pass Intact EP"</f>
        <v>Hood Pass Intact EP</v>
      </c>
    </row>
    <row r="12878" spans="1:4" x14ac:dyDescent="0.2">
      <c r="A12878" t="str">
        <f>"12877"</f>
        <v>12877</v>
      </c>
      <c r="B12878" t="str">
        <f>"0.72"</f>
        <v>0.72</v>
      </c>
      <c r="C12878" t="str">
        <f>"13"</f>
        <v>13</v>
      </c>
      <c r="D12878" t="str">
        <f>"Modern Rituals"</f>
        <v>Modern Rituals</v>
      </c>
    </row>
    <row r="12879" spans="1:4" x14ac:dyDescent="0.2">
      <c r="A12879" t="str">
        <f>"12878"</f>
        <v>12878</v>
      </c>
      <c r="B12879" t="str">
        <f>"-0.71"</f>
        <v>-0.71</v>
      </c>
      <c r="C12879" t="str">
        <f>"19"</f>
        <v>19</v>
      </c>
      <c r="D12879" t="str">
        <f>"Nothing Else"</f>
        <v>Nothing Else</v>
      </c>
    </row>
    <row r="12880" spans="1:4" x14ac:dyDescent="0.2">
      <c r="A12880" t="str">
        <f>"12879"</f>
        <v>12879</v>
      </c>
      <c r="B12880" t="str">
        <f>"-1.41"</f>
        <v>-1.41</v>
      </c>
      <c r="C12880" t="str">
        <f>"22"</f>
        <v>22</v>
      </c>
      <c r="D12880" t="str">
        <f>"Surfing the Void"</f>
        <v>Surfing the Void</v>
      </c>
    </row>
    <row r="12881" spans="1:4" x14ac:dyDescent="0.2">
      <c r="A12881" t="str">
        <f>"12880"</f>
        <v>12880</v>
      </c>
      <c r="B12881" t="str">
        <f>"0.2"</f>
        <v>0.2</v>
      </c>
      <c r="C12881" t="str">
        <f>"26"</f>
        <v>26</v>
      </c>
      <c r="D12881" t="str">
        <f>"Jesu: Pale Sketches Demixed"</f>
        <v>Jesu: Pale Sketches Demixed</v>
      </c>
    </row>
    <row r="12882" spans="1:4" x14ac:dyDescent="0.2">
      <c r="A12882" t="str">
        <f>"12881"</f>
        <v>12881</v>
      </c>
      <c r="B12882" t="str">
        <f>"-0.08"</f>
        <v>-0.08</v>
      </c>
      <c r="C12882" t="str">
        <f>"16"</f>
        <v>16</v>
      </c>
      <c r="D12882" t="str">
        <f>"The Waves"</f>
        <v>The Waves</v>
      </c>
    </row>
    <row r="12883" spans="1:4" x14ac:dyDescent="0.2">
      <c r="A12883" t="str">
        <f>"12882"</f>
        <v>12882</v>
      </c>
      <c r="B12883" t="str">
        <f>"-0.45"</f>
        <v>-0.45</v>
      </c>
      <c r="C12883" t="str">
        <f>"21"</f>
        <v>21</v>
      </c>
      <c r="D12883" t="str">
        <f>"The Metallic Year"</f>
        <v>The Metallic Year</v>
      </c>
    </row>
    <row r="12884" spans="1:4" x14ac:dyDescent="0.2">
      <c r="A12884" t="str">
        <f>"12883"</f>
        <v>12883</v>
      </c>
      <c r="B12884" t="str">
        <f>"-0.58"</f>
        <v>-0.58</v>
      </c>
      <c r="C12884" t="str">
        <f>"26"</f>
        <v>26</v>
      </c>
      <c r="D12884" t="str">
        <f>"Ullakkopalo"</f>
        <v>Ullakkopalo</v>
      </c>
    </row>
    <row r="12885" spans="1:4" x14ac:dyDescent="0.2">
      <c r="A12885" t="str">
        <f>"12884"</f>
        <v>12884</v>
      </c>
      <c r="B12885" t="str">
        <f>"0.53"</f>
        <v>0.53</v>
      </c>
      <c r="C12885" t="str">
        <f>"23"</f>
        <v>23</v>
      </c>
      <c r="D12885" t="str">
        <f>"The Electronic Anthology Project"</f>
        <v>The Electronic Anthology Project</v>
      </c>
    </row>
    <row r="12886" spans="1:4" x14ac:dyDescent="0.2">
      <c r="A12886" t="str">
        <f>"12885"</f>
        <v>12885</v>
      </c>
      <c r="B12886" t="str">
        <f>"-0.34"</f>
        <v>-0.34</v>
      </c>
      <c r="C12886" t="str">
        <f>"40"</f>
        <v>40</v>
      </c>
      <c r="D12886" t="s">
        <v>395</v>
      </c>
    </row>
    <row r="12887" spans="1:4" x14ac:dyDescent="0.2">
      <c r="A12887" t="str">
        <f>"12886"</f>
        <v>12886</v>
      </c>
      <c r="B12887" t="str">
        <f>"0.13"</f>
        <v>0.13</v>
      </c>
      <c r="C12887" t="str">
        <f>"32"</f>
        <v>32</v>
      </c>
      <c r="D12887" t="str">
        <f>"Total 11"</f>
        <v>Total 11</v>
      </c>
    </row>
    <row r="12888" spans="1:4" x14ac:dyDescent="0.2">
      <c r="A12888" t="str">
        <f>"12887"</f>
        <v>12887</v>
      </c>
      <c r="B12888" t="str">
        <f>"0.47"</f>
        <v>0.47</v>
      </c>
      <c r="C12888" t="str">
        <f>"19"</f>
        <v>19</v>
      </c>
      <c r="D12888" t="str">
        <f>"Barbara"</f>
        <v>Barbara</v>
      </c>
    </row>
    <row r="12889" spans="1:4" x14ac:dyDescent="0.2">
      <c r="A12889" t="str">
        <f>"12888"</f>
        <v>12888</v>
      </c>
      <c r="B12889" t="str">
        <f>"0.14"</f>
        <v>0.14</v>
      </c>
      <c r="C12889" t="str">
        <f>"30"</f>
        <v>30</v>
      </c>
      <c r="D12889" t="str">
        <f>"Disko"</f>
        <v>Disko</v>
      </c>
    </row>
    <row r="12890" spans="1:4" x14ac:dyDescent="0.2">
      <c r="A12890" t="str">
        <f>"12889"</f>
        <v>12889</v>
      </c>
      <c r="B12890" t="str">
        <f>"0.58"</f>
        <v>0.58</v>
      </c>
      <c r="C12890" t="str">
        <f>"35"</f>
        <v>35</v>
      </c>
      <c r="D12890" t="str">
        <f>"Thank You For Your Love EP"</f>
        <v>Thank You For Your Love EP</v>
      </c>
    </row>
    <row r="12891" spans="1:4" x14ac:dyDescent="0.2">
      <c r="A12891" t="str">
        <f>"12890"</f>
        <v>12890</v>
      </c>
      <c r="B12891" t="str">
        <f>"0.52"</f>
        <v>0.52</v>
      </c>
      <c r="C12891" t="str">
        <f>"14"</f>
        <v>14</v>
      </c>
      <c r="D12891" t="str">
        <f>"The Orchard"</f>
        <v>The Orchard</v>
      </c>
    </row>
    <row r="12892" spans="1:4" x14ac:dyDescent="0.2">
      <c r="A12892" t="str">
        <f>"12891"</f>
        <v>12891</v>
      </c>
      <c r="B12892" t="str">
        <f>"-0.77"</f>
        <v>-0.77</v>
      </c>
      <c r="C12892" t="str">
        <f>"20"</f>
        <v>20</v>
      </c>
      <c r="D12892" t="str">
        <f>"That Mystic EP"</f>
        <v>That Mystic EP</v>
      </c>
    </row>
    <row r="12893" spans="1:4" x14ac:dyDescent="0.2">
      <c r="A12893" t="str">
        <f>"12892"</f>
        <v>12892</v>
      </c>
      <c r="B12893" t="str">
        <f>"0.13"</f>
        <v>0.13</v>
      </c>
      <c r="C12893" t="str">
        <f>"28"</f>
        <v>28</v>
      </c>
      <c r="D12893" t="str">
        <f>"Without Why"</f>
        <v>Without Why</v>
      </c>
    </row>
    <row r="12894" spans="1:4" x14ac:dyDescent="0.2">
      <c r="A12894" t="str">
        <f>"12893"</f>
        <v>12893</v>
      </c>
      <c r="B12894" t="str">
        <f>"0.49"</f>
        <v>0.49</v>
      </c>
      <c r="C12894" t="str">
        <f>"33"</f>
        <v>33</v>
      </c>
      <c r="D12894" t="str">
        <f>"Scott Pilgrim vs. the World OST"</f>
        <v>Scott Pilgrim vs. the World OST</v>
      </c>
    </row>
    <row r="12895" spans="1:4" x14ac:dyDescent="0.2">
      <c r="A12895" t="str">
        <f>"12894"</f>
        <v>12894</v>
      </c>
      <c r="B12895" t="str">
        <f>"0.74"</f>
        <v>0.74</v>
      </c>
      <c r="C12895" t="str">
        <f>"19"</f>
        <v>19</v>
      </c>
      <c r="D12895" t="str">
        <f>"Special Moves"</f>
        <v>Special Moves</v>
      </c>
    </row>
    <row r="12896" spans="1:4" x14ac:dyDescent="0.2">
      <c r="A12896" t="str">
        <f>"12895"</f>
        <v>12895</v>
      </c>
      <c r="B12896" t="str">
        <f>"0.84"</f>
        <v>0.84</v>
      </c>
      <c r="C12896" t="str">
        <f>"41"</f>
        <v>41</v>
      </c>
      <c r="D12896" t="str">
        <f>"Year One"</f>
        <v>Year One</v>
      </c>
    </row>
    <row r="12897" spans="1:4" x14ac:dyDescent="0.2">
      <c r="A12897" t="str">
        <f>"12896"</f>
        <v>12896</v>
      </c>
      <c r="B12897" t="str">
        <f>"-0.31"</f>
        <v>-0.31</v>
      </c>
      <c r="C12897" t="str">
        <f>"19"</f>
        <v>19</v>
      </c>
      <c r="D12897" t="str">
        <f>"DJ /rupture Presents CIAfrica"</f>
        <v>DJ /rupture Presents CIAfrica</v>
      </c>
    </row>
    <row r="12898" spans="1:4" x14ac:dyDescent="0.2">
      <c r="A12898" t="str">
        <f>"12897"</f>
        <v>12897</v>
      </c>
      <c r="B12898" t="str">
        <f>"-0.07"</f>
        <v>-0.07</v>
      </c>
      <c r="C12898" t="str">
        <f>"21"</f>
        <v>21</v>
      </c>
      <c r="D12898" t="str">
        <f>"Gambling With God"</f>
        <v>Gambling With God</v>
      </c>
    </row>
    <row r="12899" spans="1:4" x14ac:dyDescent="0.2">
      <c r="A12899" t="str">
        <f>"12898"</f>
        <v>12898</v>
      </c>
      <c r="B12899" t="str">
        <f>"0.19"</f>
        <v>0.19</v>
      </c>
      <c r="C12899" t="str">
        <f>"25"</f>
        <v>25</v>
      </c>
      <c r="D12899" t="str">
        <f>"Keraaminen Pää"</f>
        <v>Keraaminen Pää</v>
      </c>
    </row>
    <row r="12900" spans="1:4" x14ac:dyDescent="0.2">
      <c r="A12900" t="str">
        <f>"12899"</f>
        <v>12899</v>
      </c>
      <c r="B12900" t="str">
        <f>"0.16"</f>
        <v>0.16</v>
      </c>
      <c r="C12900" t="str">
        <f>"23"</f>
        <v>23</v>
      </c>
      <c r="D12900" t="s">
        <v>396</v>
      </c>
    </row>
    <row r="12901" spans="1:4" x14ac:dyDescent="0.2">
      <c r="A12901" t="str">
        <f>"12900"</f>
        <v>12900</v>
      </c>
      <c r="B12901" t="str">
        <f>"-0.25"</f>
        <v>-0.25</v>
      </c>
      <c r="C12901" t="str">
        <f>"16"</f>
        <v>16</v>
      </c>
      <c r="D12901" t="str">
        <f>"My Name Is Hannibal"</f>
        <v>My Name Is Hannibal</v>
      </c>
    </row>
    <row r="12902" spans="1:4" x14ac:dyDescent="0.2">
      <c r="A12902" t="str">
        <f>"12901"</f>
        <v>12901</v>
      </c>
      <c r="B12902" t="str">
        <f>"1.1"</f>
        <v>1.1</v>
      </c>
      <c r="C12902" t="str">
        <f>"27"</f>
        <v>27</v>
      </c>
      <c r="D12902" t="str">
        <f>"All We Grow"</f>
        <v>All We Grow</v>
      </c>
    </row>
    <row r="12903" spans="1:4" x14ac:dyDescent="0.2">
      <c r="A12903" t="str">
        <f>"12902"</f>
        <v>12902</v>
      </c>
      <c r="B12903" t="str">
        <f>"1.25"</f>
        <v>1.25</v>
      </c>
      <c r="C12903" t="str">
        <f>"21"</f>
        <v>21</v>
      </c>
      <c r="D12903" t="str">
        <f>"Cloak and Cipher"</f>
        <v>Cloak and Cipher</v>
      </c>
    </row>
    <row r="12904" spans="1:4" x14ac:dyDescent="0.2">
      <c r="A12904" t="str">
        <f>"12903"</f>
        <v>12903</v>
      </c>
      <c r="B12904" t="str">
        <f>"-0.23"</f>
        <v>-0.23</v>
      </c>
      <c r="C12904" t="str">
        <f>"24"</f>
        <v>24</v>
      </c>
      <c r="D12904" t="str">
        <f>"Proximity One: Narrative of a City"</f>
        <v>Proximity One: Narrative of a City</v>
      </c>
    </row>
    <row r="12905" spans="1:4" x14ac:dyDescent="0.2">
      <c r="A12905" t="str">
        <f>"12904"</f>
        <v>12904</v>
      </c>
      <c r="B12905" t="str">
        <f>"0.15"</f>
        <v>0.15</v>
      </c>
      <c r="C12905" t="str">
        <f>"45"</f>
        <v>45</v>
      </c>
      <c r="D12905" t="str">
        <f>"The Week Never Starts Round Here [Deluxe Edition]"</f>
        <v>The Week Never Starts Round Here [Deluxe Edition]</v>
      </c>
    </row>
    <row r="12906" spans="1:4" x14ac:dyDescent="0.2">
      <c r="A12906" t="str">
        <f>"12905"</f>
        <v>12905</v>
      </c>
      <c r="B12906" t="str">
        <f>"0.31"</f>
        <v>0.31</v>
      </c>
      <c r="C12906" t="str">
        <f>"23"</f>
        <v>23</v>
      </c>
      <c r="D12906" t="str">
        <f>"Knoxville"</f>
        <v>Knoxville</v>
      </c>
    </row>
    <row r="12907" spans="1:4" x14ac:dyDescent="0.2">
      <c r="A12907" t="str">
        <f>"12906"</f>
        <v>12906</v>
      </c>
      <c r="B12907" t="str">
        <f>"0.64"</f>
        <v>0.64</v>
      </c>
      <c r="C12907" t="str">
        <f>"39"</f>
        <v>39</v>
      </c>
      <c r="D12907" t="s">
        <v>397</v>
      </c>
    </row>
    <row r="12908" spans="1:4" x14ac:dyDescent="0.2">
      <c r="A12908" t="str">
        <f>"12907"</f>
        <v>12907</v>
      </c>
      <c r="B12908" t="str">
        <f>"-1.23"</f>
        <v>-1.23</v>
      </c>
      <c r="C12908" t="str">
        <f>"18"</f>
        <v>18</v>
      </c>
      <c r="D12908" t="str">
        <f>"Consolamentum"</f>
        <v>Consolamentum</v>
      </c>
    </row>
    <row r="12909" spans="1:4" x14ac:dyDescent="0.2">
      <c r="A12909" t="str">
        <f>"12908"</f>
        <v>12908</v>
      </c>
      <c r="B12909" t="str">
        <f>"-0.05"</f>
        <v>-0.05</v>
      </c>
      <c r="C12909" t="str">
        <f>"17"</f>
        <v>17</v>
      </c>
      <c r="D12909" t="str">
        <f>"Royal Toast"</f>
        <v>Royal Toast</v>
      </c>
    </row>
    <row r="12910" spans="1:4" x14ac:dyDescent="0.2">
      <c r="A12910" t="str">
        <f>"12909"</f>
        <v>12909</v>
      </c>
      <c r="B12910" t="str">
        <f>"0.16"</f>
        <v>0.16</v>
      </c>
      <c r="C12910" t="str">
        <f>"34"</f>
        <v>34</v>
      </c>
      <c r="D12910" t="str">
        <f>"Hawk"</f>
        <v>Hawk</v>
      </c>
    </row>
    <row r="12911" spans="1:4" x14ac:dyDescent="0.2">
      <c r="A12911" t="str">
        <f>"12910"</f>
        <v>12910</v>
      </c>
      <c r="B12911" t="str">
        <f>"0.27"</f>
        <v>0.27</v>
      </c>
      <c r="C12911" t="str">
        <f>"24"</f>
        <v>24</v>
      </c>
      <c r="D12911" t="str">
        <f>"More About Nothing"</f>
        <v>More About Nothing</v>
      </c>
    </row>
    <row r="12912" spans="1:4" x14ac:dyDescent="0.2">
      <c r="A12912" t="str">
        <f>"12911"</f>
        <v>12911</v>
      </c>
      <c r="B12912" t="str">
        <f>"0.55"</f>
        <v>0.55</v>
      </c>
      <c r="C12912" t="str">
        <f>"29"</f>
        <v>29</v>
      </c>
      <c r="D12912" t="str">
        <f>"The Budos Band III"</f>
        <v>The Budos Band III</v>
      </c>
    </row>
    <row r="12913" spans="1:4" x14ac:dyDescent="0.2">
      <c r="A12913" t="str">
        <f>"12912"</f>
        <v>12912</v>
      </c>
      <c r="B12913" t="str">
        <f>"0.15"</f>
        <v>0.15</v>
      </c>
      <c r="C12913" t="str">
        <f>"19"</f>
        <v>19</v>
      </c>
      <c r="D12913" t="str">
        <f>"House of Tongues"</f>
        <v>House of Tongues</v>
      </c>
    </row>
    <row r="12914" spans="1:4" x14ac:dyDescent="0.2">
      <c r="A12914" t="str">
        <f>"12913"</f>
        <v>12913</v>
      </c>
      <c r="B12914" t="str">
        <f>"0.35"</f>
        <v>0.35</v>
      </c>
      <c r="C12914" t="str">
        <f>"27"</f>
        <v>27</v>
      </c>
      <c r="D12914" t="str">
        <f>"Catching a Tiger"</f>
        <v>Catching a Tiger</v>
      </c>
    </row>
    <row r="12915" spans="1:4" x14ac:dyDescent="0.2">
      <c r="A12915" t="str">
        <f>"12914"</f>
        <v>12914</v>
      </c>
      <c r="B12915" t="str">
        <f>"-0.3"</f>
        <v>-0.3</v>
      </c>
      <c r="C12915" t="str">
        <f>"30"</f>
        <v>30</v>
      </c>
      <c r="D12915" t="str">
        <f>"Shangaan Electro: New Wave Dance Music From South Africa"</f>
        <v>Shangaan Electro: New Wave Dance Music From South Africa</v>
      </c>
    </row>
    <row r="12916" spans="1:4" x14ac:dyDescent="0.2">
      <c r="A12916" t="str">
        <f>"12915"</f>
        <v>12915</v>
      </c>
      <c r="B12916" t="str">
        <f>"-0.3"</f>
        <v>-0.3</v>
      </c>
      <c r="C12916" t="str">
        <f>"40"</f>
        <v>40</v>
      </c>
      <c r="D12916" t="str">
        <f>"Melvins/Isis"</f>
        <v>Melvins/Isis</v>
      </c>
    </row>
    <row r="12917" spans="1:4" x14ac:dyDescent="0.2">
      <c r="A12917" t="str">
        <f>"12916"</f>
        <v>12916</v>
      </c>
      <c r="B12917" t="str">
        <f>"-1.12"</f>
        <v>-1.12</v>
      </c>
      <c r="C12917" t="str">
        <f>"18"</f>
        <v>18</v>
      </c>
      <c r="D12917" t="str">
        <f>"Church With No Magic"</f>
        <v>Church With No Magic</v>
      </c>
    </row>
    <row r="12918" spans="1:4" x14ac:dyDescent="0.2">
      <c r="A12918" t="str">
        <f>"12917"</f>
        <v>12917</v>
      </c>
      <c r="B12918" t="str">
        <f>"0.52"</f>
        <v>0.52</v>
      </c>
      <c r="C12918" t="str">
        <f>"15"</f>
        <v>15</v>
      </c>
      <c r="D12918" t="str">
        <f>"Kaleide"</f>
        <v>Kaleide</v>
      </c>
    </row>
    <row r="12919" spans="1:4" x14ac:dyDescent="0.2">
      <c r="A12919" t="str">
        <f>"12918"</f>
        <v>12918</v>
      </c>
      <c r="B12919" t="str">
        <f>"0.99"</f>
        <v>0.99</v>
      </c>
      <c r="C12919" t="str">
        <f>"32"</f>
        <v>32</v>
      </c>
      <c r="D12919" t="str">
        <f>"Sad Sour Future"</f>
        <v>Sad Sour Future</v>
      </c>
    </row>
    <row r="12920" spans="1:4" x14ac:dyDescent="0.2">
      <c r="A12920" t="str">
        <f>"12919"</f>
        <v>12919</v>
      </c>
      <c r="B12920" t="str">
        <f>"-0.11"</f>
        <v>-0.11</v>
      </c>
      <c r="C12920" t="str">
        <f>"45"</f>
        <v>45</v>
      </c>
      <c r="D12920" t="str">
        <f>"All's Well That Ends EP"</f>
        <v>All's Well That Ends EP</v>
      </c>
    </row>
    <row r="12921" spans="1:4" x14ac:dyDescent="0.2">
      <c r="A12921" t="str">
        <f>"12920"</f>
        <v>12920</v>
      </c>
      <c r="B12921" t="str">
        <f>"-0.05"</f>
        <v>-0.05</v>
      </c>
      <c r="C12921" t="str">
        <f>"30"</f>
        <v>30</v>
      </c>
      <c r="D12921" t="str">
        <f>"Am I Real? EP"</f>
        <v>Am I Real? EP</v>
      </c>
    </row>
    <row r="12922" spans="1:4" x14ac:dyDescent="0.2">
      <c r="A12922" t="str">
        <f>"12921"</f>
        <v>12921</v>
      </c>
      <c r="B12922" t="str">
        <f>"-0.28"</f>
        <v>-0.28</v>
      </c>
      <c r="C12922" t="str">
        <f>"22"</f>
        <v>22</v>
      </c>
      <c r="D12922" t="str">
        <f>"Natural Selections"</f>
        <v>Natural Selections</v>
      </c>
    </row>
    <row r="12923" spans="1:4" x14ac:dyDescent="0.2">
      <c r="A12923" t="str">
        <f>"12922"</f>
        <v>12922</v>
      </c>
      <c r="B12923" t="str">
        <f>"0.69"</f>
        <v>0.69</v>
      </c>
      <c r="C12923" t="str">
        <f>"34"</f>
        <v>34</v>
      </c>
      <c r="D12923" t="str">
        <f>"Tima Formosa"</f>
        <v>Tima Formosa</v>
      </c>
    </row>
    <row r="12924" spans="1:4" x14ac:dyDescent="0.2">
      <c r="A12924" t="str">
        <f>"12923"</f>
        <v>12923</v>
      </c>
      <c r="B12924" t="str">
        <f>"0.39"</f>
        <v>0.39</v>
      </c>
      <c r="C12924" t="str">
        <f>"18"</f>
        <v>18</v>
      </c>
      <c r="D12924" t="str">
        <f>"Boy EP"</f>
        <v>Boy EP</v>
      </c>
    </row>
    <row r="12925" spans="1:4" x14ac:dyDescent="0.2">
      <c r="A12925" t="str">
        <f>"12924"</f>
        <v>12924</v>
      </c>
      <c r="B12925" t="str">
        <f>"-0.13"</f>
        <v>-0.13</v>
      </c>
      <c r="C12925" t="str">
        <f>"36"</f>
        <v>36</v>
      </c>
      <c r="D12925" t="str">
        <f>"Black City"</f>
        <v>Black City</v>
      </c>
    </row>
    <row r="12926" spans="1:4" x14ac:dyDescent="0.2">
      <c r="A12926" t="str">
        <f>"12925"</f>
        <v>12925</v>
      </c>
      <c r="B12926" t="str">
        <f>"1.31"</f>
        <v>1.31</v>
      </c>
      <c r="C12926" t="str">
        <f>"21"</f>
        <v>21</v>
      </c>
      <c r="D12926" t="str">
        <f>"All Is Falling"</f>
        <v>All Is Falling</v>
      </c>
    </row>
    <row r="12927" spans="1:4" x14ac:dyDescent="0.2">
      <c r="A12927" t="str">
        <f>"12926"</f>
        <v>12926</v>
      </c>
      <c r="B12927" t="str">
        <f>"0.6"</f>
        <v>0.6</v>
      </c>
      <c r="C12927" t="str">
        <f>"17"</f>
        <v>17</v>
      </c>
      <c r="D12927" t="str">
        <f>"High and Dry"</f>
        <v>High and Dry</v>
      </c>
    </row>
    <row r="12928" spans="1:4" x14ac:dyDescent="0.2">
      <c r="A12928" t="str">
        <f>"12927"</f>
        <v>12927</v>
      </c>
      <c r="B12928" t="str">
        <f>"-0.04"</f>
        <v>-0.04</v>
      </c>
      <c r="C12928" t="str">
        <f>"43"</f>
        <v>43</v>
      </c>
      <c r="D12928" t="str">
        <f>"Atalanta (Acts of God) Volume II"</f>
        <v>Atalanta (Acts of God) Volume II</v>
      </c>
    </row>
    <row r="12929" spans="1:4" x14ac:dyDescent="0.2">
      <c r="A12929" t="str">
        <f>"12928"</f>
        <v>12928</v>
      </c>
      <c r="B12929" t="str">
        <f>"0.69"</f>
        <v>0.69</v>
      </c>
      <c r="C12929" t="str">
        <f>"29"</f>
        <v>29</v>
      </c>
      <c r="D12929" t="str">
        <f>"Berghain 04"</f>
        <v>Berghain 04</v>
      </c>
    </row>
    <row r="12930" spans="1:4" x14ac:dyDescent="0.2">
      <c r="A12930" t="str">
        <f>"12929"</f>
        <v>12929</v>
      </c>
      <c r="B12930" t="str">
        <f>"-0.68"</f>
        <v>-0.68</v>
      </c>
      <c r="C12930" t="str">
        <f>"22"</f>
        <v>22</v>
      </c>
      <c r="D12930" t="str">
        <f>"Root For Ruin"</f>
        <v>Root For Ruin</v>
      </c>
    </row>
    <row r="12931" spans="1:4" x14ac:dyDescent="0.2">
      <c r="A12931" t="str">
        <f>"12930"</f>
        <v>12930</v>
      </c>
      <c r="B12931" t="str">
        <f>"-0.33"</f>
        <v>-0.33</v>
      </c>
      <c r="C12931" t="str">
        <f>"29"</f>
        <v>29</v>
      </c>
      <c r="D12931" t="str">
        <f>"See Birds EP"</f>
        <v>See Birds EP</v>
      </c>
    </row>
    <row r="12932" spans="1:4" x14ac:dyDescent="0.2">
      <c r="A12932" t="str">
        <f>"12931"</f>
        <v>12931</v>
      </c>
      <c r="B12932" t="str">
        <f>"-0.45"</f>
        <v>-0.45</v>
      </c>
      <c r="C12932" t="str">
        <f>"20"</f>
        <v>20</v>
      </c>
      <c r="D12932" t="str">
        <f>"Let It Sway"</f>
        <v>Let It Sway</v>
      </c>
    </row>
    <row r="12933" spans="1:4" x14ac:dyDescent="0.2">
      <c r="A12933" t="str">
        <f>"12932"</f>
        <v>12932</v>
      </c>
      <c r="B12933" t="str">
        <f>"0.02"</f>
        <v>0.02</v>
      </c>
      <c r="C12933" t="str">
        <f>"17"</f>
        <v>17</v>
      </c>
      <c r="D12933" t="str">
        <f>"House With a Curse"</f>
        <v>House With a Curse</v>
      </c>
    </row>
    <row r="12934" spans="1:4" x14ac:dyDescent="0.2">
      <c r="A12934" t="str">
        <f>"12933"</f>
        <v>12933</v>
      </c>
      <c r="B12934" t="str">
        <f>"-0.86"</f>
        <v>-0.86</v>
      </c>
      <c r="C12934" t="str">
        <f>"22"</f>
        <v>22</v>
      </c>
      <c r="D12934" t="str">
        <f>"The Cradle"</f>
        <v>The Cradle</v>
      </c>
    </row>
    <row r="12935" spans="1:4" x14ac:dyDescent="0.2">
      <c r="A12935" t="str">
        <f>"12934"</f>
        <v>12934</v>
      </c>
      <c r="B12935" t="str">
        <f>"0.37"</f>
        <v>0.37</v>
      </c>
      <c r="C12935" t="str">
        <f>"33"</f>
        <v>33</v>
      </c>
      <c r="D12935" t="str">
        <f>"Trill O.G."</f>
        <v>Trill O.G.</v>
      </c>
    </row>
    <row r="12936" spans="1:4" x14ac:dyDescent="0.2">
      <c r="A12936" t="str">
        <f>"12935"</f>
        <v>12935</v>
      </c>
      <c r="B12936" t="str">
        <f>"0.88"</f>
        <v>0.88</v>
      </c>
      <c r="C12936" t="str">
        <f>"18"</f>
        <v>18</v>
      </c>
      <c r="D12936" t="str">
        <f>"Are You My Mother?"</f>
        <v>Are You My Mother?</v>
      </c>
    </row>
    <row r="12937" spans="1:4" x14ac:dyDescent="0.2">
      <c r="A12937" t="str">
        <f>"12936"</f>
        <v>12936</v>
      </c>
      <c r="B12937" t="str">
        <f>"0.59"</f>
        <v>0.59</v>
      </c>
      <c r="C12937" t="str">
        <f>"26"</f>
        <v>26</v>
      </c>
      <c r="D12937" t="str">
        <f>"Light Chasers"</f>
        <v>Light Chasers</v>
      </c>
    </row>
    <row r="12938" spans="1:4" x14ac:dyDescent="0.2">
      <c r="A12938" t="str">
        <f>"12937"</f>
        <v>12937</v>
      </c>
      <c r="B12938" t="str">
        <f>"0.39"</f>
        <v>0.39</v>
      </c>
      <c r="C12938" t="str">
        <f>"27"</f>
        <v>27</v>
      </c>
      <c r="D12938" t="str">
        <f>"Sugar"</f>
        <v>Sugar</v>
      </c>
    </row>
    <row r="12939" spans="1:4" x14ac:dyDescent="0.2">
      <c r="A12939" t="str">
        <f>"12938"</f>
        <v>12938</v>
      </c>
      <c r="B12939" t="str">
        <f>"-0.15"</f>
        <v>-0.15</v>
      </c>
      <c r="C12939" t="str">
        <f>"28"</f>
        <v>28</v>
      </c>
      <c r="D12939" t="str">
        <f>"Failing Lights"</f>
        <v>Failing Lights</v>
      </c>
    </row>
    <row r="12940" spans="1:4" x14ac:dyDescent="0.2">
      <c r="A12940" t="str">
        <f>"12939"</f>
        <v>12939</v>
      </c>
      <c r="B12940" t="str">
        <f>"-0.83"</f>
        <v>-0.83</v>
      </c>
      <c r="C12940" t="str">
        <f>"41"</f>
        <v>41</v>
      </c>
      <c r="D12940" t="str">
        <f>"All the Waters of the Earth Turn to Blood"</f>
        <v>All the Waters of the Earth Turn to Blood</v>
      </c>
    </row>
    <row r="12941" spans="1:4" x14ac:dyDescent="0.2">
      <c r="A12941" t="str">
        <f>"12940"</f>
        <v>12940</v>
      </c>
      <c r="B12941" t="str">
        <f>"-0.7"</f>
        <v>-0.7</v>
      </c>
      <c r="C12941" t="str">
        <f>"24"</f>
        <v>24</v>
      </c>
      <c r="D12941" t="str">
        <f>"Transit Transit"</f>
        <v>Transit Transit</v>
      </c>
    </row>
    <row r="12942" spans="1:4" x14ac:dyDescent="0.2">
      <c r="A12942" t="str">
        <f>"12941"</f>
        <v>12941</v>
      </c>
      <c r="B12942" t="str">
        <f>"0.87"</f>
        <v>0.87</v>
      </c>
      <c r="C12942" t="str">
        <f>"24"</f>
        <v>24</v>
      </c>
      <c r="D12942" t="str">
        <f>"Outside the Box"</f>
        <v>Outside the Box</v>
      </c>
    </row>
    <row r="12943" spans="1:4" x14ac:dyDescent="0.2">
      <c r="A12943" t="str">
        <f>"12942"</f>
        <v>12942</v>
      </c>
      <c r="B12943" t="str">
        <f>"0.85"</f>
        <v>0.85</v>
      </c>
      <c r="C12943" t="str">
        <f>"26"</f>
        <v>26</v>
      </c>
      <c r="D12943" t="str">
        <f>"Laugh Tracks"</f>
        <v>Laugh Tracks</v>
      </c>
    </row>
    <row r="12944" spans="1:4" x14ac:dyDescent="0.2">
      <c r="A12944" t="str">
        <f>"12943"</f>
        <v>12943</v>
      </c>
      <c r="B12944" t="str">
        <f>"0.21"</f>
        <v>0.21</v>
      </c>
      <c r="C12944" t="str">
        <f>"29"</f>
        <v>29</v>
      </c>
      <c r="D12944" t="str">
        <f>"Full House Head"</f>
        <v>Full House Head</v>
      </c>
    </row>
    <row r="12945" spans="1:4" x14ac:dyDescent="0.2">
      <c r="A12945" t="str">
        <f>"12944"</f>
        <v>12944</v>
      </c>
      <c r="B12945" t="str">
        <f>"0.04"</f>
        <v>0.04</v>
      </c>
      <c r="C12945" t="str">
        <f>"21"</f>
        <v>21</v>
      </c>
      <c r="D12945" t="str">
        <f>"Maximum Balloon"</f>
        <v>Maximum Balloon</v>
      </c>
    </row>
    <row r="12946" spans="1:4" x14ac:dyDescent="0.2">
      <c r="A12946" t="str">
        <f>"12945"</f>
        <v>12945</v>
      </c>
      <c r="B12946" t="str">
        <f>"0.5"</f>
        <v>0.5</v>
      </c>
      <c r="C12946" t="str">
        <f>"24"</f>
        <v>24</v>
      </c>
      <c r="D12946" t="str">
        <f>"Seu Jorge &amp; Almaz"</f>
        <v>Seu Jorge &amp; Almaz</v>
      </c>
    </row>
    <row r="12947" spans="1:4" x14ac:dyDescent="0.2">
      <c r="A12947" t="str">
        <f>"12946"</f>
        <v>12946</v>
      </c>
      <c r="B12947" t="str">
        <f>"0.13"</f>
        <v>0.13</v>
      </c>
      <c r="C12947" t="str">
        <f>"19"</f>
        <v>19</v>
      </c>
      <c r="D12947" t="str">
        <f>"Alive As You Are"</f>
        <v>Alive As You Are</v>
      </c>
    </row>
    <row r="12948" spans="1:4" x14ac:dyDescent="0.2">
      <c r="A12948" t="str">
        <f>"12947"</f>
        <v>12947</v>
      </c>
      <c r="B12948" t="str">
        <f>"-0.29"</f>
        <v>-0.29</v>
      </c>
      <c r="C12948" t="str">
        <f>"26"</f>
        <v>26</v>
      </c>
      <c r="D12948" t="str">
        <f>"Four More Years EP"</f>
        <v>Four More Years EP</v>
      </c>
    </row>
    <row r="12949" spans="1:4" x14ac:dyDescent="0.2">
      <c r="A12949" t="str">
        <f>"12948"</f>
        <v>12948</v>
      </c>
      <c r="B12949" t="str">
        <f>"1.24"</f>
        <v>1.24</v>
      </c>
      <c r="C12949" t="str">
        <f>"34"</f>
        <v>34</v>
      </c>
      <c r="D12949" t="str">
        <f>"Beachcomber's Windowsill"</f>
        <v>Beachcomber's Windowsill</v>
      </c>
    </row>
    <row r="12950" spans="1:4" x14ac:dyDescent="0.2">
      <c r="A12950" t="str">
        <f>"12949"</f>
        <v>12949</v>
      </c>
      <c r="B12950" t="str">
        <f>"0.03"</f>
        <v>0.03</v>
      </c>
      <c r="C12950" t="str">
        <f>"41"</f>
        <v>41</v>
      </c>
      <c r="D12950" t="str">
        <f>"Rated R [Deluxe Edition]"</f>
        <v>Rated R [Deluxe Edition]</v>
      </c>
    </row>
    <row r="12951" spans="1:4" x14ac:dyDescent="0.2">
      <c r="A12951" t="str">
        <f>"12950"</f>
        <v>12950</v>
      </c>
      <c r="B12951" t="str">
        <f>"0.64"</f>
        <v>0.64</v>
      </c>
      <c r="C12951" t="str">
        <f>"25"</f>
        <v>25</v>
      </c>
      <c r="D12951" t="str">
        <f>"#Zero With a Bullet"</f>
        <v>#Zero With a Bullet</v>
      </c>
    </row>
    <row r="12952" spans="1:4" x14ac:dyDescent="0.2">
      <c r="A12952" t="str">
        <f>"12951"</f>
        <v>12951</v>
      </c>
      <c r="B12952" t="str">
        <f>"0.72"</f>
        <v>0.72</v>
      </c>
      <c r="C12952" t="str">
        <f>"26"</f>
        <v>26</v>
      </c>
      <c r="D12952" t="str">
        <f>"Gold on Gold"</f>
        <v>Gold on Gold</v>
      </c>
    </row>
    <row r="12953" spans="1:4" x14ac:dyDescent="0.2">
      <c r="A12953" t="str">
        <f>"12952"</f>
        <v>12952</v>
      </c>
      <c r="B12953" t="str">
        <f>"0.58"</f>
        <v>0.58</v>
      </c>
      <c r="C12953" t="str">
        <f>"17"</f>
        <v>17</v>
      </c>
      <c r="D12953" t="str">
        <f>"Shannon Stephens"</f>
        <v>Shannon Stephens</v>
      </c>
    </row>
    <row r="12954" spans="1:4" x14ac:dyDescent="0.2">
      <c r="A12954" t="str">
        <f>"12953"</f>
        <v>12953</v>
      </c>
      <c r="B12954" t="str">
        <f>"0.95"</f>
        <v>0.95</v>
      </c>
      <c r="C12954" t="str">
        <f>"24"</f>
        <v>24</v>
      </c>
      <c r="D12954" t="str">
        <f>"Tiger Flower Circle Sun"</f>
        <v>Tiger Flower Circle Sun</v>
      </c>
    </row>
    <row r="12955" spans="1:4" x14ac:dyDescent="0.2">
      <c r="A12955" t="str">
        <f>"12954"</f>
        <v>12954</v>
      </c>
      <c r="B12955" t="str">
        <f>"0.3"</f>
        <v>0.3</v>
      </c>
      <c r="C12955" t="str">
        <f>"29"</f>
        <v>29</v>
      </c>
      <c r="D12955" t="str">
        <f>"Str8 Killa EP"</f>
        <v>Str8 Killa EP</v>
      </c>
    </row>
    <row r="12956" spans="1:4" x14ac:dyDescent="0.2">
      <c r="A12956" t="str">
        <f>"12955"</f>
        <v>12955</v>
      </c>
      <c r="B12956" t="str">
        <f>"-0.82"</f>
        <v>-0.82</v>
      </c>
      <c r="C12956" t="str">
        <f>"26"</f>
        <v>26</v>
      </c>
      <c r="D12956" t="str">
        <f>"Hidden Lands"</f>
        <v>Hidden Lands</v>
      </c>
    </row>
    <row r="12957" spans="1:4" x14ac:dyDescent="0.2">
      <c r="A12957" t="str">
        <f>"12956"</f>
        <v>12956</v>
      </c>
      <c r="B12957" t="str">
        <f>"-0.18"</f>
        <v>-0.18</v>
      </c>
      <c r="C12957" t="str">
        <f>"38"</f>
        <v>38</v>
      </c>
      <c r="D12957" t="str">
        <f>"Jungle Music: Mixed With Love: Essential &amp; Unreleased Remixes 1976-1986"</f>
        <v>Jungle Music: Mixed With Love: Essential &amp; Unreleased Remixes 1976-1986</v>
      </c>
    </row>
    <row r="12958" spans="1:4" x14ac:dyDescent="0.2">
      <c r="A12958" t="str">
        <f>"12957"</f>
        <v>12957</v>
      </c>
      <c r="B12958" t="str">
        <f>"0.84"</f>
        <v>0.84</v>
      </c>
      <c r="C12958" t="str">
        <f>"22"</f>
        <v>22</v>
      </c>
      <c r="D12958" t="str">
        <f>"Drifts"</f>
        <v>Drifts</v>
      </c>
    </row>
    <row r="12959" spans="1:4" x14ac:dyDescent="0.2">
      <c r="A12959" t="str">
        <f>"12958"</f>
        <v>12958</v>
      </c>
      <c r="B12959" t="str">
        <f>"1.64"</f>
        <v>1.64</v>
      </c>
      <c r="C12959" t="str">
        <f>"22"</f>
        <v>22</v>
      </c>
      <c r="D12959" t="str">
        <f>"Puutarhatrilogia"</f>
        <v>Puutarhatrilogia</v>
      </c>
    </row>
    <row r="12960" spans="1:4" x14ac:dyDescent="0.2">
      <c r="A12960" t="str">
        <f>"12959"</f>
        <v>12959</v>
      </c>
      <c r="B12960" t="str">
        <f>"0.54"</f>
        <v>0.54</v>
      </c>
      <c r="C12960" t="str">
        <f>"36"</f>
        <v>36</v>
      </c>
      <c r="D12960" t="str">
        <f>"Jane Birkin et Serge Gainsbourg"</f>
        <v>Jane Birkin et Serge Gainsbourg</v>
      </c>
    </row>
    <row r="12961" spans="1:4" x14ac:dyDescent="0.2">
      <c r="A12961" t="str">
        <f>"12960"</f>
        <v>12960</v>
      </c>
      <c r="B12961" t="str">
        <f>"0.08"</f>
        <v>0.08</v>
      </c>
      <c r="C12961" t="str">
        <f>"29"</f>
        <v>29</v>
      </c>
      <c r="D12961" t="s">
        <v>398</v>
      </c>
    </row>
    <row r="12962" spans="1:4" x14ac:dyDescent="0.2">
      <c r="A12962" t="str">
        <f>"12961"</f>
        <v>12961</v>
      </c>
      <c r="B12962" t="str">
        <f>"0.32"</f>
        <v>0.32</v>
      </c>
      <c r="C12962" t="str">
        <f>"19"</f>
        <v>19</v>
      </c>
      <c r="D12962" t="str">
        <f>"On the Ones and Threes"</f>
        <v>On the Ones and Threes</v>
      </c>
    </row>
    <row r="12963" spans="1:4" x14ac:dyDescent="0.2">
      <c r="A12963" t="str">
        <f>"12962"</f>
        <v>12962</v>
      </c>
      <c r="B12963" t="str">
        <f>"-0.69"</f>
        <v>-0.69</v>
      </c>
      <c r="C12963" t="str">
        <f>"18"</f>
        <v>18</v>
      </c>
      <c r="D12963" t="str">
        <f>"Where the Messengers Meet"</f>
        <v>Where the Messengers Meet</v>
      </c>
    </row>
    <row r="12964" spans="1:4" x14ac:dyDescent="0.2">
      <c r="A12964" t="str">
        <f>"12963"</f>
        <v>12963</v>
      </c>
      <c r="B12964" t="str">
        <f>"0.83"</f>
        <v>0.83</v>
      </c>
      <c r="C12964" t="str">
        <f>"20"</f>
        <v>20</v>
      </c>
      <c r="D12964" t="str">
        <f>"Fortress"</f>
        <v>Fortress</v>
      </c>
    </row>
    <row r="12965" spans="1:4" x14ac:dyDescent="0.2">
      <c r="A12965" t="str">
        <f>"12964"</f>
        <v>12964</v>
      </c>
      <c r="B12965" t="str">
        <f>"-0.15"</f>
        <v>-0.15</v>
      </c>
      <c r="C12965" t="str">
        <f>"32"</f>
        <v>32</v>
      </c>
      <c r="D12965" t="str">
        <f>"Weareallgoingtoburninhell-megamixxx3"</f>
        <v>Weareallgoingtoburninhell-megamixxx3</v>
      </c>
    </row>
    <row r="12966" spans="1:4" x14ac:dyDescent="0.2">
      <c r="A12966" t="str">
        <f>"12965"</f>
        <v>12965</v>
      </c>
      <c r="B12966" t="str">
        <f>"-0.45"</f>
        <v>-0.45</v>
      </c>
      <c r="C12966" t="str">
        <f>"45"</f>
        <v>45</v>
      </c>
      <c r="D12966" t="str">
        <f>"Teflon Don"</f>
        <v>Teflon Don</v>
      </c>
    </row>
    <row r="12967" spans="1:4" x14ac:dyDescent="0.2">
      <c r="A12967" t="str">
        <f>"12966"</f>
        <v>12966</v>
      </c>
      <c r="B12967" t="str">
        <f>"0.14"</f>
        <v>0.14</v>
      </c>
      <c r="C12967" t="str">
        <f>"11"</f>
        <v>11</v>
      </c>
      <c r="D12967" t="str">
        <f>"Spur of the Moments"</f>
        <v>Spur of the Moments</v>
      </c>
    </row>
    <row r="12968" spans="1:4" x14ac:dyDescent="0.2">
      <c r="A12968" t="str">
        <f>"12967"</f>
        <v>12967</v>
      </c>
      <c r="B12968" t="str">
        <f>"0.56"</f>
        <v>0.56</v>
      </c>
      <c r="C12968" t="str">
        <f>"16"</f>
        <v>16</v>
      </c>
      <c r="D12968" t="str">
        <f>"Mind Altar EP"</f>
        <v>Mind Altar EP</v>
      </c>
    </row>
    <row r="12969" spans="1:4" x14ac:dyDescent="0.2">
      <c r="A12969" t="str">
        <f>"12968"</f>
        <v>12968</v>
      </c>
      <c r="B12969" t="str">
        <f>"0.71"</f>
        <v>0.71</v>
      </c>
      <c r="C12969" t="str">
        <f>"20"</f>
        <v>20</v>
      </c>
      <c r="D12969" t="str">
        <f>"Obadiah"</f>
        <v>Obadiah</v>
      </c>
    </row>
    <row r="12970" spans="1:4" x14ac:dyDescent="0.2">
      <c r="A12970" t="str">
        <f>"12969"</f>
        <v>12969</v>
      </c>
      <c r="B12970" t="str">
        <f>"-0.54"</f>
        <v>-0.54</v>
      </c>
      <c r="C12970" t="str">
        <f>"46"</f>
        <v>46</v>
      </c>
      <c r="D12970" t="str">
        <f>"The Suburbs"</f>
        <v>The Suburbs</v>
      </c>
    </row>
    <row r="12971" spans="1:4" x14ac:dyDescent="0.2">
      <c r="A12971" t="str">
        <f>"12970"</f>
        <v>12970</v>
      </c>
      <c r="B12971" t="str">
        <f>"0.55"</f>
        <v>0.55</v>
      </c>
      <c r="C12971" t="str">
        <f>"22"</f>
        <v>22</v>
      </c>
      <c r="D12971" t="str">
        <f>"Candle to Your Eyes"</f>
        <v>Candle to Your Eyes</v>
      </c>
    </row>
    <row r="12972" spans="1:4" x14ac:dyDescent="0.2">
      <c r="A12972" t="str">
        <f>"12971"</f>
        <v>12971</v>
      </c>
      <c r="B12972" t="str">
        <f>"1.22"</f>
        <v>1.22</v>
      </c>
      <c r="C12972" t="str">
        <f>"18"</f>
        <v>18</v>
      </c>
      <c r="D12972" t="str">
        <f>"K-X-P"</f>
        <v>K-X-P</v>
      </c>
    </row>
    <row r="12973" spans="1:4" x14ac:dyDescent="0.2">
      <c r="A12973" t="str">
        <f>"12972"</f>
        <v>12972</v>
      </c>
      <c r="B12973" t="str">
        <f>"-0.8"</f>
        <v>-0.8</v>
      </c>
      <c r="C12973" t="str">
        <f>"26"</f>
        <v>26</v>
      </c>
      <c r="D12973" t="str">
        <f>"Let Me Shine for You"</f>
        <v>Let Me Shine for You</v>
      </c>
    </row>
    <row r="12974" spans="1:4" x14ac:dyDescent="0.2">
      <c r="A12974" t="str">
        <f>"12973"</f>
        <v>12973</v>
      </c>
      <c r="B12974" t="str">
        <f>"-0.04"</f>
        <v>-0.04</v>
      </c>
      <c r="C12974" t="str">
        <f>"24"</f>
        <v>24</v>
      </c>
      <c r="D12974" t="str">
        <f>"Dealing in Antiques"</f>
        <v>Dealing in Antiques</v>
      </c>
    </row>
    <row r="12975" spans="1:4" x14ac:dyDescent="0.2">
      <c r="A12975" t="str">
        <f>"12974"</f>
        <v>12974</v>
      </c>
      <c r="B12975" t="str">
        <f>"1.21"</f>
        <v>1.21</v>
      </c>
      <c r="C12975" t="str">
        <f>"39"</f>
        <v>39</v>
      </c>
      <c r="D12975" t="str">
        <f>"Pilot Talk"</f>
        <v>Pilot Talk</v>
      </c>
    </row>
    <row r="12976" spans="1:4" x14ac:dyDescent="0.2">
      <c r="A12976" t="str">
        <f>"12975"</f>
        <v>12975</v>
      </c>
      <c r="B12976" t="str">
        <f>"-0.14"</f>
        <v>-0.14</v>
      </c>
      <c r="C12976" t="str">
        <f>"35"</f>
        <v>35</v>
      </c>
      <c r="D12976" t="str">
        <f>"Moses on a Snail"</f>
        <v>Moses on a Snail</v>
      </c>
    </row>
    <row r="12977" spans="1:4" x14ac:dyDescent="0.2">
      <c r="A12977" t="str">
        <f>"12976"</f>
        <v>12976</v>
      </c>
      <c r="B12977" t="str">
        <f>"0.29"</f>
        <v>0.29</v>
      </c>
      <c r="C12977" t="str">
        <f>"17"</f>
        <v>17</v>
      </c>
      <c r="D12977" t="str">
        <f>"That's How We Burn"</f>
        <v>That's How We Burn</v>
      </c>
    </row>
    <row r="12978" spans="1:4" x14ac:dyDescent="0.2">
      <c r="A12978" t="str">
        <f>"12977"</f>
        <v>12977</v>
      </c>
      <c r="B12978" t="str">
        <f>"-1.13"</f>
        <v>-1.13</v>
      </c>
      <c r="C12978" t="str">
        <f>"23"</f>
        <v>23</v>
      </c>
      <c r="D12978" t="str">
        <f>"Cloud Seed"</f>
        <v>Cloud Seed</v>
      </c>
    </row>
    <row r="12979" spans="1:4" x14ac:dyDescent="0.2">
      <c r="A12979" t="str">
        <f>"12978"</f>
        <v>12978</v>
      </c>
      <c r="B12979" t="str">
        <f>"0.85"</f>
        <v>0.85</v>
      </c>
      <c r="C12979" t="str">
        <f>"21"</f>
        <v>21</v>
      </c>
      <c r="D12979" t="str">
        <f>"The Low Hanging Fruit"</f>
        <v>The Low Hanging Fruit</v>
      </c>
    </row>
    <row r="12980" spans="1:4" x14ac:dyDescent="0.2">
      <c r="A12980" t="str">
        <f>"12979"</f>
        <v>12979</v>
      </c>
      <c r="B12980" t="str">
        <f>"0.76"</f>
        <v>0.76</v>
      </c>
      <c r="C12980" t="str">
        <f>"34"</f>
        <v>34</v>
      </c>
      <c r="D12980" t="str">
        <f>"Angel Echoes Remix"</f>
        <v>Angel Echoes Remix</v>
      </c>
    </row>
    <row r="12981" spans="1:4" x14ac:dyDescent="0.2">
      <c r="A12981" t="str">
        <f>"12980"</f>
        <v>12980</v>
      </c>
      <c r="B12981" t="str">
        <f>"0.24"</f>
        <v>0.24</v>
      </c>
      <c r="C12981" t="str">
        <f>"44"</f>
        <v>44</v>
      </c>
      <c r="D12981" t="str">
        <f>"Neu! Box Set"</f>
        <v>Neu! Box Set</v>
      </c>
    </row>
    <row r="12982" spans="1:4" x14ac:dyDescent="0.2">
      <c r="A12982" t="str">
        <f>"12981"</f>
        <v>12981</v>
      </c>
      <c r="B12982" t="str">
        <f>"0.63"</f>
        <v>0.63</v>
      </c>
      <c r="C12982" t="str">
        <f>"26"</f>
        <v>26</v>
      </c>
      <c r="D12982" t="str">
        <f>"Constellations"</f>
        <v>Constellations</v>
      </c>
    </row>
    <row r="12983" spans="1:4" x14ac:dyDescent="0.2">
      <c r="A12983" t="str">
        <f>"12982"</f>
        <v>12982</v>
      </c>
      <c r="B12983" t="str">
        <f>"-0.2"</f>
        <v>-0.2</v>
      </c>
      <c r="C12983" t="str">
        <f>"26"</f>
        <v>26</v>
      </c>
      <c r="D12983" t="str">
        <f>"Hunting My Dress"</f>
        <v>Hunting My Dress</v>
      </c>
    </row>
    <row r="12984" spans="1:4" x14ac:dyDescent="0.2">
      <c r="A12984" t="str">
        <f>"12983"</f>
        <v>12983</v>
      </c>
      <c r="B12984" t="str">
        <f>"-0.59"</f>
        <v>-0.59</v>
      </c>
      <c r="C12984" t="str">
        <f>"23"</f>
        <v>23</v>
      </c>
      <c r="D12984" t="str">
        <f>"Again and Again"</f>
        <v>Again and Again</v>
      </c>
    </row>
    <row r="12985" spans="1:4" x14ac:dyDescent="0.2">
      <c r="A12985" t="str">
        <f>"12984"</f>
        <v>12984</v>
      </c>
      <c r="B12985" t="str">
        <f>"-0.55"</f>
        <v>-0.55</v>
      </c>
      <c r="C12985" t="str">
        <f>"22"</f>
        <v>22</v>
      </c>
      <c r="D12985" t="str">
        <f>"The Terror of Cosmic Loneliness"</f>
        <v>The Terror of Cosmic Loneliness</v>
      </c>
    </row>
    <row r="12986" spans="1:4" x14ac:dyDescent="0.2">
      <c r="A12986" t="str">
        <f>"12985"</f>
        <v>12985</v>
      </c>
      <c r="B12986" t="str">
        <f>"-0.15"</f>
        <v>-0.15</v>
      </c>
      <c r="C12986" t="str">
        <f>"32"</f>
        <v>32</v>
      </c>
      <c r="D12986" t="str">
        <f>"Villa Manifesto"</f>
        <v>Villa Manifesto</v>
      </c>
    </row>
    <row r="12987" spans="1:4" x14ac:dyDescent="0.2">
      <c r="A12987" t="str">
        <f>"12986"</f>
        <v>12986</v>
      </c>
      <c r="B12987" t="str">
        <f>"-0.29"</f>
        <v>-0.29</v>
      </c>
      <c r="C12987" t="str">
        <f>"21"</f>
        <v>21</v>
      </c>
      <c r="D12987" t="str">
        <f>"The Runaway"</f>
        <v>The Runaway</v>
      </c>
    </row>
    <row r="12988" spans="1:4" x14ac:dyDescent="0.2">
      <c r="A12988" t="str">
        <f>"12987"</f>
        <v>12987</v>
      </c>
      <c r="B12988" t="str">
        <f>"-0.82"</f>
        <v>-0.82</v>
      </c>
      <c r="C12988" t="str">
        <f>"14"</f>
        <v>14</v>
      </c>
      <c r="D12988" t="str">
        <f>"Pink Graffiti"</f>
        <v>Pink Graffiti</v>
      </c>
    </row>
    <row r="12989" spans="1:4" x14ac:dyDescent="0.2">
      <c r="A12989" t="str">
        <f>"12988"</f>
        <v>12988</v>
      </c>
      <c r="B12989" t="str">
        <f>"-0.71"</f>
        <v>-0.71</v>
      </c>
      <c r="C12989" t="str">
        <f>"18"</f>
        <v>18</v>
      </c>
      <c r="D12989" t="str">
        <f>"Come Hell or High Water"</f>
        <v>Come Hell or High Water</v>
      </c>
    </row>
    <row r="12990" spans="1:4" x14ac:dyDescent="0.2">
      <c r="A12990" t="str">
        <f>"12989"</f>
        <v>12989</v>
      </c>
      <c r="B12990" t="str">
        <f>"-0.76"</f>
        <v>-0.76</v>
      </c>
      <c r="C12990" t="str">
        <f>"22"</f>
        <v>22</v>
      </c>
      <c r="D12990" t="str">
        <f>"Crazy For You"</f>
        <v>Crazy For You</v>
      </c>
    </row>
    <row r="12991" spans="1:4" x14ac:dyDescent="0.2">
      <c r="A12991" t="str">
        <f>"12990"</f>
        <v>12990</v>
      </c>
      <c r="B12991" t="str">
        <f>"-0.04"</f>
        <v>-0.04</v>
      </c>
      <c r="C12991" t="str">
        <f>"23"</f>
        <v>23</v>
      </c>
      <c r="D12991" t="str">
        <f>"United Nations of Sound"</f>
        <v>United Nations of Sound</v>
      </c>
    </row>
    <row r="12992" spans="1:4" x14ac:dyDescent="0.2">
      <c r="A12992" t="str">
        <f>"12991"</f>
        <v>12991</v>
      </c>
      <c r="B12992" t="str">
        <f>"1.28"</f>
        <v>1.28</v>
      </c>
      <c r="C12992" t="str">
        <f>"29"</f>
        <v>29</v>
      </c>
      <c r="D12992" t="str">
        <f>"Dual Identity"</f>
        <v>Dual Identity</v>
      </c>
    </row>
    <row r="12993" spans="1:4" x14ac:dyDescent="0.2">
      <c r="A12993" t="str">
        <f>"12992"</f>
        <v>12992</v>
      </c>
      <c r="B12993" t="str">
        <f>"0.13"</f>
        <v>0.13</v>
      </c>
      <c r="C12993" t="str">
        <f>"30"</f>
        <v>30</v>
      </c>
      <c r="D12993" t="str">
        <f>"XXX"</f>
        <v>XXX</v>
      </c>
    </row>
    <row r="12994" spans="1:4" x14ac:dyDescent="0.2">
      <c r="A12994" t="str">
        <f>"12993"</f>
        <v>12993</v>
      </c>
      <c r="B12994" t="str">
        <f>"-0.42"</f>
        <v>-0.42</v>
      </c>
      <c r="C12994" t="str">
        <f>"24"</f>
        <v>24</v>
      </c>
      <c r="D12994" t="str">
        <f>"Fields Within Fields"</f>
        <v>Fields Within Fields</v>
      </c>
    </row>
    <row r="12995" spans="1:4" x14ac:dyDescent="0.2">
      <c r="A12995" t="str">
        <f>"12994"</f>
        <v>12994</v>
      </c>
      <c r="B12995" t="str">
        <f>"1.02"</f>
        <v>1.02</v>
      </c>
      <c r="C12995" t="str">
        <f>"25"</f>
        <v>25</v>
      </c>
      <c r="D12995" t="str">
        <f>"Mines"</f>
        <v>Mines</v>
      </c>
    </row>
    <row r="12996" spans="1:4" x14ac:dyDescent="0.2">
      <c r="A12996" t="str">
        <f>"12995"</f>
        <v>12995</v>
      </c>
      <c r="B12996" t="str">
        <f>"-0.71"</f>
        <v>-0.71</v>
      </c>
      <c r="C12996" t="str">
        <f>"21"</f>
        <v>21</v>
      </c>
      <c r="D12996" t="str">
        <f>"On Patrol"</f>
        <v>On Patrol</v>
      </c>
    </row>
    <row r="12997" spans="1:4" x14ac:dyDescent="0.2">
      <c r="A12997" t="str">
        <f>"12996"</f>
        <v>12996</v>
      </c>
      <c r="B12997" t="str">
        <f>"-0.15"</f>
        <v>-0.15</v>
      </c>
      <c r="C12997" t="str">
        <f>"24"</f>
        <v>24</v>
      </c>
      <c r="D12997" t="str">
        <f>"Somewhere on the Golden Coast"</f>
        <v>Somewhere on the Golden Coast</v>
      </c>
    </row>
    <row r="12998" spans="1:4" x14ac:dyDescent="0.2">
      <c r="A12998" t="str">
        <f>"12997"</f>
        <v>12997</v>
      </c>
      <c r="B12998" t="str">
        <f>"-0.18"</f>
        <v>-0.18</v>
      </c>
      <c r="C12998" t="str">
        <f>"29"</f>
        <v>29</v>
      </c>
      <c r="D12998" t="str">
        <f>"Pestilence &amp; Joy"</f>
        <v>Pestilence &amp; Joy</v>
      </c>
    </row>
    <row r="12999" spans="1:4" x14ac:dyDescent="0.2">
      <c r="A12999" t="str">
        <f>"12998"</f>
        <v>12998</v>
      </c>
      <c r="B12999" t="str">
        <f>"1.59"</f>
        <v>1.59</v>
      </c>
      <c r="C12999" t="str">
        <f>"22"</f>
        <v>22</v>
      </c>
      <c r="D12999" t="str">
        <f>"Blue Giant"</f>
        <v>Blue Giant</v>
      </c>
    </row>
    <row r="13000" spans="1:4" x14ac:dyDescent="0.2">
      <c r="A13000" t="str">
        <f>"12999"</f>
        <v>12999</v>
      </c>
      <c r="B13000" t="str">
        <f>"0.66"</f>
        <v>0.66</v>
      </c>
      <c r="C13000" t="str">
        <f>"25"</f>
        <v>25</v>
      </c>
      <c r="D13000" t="str">
        <f>"Crooks &amp; Lovers"</f>
        <v>Crooks &amp; Lovers</v>
      </c>
    </row>
    <row r="13001" spans="1:4" x14ac:dyDescent="0.2">
      <c r="A13001" t="str">
        <f>"13000"</f>
        <v>13000</v>
      </c>
      <c r="B13001" t="str">
        <f>"-0.72"</f>
        <v>-0.72</v>
      </c>
      <c r="C13001" t="str">
        <f>"35"</f>
        <v>35</v>
      </c>
      <c r="D13001" t="str">
        <f>"Welcome Home/Diggin' the Universe"</f>
        <v>Welcome Home/Diggin' the Universe</v>
      </c>
    </row>
    <row r="13002" spans="1:4" x14ac:dyDescent="0.2">
      <c r="A13002" t="str">
        <f>"13001"</f>
        <v>13001</v>
      </c>
      <c r="B13002" t="str">
        <f>"0.28"</f>
        <v>0.28</v>
      </c>
      <c r="C13002" t="str">
        <f>"56"</f>
        <v>56</v>
      </c>
      <c r="D13002" t="str">
        <f>"Record: The Best of Zero 7"</f>
        <v>Record: The Best of Zero 7</v>
      </c>
    </row>
    <row r="13003" spans="1:4" x14ac:dyDescent="0.2">
      <c r="A13003" t="str">
        <f>"13002"</f>
        <v>13002</v>
      </c>
      <c r="B13003" t="str">
        <f>"-0.57"</f>
        <v>-0.57</v>
      </c>
      <c r="C13003" t="str">
        <f>"24"</f>
        <v>24</v>
      </c>
      <c r="D13003" t="str">
        <f>"Rural Route No. 2"</f>
        <v>Rural Route No. 2</v>
      </c>
    </row>
    <row r="13004" spans="1:4" x14ac:dyDescent="0.2">
      <c r="A13004" t="str">
        <f>"13003"</f>
        <v>13003</v>
      </c>
      <c r="B13004" t="str">
        <f>"0.89"</f>
        <v>0.89</v>
      </c>
      <c r="C13004" t="str">
        <f>"14"</f>
        <v>14</v>
      </c>
      <c r="D13004" t="str">
        <f>"Contoured Heat"</f>
        <v>Contoured Heat</v>
      </c>
    </row>
    <row r="13005" spans="1:4" x14ac:dyDescent="0.2">
      <c r="A13005" t="str">
        <f>"13004"</f>
        <v>13004</v>
      </c>
      <c r="B13005" t="str">
        <f>"-0.13"</f>
        <v>-0.13</v>
      </c>
      <c r="C13005" t="str">
        <f>"26"</f>
        <v>26</v>
      </c>
      <c r="D13005" t="str">
        <f>"Archives 2003-2006"</f>
        <v>Archives 2003-2006</v>
      </c>
    </row>
    <row r="13006" spans="1:4" x14ac:dyDescent="0.2">
      <c r="A13006" t="str">
        <f>"13005"</f>
        <v>13005</v>
      </c>
      <c r="B13006" t="str">
        <f>"-0.11"</f>
        <v>-0.11</v>
      </c>
      <c r="C13006" t="str">
        <f>"27"</f>
        <v>27</v>
      </c>
      <c r="D13006" t="str">
        <f>"Twin-Hand Movement"</f>
        <v>Twin-Hand Movement</v>
      </c>
    </row>
    <row r="13007" spans="1:4" x14ac:dyDescent="0.2">
      <c r="A13007" t="str">
        <f>"13006"</f>
        <v>13006</v>
      </c>
      <c r="B13007" t="str">
        <f>"0.34"</f>
        <v>0.34</v>
      </c>
      <c r="C13007" t="str">
        <f>"30"</f>
        <v>30</v>
      </c>
      <c r="D13007" t="str">
        <f>"Beyond the Valley of Ultrahits"</f>
        <v>Beyond the Valley of Ultrahits</v>
      </c>
    </row>
    <row r="13008" spans="1:4" x14ac:dyDescent="0.2">
      <c r="A13008" t="str">
        <f>"13007"</f>
        <v>13007</v>
      </c>
      <c r="B13008" t="str">
        <f>"1.07"</f>
        <v>1.07</v>
      </c>
      <c r="C13008" t="str">
        <f>"17"</f>
        <v>17</v>
      </c>
      <c r="D13008" t="str">
        <f>"Butterfly House"</f>
        <v>Butterfly House</v>
      </c>
    </row>
    <row r="13009" spans="1:4" x14ac:dyDescent="0.2">
      <c r="A13009" t="str">
        <f>"13008"</f>
        <v>13008</v>
      </c>
      <c r="B13009" t="str">
        <f>"-0.25"</f>
        <v>-0.25</v>
      </c>
      <c r="C13009" t="str">
        <f>"20"</f>
        <v>20</v>
      </c>
      <c r="D13009" t="str">
        <f>"The Long Shadow of the Paper Tiger"</f>
        <v>The Long Shadow of the Paper Tiger</v>
      </c>
    </row>
    <row r="13010" spans="1:4" x14ac:dyDescent="0.2">
      <c r="A13010" t="str">
        <f>"13009"</f>
        <v>13009</v>
      </c>
      <c r="B13010" t="str">
        <f>"1.17"</f>
        <v>1.17</v>
      </c>
      <c r="C13010" t="str">
        <f>"21"</f>
        <v>21</v>
      </c>
      <c r="D13010" t="str">
        <f>"Lazers Never Die EP"</f>
        <v>Lazers Never Die EP</v>
      </c>
    </row>
    <row r="13011" spans="1:4" x14ac:dyDescent="0.2">
      <c r="A13011" t="str">
        <f>"13010"</f>
        <v>13010</v>
      </c>
      <c r="B13011" t="str">
        <f>"0.8"</f>
        <v>0.8</v>
      </c>
      <c r="C13011" t="str">
        <f>"29"</f>
        <v>29</v>
      </c>
      <c r="D13011" t="str">
        <f>"Infra"</f>
        <v>Infra</v>
      </c>
    </row>
    <row r="13012" spans="1:4" x14ac:dyDescent="0.2">
      <c r="A13012" t="str">
        <f>"13011"</f>
        <v>13011</v>
      </c>
      <c r="B13012" t="str">
        <f>"0.94"</f>
        <v>0.94</v>
      </c>
      <c r="C13012" t="str">
        <f>"21"</f>
        <v>21</v>
      </c>
      <c r="D13012" t="str">
        <f>"Made the Harbor"</f>
        <v>Made the Harbor</v>
      </c>
    </row>
    <row r="13013" spans="1:4" x14ac:dyDescent="0.2">
      <c r="A13013" t="str">
        <f>"13012"</f>
        <v>13012</v>
      </c>
      <c r="B13013" t="str">
        <f>"0.95"</f>
        <v>0.95</v>
      </c>
      <c r="C13013" t="str">
        <f>"19"</f>
        <v>19</v>
      </c>
      <c r="D13013" t="str">
        <f>"Interpretations: The British Rock Songbook"</f>
        <v>Interpretations: The British Rock Songbook</v>
      </c>
    </row>
    <row r="13014" spans="1:4" x14ac:dyDescent="0.2">
      <c r="A13014" t="str">
        <f>"13013"</f>
        <v>13013</v>
      </c>
      <c r="B13014" t="str">
        <f>"-1.83"</f>
        <v>-1.83</v>
      </c>
      <c r="C13014" t="str">
        <f>"28"</f>
        <v>28</v>
      </c>
      <c r="D13014" t="str">
        <f>"Art School Girls"</f>
        <v>Art School Girls</v>
      </c>
    </row>
    <row r="13015" spans="1:4" x14ac:dyDescent="0.2">
      <c r="A13015" t="str">
        <f>"13014"</f>
        <v>13014</v>
      </c>
      <c r="B13015" t="str">
        <f>"0.16"</f>
        <v>0.16</v>
      </c>
      <c r="C13015" t="str">
        <f>"42"</f>
        <v>42</v>
      </c>
      <c r="D13015" t="str">
        <f>"The Way Out"</f>
        <v>The Way Out</v>
      </c>
    </row>
    <row r="13016" spans="1:4" x14ac:dyDescent="0.2">
      <c r="A13016" t="str">
        <f>"13015"</f>
        <v>13015</v>
      </c>
      <c r="B13016" t="str">
        <f>"0.24"</f>
        <v>0.24</v>
      </c>
      <c r="C13016" t="str">
        <f>"33"</f>
        <v>33</v>
      </c>
      <c r="D13016" t="str">
        <f>"Kicking at the Perfumed Air"</f>
        <v>Kicking at the Perfumed Air</v>
      </c>
    </row>
    <row r="13017" spans="1:4" x14ac:dyDescent="0.2">
      <c r="A13017" t="str">
        <f>"13016"</f>
        <v>13016</v>
      </c>
      <c r="B13017" t="str">
        <f>"-0.25"</f>
        <v>-0.25</v>
      </c>
      <c r="C13017" t="str">
        <f>"21"</f>
        <v>21</v>
      </c>
      <c r="D13017" t="str">
        <f>"Libraries"</f>
        <v>Libraries</v>
      </c>
    </row>
    <row r="13018" spans="1:4" x14ac:dyDescent="0.2">
      <c r="A13018" t="str">
        <f>"13017"</f>
        <v>13017</v>
      </c>
      <c r="B13018" t="str">
        <f>"0.25"</f>
        <v>0.25</v>
      </c>
      <c r="C13018" t="str">
        <f>"26"</f>
        <v>26</v>
      </c>
      <c r="D13018" t="str">
        <f>"Serotonin"</f>
        <v>Serotonin</v>
      </c>
    </row>
    <row r="13019" spans="1:4" x14ac:dyDescent="0.2">
      <c r="A13019" t="str">
        <f>"13018"</f>
        <v>13018</v>
      </c>
      <c r="B13019" t="str">
        <f>"-0.63"</f>
        <v>-0.63</v>
      </c>
      <c r="C13019" t="str">
        <f>"20"</f>
        <v>20</v>
      </c>
      <c r="D13019" t="str">
        <f>"Flaws"</f>
        <v>Flaws</v>
      </c>
    </row>
    <row r="13020" spans="1:4" x14ac:dyDescent="0.2">
      <c r="A13020" t="str">
        <f>"13019"</f>
        <v>13019</v>
      </c>
      <c r="B13020" t="str">
        <f>"0.84"</f>
        <v>0.84</v>
      </c>
      <c r="C13020" t="str">
        <f>"22"</f>
        <v>22</v>
      </c>
      <c r="D13020" t="s">
        <v>399</v>
      </c>
    </row>
    <row r="13021" spans="1:4" x14ac:dyDescent="0.2">
      <c r="A13021" t="str">
        <f>"13020"</f>
        <v>13020</v>
      </c>
      <c r="B13021" t="str">
        <f>"0.06"</f>
        <v>0.06</v>
      </c>
      <c r="C13021" t="str">
        <f>"27"</f>
        <v>27</v>
      </c>
      <c r="D13021" t="str">
        <f>"Learning"</f>
        <v>Learning</v>
      </c>
    </row>
    <row r="13022" spans="1:4" x14ac:dyDescent="0.2">
      <c r="A13022" t="str">
        <f>"13021"</f>
        <v>13021</v>
      </c>
      <c r="B13022" t="str">
        <f>"-1.18"</f>
        <v>-1.18</v>
      </c>
      <c r="C13022" t="str">
        <f>"33"</f>
        <v>33</v>
      </c>
      <c r="D13022" t="str">
        <f>"Of Seismic Consequence"</f>
        <v>Of Seismic Consequence</v>
      </c>
    </row>
    <row r="13023" spans="1:4" x14ac:dyDescent="0.2">
      <c r="A13023" t="str">
        <f>"13022"</f>
        <v>13022</v>
      </c>
      <c r="B13023" t="str">
        <f>"0.08"</f>
        <v>0.08</v>
      </c>
      <c r="C13023" t="str">
        <f>"33"</f>
        <v>33</v>
      </c>
      <c r="D13023" t="str">
        <f>"Man Forever"</f>
        <v>Man Forever</v>
      </c>
    </row>
    <row r="13024" spans="1:4" x14ac:dyDescent="0.2">
      <c r="A13024" t="str">
        <f>"13023"</f>
        <v>13023</v>
      </c>
      <c r="B13024" t="str">
        <f>"0.23"</f>
        <v>0.23</v>
      </c>
      <c r="C13024" t="str">
        <f>"18"</f>
        <v>18</v>
      </c>
      <c r="D13024" t="str">
        <f>"Apparitions"</f>
        <v>Apparitions</v>
      </c>
    </row>
    <row r="13025" spans="1:4" x14ac:dyDescent="0.2">
      <c r="A13025" t="str">
        <f>"13024"</f>
        <v>13024</v>
      </c>
      <c r="B13025" t="str">
        <f>"1.35"</f>
        <v>1.35</v>
      </c>
      <c r="C13025" t="str">
        <f>"29"</f>
        <v>29</v>
      </c>
      <c r="D13025" t="str">
        <f>"Move of Ten"</f>
        <v>Move of Ten</v>
      </c>
    </row>
    <row r="13026" spans="1:4" x14ac:dyDescent="0.2">
      <c r="A13026" t="str">
        <f>"13025"</f>
        <v>13025</v>
      </c>
      <c r="B13026" t="str">
        <f>"0.84"</f>
        <v>0.84</v>
      </c>
      <c r="C13026" t="str">
        <f>"36"</f>
        <v>36</v>
      </c>
      <c r="D13026" t="str">
        <f>"Night Light"</f>
        <v>Night Light</v>
      </c>
    </row>
    <row r="13027" spans="1:4" x14ac:dyDescent="0.2">
      <c r="A13027" t="str">
        <f>"13026"</f>
        <v>13026</v>
      </c>
      <c r="B13027" t="str">
        <f>"-0.53"</f>
        <v>-0.53</v>
      </c>
      <c r="C13027" t="str">
        <f>"22"</f>
        <v>22</v>
      </c>
      <c r="D13027" t="str">
        <f>"LA Vampires Meets Zola Jesus EP"</f>
        <v>LA Vampires Meets Zola Jesus EP</v>
      </c>
    </row>
    <row r="13028" spans="1:4" x14ac:dyDescent="0.2">
      <c r="A13028" t="str">
        <f>"13027"</f>
        <v>13027</v>
      </c>
      <c r="B13028" t="str">
        <f>"0.72"</f>
        <v>0.72</v>
      </c>
      <c r="C13028" t="str">
        <f>"20"</f>
        <v>20</v>
      </c>
      <c r="D13028" t="str">
        <f>"Fabulous Diamonds II"</f>
        <v>Fabulous Diamonds II</v>
      </c>
    </row>
    <row r="13029" spans="1:4" x14ac:dyDescent="0.2">
      <c r="A13029" t="str">
        <f>"13028"</f>
        <v>13028</v>
      </c>
      <c r="B13029" t="str">
        <f>"-0.42"</f>
        <v>-0.42</v>
      </c>
      <c r="C13029" t="str">
        <f>"35"</f>
        <v>35</v>
      </c>
      <c r="D13029" t="str">
        <f>"Unheard Ofs &amp; Forgotten Abouts"</f>
        <v>Unheard Ofs &amp; Forgotten Abouts</v>
      </c>
    </row>
    <row r="13030" spans="1:4" x14ac:dyDescent="0.2">
      <c r="A13030" t="str">
        <f>"13029"</f>
        <v>13029</v>
      </c>
      <c r="B13030" t="str">
        <f>"0.36"</f>
        <v>0.36</v>
      </c>
      <c r="C13030" t="str">
        <f>"40"</f>
        <v>40</v>
      </c>
      <c r="D13030" t="str">
        <f>"Fables of the Reconstruction [Deluxe Edition]"</f>
        <v>Fables of the Reconstruction [Deluxe Edition]</v>
      </c>
    </row>
    <row r="13031" spans="1:4" x14ac:dyDescent="0.2">
      <c r="A13031" t="str">
        <f>"13030"</f>
        <v>13030</v>
      </c>
      <c r="B13031" t="str">
        <f>"0.74"</f>
        <v>0.74</v>
      </c>
      <c r="C13031" t="str">
        <f>"35"</f>
        <v>35</v>
      </c>
      <c r="D13031" t="str">
        <f>"Disconnect From Desire"</f>
        <v>Disconnect From Desire</v>
      </c>
    </row>
    <row r="13032" spans="1:4" x14ac:dyDescent="0.2">
      <c r="A13032" t="str">
        <f>"13031"</f>
        <v>13031</v>
      </c>
      <c r="B13032" t="str">
        <f>"-1.15"</f>
        <v>-1.15</v>
      </c>
      <c r="C13032" t="str">
        <f>"24"</f>
        <v>24</v>
      </c>
      <c r="D13032" t="str">
        <f>"They'll Only Miss You When You Leave: Songs 1996 - 2003"</f>
        <v>They'll Only Miss You When You Leave: Songs 1996 - 2003</v>
      </c>
    </row>
    <row r="13033" spans="1:4" x14ac:dyDescent="0.2">
      <c r="A13033" t="str">
        <f>"13032"</f>
        <v>13032</v>
      </c>
      <c r="B13033" t="str">
        <f>"-1.21"</f>
        <v>-1.21</v>
      </c>
      <c r="C13033" t="str">
        <f>"29"</f>
        <v>29</v>
      </c>
      <c r="D13033" t="str">
        <f>"Scared"</f>
        <v>Scared</v>
      </c>
    </row>
    <row r="13034" spans="1:4" x14ac:dyDescent="0.2">
      <c r="A13034" t="str">
        <f>"13033"</f>
        <v>13033</v>
      </c>
      <c r="B13034" t="str">
        <f>"1.63"</f>
        <v>1.63</v>
      </c>
      <c r="C13034" t="str">
        <f>"25"</f>
        <v>25</v>
      </c>
      <c r="D13034" t="str">
        <f>"Wildwood"</f>
        <v>Wildwood</v>
      </c>
    </row>
    <row r="13035" spans="1:4" x14ac:dyDescent="0.2">
      <c r="A13035" t="str">
        <f>"13034"</f>
        <v>13034</v>
      </c>
      <c r="B13035" t="str">
        <f>"1.81"</f>
        <v>1.81</v>
      </c>
      <c r="C13035" t="str">
        <f>"30"</f>
        <v>30</v>
      </c>
      <c r="D13035" t="str">
        <f>"Love King"</f>
        <v>Love King</v>
      </c>
    </row>
    <row r="13036" spans="1:4" x14ac:dyDescent="0.2">
      <c r="A13036" t="str">
        <f>"13035"</f>
        <v>13035</v>
      </c>
      <c r="B13036" t="str">
        <f>"-0.33"</f>
        <v>-0.33</v>
      </c>
      <c r="C13036" t="str">
        <f>"28"</f>
        <v>28</v>
      </c>
      <c r="D13036" t="str">
        <f>"Admiral Fell Promises"</f>
        <v>Admiral Fell Promises</v>
      </c>
    </row>
    <row r="13037" spans="1:4" x14ac:dyDescent="0.2">
      <c r="A13037" t="str">
        <f>"13036"</f>
        <v>13036</v>
      </c>
      <c r="B13037" t="str">
        <f>"0.02"</f>
        <v>0.02</v>
      </c>
      <c r="C13037" t="str">
        <f>"15"</f>
        <v>15</v>
      </c>
      <c r="D13037" t="str">
        <f>"Part II: The New December"</f>
        <v>Part II: The New December</v>
      </c>
    </row>
    <row r="13038" spans="1:4" x14ac:dyDescent="0.2">
      <c r="A13038" t="str">
        <f>"13037"</f>
        <v>13037</v>
      </c>
      <c r="B13038" t="str">
        <f>"-1.18"</f>
        <v>-1.18</v>
      </c>
      <c r="C13038" t="str">
        <f>"13"</f>
        <v>13</v>
      </c>
      <c r="D13038" t="str">
        <f>"New Sounds"</f>
        <v>New Sounds</v>
      </c>
    </row>
    <row r="13039" spans="1:4" x14ac:dyDescent="0.2">
      <c r="A13039" t="str">
        <f>"13038"</f>
        <v>13038</v>
      </c>
      <c r="B13039" t="str">
        <f>"-0.1"</f>
        <v>-0.1</v>
      </c>
      <c r="C13039" t="str">
        <f>"35"</f>
        <v>35</v>
      </c>
      <c r="D13039" t="str">
        <f>"Fuck Winter"</f>
        <v>Fuck Winter</v>
      </c>
    </row>
    <row r="13040" spans="1:4" x14ac:dyDescent="0.2">
      <c r="A13040" t="str">
        <f>"13039"</f>
        <v>13039</v>
      </c>
      <c r="B13040" t="str">
        <f>"-1.16"</f>
        <v>-1.16</v>
      </c>
      <c r="C13040" t="str">
        <f>"46"</f>
        <v>46</v>
      </c>
      <c r="D13040" t="str">
        <f>"/ \ / \ / \ Y / \"</f>
        <v>/ \ / \ / \ Y / \</v>
      </c>
    </row>
    <row r="13041" spans="1:4" x14ac:dyDescent="0.2">
      <c r="A13041" t="str">
        <f>"13040"</f>
        <v>13040</v>
      </c>
      <c r="B13041" t="str">
        <f>"0.43"</f>
        <v>0.43</v>
      </c>
      <c r="C13041" t="str">
        <f>"22"</f>
        <v>22</v>
      </c>
      <c r="D13041" t="str">
        <f>"Can't See My Own Face - The Eternal Love 2"</f>
        <v>Can't See My Own Face - The Eternal Love 2</v>
      </c>
    </row>
    <row r="13042" spans="1:4" x14ac:dyDescent="0.2">
      <c r="A13042" t="str">
        <f>"13041"</f>
        <v>13041</v>
      </c>
      <c r="B13042" t="str">
        <f>"-0.8"</f>
        <v>-0.8</v>
      </c>
      <c r="C13042" t="str">
        <f>"22"</f>
        <v>22</v>
      </c>
      <c r="D13042" t="str">
        <f>"Mystery Tape EP"</f>
        <v>Mystery Tape EP</v>
      </c>
    </row>
    <row r="13043" spans="1:4" x14ac:dyDescent="0.2">
      <c r="A13043" t="str">
        <f>"13042"</f>
        <v>13042</v>
      </c>
      <c r="B13043" t="str">
        <f>"0.05"</f>
        <v>0.05</v>
      </c>
      <c r="C13043" t="str">
        <f>"31"</f>
        <v>31</v>
      </c>
      <c r="D13043" t="str">
        <f>"I Mean to Live Here Still"</f>
        <v>I Mean to Live Here Still</v>
      </c>
    </row>
    <row r="13044" spans="1:4" x14ac:dyDescent="0.2">
      <c r="A13044" t="str">
        <f>"13043"</f>
        <v>13043</v>
      </c>
      <c r="B13044" t="str">
        <f>"-0.3"</f>
        <v>-0.3</v>
      </c>
      <c r="C13044" t="str">
        <f>"21"</f>
        <v>21</v>
      </c>
      <c r="D13044" t="s">
        <v>400</v>
      </c>
    </row>
    <row r="13045" spans="1:4" x14ac:dyDescent="0.2">
      <c r="A13045" t="str">
        <f>"13044"</f>
        <v>13044</v>
      </c>
      <c r="B13045" t="str">
        <f>"-0.05"</f>
        <v>-0.05</v>
      </c>
      <c r="C13045" t="str">
        <f>"27"</f>
        <v>27</v>
      </c>
      <c r="D13045" t="str">
        <f>"Cerulean"</f>
        <v>Cerulean</v>
      </c>
    </row>
    <row r="13046" spans="1:4" x14ac:dyDescent="0.2">
      <c r="A13046" t="str">
        <f>"13045"</f>
        <v>13045</v>
      </c>
      <c r="B13046" t="str">
        <f>"-0.63"</f>
        <v>-0.63</v>
      </c>
      <c r="C13046" t="str">
        <f>"27"</f>
        <v>27</v>
      </c>
      <c r="D13046" t="str">
        <f>"The Story of an Artist"</f>
        <v>The Story of an Artist</v>
      </c>
    </row>
    <row r="13047" spans="1:4" x14ac:dyDescent="0.2">
      <c r="A13047" t="str">
        <f>"13046"</f>
        <v>13046</v>
      </c>
      <c r="B13047" t="str">
        <f>"-0.15"</f>
        <v>-0.15</v>
      </c>
      <c r="C13047" t="str">
        <f>"17"</f>
        <v>17</v>
      </c>
      <c r="D13047" t="str">
        <f>"Spirituals"</f>
        <v>Spirituals</v>
      </c>
    </row>
    <row r="13048" spans="1:4" x14ac:dyDescent="0.2">
      <c r="A13048" t="str">
        <f>"13047"</f>
        <v>13047</v>
      </c>
      <c r="B13048" t="str">
        <f>"0.87"</f>
        <v>0.87</v>
      </c>
      <c r="C13048" t="str">
        <f>"21"</f>
        <v>21</v>
      </c>
      <c r="D13048" t="str">
        <f>"En Fin Tid"</f>
        <v>En Fin Tid</v>
      </c>
    </row>
    <row r="13049" spans="1:4" x14ac:dyDescent="0.2">
      <c r="A13049" t="str">
        <f>"13048"</f>
        <v>13048</v>
      </c>
      <c r="B13049" t="str">
        <f>"-0.38"</f>
        <v>-0.38</v>
      </c>
      <c r="C13049" t="str">
        <f>"31"</f>
        <v>31</v>
      </c>
      <c r="D13049" t="str">
        <f>"Palenque Palenque: Champeta Criolla &amp; Afro Roots in Colombia 1975-91"</f>
        <v>Palenque Palenque: Champeta Criolla &amp; Afro Roots in Colombia 1975-91</v>
      </c>
    </row>
    <row r="13050" spans="1:4" x14ac:dyDescent="0.2">
      <c r="A13050" t="str">
        <f>"13049"</f>
        <v>13049</v>
      </c>
      <c r="B13050" t="str">
        <f>"0.41"</f>
        <v>0.41</v>
      </c>
      <c r="C13050" t="str">
        <f>"39"</f>
        <v>39</v>
      </c>
      <c r="D13050" t="str">
        <f>"Flesh Tone"</f>
        <v>Flesh Tone</v>
      </c>
    </row>
    <row r="13051" spans="1:4" x14ac:dyDescent="0.2">
      <c r="A13051" t="str">
        <f>"13050"</f>
        <v>13050</v>
      </c>
      <c r="B13051" t="str">
        <f>"-1.07"</f>
        <v>-1.07</v>
      </c>
      <c r="C13051" t="str">
        <f>"34"</f>
        <v>34</v>
      </c>
      <c r="D13051" t="str">
        <f>"Funstyle"</f>
        <v>Funstyle</v>
      </c>
    </row>
    <row r="13052" spans="1:4" x14ac:dyDescent="0.2">
      <c r="A13052" t="str">
        <f>"13051"</f>
        <v>13051</v>
      </c>
      <c r="B13052" t="str">
        <f>"0.13"</f>
        <v>0.13</v>
      </c>
      <c r="C13052" t="str">
        <f>"30"</f>
        <v>30</v>
      </c>
      <c r="D13052" t="str">
        <f>"Treasure State"</f>
        <v>Treasure State</v>
      </c>
    </row>
    <row r="13053" spans="1:4" x14ac:dyDescent="0.2">
      <c r="A13053" t="str">
        <f>"13052"</f>
        <v>13052</v>
      </c>
      <c r="B13053" t="str">
        <f>"0.34"</f>
        <v>0.34</v>
      </c>
      <c r="C13053" t="str">
        <f>"22"</f>
        <v>22</v>
      </c>
      <c r="D13053" t="str">
        <f>"Ragged and Right"</f>
        <v>Ragged and Right</v>
      </c>
    </row>
    <row r="13054" spans="1:4" x14ac:dyDescent="0.2">
      <c r="A13054" t="str">
        <f>"13053"</f>
        <v>13053</v>
      </c>
      <c r="B13054" t="str">
        <f>"0.18"</f>
        <v>0.18</v>
      </c>
      <c r="C13054" t="str">
        <f>"24"</f>
        <v>24</v>
      </c>
      <c r="D13054" t="str">
        <f>"Privilege"</f>
        <v>Privilege</v>
      </c>
    </row>
    <row r="13055" spans="1:4" x14ac:dyDescent="0.2">
      <c r="A13055" t="str">
        <f>"13054"</f>
        <v>13054</v>
      </c>
      <c r="B13055" t="str">
        <f>"-0.63"</f>
        <v>-0.63</v>
      </c>
      <c r="C13055" t="str">
        <f>"27"</f>
        <v>27</v>
      </c>
      <c r="D13055" t="str">
        <f>"Mount Wittenberg Orca"</f>
        <v>Mount Wittenberg Orca</v>
      </c>
    </row>
    <row r="13056" spans="1:4" x14ac:dyDescent="0.2">
      <c r="A13056" t="str">
        <f>"13055"</f>
        <v>13055</v>
      </c>
      <c r="B13056" t="str">
        <f>"0.8"</f>
        <v>0.8</v>
      </c>
      <c r="C13056" t="str">
        <f>"19"</f>
        <v>19</v>
      </c>
      <c r="D13056" t="str">
        <f>"Touched EP"</f>
        <v>Touched EP</v>
      </c>
    </row>
    <row r="13057" spans="1:4" x14ac:dyDescent="0.2">
      <c r="A13057" t="str">
        <f>"13056"</f>
        <v>13056</v>
      </c>
      <c r="B13057" t="str">
        <f>"0.63"</f>
        <v>0.63</v>
      </c>
      <c r="C13057" t="str">
        <f>"16"</f>
        <v>16</v>
      </c>
      <c r="D13057" t="str">
        <f>"Chapter Ahead Being Fake EP"</f>
        <v>Chapter Ahead Being Fake EP</v>
      </c>
    </row>
    <row r="13058" spans="1:4" x14ac:dyDescent="0.2">
      <c r="A13058" t="str">
        <f>"13057"</f>
        <v>13057</v>
      </c>
      <c r="B13058" t="str">
        <f>"0.29"</f>
        <v>0.29</v>
      </c>
      <c r="C13058" t="str">
        <f>"23"</f>
        <v>23</v>
      </c>
      <c r="D13058" t="str">
        <f>"Bonjour"</f>
        <v>Bonjour</v>
      </c>
    </row>
    <row r="13059" spans="1:4" x14ac:dyDescent="0.2">
      <c r="A13059" t="str">
        <f>"13058"</f>
        <v>13058</v>
      </c>
      <c r="B13059" t="str">
        <f>"-0.48"</f>
        <v>-0.48</v>
      </c>
      <c r="C13059" t="str">
        <f>"32"</f>
        <v>32</v>
      </c>
      <c r="D13059" t="str">
        <f>"Taste the Sin"</f>
        <v>Taste the Sin</v>
      </c>
    </row>
    <row r="13060" spans="1:4" x14ac:dyDescent="0.2">
      <c r="A13060" t="str">
        <f>"13059"</f>
        <v>13059</v>
      </c>
      <c r="B13060" t="str">
        <f>"-0.06"</f>
        <v>-0.06</v>
      </c>
      <c r="C13060" t="str">
        <f>"54"</f>
        <v>54</v>
      </c>
      <c r="D13060" t="str">
        <f>"Sir Lucious Left Foot: The Son of Chico Dusty"</f>
        <v>Sir Lucious Left Foot: The Son of Chico Dusty</v>
      </c>
    </row>
    <row r="13061" spans="1:4" x14ac:dyDescent="0.2">
      <c r="A13061" t="str">
        <f>"13060"</f>
        <v>13060</v>
      </c>
      <c r="B13061" t="str">
        <f>"0.15"</f>
        <v>0.15</v>
      </c>
      <c r="C13061" t="str">
        <f>"26"</f>
        <v>26</v>
      </c>
      <c r="D13061" t="str">
        <f>"Immer 3"</f>
        <v>Immer 3</v>
      </c>
    </row>
    <row r="13062" spans="1:4" x14ac:dyDescent="0.2">
      <c r="A13062" t="str">
        <f>"13061"</f>
        <v>13061</v>
      </c>
      <c r="B13062" t="str">
        <f>"0.63"</f>
        <v>0.63</v>
      </c>
      <c r="C13062" t="str">
        <f>"25"</f>
        <v>25</v>
      </c>
      <c r="D13062" t="str">
        <f>"Reservoir Songs II EP"</f>
        <v>Reservoir Songs II EP</v>
      </c>
    </row>
    <row r="13063" spans="1:4" x14ac:dyDescent="0.2">
      <c r="A13063" t="str">
        <f>"13062"</f>
        <v>13062</v>
      </c>
      <c r="B13063" t="str">
        <f>"0.61"</f>
        <v>0.61</v>
      </c>
      <c r="C13063" t="str">
        <f>"26"</f>
        <v>26</v>
      </c>
      <c r="D13063" t="str">
        <f>"Fantision"</f>
        <v>Fantision</v>
      </c>
    </row>
    <row r="13064" spans="1:4" x14ac:dyDescent="0.2">
      <c r="A13064" t="str">
        <f>"13063"</f>
        <v>13063</v>
      </c>
      <c r="B13064" t="str">
        <f>"0.77"</f>
        <v>0.77</v>
      </c>
      <c r="C13064" t="str">
        <f>"24"</f>
        <v>24</v>
      </c>
      <c r="D13064" t="str">
        <f>"Roachy Balboa"</f>
        <v>Roachy Balboa</v>
      </c>
    </row>
    <row r="13065" spans="1:4" x14ac:dyDescent="0.2">
      <c r="A13065" t="str">
        <f>"13064"</f>
        <v>13064</v>
      </c>
      <c r="B13065" t="str">
        <f>"-0.75"</f>
        <v>-0.75</v>
      </c>
      <c r="C13065" t="str">
        <f>"29"</f>
        <v>29</v>
      </c>
      <c r="D13065" t="str">
        <f>"Fabric 52"</f>
        <v>Fabric 52</v>
      </c>
    </row>
    <row r="13066" spans="1:4" x14ac:dyDescent="0.2">
      <c r="A13066" t="str">
        <f>"13065"</f>
        <v>13065</v>
      </c>
      <c r="B13066" t="str">
        <f>"-0.07"</f>
        <v>-0.07</v>
      </c>
      <c r="C13066" t="str">
        <f>"36"</f>
        <v>36</v>
      </c>
      <c r="D13066" t="str">
        <f>"Mr. Zone 6"</f>
        <v>Mr. Zone 6</v>
      </c>
    </row>
    <row r="13067" spans="1:4" x14ac:dyDescent="0.2">
      <c r="A13067" t="str">
        <f>"13066"</f>
        <v>13066</v>
      </c>
      <c r="B13067" t="str">
        <f>"-0.28"</f>
        <v>-0.28</v>
      </c>
      <c r="C13067" t="str">
        <f>"31"</f>
        <v>31</v>
      </c>
      <c r="D13067" t="s">
        <v>401</v>
      </c>
    </row>
    <row r="13068" spans="1:4" x14ac:dyDescent="0.2">
      <c r="A13068" t="str">
        <f>"13067"</f>
        <v>13067</v>
      </c>
      <c r="B13068" t="str">
        <f>"1.05"</f>
        <v>1.05</v>
      </c>
      <c r="C13068" t="str">
        <f>"20"</f>
        <v>20</v>
      </c>
      <c r="D13068" t="str">
        <f>"O.M.G.!"</f>
        <v>O.M.G.!</v>
      </c>
    </row>
    <row r="13069" spans="1:4" x14ac:dyDescent="0.2">
      <c r="A13069" t="str">
        <f>"13068"</f>
        <v>13068</v>
      </c>
      <c r="B13069" t="str">
        <f>"-0.04"</f>
        <v>-0.04</v>
      </c>
      <c r="C13069" t="str">
        <f>"17"</f>
        <v>17</v>
      </c>
      <c r="D13069" t="str">
        <f>"Lustre"</f>
        <v>Lustre</v>
      </c>
    </row>
    <row r="13070" spans="1:4" x14ac:dyDescent="0.2">
      <c r="A13070" t="str">
        <f>"13069"</f>
        <v>13069</v>
      </c>
      <c r="B13070" t="str">
        <f>"-0.14"</f>
        <v>-0.14</v>
      </c>
      <c r="C13070" t="str">
        <f>"34"</f>
        <v>34</v>
      </c>
      <c r="D13070" t="str">
        <f>"King of the Beach"</f>
        <v>King of the Beach</v>
      </c>
    </row>
    <row r="13071" spans="1:4" x14ac:dyDescent="0.2">
      <c r="A13071" t="str">
        <f>"13070"</f>
        <v>13070</v>
      </c>
      <c r="B13071" t="str">
        <f>"-0.45"</f>
        <v>-0.45</v>
      </c>
      <c r="C13071" t="str">
        <f>"32"</f>
        <v>32</v>
      </c>
      <c r="D13071" t="str">
        <f>"Night Work"</f>
        <v>Night Work</v>
      </c>
    </row>
    <row r="13072" spans="1:4" x14ac:dyDescent="0.2">
      <c r="A13072" t="str">
        <f>"13071"</f>
        <v>13071</v>
      </c>
      <c r="B13072" t="str">
        <f>"-0.95"</f>
        <v>-0.95</v>
      </c>
      <c r="C13072" t="str">
        <f>"44"</f>
        <v>44</v>
      </c>
      <c r="D13072" t="s">
        <v>402</v>
      </c>
    </row>
    <row r="13073" spans="1:4" x14ac:dyDescent="0.2">
      <c r="A13073" t="str">
        <f>"13072"</f>
        <v>13072</v>
      </c>
      <c r="B13073" t="str">
        <f>"-0.39"</f>
        <v>-0.39</v>
      </c>
      <c r="C13073" t="str">
        <f>"33"</f>
        <v>33</v>
      </c>
      <c r="D13073" t="s">
        <v>403</v>
      </c>
    </row>
    <row r="13074" spans="1:4" x14ac:dyDescent="0.2">
      <c r="A13074" t="str">
        <f>"13073"</f>
        <v>13073</v>
      </c>
      <c r="B13074" t="str">
        <f>"0.99"</f>
        <v>0.99</v>
      </c>
      <c r="C13074" t="str">
        <f>"18"</f>
        <v>18</v>
      </c>
      <c r="D13074" t="str">
        <f>"Listen for the Clues"</f>
        <v>Listen for the Clues</v>
      </c>
    </row>
    <row r="13075" spans="1:4" x14ac:dyDescent="0.2">
      <c r="A13075" t="str">
        <f>"13074"</f>
        <v>13074</v>
      </c>
      <c r="B13075" t="str">
        <f>"0.49"</f>
        <v>0.49</v>
      </c>
      <c r="C13075" t="str">
        <f>"28"</f>
        <v>28</v>
      </c>
      <c r="D13075" t="str">
        <f>"White Magic"</f>
        <v>White Magic</v>
      </c>
    </row>
    <row r="13076" spans="1:4" x14ac:dyDescent="0.2">
      <c r="A13076" t="str">
        <f>"13075"</f>
        <v>13075</v>
      </c>
      <c r="B13076" t="str">
        <f>"0.13"</f>
        <v>0.13</v>
      </c>
      <c r="C13076" t="str">
        <f>"22"</f>
        <v>22</v>
      </c>
      <c r="D13076" t="str">
        <f>"Square Shells EP"</f>
        <v>Square Shells EP</v>
      </c>
    </row>
    <row r="13077" spans="1:4" x14ac:dyDescent="0.2">
      <c r="A13077" t="str">
        <f>"13076"</f>
        <v>13076</v>
      </c>
      <c r="B13077" t="str">
        <f>"-0.53"</f>
        <v>-0.53</v>
      </c>
      <c r="C13077" t="str">
        <f>"24"</f>
        <v>24</v>
      </c>
      <c r="D13077" t="str">
        <f>"Earth vs. the Pipettes"</f>
        <v>Earth vs. the Pipettes</v>
      </c>
    </row>
    <row r="13078" spans="1:4" x14ac:dyDescent="0.2">
      <c r="A13078" t="str">
        <f>"13077"</f>
        <v>13077</v>
      </c>
      <c r="B13078" t="str">
        <f>"0.35"</f>
        <v>0.35</v>
      </c>
      <c r="C13078" t="str">
        <f>"22"</f>
        <v>22</v>
      </c>
      <c r="D13078" t="str">
        <f>"Swung From the Branches"</f>
        <v>Swung From the Branches</v>
      </c>
    </row>
    <row r="13079" spans="1:4" x14ac:dyDescent="0.2">
      <c r="A13079" t="str">
        <f>"13078"</f>
        <v>13078</v>
      </c>
      <c r="B13079" t="str">
        <f>"-0.11"</f>
        <v>-0.11</v>
      </c>
      <c r="C13079" t="str">
        <f>"30"</f>
        <v>30</v>
      </c>
      <c r="D13079" t="str">
        <f>"Fever"</f>
        <v>Fever</v>
      </c>
    </row>
    <row r="13080" spans="1:4" x14ac:dyDescent="0.2">
      <c r="A13080" t="str">
        <f>"13079"</f>
        <v>13079</v>
      </c>
      <c r="B13080" t="str">
        <f>"0.77"</f>
        <v>0.77</v>
      </c>
      <c r="C13080" t="str">
        <f>"33"</f>
        <v>33</v>
      </c>
      <c r="D13080" t="str">
        <f>"Expo 86"</f>
        <v>Expo 86</v>
      </c>
    </row>
    <row r="13081" spans="1:4" x14ac:dyDescent="0.2">
      <c r="A13081" t="str">
        <f>"13080"</f>
        <v>13080</v>
      </c>
      <c r="B13081" t="str">
        <f>"0.32"</f>
        <v>0.32</v>
      </c>
      <c r="C13081" t="str">
        <f>"23"</f>
        <v>23</v>
      </c>
      <c r="D13081" t="str">
        <f>"Outlaster"</f>
        <v>Outlaster</v>
      </c>
    </row>
    <row r="13082" spans="1:4" x14ac:dyDescent="0.2">
      <c r="A13082" t="str">
        <f>"13081"</f>
        <v>13081</v>
      </c>
      <c r="B13082" t="str">
        <f>"-0.27"</f>
        <v>-0.27</v>
      </c>
      <c r="C13082" t="str">
        <f>"33"</f>
        <v>33</v>
      </c>
      <c r="D13082" t="str">
        <f>"Cosmology"</f>
        <v>Cosmology</v>
      </c>
    </row>
    <row r="13083" spans="1:4" x14ac:dyDescent="0.2">
      <c r="A13083" t="str">
        <f>"13082"</f>
        <v>13082</v>
      </c>
      <c r="B13083" t="str">
        <f>"-0.95"</f>
        <v>-0.95</v>
      </c>
      <c r="C13083" t="str">
        <f>"26"</f>
        <v>26</v>
      </c>
      <c r="D13083" t="str">
        <f>"Catoptric"</f>
        <v>Catoptric</v>
      </c>
    </row>
    <row r="13084" spans="1:4" x14ac:dyDescent="0.2">
      <c r="A13084" t="str">
        <f>"13083"</f>
        <v>13083</v>
      </c>
      <c r="B13084" t="str">
        <f>"1.34"</f>
        <v>1.34</v>
      </c>
      <c r="C13084" t="str">
        <f>"25"</f>
        <v>25</v>
      </c>
      <c r="D13084" t="s">
        <v>404</v>
      </c>
    </row>
    <row r="13085" spans="1:4" x14ac:dyDescent="0.2">
      <c r="A13085" t="str">
        <f>"13084"</f>
        <v>13084</v>
      </c>
      <c r="B13085" t="str">
        <f>"1.14"</f>
        <v>1.14</v>
      </c>
      <c r="C13085" t="str">
        <f>"31"</f>
        <v>31</v>
      </c>
      <c r="D13085" t="str">
        <f>"Mare"</f>
        <v>Mare</v>
      </c>
    </row>
    <row r="13086" spans="1:4" x14ac:dyDescent="0.2">
      <c r="A13086" t="str">
        <f>"13085"</f>
        <v>13085</v>
      </c>
      <c r="B13086" t="str">
        <f>"0.37"</f>
        <v>0.37</v>
      </c>
      <c r="C13086" t="str">
        <f>"22"</f>
        <v>22</v>
      </c>
      <c r="D13086" t="str">
        <f>"Peoples Potential Family Album"</f>
        <v>Peoples Potential Family Album</v>
      </c>
    </row>
    <row r="13087" spans="1:4" x14ac:dyDescent="0.2">
      <c r="A13087" t="str">
        <f>"13086"</f>
        <v>13086</v>
      </c>
      <c r="B13087" t="str">
        <f>"1.05"</f>
        <v>1.05</v>
      </c>
      <c r="C13087" t="str">
        <f>"21"</f>
        <v>21</v>
      </c>
      <c r="D13087" t="str">
        <f>"Dansette Dansette"</f>
        <v>Dansette Dansette</v>
      </c>
    </row>
    <row r="13088" spans="1:4" x14ac:dyDescent="0.2">
      <c r="A13088" t="str">
        <f>"13087"</f>
        <v>13087</v>
      </c>
      <c r="B13088" t="str">
        <f>"1.04"</f>
        <v>1.04</v>
      </c>
      <c r="C13088" t="str">
        <f>"18"</f>
        <v>18</v>
      </c>
      <c r="D13088" t="str">
        <f>"Perch Patchwork"</f>
        <v>Perch Patchwork</v>
      </c>
    </row>
    <row r="13089" spans="1:4" x14ac:dyDescent="0.2">
      <c r="A13089" t="str">
        <f>"13088"</f>
        <v>13088</v>
      </c>
      <c r="B13089" t="str">
        <f>"-0.24"</f>
        <v>-0.24</v>
      </c>
      <c r="C13089" t="str">
        <f>"20"</f>
        <v>20</v>
      </c>
      <c r="D13089" t="str">
        <f>"Ramadanman EP"</f>
        <v>Ramadanman EP</v>
      </c>
    </row>
    <row r="13090" spans="1:4" x14ac:dyDescent="0.2">
      <c r="A13090" t="str">
        <f>"13089"</f>
        <v>13089</v>
      </c>
      <c r="B13090" t="str">
        <f>"0.8"</f>
        <v>0.8</v>
      </c>
      <c r="C13090" t="str">
        <f>"45"</f>
        <v>45</v>
      </c>
      <c r="D13090" t="str">
        <f>"How I Got Over"</f>
        <v>How I Got Over</v>
      </c>
    </row>
    <row r="13091" spans="1:4" x14ac:dyDescent="0.2">
      <c r="A13091" t="str">
        <f>"13090"</f>
        <v>13090</v>
      </c>
      <c r="B13091" t="str">
        <f>"-0.47"</f>
        <v>-0.47</v>
      </c>
      <c r="C13091" t="str">
        <f>"17"</f>
        <v>17</v>
      </c>
      <c r="D13091" t="str">
        <f>"Magic Bullets"</f>
        <v>Magic Bullets</v>
      </c>
    </row>
    <row r="13092" spans="1:4" x14ac:dyDescent="0.2">
      <c r="A13092" t="str">
        <f>"13091"</f>
        <v>13091</v>
      </c>
      <c r="B13092" t="str">
        <f>"-1.23"</f>
        <v>-1.23</v>
      </c>
      <c r="C13092" t="str">
        <f>"22"</f>
        <v>22</v>
      </c>
      <c r="D13092" t="str">
        <f>"Get Him to the Greek OST"</f>
        <v>Get Him to the Greek OST</v>
      </c>
    </row>
    <row r="13093" spans="1:4" x14ac:dyDescent="0.2">
      <c r="A13093" t="str">
        <f>"13092"</f>
        <v>13092</v>
      </c>
      <c r="B13093" t="str">
        <f>"-0.31"</f>
        <v>-0.31</v>
      </c>
      <c r="C13093" t="str">
        <f>"20"</f>
        <v>20</v>
      </c>
      <c r="D13093" t="str">
        <f>"Jazeera Nights: Folk and Pop Sounds of Syria"</f>
        <v>Jazeera Nights: Folk and Pop Sounds of Syria</v>
      </c>
    </row>
    <row r="13094" spans="1:4" x14ac:dyDescent="0.2">
      <c r="A13094" t="str">
        <f>"13093"</f>
        <v>13093</v>
      </c>
      <c r="B13094" t="str">
        <f>"1.25"</f>
        <v>1.25</v>
      </c>
      <c r="C13094" t="str">
        <f>"21"</f>
        <v>21</v>
      </c>
      <c r="D13094" t="str">
        <f>"Chicago"</f>
        <v>Chicago</v>
      </c>
    </row>
    <row r="13095" spans="1:4" x14ac:dyDescent="0.2">
      <c r="A13095" t="str">
        <f>"13094"</f>
        <v>13094</v>
      </c>
      <c r="B13095" t="str">
        <f>"-0.19"</f>
        <v>-0.19</v>
      </c>
      <c r="C13095" t="str">
        <f>"19"</f>
        <v>19</v>
      </c>
      <c r="D13095" t="str">
        <f>"The Boxer"</f>
        <v>The Boxer</v>
      </c>
    </row>
    <row r="13096" spans="1:4" x14ac:dyDescent="0.2">
      <c r="A13096" t="str">
        <f>"13095"</f>
        <v>13095</v>
      </c>
      <c r="B13096" t="str">
        <f>"1.03"</f>
        <v>1.03</v>
      </c>
      <c r="C13096" t="str">
        <f>"22"</f>
        <v>22</v>
      </c>
      <c r="D13096" t="str">
        <f>"Life Magazine Remixes EP"</f>
        <v>Life Magazine Remixes EP</v>
      </c>
    </row>
    <row r="13097" spans="1:4" x14ac:dyDescent="0.2">
      <c r="A13097" t="str">
        <f>"13096"</f>
        <v>13096</v>
      </c>
      <c r="B13097" t="str">
        <f>"-0.29"</f>
        <v>-0.29</v>
      </c>
      <c r="C13097" t="str">
        <f>"18"</f>
        <v>18</v>
      </c>
      <c r="D13097" t="str">
        <f>"DJ-Kicks"</f>
        <v>DJ-Kicks</v>
      </c>
    </row>
    <row r="13098" spans="1:4" x14ac:dyDescent="0.2">
      <c r="A13098" t="str">
        <f>"13097"</f>
        <v>13097</v>
      </c>
      <c r="B13098" t="str">
        <f>"0.27"</f>
        <v>0.27</v>
      </c>
      <c r="C13098" t="str">
        <f>"21"</f>
        <v>21</v>
      </c>
      <c r="D13098" t="str">
        <f>"Dagger Paths"</f>
        <v>Dagger Paths</v>
      </c>
    </row>
    <row r="13099" spans="1:4" x14ac:dyDescent="0.2">
      <c r="A13099" t="str">
        <f>"13098"</f>
        <v>13098</v>
      </c>
      <c r="B13099" t="str">
        <f>"-1.22"</f>
        <v>-1.22</v>
      </c>
      <c r="C13099" t="str">
        <f>"22"</f>
        <v>22</v>
      </c>
      <c r="D13099" t="str">
        <f>"All Creatures Will Make Merry"</f>
        <v>All Creatures Will Make Merry</v>
      </c>
    </row>
    <row r="13100" spans="1:4" x14ac:dyDescent="0.2">
      <c r="A13100" t="str">
        <f>"13099"</f>
        <v>13099</v>
      </c>
      <c r="B13100" t="str">
        <f>"1.17"</f>
        <v>1.17</v>
      </c>
      <c r="C13100" t="str">
        <f>"21"</f>
        <v>21</v>
      </c>
      <c r="D13100" t="str">
        <f>"Disco2"</f>
        <v>Disco2</v>
      </c>
    </row>
    <row r="13101" spans="1:4" x14ac:dyDescent="0.2">
      <c r="A13101" t="str">
        <f>"13100"</f>
        <v>13100</v>
      </c>
      <c r="B13101" t="str">
        <f>"0.96"</f>
        <v>0.96</v>
      </c>
      <c r="C13101" t="str">
        <f>"51"</f>
        <v>51</v>
      </c>
      <c r="D13101" t="str">
        <f>"Time Flies"</f>
        <v>Time Flies</v>
      </c>
    </row>
    <row r="13102" spans="1:4" x14ac:dyDescent="0.2">
      <c r="A13102" t="str">
        <f>"13101"</f>
        <v>13101</v>
      </c>
      <c r="B13102" t="str">
        <f>"1.19"</f>
        <v>1.19</v>
      </c>
      <c r="C13102" t="str">
        <f>"31"</f>
        <v>31</v>
      </c>
      <c r="D13102" t="str">
        <f>"Allo Darlin'"</f>
        <v>Allo Darlin'</v>
      </c>
    </row>
    <row r="13103" spans="1:4" x14ac:dyDescent="0.2">
      <c r="A13103" t="str">
        <f>"13102"</f>
        <v>13102</v>
      </c>
      <c r="B13103" t="str">
        <f>"0.26"</f>
        <v>0.26</v>
      </c>
      <c r="C13103" t="str">
        <f>"17"</f>
        <v>17</v>
      </c>
      <c r="D13103" t="str">
        <f>"Star Tiger Star Ariel"</f>
        <v>Star Tiger Star Ariel</v>
      </c>
    </row>
    <row r="13104" spans="1:4" x14ac:dyDescent="0.2">
      <c r="A13104" t="str">
        <f>"13103"</f>
        <v>13103</v>
      </c>
      <c r="B13104" t="str">
        <f>"1.68"</f>
        <v>1.68</v>
      </c>
      <c r="C13104" t="str">
        <f>"22"</f>
        <v>22</v>
      </c>
      <c r="D13104" t="str">
        <f>"Against Love"</f>
        <v>Against Love</v>
      </c>
    </row>
    <row r="13105" spans="1:4" x14ac:dyDescent="0.2">
      <c r="A13105" t="str">
        <f>"13104"</f>
        <v>13104</v>
      </c>
      <c r="B13105" t="str">
        <f>"-0.48"</f>
        <v>-0.48</v>
      </c>
      <c r="C13105" t="str">
        <f>"21"</f>
        <v>21</v>
      </c>
      <c r="D13105" t="s">
        <v>405</v>
      </c>
    </row>
    <row r="13106" spans="1:4" x14ac:dyDescent="0.2">
      <c r="A13106" t="str">
        <f>"13105"</f>
        <v>13105</v>
      </c>
      <c r="B13106" t="str">
        <f>"0.13"</f>
        <v>0.13</v>
      </c>
      <c r="C13106" t="str">
        <f>"23"</f>
        <v>23</v>
      </c>
      <c r="D13106" t="str">
        <f>"Splazsh"</f>
        <v>Splazsh</v>
      </c>
    </row>
    <row r="13107" spans="1:4" x14ac:dyDescent="0.2">
      <c r="A13107" t="str">
        <f>"13106"</f>
        <v>13106</v>
      </c>
      <c r="B13107" t="str">
        <f>"-0.23"</f>
        <v>-0.23</v>
      </c>
      <c r="C13107" t="str">
        <f>"24"</f>
        <v>24</v>
      </c>
      <c r="D13107" t="str">
        <f>"The Threshingfloor"</f>
        <v>The Threshingfloor</v>
      </c>
    </row>
    <row r="13108" spans="1:4" x14ac:dyDescent="0.2">
      <c r="A13108" t="str">
        <f>"13107"</f>
        <v>13107</v>
      </c>
      <c r="B13108" t="str">
        <f>"0.01"</f>
        <v>0.01</v>
      </c>
      <c r="C13108" t="str">
        <f>"17"</f>
        <v>17</v>
      </c>
      <c r="D13108" t="str">
        <f>"Southern Gothic"</f>
        <v>Southern Gothic</v>
      </c>
    </row>
    <row r="13109" spans="1:4" x14ac:dyDescent="0.2">
      <c r="A13109" t="str">
        <f>"13108"</f>
        <v>13108</v>
      </c>
      <c r="B13109" t="str">
        <f>"0.27"</f>
        <v>0.27</v>
      </c>
      <c r="C13109" t="str">
        <f>"26"</f>
        <v>26</v>
      </c>
      <c r="D13109" t="str">
        <f>"Martian's Bloom"</f>
        <v>Martian's Bloom</v>
      </c>
    </row>
    <row r="13110" spans="1:4" x14ac:dyDescent="0.2">
      <c r="A13110" t="str">
        <f>"13109"</f>
        <v>13109</v>
      </c>
      <c r="B13110" t="str">
        <f>"0.45"</f>
        <v>0.45</v>
      </c>
      <c r="C13110" t="str">
        <f>"24"</f>
        <v>24</v>
      </c>
      <c r="D13110" t="str">
        <f>"The Five Ghosts"</f>
        <v>The Five Ghosts</v>
      </c>
    </row>
    <row r="13111" spans="1:4" x14ac:dyDescent="0.2">
      <c r="A13111" t="str">
        <f>"13110"</f>
        <v>13110</v>
      </c>
      <c r="B13111" t="str">
        <f>"-0.35"</f>
        <v>-0.35</v>
      </c>
      <c r="C13111" t="str">
        <f>"36"</f>
        <v>36</v>
      </c>
      <c r="D13111" t="str">
        <f>"Homeland"</f>
        <v>Homeland</v>
      </c>
    </row>
    <row r="13112" spans="1:4" x14ac:dyDescent="0.2">
      <c r="A13112" t="str">
        <f>"13111"</f>
        <v>13111</v>
      </c>
      <c r="B13112" t="str">
        <f>"-0.74"</f>
        <v>-0.74</v>
      </c>
      <c r="C13112" t="str">
        <f>"28"</f>
        <v>28</v>
      </c>
      <c r="D13112" t="str">
        <f>"About to Choke [Reissue]"</f>
        <v>About to Choke [Reissue]</v>
      </c>
    </row>
    <row r="13113" spans="1:4" x14ac:dyDescent="0.2">
      <c r="A13113" t="str">
        <f>"13112"</f>
        <v>13112</v>
      </c>
      <c r="B13113" t="str">
        <f>"0.55"</f>
        <v>0.55</v>
      </c>
      <c r="C13113" t="str">
        <f>"19"</f>
        <v>19</v>
      </c>
      <c r="D13113" t="str">
        <f>"Sinister Devices"</f>
        <v>Sinister Devices</v>
      </c>
    </row>
    <row r="13114" spans="1:4" x14ac:dyDescent="0.2">
      <c r="A13114" t="str">
        <f>"13113"</f>
        <v>13113</v>
      </c>
      <c r="B13114" t="str">
        <f>"-0.82"</f>
        <v>-0.82</v>
      </c>
      <c r="C13114" t="str">
        <f>"25"</f>
        <v>25</v>
      </c>
      <c r="D13114" t="str">
        <f>"The Offending Party"</f>
        <v>The Offending Party</v>
      </c>
    </row>
    <row r="13115" spans="1:4" x14ac:dyDescent="0.2">
      <c r="A13115" t="str">
        <f>"13114"</f>
        <v>13114</v>
      </c>
      <c r="B13115" t="str">
        <f>"-0.86"</f>
        <v>-0.86</v>
      </c>
      <c r="C13115" t="str">
        <f>"35"</f>
        <v>35</v>
      </c>
      <c r="D13115" t="str">
        <f>"Recovery"</f>
        <v>Recovery</v>
      </c>
    </row>
    <row r="13116" spans="1:4" x14ac:dyDescent="0.2">
      <c r="A13116" t="str">
        <f>"13115"</f>
        <v>13115</v>
      </c>
      <c r="B13116" t="str">
        <f>"0.43"</f>
        <v>0.43</v>
      </c>
      <c r="C13116" t="str">
        <f>"37"</f>
        <v>37</v>
      </c>
      <c r="D13116" t="str">
        <f>"Go! Common Classics"</f>
        <v>Go! Common Classics</v>
      </c>
    </row>
    <row r="13117" spans="1:4" x14ac:dyDescent="0.2">
      <c r="A13117" t="str">
        <f>"13116"</f>
        <v>13116</v>
      </c>
      <c r="B13117" t="str">
        <f>"0.73"</f>
        <v>0.73</v>
      </c>
      <c r="C13117" t="str">
        <f>"29"</f>
        <v>29</v>
      </c>
      <c r="D13117" t="str">
        <f>"Bang Goes the Knighthood"</f>
        <v>Bang Goes the Knighthood</v>
      </c>
    </row>
    <row r="13118" spans="1:4" x14ac:dyDescent="0.2">
      <c r="A13118" t="str">
        <f>"13117"</f>
        <v>13117</v>
      </c>
      <c r="B13118" t="str">
        <f>"0.21"</f>
        <v>0.21</v>
      </c>
      <c r="C13118" t="str">
        <f>"29"</f>
        <v>29</v>
      </c>
      <c r="D13118" t="str">
        <f>"Oh EP"</f>
        <v>Oh EP</v>
      </c>
    </row>
    <row r="13119" spans="1:4" x14ac:dyDescent="0.2">
      <c r="A13119" t="str">
        <f>"13118"</f>
        <v>13118</v>
      </c>
      <c r="B13119" t="str">
        <f>"0.8"</f>
        <v>0.8</v>
      </c>
      <c r="C13119" t="str">
        <f>"23"</f>
        <v>23</v>
      </c>
      <c r="D13119" t="str">
        <f>"We Are Born"</f>
        <v>We Are Born</v>
      </c>
    </row>
    <row r="13120" spans="1:4" x14ac:dyDescent="0.2">
      <c r="A13120" t="str">
        <f>"13119"</f>
        <v>13119</v>
      </c>
      <c r="B13120" t="str">
        <f>"0.44"</f>
        <v>0.44</v>
      </c>
      <c r="C13120" t="str">
        <f>"32"</f>
        <v>32</v>
      </c>
      <c r="D13120" t="str">
        <f>"Further"</f>
        <v>Further</v>
      </c>
    </row>
    <row r="13121" spans="1:4" x14ac:dyDescent="0.2">
      <c r="A13121" t="str">
        <f>"13120"</f>
        <v>13120</v>
      </c>
      <c r="B13121" t="str">
        <f>"-0.43"</f>
        <v>-0.43</v>
      </c>
      <c r="C13121" t="str">
        <f>"31"</f>
        <v>31</v>
      </c>
      <c r="D13121" t="str">
        <f>"Freiland Klaviermusik"</f>
        <v>Freiland Klaviermusik</v>
      </c>
    </row>
    <row r="13122" spans="1:4" x14ac:dyDescent="0.2">
      <c r="A13122" t="str">
        <f>"13121"</f>
        <v>13121</v>
      </c>
      <c r="B13122" t="str">
        <f>"-0.19"</f>
        <v>-0.19</v>
      </c>
      <c r="C13122" t="str">
        <f>"22"</f>
        <v>22</v>
      </c>
      <c r="D13122" t="str">
        <f>"Something For Everybody"</f>
        <v>Something For Everybody</v>
      </c>
    </row>
    <row r="13123" spans="1:4" x14ac:dyDescent="0.2">
      <c r="A13123" t="str">
        <f>"13122"</f>
        <v>13122</v>
      </c>
      <c r="B13123" t="str">
        <f>"0.02"</f>
        <v>0.02</v>
      </c>
      <c r="C13123" t="str">
        <f>"31"</f>
        <v>31</v>
      </c>
      <c r="D13123" t="str">
        <f>"El Che"</f>
        <v>El Che</v>
      </c>
    </row>
    <row r="13124" spans="1:4" x14ac:dyDescent="0.2">
      <c r="A13124" t="str">
        <f>"13123"</f>
        <v>13123</v>
      </c>
      <c r="B13124" t="str">
        <f>"-0.5"</f>
        <v>-0.5</v>
      </c>
      <c r="C13124" t="str">
        <f>"25"</f>
        <v>25</v>
      </c>
      <c r="D13124" t="str">
        <f>"Two Agents"</f>
        <v>Two Agents</v>
      </c>
    </row>
    <row r="13125" spans="1:4" x14ac:dyDescent="0.2">
      <c r="A13125" t="str">
        <f>"13124"</f>
        <v>13124</v>
      </c>
      <c r="B13125" t="str">
        <f>"0.95"</f>
        <v>0.95</v>
      </c>
      <c r="C13125" t="str">
        <f>"16"</f>
        <v>16</v>
      </c>
      <c r="D13125" t="str">
        <f>"Lazerproof"</f>
        <v>Lazerproof</v>
      </c>
    </row>
    <row r="13126" spans="1:4" x14ac:dyDescent="0.2">
      <c r="A13126" t="str">
        <f>"13125"</f>
        <v>13125</v>
      </c>
      <c r="B13126" t="str">
        <f>"0.35"</f>
        <v>0.35</v>
      </c>
      <c r="C13126" t="str">
        <f>"17"</f>
        <v>17</v>
      </c>
      <c r="D13126" t="str">
        <f>"American Slang"</f>
        <v>American Slang</v>
      </c>
    </row>
    <row r="13127" spans="1:4" x14ac:dyDescent="0.2">
      <c r="A13127" t="str">
        <f>"13126"</f>
        <v>13126</v>
      </c>
      <c r="B13127" t="str">
        <f>"0.13"</f>
        <v>0.13</v>
      </c>
      <c r="C13127" t="str">
        <f>"22"</f>
        <v>22</v>
      </c>
      <c r="D13127" t="str">
        <f>"Chasing After Shadows... Living With the Ghosts"</f>
        <v>Chasing After Shadows... Living With the Ghosts</v>
      </c>
    </row>
    <row r="13128" spans="1:4" x14ac:dyDescent="0.2">
      <c r="A13128" t="str">
        <f>"13127"</f>
        <v>13127</v>
      </c>
      <c r="B13128" t="str">
        <f>"-0.45"</f>
        <v>-0.45</v>
      </c>
      <c r="C13128" t="str">
        <f>"19"</f>
        <v>19</v>
      </c>
      <c r="D13128" t="str">
        <f>"Baby Style EP"</f>
        <v>Baby Style EP</v>
      </c>
    </row>
    <row r="13129" spans="1:4" x14ac:dyDescent="0.2">
      <c r="A13129" t="str">
        <f>"13128"</f>
        <v>13128</v>
      </c>
      <c r="B13129" t="str">
        <f>"-0.75"</f>
        <v>-0.75</v>
      </c>
      <c r="C13129" t="str">
        <f>"18"</f>
        <v>18</v>
      </c>
      <c r="D13129" t="str">
        <f>"Homemade Extacy"</f>
        <v>Homemade Extacy</v>
      </c>
    </row>
    <row r="13130" spans="1:4" x14ac:dyDescent="0.2">
      <c r="A13130" t="str">
        <f>"13129"</f>
        <v>13129</v>
      </c>
      <c r="B13130" t="str">
        <f>"0.29"</f>
        <v>0.29</v>
      </c>
      <c r="C13130" t="str">
        <f>"48"</f>
        <v>48</v>
      </c>
      <c r="D13130" t="str">
        <f>"Thank Me Later"</f>
        <v>Thank Me Later</v>
      </c>
    </row>
    <row r="13131" spans="1:4" x14ac:dyDescent="0.2">
      <c r="A13131" t="str">
        <f>"13130"</f>
        <v>13130</v>
      </c>
      <c r="B13131" t="str">
        <f>"-0.46"</f>
        <v>-0.46</v>
      </c>
      <c r="C13131" t="str">
        <f>"23"</f>
        <v>23</v>
      </c>
      <c r="D13131" t="str">
        <f>"Future Breeds"</f>
        <v>Future Breeds</v>
      </c>
    </row>
    <row r="13132" spans="1:4" x14ac:dyDescent="0.2">
      <c r="A13132" t="str">
        <f>"13131"</f>
        <v>13131</v>
      </c>
      <c r="B13132" t="str">
        <f>"0.48"</f>
        <v>0.48</v>
      </c>
      <c r="C13132" t="str">
        <f>"21"</f>
        <v>21</v>
      </c>
      <c r="D13132" t="str">
        <f>"Tacklebox"</f>
        <v>Tacklebox</v>
      </c>
    </row>
    <row r="13133" spans="1:4" x14ac:dyDescent="0.2">
      <c r="A13133" t="str">
        <f>"13132"</f>
        <v>13132</v>
      </c>
      <c r="B13133" t="str">
        <f>"1.18"</f>
        <v>1.18</v>
      </c>
      <c r="C13133" t="str">
        <f>"21"</f>
        <v>21</v>
      </c>
      <c r="D13133" t="str">
        <f>"False Lights From the Land EP"</f>
        <v>False Lights From the Land EP</v>
      </c>
    </row>
    <row r="13134" spans="1:4" x14ac:dyDescent="0.2">
      <c r="A13134" t="str">
        <f>"13133"</f>
        <v>13133</v>
      </c>
      <c r="B13134" t="str">
        <f>"-0.02"</f>
        <v>-0.02</v>
      </c>
      <c r="C13134" t="str">
        <f>"20"</f>
        <v>20</v>
      </c>
      <c r="D13134" t="str">
        <f>"Melted"</f>
        <v>Melted</v>
      </c>
    </row>
    <row r="13135" spans="1:4" x14ac:dyDescent="0.2">
      <c r="A13135" t="str">
        <f>"13134"</f>
        <v>13134</v>
      </c>
      <c r="B13135" t="str">
        <f>"0.15"</f>
        <v>0.15</v>
      </c>
      <c r="C13135" t="str">
        <f>"29"</f>
        <v>29</v>
      </c>
      <c r="D13135" t="str">
        <f>"How to Destroy Angels"</f>
        <v>How to Destroy Angels</v>
      </c>
    </row>
    <row r="13136" spans="1:4" x14ac:dyDescent="0.2">
      <c r="A13136" t="str">
        <f>"13135"</f>
        <v>13135</v>
      </c>
      <c r="B13136" t="str">
        <f>"-0.58"</f>
        <v>-0.58</v>
      </c>
      <c r="C13136" t="str">
        <f>"38"</f>
        <v>38</v>
      </c>
      <c r="D13136" t="str">
        <f>"Fuck a Mixtape"</f>
        <v>Fuck a Mixtape</v>
      </c>
    </row>
    <row r="13137" spans="1:4" x14ac:dyDescent="0.2">
      <c r="A13137" t="str">
        <f>"13136"</f>
        <v>13136</v>
      </c>
      <c r="B13137" t="str">
        <f>"0.46"</f>
        <v>0.46</v>
      </c>
      <c r="C13137" t="str">
        <f>"29"</f>
        <v>29</v>
      </c>
      <c r="D13137" t="str">
        <f>"Wild Smile"</f>
        <v>Wild Smile</v>
      </c>
    </row>
    <row r="13138" spans="1:4" x14ac:dyDescent="0.2">
      <c r="A13138" t="str">
        <f>"13137"</f>
        <v>13137</v>
      </c>
      <c r="B13138" t="str">
        <f>"1.19"</f>
        <v>1.19</v>
      </c>
      <c r="C13138" t="str">
        <f>"21"</f>
        <v>21</v>
      </c>
      <c r="D13138" t="s">
        <v>406</v>
      </c>
    </row>
    <row r="13139" spans="1:4" x14ac:dyDescent="0.2">
      <c r="A13139" t="str">
        <f>"13138"</f>
        <v>13138</v>
      </c>
      <c r="B13139" t="str">
        <f>"0.07"</f>
        <v>0.07</v>
      </c>
      <c r="C13139" t="str">
        <f>"44"</f>
        <v>44</v>
      </c>
      <c r="D13139" t="str">
        <f>"1967"</f>
        <v>1967</v>
      </c>
    </row>
    <row r="13140" spans="1:4" x14ac:dyDescent="0.2">
      <c r="A13140" t="str">
        <f>"13139"</f>
        <v>13139</v>
      </c>
      <c r="B13140" t="str">
        <f>"-0.48"</f>
        <v>-0.48</v>
      </c>
      <c r="C13140" t="str">
        <f>"40"</f>
        <v>40</v>
      </c>
      <c r="D13140" t="str">
        <f>"Returnal"</f>
        <v>Returnal</v>
      </c>
    </row>
    <row r="13141" spans="1:4" x14ac:dyDescent="0.2">
      <c r="A13141" t="str">
        <f>"13140"</f>
        <v>13140</v>
      </c>
      <c r="B13141" t="str">
        <f>"-0.06"</f>
        <v>-0.06</v>
      </c>
      <c r="C13141" t="str">
        <f>"41"</f>
        <v>41</v>
      </c>
      <c r="D13141" t="str">
        <f>"Champ"</f>
        <v>Champ</v>
      </c>
    </row>
    <row r="13142" spans="1:4" x14ac:dyDescent="0.2">
      <c r="A13142" t="str">
        <f>"13141"</f>
        <v>13141</v>
      </c>
      <c r="B13142" t="str">
        <f>"-0.55"</f>
        <v>-0.55</v>
      </c>
      <c r="C13142" t="str">
        <f>"25"</f>
        <v>25</v>
      </c>
      <c r="D13142" t="str">
        <f>"Becoming a Jackal"</f>
        <v>Becoming a Jackal</v>
      </c>
    </row>
    <row r="13143" spans="1:4" x14ac:dyDescent="0.2">
      <c r="A13143" t="str">
        <f>"13142"</f>
        <v>13142</v>
      </c>
      <c r="B13143" t="str">
        <f>"1.05"</f>
        <v>1.05</v>
      </c>
      <c r="C13143" t="str">
        <f>"24"</f>
        <v>24</v>
      </c>
      <c r="D13143" t="str">
        <f>"Walls"</f>
        <v>Walls</v>
      </c>
    </row>
    <row r="13144" spans="1:4" x14ac:dyDescent="0.2">
      <c r="A13144" t="str">
        <f>"13143"</f>
        <v>13143</v>
      </c>
      <c r="B13144" t="str">
        <f>"0.98"</f>
        <v>0.98</v>
      </c>
      <c r="C13144" t="str">
        <f>"20"</f>
        <v>20</v>
      </c>
      <c r="D13144" t="str">
        <f>"My Neighbor/My Creator"</f>
        <v>My Neighbor/My Creator</v>
      </c>
    </row>
    <row r="13145" spans="1:4" x14ac:dyDescent="0.2">
      <c r="A13145" t="str">
        <f>"13144"</f>
        <v>13144</v>
      </c>
      <c r="B13145" t="str">
        <f>"-0.04"</f>
        <v>-0.04</v>
      </c>
      <c r="C13145" t="str">
        <f>"58"</f>
        <v>58</v>
      </c>
      <c r="D13145" t="str">
        <f>"Disintegration [Deluxe Edition]"</f>
        <v>Disintegration [Deluxe Edition]</v>
      </c>
    </row>
    <row r="13146" spans="1:4" x14ac:dyDescent="0.2">
      <c r="A13146" t="str">
        <f>"13145"</f>
        <v>13145</v>
      </c>
      <c r="B13146" t="str">
        <f>"0.33"</f>
        <v>0.33</v>
      </c>
      <c r="C13146" t="str">
        <f>"18"</f>
        <v>18</v>
      </c>
      <c r="D13146" t="str">
        <f>"Rope and Summit EP"</f>
        <v>Rope and Summit EP</v>
      </c>
    </row>
    <row r="13147" spans="1:4" x14ac:dyDescent="0.2">
      <c r="A13147" t="str">
        <f>"13146"</f>
        <v>13146</v>
      </c>
      <c r="B13147" t="str">
        <f>"-0.03"</f>
        <v>-0.03</v>
      </c>
      <c r="C13147" t="str">
        <f>"23"</f>
        <v>23</v>
      </c>
      <c r="D13147" t="str">
        <f>"Assume Crash Position"</f>
        <v>Assume Crash Position</v>
      </c>
    </row>
    <row r="13148" spans="1:4" x14ac:dyDescent="0.2">
      <c r="A13148" t="str">
        <f>"13147"</f>
        <v>13147</v>
      </c>
      <c r="B13148" t="str">
        <f>"-0.05"</f>
        <v>-0.05</v>
      </c>
      <c r="C13148" t="str">
        <f>"28"</f>
        <v>28</v>
      </c>
      <c r="D13148" t="str">
        <f>"Broken Hearts &amp; Dirty Windows: Songs of John Prine"</f>
        <v>Broken Hearts &amp; Dirty Windows: Songs of John Prine</v>
      </c>
    </row>
    <row r="13149" spans="1:4" x14ac:dyDescent="0.2">
      <c r="A13149" t="str">
        <f>"13148"</f>
        <v>13148</v>
      </c>
      <c r="B13149" t="str">
        <f>"-0.04"</f>
        <v>-0.04</v>
      </c>
      <c r="C13149" t="str">
        <f>"21"</f>
        <v>21</v>
      </c>
      <c r="D13149" t="str">
        <f>"...And They Have Escaped the Weight of Darkness"</f>
        <v>...And They Have Escaped the Weight of Darkness</v>
      </c>
    </row>
    <row r="13150" spans="1:4" x14ac:dyDescent="0.2">
      <c r="A13150" t="str">
        <f>"13149"</f>
        <v>13149</v>
      </c>
      <c r="B13150" t="str">
        <f>"0.13"</f>
        <v>0.13</v>
      </c>
      <c r="C13150" t="str">
        <f>"26"</f>
        <v>26</v>
      </c>
      <c r="D13150" t="str">
        <f>"Does It Look Like I'm Here?"</f>
        <v>Does It Look Like I'm Here?</v>
      </c>
    </row>
    <row r="13151" spans="1:4" x14ac:dyDescent="0.2">
      <c r="A13151" t="str">
        <f>"13150"</f>
        <v>13150</v>
      </c>
      <c r="B13151" t="str">
        <f>"0.18"</f>
        <v>0.18</v>
      </c>
      <c r="C13151" t="str">
        <f>"52"</f>
        <v>52</v>
      </c>
      <c r="D13151" t="str">
        <f>"The Shape of Punk to Come: A Chimerical Bombination in 12 Bursts [Deluxe Edition]"</f>
        <v>The Shape of Punk to Come: A Chimerical Bombination in 12 Bursts [Deluxe Edition]</v>
      </c>
    </row>
    <row r="13152" spans="1:4" x14ac:dyDescent="0.2">
      <c r="A13152" t="str">
        <f>"13151"</f>
        <v>13151</v>
      </c>
      <c r="B13152" t="str">
        <f>"1.18"</f>
        <v>1.18</v>
      </c>
      <c r="C13152" t="str">
        <f>"28"</f>
        <v>28</v>
      </c>
      <c r="D13152" t="s">
        <v>407</v>
      </c>
    </row>
    <row r="13153" spans="1:4" x14ac:dyDescent="0.2">
      <c r="A13153" t="str">
        <f>"13152"</f>
        <v>13152</v>
      </c>
      <c r="B13153" t="str">
        <f>"0.95"</f>
        <v>0.95</v>
      </c>
      <c r="C13153" t="str">
        <f>"28"</f>
        <v>28</v>
      </c>
      <c r="D13153" t="str">
        <f>"Topp Stemning På Lokal Bar"</f>
        <v>Topp Stemning På Lokal Bar</v>
      </c>
    </row>
    <row r="13154" spans="1:4" x14ac:dyDescent="0.2">
      <c r="A13154" t="str">
        <f>"13153"</f>
        <v>13153</v>
      </c>
      <c r="B13154" t="str">
        <f>"-0.29"</f>
        <v>-0.29</v>
      </c>
      <c r="C13154" t="str">
        <f>"23"</f>
        <v>23</v>
      </c>
      <c r="D13154" t="str">
        <f>"Living"</f>
        <v>Living</v>
      </c>
    </row>
    <row r="13155" spans="1:4" x14ac:dyDescent="0.2">
      <c r="A13155" t="str">
        <f>"13154"</f>
        <v>13154</v>
      </c>
      <c r="B13155" t="str">
        <f>"-0.46"</f>
        <v>-0.46</v>
      </c>
      <c r="C13155" t="str">
        <f>"20"</f>
        <v>20</v>
      </c>
      <c r="D13155" t="str">
        <f>"LP4"</f>
        <v>LP4</v>
      </c>
    </row>
    <row r="13156" spans="1:4" x14ac:dyDescent="0.2">
      <c r="A13156" t="str">
        <f>"13155"</f>
        <v>13155</v>
      </c>
      <c r="B13156" t="str">
        <f>"-0.41"</f>
        <v>-0.41</v>
      </c>
      <c r="C13156" t="str">
        <f>"19"</f>
        <v>19</v>
      </c>
      <c r="D13156" t="str">
        <f>"The Drums"</f>
        <v>The Drums</v>
      </c>
    </row>
    <row r="13157" spans="1:4" x14ac:dyDescent="0.2">
      <c r="A13157" t="str">
        <f>"13156"</f>
        <v>13156</v>
      </c>
      <c r="B13157" t="str">
        <f>"0.14"</f>
        <v>0.14</v>
      </c>
      <c r="C13157" t="str">
        <f>"26"</f>
        <v>26</v>
      </c>
      <c r="D13157" t="str">
        <f>"Into the Great Wide Yonder"</f>
        <v>Into the Great Wide Yonder</v>
      </c>
    </row>
    <row r="13158" spans="1:4" x14ac:dyDescent="0.2">
      <c r="A13158" t="str">
        <f>"13157"</f>
        <v>13157</v>
      </c>
      <c r="B13158" t="str">
        <f>"-0.54"</f>
        <v>-0.54</v>
      </c>
      <c r="C13158" t="str">
        <f>"17"</f>
        <v>17</v>
      </c>
      <c r="D13158" t="str">
        <f>"The Jayhawks"</f>
        <v>The Jayhawks</v>
      </c>
    </row>
    <row r="13159" spans="1:4" x14ac:dyDescent="0.2">
      <c r="A13159" t="str">
        <f>"13158"</f>
        <v>13158</v>
      </c>
      <c r="B13159" t="str">
        <f>"-0.53"</f>
        <v>-0.53</v>
      </c>
      <c r="C13159" t="str">
        <f>"20"</f>
        <v>20</v>
      </c>
      <c r="D13159" t="str">
        <f>"A Memory Is Better Than Nothing"</f>
        <v>A Memory Is Better Than Nothing</v>
      </c>
    </row>
    <row r="13160" spans="1:4" x14ac:dyDescent="0.2">
      <c r="A13160" t="str">
        <f>"13159"</f>
        <v>13159</v>
      </c>
      <c r="B13160" t="str">
        <f>"0.98"</f>
        <v>0.98</v>
      </c>
      <c r="C13160" t="str">
        <f>"48"</f>
        <v>48</v>
      </c>
      <c r="D13160" t="str">
        <f>"Before Today"</f>
        <v>Before Today</v>
      </c>
    </row>
    <row r="13161" spans="1:4" x14ac:dyDescent="0.2">
      <c r="A13161" t="str">
        <f>"13160"</f>
        <v>13160</v>
      </c>
      <c r="B13161" t="str">
        <f>"0.1"</f>
        <v>0.1</v>
      </c>
      <c r="C13161" t="str">
        <f>"20"</f>
        <v>20</v>
      </c>
      <c r="D13161" t="str">
        <f>"Pigeons"</f>
        <v>Pigeons</v>
      </c>
    </row>
    <row r="13162" spans="1:4" x14ac:dyDescent="0.2">
      <c r="A13162" t="str">
        <f>"13161"</f>
        <v>13161</v>
      </c>
      <c r="B13162" t="str">
        <f>"1.3"</f>
        <v>1.3</v>
      </c>
      <c r="C13162" t="str">
        <f>"27"</f>
        <v>27</v>
      </c>
      <c r="D13162" t="str">
        <f>"Eccentric Breaks and Beats"</f>
        <v>Eccentric Breaks and Beats</v>
      </c>
    </row>
    <row r="13163" spans="1:4" x14ac:dyDescent="0.2">
      <c r="A13163" t="str">
        <f>"13162"</f>
        <v>13162</v>
      </c>
      <c r="B13163" t="str">
        <f>"-0.45"</f>
        <v>-0.45</v>
      </c>
      <c r="C13163" t="str">
        <f>"16"</f>
        <v>16</v>
      </c>
      <c r="D13163" t="str">
        <f>"Year of Panic"</f>
        <v>Year of Panic</v>
      </c>
    </row>
    <row r="13164" spans="1:4" x14ac:dyDescent="0.2">
      <c r="A13164" t="str">
        <f>"13163"</f>
        <v>13163</v>
      </c>
      <c r="B13164" t="str">
        <f>"1.22"</f>
        <v>1.22</v>
      </c>
      <c r="C13164" t="str">
        <f>"22"</f>
        <v>22</v>
      </c>
      <c r="D13164" t="str">
        <f>"Heavy Ghost Appendices"</f>
        <v>Heavy Ghost Appendices</v>
      </c>
    </row>
    <row r="13165" spans="1:4" x14ac:dyDescent="0.2">
      <c r="A13165" t="str">
        <f>"13164"</f>
        <v>13164</v>
      </c>
      <c r="B13165" t="str">
        <f>"0.06"</f>
        <v>0.06</v>
      </c>
      <c r="C13165" t="str">
        <f>"18"</f>
        <v>18</v>
      </c>
      <c r="D13165" t="str">
        <f>"Destroyer of the Void"</f>
        <v>Destroyer of the Void</v>
      </c>
    </row>
    <row r="13166" spans="1:4" x14ac:dyDescent="0.2">
      <c r="A13166" t="str">
        <f>"13165"</f>
        <v>13165</v>
      </c>
      <c r="B13166" t="str">
        <f>"1"</f>
        <v>1</v>
      </c>
      <c r="C13166" t="str">
        <f>"70"</f>
        <v>70</v>
      </c>
      <c r="D13166" t="str">
        <f>"Tiger Bay"</f>
        <v>Tiger Bay</v>
      </c>
    </row>
    <row r="13167" spans="1:4" x14ac:dyDescent="0.2">
      <c r="A13167" t="str">
        <f>"13166"</f>
        <v>13166</v>
      </c>
      <c r="B13167" t="str">
        <f>"0.26"</f>
        <v>0.26</v>
      </c>
      <c r="C13167" t="str">
        <f>"31"</f>
        <v>31</v>
      </c>
      <c r="D13167" t="str">
        <f>"Dirty South Dance 2"</f>
        <v>Dirty South Dance 2</v>
      </c>
    </row>
    <row r="13168" spans="1:4" x14ac:dyDescent="0.2">
      <c r="A13168" t="str">
        <f>"13167"</f>
        <v>13167</v>
      </c>
      <c r="B13168" t="str">
        <f>"-0.73"</f>
        <v>-0.73</v>
      </c>
      <c r="C13168" t="str">
        <f>"16"</f>
        <v>16</v>
      </c>
      <c r="D13168" t="str">
        <f>"The Bride Screamed Murder"</f>
        <v>The Bride Screamed Murder</v>
      </c>
    </row>
    <row r="13169" spans="1:4" x14ac:dyDescent="0.2">
      <c r="A13169" t="str">
        <f>"13168"</f>
        <v>13168</v>
      </c>
      <c r="B13169" t="str">
        <f>"-0.45"</f>
        <v>-0.45</v>
      </c>
      <c r="C13169" t="str">
        <f>"21"</f>
        <v>21</v>
      </c>
      <c r="D13169" t="str">
        <f>"The Black Dirt Sessions"</f>
        <v>The Black Dirt Sessions</v>
      </c>
    </row>
    <row r="13170" spans="1:4" x14ac:dyDescent="0.2">
      <c r="A13170" t="str">
        <f>"13169"</f>
        <v>13169</v>
      </c>
      <c r="B13170" t="str">
        <f>"0.65"</f>
        <v>0.65</v>
      </c>
      <c r="C13170" t="str">
        <f>"18"</f>
        <v>18</v>
      </c>
      <c r="D13170" t="str">
        <f>"Gemini"</f>
        <v>Gemini</v>
      </c>
    </row>
    <row r="13171" spans="1:4" x14ac:dyDescent="0.2">
      <c r="A13171" t="str">
        <f>"13170"</f>
        <v>13170</v>
      </c>
      <c r="B13171" t="str">
        <f>"0.54"</f>
        <v>0.54</v>
      </c>
      <c r="C13171" t="str">
        <f>"26"</f>
        <v>26</v>
      </c>
      <c r="D13171" t="str">
        <f>"Shadows"</f>
        <v>Shadows</v>
      </c>
    </row>
    <row r="13172" spans="1:4" x14ac:dyDescent="0.2">
      <c r="A13172" t="str">
        <f>"13171"</f>
        <v>13171</v>
      </c>
      <c r="B13172" t="str">
        <f>"0.13"</f>
        <v>0.13</v>
      </c>
      <c r="C13172" t="str">
        <f>"33"</f>
        <v>33</v>
      </c>
      <c r="D13172" t="str">
        <f>"Callin' All"</f>
        <v>Callin' All</v>
      </c>
    </row>
    <row r="13173" spans="1:4" x14ac:dyDescent="0.2">
      <c r="A13173" t="str">
        <f>"13172"</f>
        <v>13172</v>
      </c>
      <c r="B13173" t="str">
        <f>"0.35"</f>
        <v>0.35</v>
      </c>
      <c r="C13173" t="str">
        <f>"21"</f>
        <v>21</v>
      </c>
      <c r="D13173" t="str">
        <f>"The Champ Is Here 3"</f>
        <v>The Champ Is Here 3</v>
      </c>
    </row>
    <row r="13174" spans="1:4" x14ac:dyDescent="0.2">
      <c r="A13174" t="str">
        <f>"13173"</f>
        <v>13173</v>
      </c>
      <c r="B13174" t="str">
        <f>"-0.11"</f>
        <v>-0.11</v>
      </c>
      <c r="C13174" t="str">
        <f>"15"</f>
        <v>15</v>
      </c>
      <c r="D13174" t="str">
        <f>"See You on the Moon"</f>
        <v>See You on the Moon</v>
      </c>
    </row>
    <row r="13175" spans="1:4" x14ac:dyDescent="0.2">
      <c r="A13175" t="str">
        <f>"13174"</f>
        <v>13174</v>
      </c>
      <c r="B13175" t="str">
        <f>"0.12"</f>
        <v>0.12</v>
      </c>
      <c r="C13175" t="str">
        <f>"34"</f>
        <v>34</v>
      </c>
      <c r="D13175" t="str">
        <f>"Anidea"</f>
        <v>Anidea</v>
      </c>
    </row>
    <row r="13176" spans="1:4" x14ac:dyDescent="0.2">
      <c r="A13176" t="str">
        <f>"13175"</f>
        <v>13175</v>
      </c>
      <c r="B13176" t="str">
        <f>"-0.54"</f>
        <v>-0.54</v>
      </c>
      <c r="C13176" t="str">
        <f>"21"</f>
        <v>21</v>
      </c>
      <c r="D13176" t="str">
        <f>"Long Distance"</f>
        <v>Long Distance</v>
      </c>
    </row>
    <row r="13177" spans="1:4" x14ac:dyDescent="0.2">
      <c r="A13177" t="str">
        <f>"13176"</f>
        <v>13176</v>
      </c>
      <c r="B13177" t="str">
        <f>"0.17"</f>
        <v>0.17</v>
      </c>
      <c r="C13177" t="str">
        <f>"26"</f>
        <v>26</v>
      </c>
      <c r="D13177" t="str">
        <f>"Be Yourself: A Tribute to Graham Nash's Songs for Beginners"</f>
        <v>Be Yourself: A Tribute to Graham Nash's Songs for Beginners</v>
      </c>
    </row>
    <row r="13178" spans="1:4" x14ac:dyDescent="0.2">
      <c r="A13178" t="str">
        <f>"13177"</f>
        <v>13177</v>
      </c>
      <c r="B13178" t="str">
        <f>"-0.38"</f>
        <v>-0.38</v>
      </c>
      <c r="C13178" t="str">
        <f>"29"</f>
        <v>29</v>
      </c>
      <c r="D13178" t="str">
        <f>"Suite #420"</f>
        <v>Suite #420</v>
      </c>
    </row>
    <row r="13179" spans="1:4" x14ac:dyDescent="0.2">
      <c r="A13179" t="str">
        <f>"13178"</f>
        <v>13178</v>
      </c>
      <c r="B13179" t="str">
        <f>"-0.68"</f>
        <v>-0.68</v>
      </c>
      <c r="C13179" t="str">
        <f>"39"</f>
        <v>39</v>
      </c>
      <c r="D13179" t="str">
        <f>"Trash Kit"</f>
        <v>Trash Kit</v>
      </c>
    </row>
    <row r="13180" spans="1:4" x14ac:dyDescent="0.2">
      <c r="A13180" t="str">
        <f>"13179"</f>
        <v>13179</v>
      </c>
      <c r="B13180" t="str">
        <f>"0.26"</f>
        <v>0.26</v>
      </c>
      <c r="C13180" t="str">
        <f>"54"</f>
        <v>54</v>
      </c>
      <c r="D13180" t="str">
        <f>"Body Talk Pt. 1"</f>
        <v>Body Talk Pt. 1</v>
      </c>
    </row>
    <row r="13181" spans="1:4" x14ac:dyDescent="0.2">
      <c r="A13181" t="str">
        <f>"13180"</f>
        <v>13180</v>
      </c>
      <c r="B13181" t="str">
        <f>"-0.57"</f>
        <v>-0.57</v>
      </c>
      <c r="C13181" t="str">
        <f>"25"</f>
        <v>25</v>
      </c>
      <c r="D13181" t="str">
        <f>"Say It"</f>
        <v>Say It</v>
      </c>
    </row>
    <row r="13182" spans="1:4" x14ac:dyDescent="0.2">
      <c r="A13182" t="str">
        <f>"13181"</f>
        <v>13181</v>
      </c>
      <c r="B13182" t="str">
        <f>"0.4"</f>
        <v>0.4</v>
      </c>
      <c r="C13182" t="str">
        <f>"28"</f>
        <v>28</v>
      </c>
      <c r="D13182" t="str">
        <f>"Curtis Lane EP"</f>
        <v>Curtis Lane EP</v>
      </c>
    </row>
    <row r="13183" spans="1:4" x14ac:dyDescent="0.2">
      <c r="A13183" t="str">
        <f>"13182"</f>
        <v>13182</v>
      </c>
      <c r="B13183" t="str">
        <f>"-1.44"</f>
        <v>-1.44</v>
      </c>
      <c r="C13183" t="str">
        <f>"19"</f>
        <v>19</v>
      </c>
      <c r="D13183" t="str">
        <f>"Me Oh My"</f>
        <v>Me Oh My</v>
      </c>
    </row>
    <row r="13184" spans="1:4" x14ac:dyDescent="0.2">
      <c r="A13184" t="str">
        <f>"13183"</f>
        <v>13183</v>
      </c>
      <c r="B13184" t="str">
        <f>"1.28"</f>
        <v>1.28</v>
      </c>
      <c r="C13184" t="str">
        <f>"28"</f>
        <v>28</v>
      </c>
      <c r="D13184" t="str">
        <f>"Dominant Curve"</f>
        <v>Dominant Curve</v>
      </c>
    </row>
    <row r="13185" spans="1:4" x14ac:dyDescent="0.2">
      <c r="A13185" t="str">
        <f>"13184"</f>
        <v>13184</v>
      </c>
      <c r="B13185" t="str">
        <f>"0.45"</f>
        <v>0.45</v>
      </c>
      <c r="C13185" t="str">
        <f>"22"</f>
        <v>22</v>
      </c>
      <c r="D13185" t="str">
        <f>"Innerspeaker"</f>
        <v>Innerspeaker</v>
      </c>
    </row>
    <row r="13186" spans="1:4" x14ac:dyDescent="0.2">
      <c r="A13186" t="str">
        <f>"13185"</f>
        <v>13185</v>
      </c>
      <c r="B13186" t="str">
        <f>"-0.73"</f>
        <v>-0.73</v>
      </c>
      <c r="C13186" t="str">
        <f>"26"</f>
        <v>26</v>
      </c>
      <c r="D13186" t="str">
        <f>"Trap or Die II"</f>
        <v>Trap or Die II</v>
      </c>
    </row>
    <row r="13187" spans="1:4" x14ac:dyDescent="0.2">
      <c r="A13187" t="str">
        <f>"13186"</f>
        <v>13186</v>
      </c>
      <c r="B13187" t="str">
        <f>"0.87"</f>
        <v>0.87</v>
      </c>
      <c r="C13187" t="str">
        <f>"29"</f>
        <v>29</v>
      </c>
      <c r="D13187" t="str">
        <f>"Deathbed +4 EP"</f>
        <v>Deathbed +4 EP</v>
      </c>
    </row>
    <row r="13188" spans="1:4" x14ac:dyDescent="0.2">
      <c r="A13188" t="str">
        <f>"13187"</f>
        <v>13187</v>
      </c>
      <c r="B13188" t="str">
        <f>"-1.55"</f>
        <v>-1.55</v>
      </c>
      <c r="C13188" t="str">
        <f>"21"</f>
        <v>21</v>
      </c>
      <c r="D13188" t="str">
        <f>"Heaps of Nothing"</f>
        <v>Heaps of Nothing</v>
      </c>
    </row>
    <row r="13189" spans="1:4" x14ac:dyDescent="0.2">
      <c r="A13189" t="str">
        <f>"13188"</f>
        <v>13188</v>
      </c>
      <c r="B13189" t="str">
        <f>"1.5"</f>
        <v>1.5</v>
      </c>
      <c r="C13189" t="str">
        <f>"21"</f>
        <v>21</v>
      </c>
      <c r="D13189" t="str">
        <f>"Vespers"</f>
        <v>Vespers</v>
      </c>
    </row>
    <row r="13190" spans="1:4" x14ac:dyDescent="0.2">
      <c r="A13190" t="str">
        <f>"13189"</f>
        <v>13189</v>
      </c>
      <c r="B13190" t="str">
        <f>"-1.4"</f>
        <v>-1.4</v>
      </c>
      <c r="C13190" t="str">
        <f>"38"</f>
        <v>38</v>
      </c>
      <c r="D13190" t="str">
        <f>"Bigger and Blackerer"</f>
        <v>Bigger and Blackerer</v>
      </c>
    </row>
    <row r="13191" spans="1:4" x14ac:dyDescent="0.2">
      <c r="A13191" t="str">
        <f>"13190"</f>
        <v>13190</v>
      </c>
      <c r="B13191" t="str">
        <f>"0.48"</f>
        <v>0.48</v>
      </c>
      <c r="C13191" t="str">
        <f>"27"</f>
        <v>27</v>
      </c>
      <c r="D13191" t="str">
        <f>"The Ghost Who Walks"</f>
        <v>The Ghost Who Walks</v>
      </c>
    </row>
    <row r="13192" spans="1:4" x14ac:dyDescent="0.2">
      <c r="A13192" t="str">
        <f>"13191"</f>
        <v>13191</v>
      </c>
      <c r="B13192" t="str">
        <f>"0.87"</f>
        <v>0.87</v>
      </c>
      <c r="C13192" t="str">
        <f>"25"</f>
        <v>25</v>
      </c>
      <c r="D13192" t="str">
        <f>"K.R.I.T. Wuz Here"</f>
        <v>K.R.I.T. Wuz Here</v>
      </c>
    </row>
    <row r="13193" spans="1:4" x14ac:dyDescent="0.2">
      <c r="A13193" t="str">
        <f>"13192"</f>
        <v>13192</v>
      </c>
      <c r="B13193" t="str">
        <f>"1.21"</f>
        <v>1.21</v>
      </c>
      <c r="C13193" t="str">
        <f>"11"</f>
        <v>11</v>
      </c>
      <c r="D13193" t="str">
        <f>"Well Done Europe"</f>
        <v>Well Done Europe</v>
      </c>
    </row>
    <row r="13194" spans="1:4" x14ac:dyDescent="0.2">
      <c r="A13194" t="str">
        <f>"13193"</f>
        <v>13193</v>
      </c>
      <c r="B13194" t="str">
        <f>"1.18"</f>
        <v>1.18</v>
      </c>
      <c r="C13194" t="str">
        <f>"25"</f>
        <v>25</v>
      </c>
      <c r="D13194" t="str">
        <f>"Peter Wolf Crier"</f>
        <v>Peter Wolf Crier</v>
      </c>
    </row>
    <row r="13195" spans="1:4" x14ac:dyDescent="0.2">
      <c r="A13195" t="str">
        <f>"13194"</f>
        <v>13194</v>
      </c>
      <c r="B13195" t="str">
        <f>"-1.13"</f>
        <v>-1.13</v>
      </c>
      <c r="C13195" t="str">
        <f>"27"</f>
        <v>27</v>
      </c>
      <c r="D13195" t="str">
        <f>"Of Light"</f>
        <v>Of Light</v>
      </c>
    </row>
    <row r="13196" spans="1:4" x14ac:dyDescent="0.2">
      <c r="A13196" t="str">
        <f>"13195"</f>
        <v>13195</v>
      </c>
      <c r="B13196" t="str">
        <f>"1.59"</f>
        <v>1.59</v>
      </c>
      <c r="C13196" t="str">
        <f>"25"</f>
        <v>25</v>
      </c>
      <c r="D13196" t="str">
        <f>"Love and Its Opposite"</f>
        <v>Love and Its Opposite</v>
      </c>
    </row>
    <row r="13197" spans="1:4" x14ac:dyDescent="0.2">
      <c r="A13197" t="str">
        <f>"13196"</f>
        <v>13196</v>
      </c>
      <c r="B13197" t="str">
        <f>"0.87"</f>
        <v>0.87</v>
      </c>
      <c r="C13197" t="str">
        <f>"22"</f>
        <v>22</v>
      </c>
      <c r="D13197" t="str">
        <f>"Saint Bartlett"</f>
        <v>Saint Bartlett</v>
      </c>
    </row>
    <row r="13198" spans="1:4" x14ac:dyDescent="0.2">
      <c r="A13198" t="str">
        <f>"13197"</f>
        <v>13197</v>
      </c>
      <c r="B13198" t="str">
        <f>"-0.59"</f>
        <v>-0.59</v>
      </c>
      <c r="C13198" t="str">
        <f>"20"</f>
        <v>20</v>
      </c>
      <c r="D13198" t="str">
        <f>"Three Kings"</f>
        <v>Three Kings</v>
      </c>
    </row>
    <row r="13199" spans="1:4" x14ac:dyDescent="0.2">
      <c r="A13199" t="str">
        <f>"13198"</f>
        <v>13198</v>
      </c>
      <c r="B13199" t="str">
        <f>"0.15"</f>
        <v>0.15</v>
      </c>
      <c r="C13199" t="str">
        <f>"26"</f>
        <v>26</v>
      </c>
      <c r="D13199" t="str">
        <f>"A Thousand Voices EP"</f>
        <v>A Thousand Voices EP</v>
      </c>
    </row>
    <row r="13200" spans="1:4" x14ac:dyDescent="0.2">
      <c r="A13200" t="str">
        <f>"13199"</f>
        <v>13199</v>
      </c>
      <c r="B13200" t="str">
        <f>"0.57"</f>
        <v>0.57</v>
      </c>
      <c r="C13200" t="str">
        <f>"22"</f>
        <v>22</v>
      </c>
      <c r="D13200" t="str">
        <f>"Revolutions Per Minute"</f>
        <v>Revolutions Per Minute</v>
      </c>
    </row>
    <row r="13201" spans="1:4" x14ac:dyDescent="0.2">
      <c r="A13201" t="str">
        <f>"13200"</f>
        <v>13200</v>
      </c>
      <c r="B13201" t="str">
        <f>"-0.97"</f>
        <v>-0.97</v>
      </c>
      <c r="C13201" t="str">
        <f>"22"</f>
        <v>22</v>
      </c>
      <c r="D13201" t="str">
        <f>"Maniac Meat"</f>
        <v>Maniac Meat</v>
      </c>
    </row>
    <row r="13202" spans="1:4" x14ac:dyDescent="0.2">
      <c r="A13202" t="str">
        <f>"13201"</f>
        <v>13201</v>
      </c>
      <c r="B13202" t="str">
        <f>"0.1"</f>
        <v>0.1</v>
      </c>
      <c r="C13202" t="str">
        <f>"19"</f>
        <v>19</v>
      </c>
      <c r="D13202" t="str">
        <f>"The Samps EP"</f>
        <v>The Samps EP</v>
      </c>
    </row>
    <row r="13203" spans="1:4" x14ac:dyDescent="0.2">
      <c r="A13203" t="str">
        <f>"13202"</f>
        <v>13202</v>
      </c>
      <c r="B13203" t="str">
        <f>"0.8"</f>
        <v>0.8</v>
      </c>
      <c r="C13203" t="str">
        <f>"22"</f>
        <v>22</v>
      </c>
      <c r="D13203" t="str">
        <f>"Holy Ground: NYC Live with the Wordless Music Orchestra"</f>
        <v>Holy Ground: NYC Live with the Wordless Music Orchestra</v>
      </c>
    </row>
    <row r="13204" spans="1:4" x14ac:dyDescent="0.2">
      <c r="A13204" t="str">
        <f>"13203"</f>
        <v>13203</v>
      </c>
      <c r="B13204" t="str">
        <f>"-0.92"</f>
        <v>-0.92</v>
      </c>
      <c r="C13204" t="str">
        <f>"22"</f>
        <v>22</v>
      </c>
      <c r="D13204" t="str">
        <f>"Burners"</f>
        <v>Burners</v>
      </c>
    </row>
    <row r="13205" spans="1:4" x14ac:dyDescent="0.2">
      <c r="A13205" t="str">
        <f>"13204"</f>
        <v>13204</v>
      </c>
      <c r="B13205" t="str">
        <f>"0.3"</f>
        <v>0.3</v>
      </c>
      <c r="C13205" t="str">
        <f>"40"</f>
        <v>40</v>
      </c>
      <c r="D13205" t="str">
        <f>"CMYK EP"</f>
        <v>CMYK EP</v>
      </c>
    </row>
    <row r="13206" spans="1:4" x14ac:dyDescent="0.2">
      <c r="A13206" t="str">
        <f>"13205"</f>
        <v>13205</v>
      </c>
      <c r="B13206" t="str">
        <f>"-0.06"</f>
        <v>-0.06</v>
      </c>
      <c r="C13206" t="str">
        <f>"19"</f>
        <v>19</v>
      </c>
      <c r="D13206" t="str">
        <f>"Beach Fossils"</f>
        <v>Beach Fossils</v>
      </c>
    </row>
    <row r="13207" spans="1:4" x14ac:dyDescent="0.2">
      <c r="A13207" t="str">
        <f>"13206"</f>
        <v>13206</v>
      </c>
      <c r="B13207" t="str">
        <f>"0.19"</f>
        <v>0.19</v>
      </c>
      <c r="C13207" t="str">
        <f>"25"</f>
        <v>25</v>
      </c>
      <c r="D13207" t="str">
        <f>"DJ-Kicks"</f>
        <v>DJ-Kicks</v>
      </c>
    </row>
    <row r="13208" spans="1:4" x14ac:dyDescent="0.2">
      <c r="A13208" t="str">
        <f>"13207"</f>
        <v>13207</v>
      </c>
      <c r="B13208" t="str">
        <f>"0.06"</f>
        <v>0.06</v>
      </c>
      <c r="C13208" t="str">
        <f>"22"</f>
        <v>22</v>
      </c>
      <c r="D13208" t="str">
        <f>"Splash"</f>
        <v>Splash</v>
      </c>
    </row>
    <row r="13209" spans="1:4" x14ac:dyDescent="0.2">
      <c r="A13209" t="str">
        <f>"13208"</f>
        <v>13208</v>
      </c>
      <c r="B13209" t="str">
        <f>"0.79"</f>
        <v>0.79</v>
      </c>
      <c r="C13209" t="str">
        <f>"24"</f>
        <v>24</v>
      </c>
      <c r="D13209" t="str">
        <f>"Spirit Youth"</f>
        <v>Spirit Youth</v>
      </c>
    </row>
    <row r="13210" spans="1:4" x14ac:dyDescent="0.2">
      <c r="A13210" t="str">
        <f>"13209"</f>
        <v>13209</v>
      </c>
      <c r="B13210" t="str">
        <f>"-0.06"</f>
        <v>-0.06</v>
      </c>
      <c r="C13210" t="str">
        <f>"23"</f>
        <v>23</v>
      </c>
      <c r="D13210" t="str">
        <f>"Compass"</f>
        <v>Compass</v>
      </c>
    </row>
    <row r="13211" spans="1:4" x14ac:dyDescent="0.2">
      <c r="A13211" t="str">
        <f>"13210"</f>
        <v>13210</v>
      </c>
      <c r="B13211" t="str">
        <f>"0.08"</f>
        <v>0.08</v>
      </c>
      <c r="C13211" t="str">
        <f>"38"</f>
        <v>38</v>
      </c>
      <c r="D13211" t="str">
        <f>"Distant Relatives"</f>
        <v>Distant Relatives</v>
      </c>
    </row>
    <row r="13212" spans="1:4" x14ac:dyDescent="0.2">
      <c r="A13212" t="str">
        <f>"13211"</f>
        <v>13211</v>
      </c>
      <c r="B13212" t="str">
        <f>"-1.01"</f>
        <v>-1.01</v>
      </c>
      <c r="C13212" t="str">
        <f>"30"</f>
        <v>30</v>
      </c>
      <c r="D13212" t="str">
        <f>"Now I Got Worry"</f>
        <v>Now I Got Worry</v>
      </c>
    </row>
    <row r="13213" spans="1:4" x14ac:dyDescent="0.2">
      <c r="A13213" t="str">
        <f>"13212"</f>
        <v>13212</v>
      </c>
      <c r="B13213" t="str">
        <f>"0.51"</f>
        <v>0.51</v>
      </c>
      <c r="C13213" t="str">
        <f>"29"</f>
        <v>29</v>
      </c>
      <c r="D13213" t="str">
        <f>"Dust"</f>
        <v>Dust</v>
      </c>
    </row>
    <row r="13214" spans="1:4" x14ac:dyDescent="0.2">
      <c r="A13214" t="str">
        <f>"13213"</f>
        <v>13213</v>
      </c>
      <c r="B13214" t="str">
        <f>"0.13"</f>
        <v>0.13</v>
      </c>
      <c r="C13214" t="str">
        <f>"18"</f>
        <v>18</v>
      </c>
      <c r="D13214" t="str">
        <f>"Subject to Shift"</f>
        <v>Subject to Shift</v>
      </c>
    </row>
    <row r="13215" spans="1:4" x14ac:dyDescent="0.2">
      <c r="A13215" t="str">
        <f>"13214"</f>
        <v>13214</v>
      </c>
      <c r="B13215" t="str">
        <f>"1.57"</f>
        <v>1.57</v>
      </c>
      <c r="C13215" t="str">
        <f>"39"</f>
        <v>39</v>
      </c>
      <c r="D13215" t="str">
        <f>"The ArchAndroid"</f>
        <v>The ArchAndroid</v>
      </c>
    </row>
    <row r="13216" spans="1:4" x14ac:dyDescent="0.2">
      <c r="A13216" t="str">
        <f>"13215"</f>
        <v>13215</v>
      </c>
      <c r="B13216" t="str">
        <f>"0.28"</f>
        <v>0.28</v>
      </c>
      <c r="C13216" t="str">
        <f>"24"</f>
        <v>24</v>
      </c>
      <c r="D13216" t="str">
        <f>"Total Life Forever"</f>
        <v>Total Life Forever</v>
      </c>
    </row>
    <row r="13217" spans="1:4" x14ac:dyDescent="0.2">
      <c r="A13217" t="str">
        <f>"13216"</f>
        <v>13216</v>
      </c>
      <c r="B13217" t="str">
        <f>"-0.44"</f>
        <v>-0.44</v>
      </c>
      <c r="C13217" t="str">
        <f>"29"</f>
        <v>29</v>
      </c>
      <c r="D13217" t="str">
        <f>"Dopeman Music"</f>
        <v>Dopeman Music</v>
      </c>
    </row>
    <row r="13218" spans="1:4" x14ac:dyDescent="0.2">
      <c r="A13218" t="str">
        <f>"13217"</f>
        <v>13217</v>
      </c>
      <c r="B13218" t="str">
        <f>"-1.03"</f>
        <v>-1.03</v>
      </c>
      <c r="C13218" t="str">
        <f>"29"</f>
        <v>29</v>
      </c>
      <c r="D13218" t="str">
        <f>"Eyes &amp; Nines"</f>
        <v>Eyes &amp; Nines</v>
      </c>
    </row>
    <row r="13219" spans="1:4" x14ac:dyDescent="0.2">
      <c r="A13219" t="str">
        <f>"13218"</f>
        <v>13218</v>
      </c>
      <c r="B13219" t="str">
        <f>"0.18"</f>
        <v>0.18</v>
      </c>
      <c r="C13219" t="str">
        <f>"16"</f>
        <v>16</v>
      </c>
      <c r="D13219" t="str">
        <f>"Kitsuné Maison 9"</f>
        <v>Kitsuné Maison 9</v>
      </c>
    </row>
    <row r="13220" spans="1:4" x14ac:dyDescent="0.2">
      <c r="A13220" t="str">
        <f>"13219"</f>
        <v>13219</v>
      </c>
      <c r="B13220" t="str">
        <f>"0.04"</f>
        <v>0.04</v>
      </c>
      <c r="C13220" t="str">
        <f>"29"</f>
        <v>29</v>
      </c>
      <c r="D13220" t="str">
        <f>"Exile on Main St. [Deluxe Edition]"</f>
        <v>Exile on Main St. [Deluxe Edition]</v>
      </c>
    </row>
    <row r="13221" spans="1:4" x14ac:dyDescent="0.2">
      <c r="A13221" t="str">
        <f>"13220"</f>
        <v>13220</v>
      </c>
      <c r="B13221" t="str">
        <f>"0"</f>
        <v>0</v>
      </c>
      <c r="C13221" t="str">
        <f>"21"</f>
        <v>21</v>
      </c>
      <c r="D13221" t="str">
        <f>"Brothers"</f>
        <v>Brothers</v>
      </c>
    </row>
    <row r="13222" spans="1:4" x14ac:dyDescent="0.2">
      <c r="A13222" t="str">
        <f>"13221"</f>
        <v>13221</v>
      </c>
      <c r="B13222" t="str">
        <f>"-0.34"</f>
        <v>-0.34</v>
      </c>
      <c r="C13222" t="str">
        <f>"21"</f>
        <v>21</v>
      </c>
      <c r="D13222" t="str">
        <f>"OJ Simpson"</f>
        <v>OJ Simpson</v>
      </c>
    </row>
    <row r="13223" spans="1:4" x14ac:dyDescent="0.2">
      <c r="A13223" t="str">
        <f>"13222"</f>
        <v>13222</v>
      </c>
      <c r="B13223" t="str">
        <f>"0.93"</f>
        <v>0.93</v>
      </c>
      <c r="C13223" t="str">
        <f>"33"</f>
        <v>33</v>
      </c>
      <c r="D13223" t="str">
        <f>"Say God"</f>
        <v>Say God</v>
      </c>
    </row>
    <row r="13224" spans="1:4" x14ac:dyDescent="0.2">
      <c r="A13224" t="str">
        <f>"13223"</f>
        <v>13223</v>
      </c>
      <c r="B13224" t="str">
        <f>"0.35"</f>
        <v>0.35</v>
      </c>
      <c r="C13224" t="str">
        <f>"16"</f>
        <v>16</v>
      </c>
      <c r="D13224" t="str">
        <f>"Pure Moods EP"</f>
        <v>Pure Moods EP</v>
      </c>
    </row>
    <row r="13225" spans="1:4" x14ac:dyDescent="0.2">
      <c r="A13225" t="str">
        <f>"13224"</f>
        <v>13224</v>
      </c>
      <c r="B13225" t="str">
        <f>"0.5"</f>
        <v>0.5</v>
      </c>
      <c r="C13225" t="str">
        <f>"36"</f>
        <v>36</v>
      </c>
      <c r="D13225" t="str">
        <f>"Infinite Arms"</f>
        <v>Infinite Arms</v>
      </c>
    </row>
    <row r="13226" spans="1:4" x14ac:dyDescent="0.2">
      <c r="A13226" t="str">
        <f>"13225"</f>
        <v>13225</v>
      </c>
      <c r="B13226" t="str">
        <f>"0.48"</f>
        <v>0.48</v>
      </c>
      <c r="C13226" t="str">
        <f>"30"</f>
        <v>30</v>
      </c>
      <c r="D13226" t="str">
        <f>"False Flag"</f>
        <v>False Flag</v>
      </c>
    </row>
    <row r="13227" spans="1:4" x14ac:dyDescent="0.2">
      <c r="A13227" t="str">
        <f>"13226"</f>
        <v>13226</v>
      </c>
      <c r="B13227" t="str">
        <f>"0.25"</f>
        <v>0.25</v>
      </c>
      <c r="C13227" t="str">
        <f>"12"</f>
        <v>12</v>
      </c>
      <c r="D13227" t="str">
        <f>"Rhizomes"</f>
        <v>Rhizomes</v>
      </c>
    </row>
    <row r="13228" spans="1:4" x14ac:dyDescent="0.2">
      <c r="A13228" t="str">
        <f>"13227"</f>
        <v>13227</v>
      </c>
      <c r="B13228" t="str">
        <f>"0.06"</f>
        <v>0.06</v>
      </c>
      <c r="C13228" t="str">
        <f>"21"</f>
        <v>21</v>
      </c>
      <c r="D13228" t="str">
        <f>"In and Out and Back Again"</f>
        <v>In and Out and Back Again</v>
      </c>
    </row>
    <row r="13229" spans="1:4" x14ac:dyDescent="0.2">
      <c r="A13229" t="str">
        <f>"13228"</f>
        <v>13228</v>
      </c>
      <c r="B13229" t="str">
        <f>"-2.28"</f>
        <v>-2.28</v>
      </c>
      <c r="C13229" t="str">
        <f>"14"</f>
        <v>14</v>
      </c>
      <c r="D13229" t="str">
        <f>"Seedbed"</f>
        <v>Seedbed</v>
      </c>
    </row>
    <row r="13230" spans="1:4" x14ac:dyDescent="0.2">
      <c r="A13230" t="str">
        <f>"13229"</f>
        <v>13229</v>
      </c>
      <c r="B13230" t="str">
        <f>"0.79"</f>
        <v>0.79</v>
      </c>
      <c r="C13230" t="str">
        <f>"19"</f>
        <v>19</v>
      </c>
      <c r="D13230" t="str">
        <f>"Alt Er Tabt"</f>
        <v>Alt Er Tabt</v>
      </c>
    </row>
    <row r="13231" spans="1:4" x14ac:dyDescent="0.2">
      <c r="A13231" t="str">
        <f>"13230"</f>
        <v>13230</v>
      </c>
      <c r="B13231" t="str">
        <f>"0.2"</f>
        <v>0.2</v>
      </c>
      <c r="C13231" t="str">
        <f>"42"</f>
        <v>42</v>
      </c>
      <c r="D13231" t="str">
        <f>"This Is Happening"</f>
        <v>This Is Happening</v>
      </c>
    </row>
    <row r="13232" spans="1:4" x14ac:dyDescent="0.2">
      <c r="A13232" t="str">
        <f>"13231"</f>
        <v>13231</v>
      </c>
      <c r="B13232" t="str">
        <f>"0.1"</f>
        <v>0.1</v>
      </c>
      <c r="C13232" t="str">
        <f>"22"</f>
        <v>22</v>
      </c>
      <c r="D13232" t="str">
        <f>"A Small Turn of Human Kindness"</f>
        <v>A Small Turn of Human Kindness</v>
      </c>
    </row>
    <row r="13233" spans="1:4" x14ac:dyDescent="0.2">
      <c r="A13233" t="str">
        <f>"13232"</f>
        <v>13232</v>
      </c>
      <c r="B13233" t="str">
        <f>"0.72"</f>
        <v>0.72</v>
      </c>
      <c r="C13233" t="str">
        <f>"25"</f>
        <v>25</v>
      </c>
      <c r="D13233" t="str">
        <f>"The People's Record"</f>
        <v>The People's Record</v>
      </c>
    </row>
    <row r="13234" spans="1:4" x14ac:dyDescent="0.2">
      <c r="A13234" t="str">
        <f>"13233"</f>
        <v>13233</v>
      </c>
      <c r="B13234" t="str">
        <f>"0.1"</f>
        <v>0.1</v>
      </c>
      <c r="C13234" t="str">
        <f>"22"</f>
        <v>22</v>
      </c>
      <c r="D13234" t="str">
        <f>"Opal Island"</f>
        <v>Opal Island</v>
      </c>
    </row>
    <row r="13235" spans="1:4" x14ac:dyDescent="0.2">
      <c r="A13235" t="str">
        <f>"13234"</f>
        <v>13234</v>
      </c>
      <c r="B13235" t="str">
        <f>"0"</f>
        <v>0</v>
      </c>
      <c r="C13235" t="str">
        <f>"17"</f>
        <v>17</v>
      </c>
      <c r="D13235" t="str">
        <f>"Wounded Lion"</f>
        <v>Wounded Lion</v>
      </c>
    </row>
    <row r="13236" spans="1:4" x14ac:dyDescent="0.2">
      <c r="A13236" t="str">
        <f>"13235"</f>
        <v>13235</v>
      </c>
      <c r="B13236" t="str">
        <f>"0"</f>
        <v>0</v>
      </c>
      <c r="C13236" t="str">
        <f>"47"</f>
        <v>47</v>
      </c>
      <c r="D13236" t="str">
        <f>"Treats"</f>
        <v>Treats</v>
      </c>
    </row>
    <row r="13237" spans="1:4" x14ac:dyDescent="0.2">
      <c r="A13237" t="str">
        <f>"13236"</f>
        <v>13236</v>
      </c>
      <c r="B13237" t="str">
        <f>"-0.15"</f>
        <v>-0.15</v>
      </c>
      <c r="C13237" t="str">
        <f>"12"</f>
        <v>12</v>
      </c>
      <c r="D13237" t="str">
        <f>"Latin"</f>
        <v>Latin</v>
      </c>
    </row>
    <row r="13238" spans="1:4" x14ac:dyDescent="0.2">
      <c r="A13238" t="str">
        <f>"13237"</f>
        <v>13237</v>
      </c>
      <c r="B13238" t="str">
        <f>"0.01"</f>
        <v>0.01</v>
      </c>
      <c r="C13238" t="str">
        <f>"19"</f>
        <v>19</v>
      </c>
      <c r="D13238" t="str">
        <f>"Blackjazz"</f>
        <v>Blackjazz</v>
      </c>
    </row>
    <row r="13239" spans="1:4" x14ac:dyDescent="0.2">
      <c r="A13239" t="str">
        <f>"13238"</f>
        <v>13238</v>
      </c>
      <c r="B13239" t="str">
        <f>"-0.47"</f>
        <v>-0.47</v>
      </c>
      <c r="C13239" t="str">
        <f>"16"</f>
        <v>16</v>
      </c>
      <c r="D13239" t="str">
        <f>"New Slaves"</f>
        <v>New Slaves</v>
      </c>
    </row>
    <row r="13240" spans="1:4" x14ac:dyDescent="0.2">
      <c r="A13240" t="str">
        <f>"13239"</f>
        <v>13239</v>
      </c>
      <c r="B13240" t="str">
        <f>"-0.27"</f>
        <v>-0.27</v>
      </c>
      <c r="C13240" t="str">
        <f>"21"</f>
        <v>21</v>
      </c>
      <c r="D13240" t="str">
        <f>"Night Train EP"</f>
        <v>Night Train EP</v>
      </c>
    </row>
    <row r="13241" spans="1:4" x14ac:dyDescent="0.2">
      <c r="A13241" t="str">
        <f>"13240"</f>
        <v>13240</v>
      </c>
      <c r="B13241" t="str">
        <f>"0.35"</f>
        <v>0.35</v>
      </c>
      <c r="C13241" t="str">
        <f>"23"</f>
        <v>23</v>
      </c>
      <c r="D13241" t="str">
        <f>"Nothing Hurts"</f>
        <v>Nothing Hurts</v>
      </c>
    </row>
    <row r="13242" spans="1:4" x14ac:dyDescent="0.2">
      <c r="A13242" t="str">
        <f>"13241"</f>
        <v>13241</v>
      </c>
      <c r="B13242" t="str">
        <f>"0.13"</f>
        <v>0.13</v>
      </c>
      <c r="C13242" t="str">
        <f>"21"</f>
        <v>21</v>
      </c>
      <c r="D13242" t="str">
        <f>"No Singles"</f>
        <v>No Singles</v>
      </c>
    </row>
    <row r="13243" spans="1:4" x14ac:dyDescent="0.2">
      <c r="A13243" t="str">
        <f>"13242"</f>
        <v>13242</v>
      </c>
      <c r="B13243" t="str">
        <f>"-0.83"</f>
        <v>-0.83</v>
      </c>
      <c r="C13243" t="str">
        <f>"46"</f>
        <v>46</v>
      </c>
      <c r="D13243" t="str">
        <f>"The Adventures of Bobby Ray"</f>
        <v>The Adventures of Bobby Ray</v>
      </c>
    </row>
    <row r="13244" spans="1:4" x14ac:dyDescent="0.2">
      <c r="A13244" t="str">
        <f>"13243"</f>
        <v>13243</v>
      </c>
      <c r="B13244" t="str">
        <f>"0.27"</f>
        <v>0.27</v>
      </c>
      <c r="C13244" t="str">
        <f>"27"</f>
        <v>27</v>
      </c>
      <c r="D13244" t="str">
        <f>"Warm Slime"</f>
        <v>Warm Slime</v>
      </c>
    </row>
    <row r="13245" spans="1:4" x14ac:dyDescent="0.2">
      <c r="A13245" t="str">
        <f>"13244"</f>
        <v>13244</v>
      </c>
      <c r="B13245" t="str">
        <f>"-0.4"</f>
        <v>-0.4</v>
      </c>
      <c r="C13245" t="str">
        <f>"25"</f>
        <v>25</v>
      </c>
      <c r="D13245" t="str">
        <f>"Fabric 51"</f>
        <v>Fabric 51</v>
      </c>
    </row>
    <row r="13246" spans="1:4" x14ac:dyDescent="0.2">
      <c r="A13246" t="str">
        <f>"13245"</f>
        <v>13245</v>
      </c>
      <c r="B13246" t="str">
        <f>"-0.07"</f>
        <v>-0.07</v>
      </c>
      <c r="C13246" t="str">
        <f>"23"</f>
        <v>23</v>
      </c>
      <c r="D13246" t="str">
        <f>"Grey Oceans"</f>
        <v>Grey Oceans</v>
      </c>
    </row>
    <row r="13247" spans="1:4" x14ac:dyDescent="0.2">
      <c r="A13247" t="str">
        <f>"13246"</f>
        <v>13246</v>
      </c>
      <c r="B13247" t="str">
        <f>"0.34"</f>
        <v>0.34</v>
      </c>
      <c r="C13247" t="str">
        <f>"18"</f>
        <v>18</v>
      </c>
      <c r="D13247" t="str">
        <f>"Here's to Taking It Easy"</f>
        <v>Here's to Taking It Easy</v>
      </c>
    </row>
    <row r="13248" spans="1:4" x14ac:dyDescent="0.2">
      <c r="A13248" t="str">
        <f>"13247"</f>
        <v>13247</v>
      </c>
      <c r="B13248" t="str">
        <f>"-0.07"</f>
        <v>-0.07</v>
      </c>
      <c r="C13248" t="str">
        <f>"21"</f>
        <v>21</v>
      </c>
      <c r="D13248" t="str">
        <f>"Feast of the Hunter's Moon"</f>
        <v>Feast of the Hunter's Moon</v>
      </c>
    </row>
    <row r="13249" spans="1:4" x14ac:dyDescent="0.2">
      <c r="A13249" t="str">
        <f>"13248"</f>
        <v>13248</v>
      </c>
      <c r="B13249" t="str">
        <f>"0.52"</f>
        <v>0.52</v>
      </c>
      <c r="C13249" t="str">
        <f>"21"</f>
        <v>21</v>
      </c>
      <c r="D13249" t="str">
        <f>"Totaled"</f>
        <v>Totaled</v>
      </c>
    </row>
    <row r="13250" spans="1:4" x14ac:dyDescent="0.2">
      <c r="A13250" t="str">
        <f>"13249"</f>
        <v>13249</v>
      </c>
      <c r="B13250" t="str">
        <f>"0.18"</f>
        <v>0.18</v>
      </c>
      <c r="C13250" t="str">
        <f>"26"</f>
        <v>26</v>
      </c>
      <c r="D13250" t="str">
        <f>"The Bells"</f>
        <v>The Bells</v>
      </c>
    </row>
    <row r="13251" spans="1:4" x14ac:dyDescent="0.2">
      <c r="A13251" t="str">
        <f>"13250"</f>
        <v>13250</v>
      </c>
      <c r="B13251" t="str">
        <f>"-1.05"</f>
        <v>-1.05</v>
      </c>
      <c r="C13251" t="str">
        <f>"24"</f>
        <v>24</v>
      </c>
      <c r="D13251" t="str">
        <f>"Sea of Cowards"</f>
        <v>Sea of Cowards</v>
      </c>
    </row>
    <row r="13252" spans="1:4" x14ac:dyDescent="0.2">
      <c r="A13252" t="str">
        <f>"13251"</f>
        <v>13251</v>
      </c>
      <c r="B13252" t="str">
        <f>"-0.22"</f>
        <v>-0.22</v>
      </c>
      <c r="C13252" t="str">
        <f>"33"</f>
        <v>33</v>
      </c>
      <c r="D13252" t="str">
        <f>"Li(f)e"</f>
        <v>Li(f)e</v>
      </c>
    </row>
    <row r="13253" spans="1:4" x14ac:dyDescent="0.2">
      <c r="A13253" t="str">
        <f>"13252"</f>
        <v>13252</v>
      </c>
      <c r="B13253" t="str">
        <f>"-0.72"</f>
        <v>-0.72</v>
      </c>
      <c r="C13253" t="str">
        <f>"17"</f>
        <v>17</v>
      </c>
      <c r="D13253" t="str">
        <f>"Boys Outside"</f>
        <v>Boys Outside</v>
      </c>
    </row>
    <row r="13254" spans="1:4" x14ac:dyDescent="0.2">
      <c r="A13254" t="str">
        <f>"13253"</f>
        <v>13253</v>
      </c>
      <c r="B13254" t="str">
        <f>"0.1"</f>
        <v>0.1</v>
      </c>
      <c r="C13254" t="str">
        <f>"26"</f>
        <v>26</v>
      </c>
      <c r="D13254" t="str">
        <f>"Dettmann"</f>
        <v>Dettmann</v>
      </c>
    </row>
    <row r="13255" spans="1:4" x14ac:dyDescent="0.2">
      <c r="A13255" t="str">
        <f>"13254"</f>
        <v>13254</v>
      </c>
      <c r="B13255" t="str">
        <f>"-0.25"</f>
        <v>-0.25</v>
      </c>
      <c r="C13255" t="str">
        <f>"21"</f>
        <v>21</v>
      </c>
      <c r="D13255" t="str">
        <f>"At Echo Lake"</f>
        <v>At Echo Lake</v>
      </c>
    </row>
    <row r="13256" spans="1:4" x14ac:dyDescent="0.2">
      <c r="A13256" t="str">
        <f>"13255"</f>
        <v>13255</v>
      </c>
      <c r="B13256" t="str">
        <f>"0.83"</f>
        <v>0.83</v>
      </c>
      <c r="C13256" t="str">
        <f>"17"</f>
        <v>17</v>
      </c>
      <c r="D13256" t="str">
        <f>"Where Did the Night Fall"</f>
        <v>Where Did the Night Fall</v>
      </c>
    </row>
    <row r="13257" spans="1:4" x14ac:dyDescent="0.2">
      <c r="A13257" t="str">
        <f>"13256"</f>
        <v>13256</v>
      </c>
      <c r="B13257" t="str">
        <f>"-0.02"</f>
        <v>-0.02</v>
      </c>
      <c r="C13257" t="str">
        <f>"24"</f>
        <v>24</v>
      </c>
      <c r="D13257" t="str">
        <f>"Wake Up the Nation"</f>
        <v>Wake Up the Nation</v>
      </c>
    </row>
    <row r="13258" spans="1:4" x14ac:dyDescent="0.2">
      <c r="A13258" t="str">
        <f>"13257"</f>
        <v>13257</v>
      </c>
      <c r="B13258" t="str">
        <f>"0.23"</f>
        <v>0.23</v>
      </c>
      <c r="C13258" t="str">
        <f>"21"</f>
        <v>21</v>
      </c>
      <c r="D13258" t="str">
        <f>"Deep Tissue"</f>
        <v>Deep Tissue</v>
      </c>
    </row>
    <row r="13259" spans="1:4" x14ac:dyDescent="0.2">
      <c r="A13259" t="str">
        <f>"13258"</f>
        <v>13258</v>
      </c>
      <c r="B13259" t="str">
        <f>"-1.13"</f>
        <v>-1.13</v>
      </c>
      <c r="C13259" t="str">
        <f>"20"</f>
        <v>20</v>
      </c>
      <c r="D13259" t="str">
        <f>"Your Future Our Clutter"</f>
        <v>Your Future Our Clutter</v>
      </c>
    </row>
    <row r="13260" spans="1:4" x14ac:dyDescent="0.2">
      <c r="A13260" t="str">
        <f>"13259"</f>
        <v>13259</v>
      </c>
      <c r="B13260" t="str">
        <f>"0.39"</f>
        <v>0.39</v>
      </c>
      <c r="C13260" t="str">
        <f>"41"</f>
        <v>41</v>
      </c>
      <c r="D13260" t="str">
        <f>"Honest Strings: A Tribute to the Life and Work of Jack Rose"</f>
        <v>Honest Strings: A Tribute to the Life and Work of Jack Rose</v>
      </c>
    </row>
    <row r="13261" spans="1:4" x14ac:dyDescent="0.2">
      <c r="A13261" t="str">
        <f>"13260"</f>
        <v>13260</v>
      </c>
      <c r="B13261" t="str">
        <f>"0.6"</f>
        <v>0.6</v>
      </c>
      <c r="C13261" t="str">
        <f>"30"</f>
        <v>30</v>
      </c>
      <c r="D13261" t="str">
        <f>"Liquid Love"</f>
        <v>Liquid Love</v>
      </c>
    </row>
    <row r="13262" spans="1:4" x14ac:dyDescent="0.2">
      <c r="A13262" t="str">
        <f>"13261"</f>
        <v>13261</v>
      </c>
      <c r="B13262" t="str">
        <f>"-0.49"</f>
        <v>-0.49</v>
      </c>
      <c r="C13262" t="str">
        <f>"23"</f>
        <v>23</v>
      </c>
      <c r="D13262" t="str">
        <f>"East General"</f>
        <v>East General</v>
      </c>
    </row>
    <row r="13263" spans="1:4" x14ac:dyDescent="0.2">
      <c r="A13263" t="str">
        <f>"13262"</f>
        <v>13262</v>
      </c>
      <c r="B13263" t="str">
        <f>"-0.05"</f>
        <v>-0.05</v>
      </c>
      <c r="C13263" t="str">
        <f>"24"</f>
        <v>24</v>
      </c>
      <c r="D13263" t="str">
        <f>"Cut and Run"</f>
        <v>Cut and Run</v>
      </c>
    </row>
    <row r="13264" spans="1:4" x14ac:dyDescent="0.2">
      <c r="A13264" t="str">
        <f>"13263"</f>
        <v>13263</v>
      </c>
      <c r="B13264" t="str">
        <f>"-0.14"</f>
        <v>-0.14</v>
      </c>
      <c r="C13264" t="str">
        <f>"35"</f>
        <v>35</v>
      </c>
      <c r="D13264" t="str">
        <f>"Cosmogramma"</f>
        <v>Cosmogramma</v>
      </c>
    </row>
    <row r="13265" spans="1:4" x14ac:dyDescent="0.2">
      <c r="A13265" t="str">
        <f>"13264"</f>
        <v>13264</v>
      </c>
      <c r="B13265" t="str">
        <f>"-0.36"</f>
        <v>-0.36</v>
      </c>
      <c r="C13265" t="str">
        <f>"29"</f>
        <v>29</v>
      </c>
      <c r="D13265" t="str">
        <f>"Relayted"</f>
        <v>Relayted</v>
      </c>
    </row>
    <row r="13266" spans="1:4" x14ac:dyDescent="0.2">
      <c r="A13266" t="str">
        <f>"13265"</f>
        <v>13265</v>
      </c>
      <c r="B13266" t="str">
        <f>"-0.33"</f>
        <v>-0.33</v>
      </c>
      <c r="C13266" t="str">
        <f>"18"</f>
        <v>18</v>
      </c>
      <c r="D13266" t="str">
        <f>"The Dogs Are Parading"</f>
        <v>The Dogs Are Parading</v>
      </c>
    </row>
    <row r="13267" spans="1:4" x14ac:dyDescent="0.2">
      <c r="A13267" t="str">
        <f>"13266"</f>
        <v>13266</v>
      </c>
      <c r="B13267" t="str">
        <f>"-0.38"</f>
        <v>-0.38</v>
      </c>
      <c r="C13267" t="str">
        <f>"18"</f>
        <v>18</v>
      </c>
      <c r="D13267" t="str">
        <f>"Everyone Is a Ghost"</f>
        <v>Everyone Is a Ghost</v>
      </c>
    </row>
    <row r="13268" spans="1:4" x14ac:dyDescent="0.2">
      <c r="A13268" t="str">
        <f>"13267"</f>
        <v>13267</v>
      </c>
      <c r="B13268" t="str">
        <f>"-0.06"</f>
        <v>-0.06</v>
      </c>
      <c r="C13268" t="str">
        <f>"12"</f>
        <v>12</v>
      </c>
      <c r="D13268" t="str">
        <f>"In Evening Air"</f>
        <v>In Evening Air</v>
      </c>
    </row>
    <row r="13269" spans="1:4" x14ac:dyDescent="0.2">
      <c r="A13269" t="str">
        <f>"13268"</f>
        <v>13268</v>
      </c>
      <c r="B13269" t="str">
        <f>"0.59"</f>
        <v>0.59</v>
      </c>
      <c r="C13269" t="str">
        <f>"39"</f>
        <v>39</v>
      </c>
      <c r="D13269" t="str">
        <f>"Together"</f>
        <v>Together</v>
      </c>
    </row>
    <row r="13270" spans="1:4" x14ac:dyDescent="0.2">
      <c r="A13270" t="str">
        <f>"13269"</f>
        <v>13269</v>
      </c>
      <c r="B13270" t="str">
        <f>"-0.14"</f>
        <v>-0.14</v>
      </c>
      <c r="C13270" t="str">
        <f>"27"</f>
        <v>27</v>
      </c>
      <c r="D13270" t="str">
        <f>"More!"</f>
        <v>More!</v>
      </c>
    </row>
    <row r="13271" spans="1:4" x14ac:dyDescent="0.2">
      <c r="A13271" t="str">
        <f>"13270"</f>
        <v>13270</v>
      </c>
      <c r="B13271" t="str">
        <f>"-0.41"</f>
        <v>-0.41</v>
      </c>
      <c r="C13271" t="str">
        <f>"29"</f>
        <v>29</v>
      </c>
      <c r="D13271" t="str">
        <f>"Bedford Park"</f>
        <v>Bedford Park</v>
      </c>
    </row>
    <row r="13272" spans="1:4" x14ac:dyDescent="0.2">
      <c r="A13272" t="str">
        <f>"13271"</f>
        <v>13271</v>
      </c>
      <c r="B13272" t="str">
        <f>"0.46"</f>
        <v>0.46</v>
      </c>
      <c r="C13272" t="str">
        <f>"28"</f>
        <v>28</v>
      </c>
      <c r="D13272" t="str">
        <f>"A Little Big"</f>
        <v>A Little Big</v>
      </c>
    </row>
    <row r="13273" spans="1:4" x14ac:dyDescent="0.2">
      <c r="A13273" t="str">
        <f>"13272"</f>
        <v>13272</v>
      </c>
      <c r="B13273" t="str">
        <f>"0.28"</f>
        <v>0.28</v>
      </c>
      <c r="C13273" t="str">
        <f>"17"</f>
        <v>17</v>
      </c>
      <c r="D13273" t="str">
        <f>"Victorian America"</f>
        <v>Victorian America</v>
      </c>
    </row>
    <row r="13274" spans="1:4" x14ac:dyDescent="0.2">
      <c r="A13274" t="str">
        <f>"13273"</f>
        <v>13273</v>
      </c>
      <c r="B13274" t="str">
        <f>"-0.45"</f>
        <v>-0.45</v>
      </c>
      <c r="C13274" t="str">
        <f>"33"</f>
        <v>33</v>
      </c>
      <c r="D13274" t="str">
        <f>"Heaven Is Whenever"</f>
        <v>Heaven Is Whenever</v>
      </c>
    </row>
    <row r="13275" spans="1:4" x14ac:dyDescent="0.2">
      <c r="A13275" t="str">
        <f>"13274"</f>
        <v>13274</v>
      </c>
      <c r="B13275" t="str">
        <f>"0.09"</f>
        <v>0.09</v>
      </c>
      <c r="C13275" t="str">
        <f>"24"</f>
        <v>24</v>
      </c>
      <c r="D13275" t="str">
        <f>"Omni"</f>
        <v>Omni</v>
      </c>
    </row>
    <row r="13276" spans="1:4" x14ac:dyDescent="0.2">
      <c r="A13276" t="str">
        <f>"13275"</f>
        <v>13275</v>
      </c>
      <c r="B13276" t="str">
        <f>"0.72"</f>
        <v>0.72</v>
      </c>
      <c r="C13276" t="str">
        <f>"28"</f>
        <v>28</v>
      </c>
      <c r="D13276" t="str">
        <f>"A Book of Songs for Anne Marie"</f>
        <v>A Book of Songs for Anne Marie</v>
      </c>
    </row>
    <row r="13277" spans="1:4" x14ac:dyDescent="0.2">
      <c r="A13277" t="str">
        <f>"13276"</f>
        <v>13276</v>
      </c>
      <c r="B13277" t="str">
        <f>"0.32"</f>
        <v>0.32</v>
      </c>
      <c r="C13277" t="str">
        <f>"26"</f>
        <v>26</v>
      </c>
      <c r="D13277" t="str">
        <f>"Instant Coffee Baby"</f>
        <v>Instant Coffee Baby</v>
      </c>
    </row>
    <row r="13278" spans="1:4" x14ac:dyDescent="0.2">
      <c r="A13278" t="str">
        <f>"13277"</f>
        <v>13277</v>
      </c>
      <c r="B13278" t="str">
        <f>"0.06"</f>
        <v>0.06</v>
      </c>
      <c r="C13278" t="str">
        <f>"17"</f>
        <v>17</v>
      </c>
      <c r="D13278" t="str">
        <f>"Cracked Love &amp; Other Drugs"</f>
        <v>Cracked Love &amp; Other Drugs</v>
      </c>
    </row>
    <row r="13279" spans="1:4" x14ac:dyDescent="0.2">
      <c r="A13279" t="str">
        <f>"13278"</f>
        <v>13278</v>
      </c>
      <c r="B13279" t="str">
        <f>"-0.18"</f>
        <v>-0.18</v>
      </c>
      <c r="C13279" t="str">
        <f>"36"</f>
        <v>36</v>
      </c>
      <c r="D13279" t="str">
        <f>"Forgiveness Rock Record"</f>
        <v>Forgiveness Rock Record</v>
      </c>
    </row>
    <row r="13280" spans="1:4" x14ac:dyDescent="0.2">
      <c r="A13280" t="str">
        <f>"13279"</f>
        <v>13279</v>
      </c>
      <c r="B13280" t="str">
        <f>"-1.04"</f>
        <v>-1.04</v>
      </c>
      <c r="C13280" t="str">
        <f>"29"</f>
        <v>29</v>
      </c>
      <c r="D13280" t="str">
        <f>"Option Paralysis"</f>
        <v>Option Paralysis</v>
      </c>
    </row>
    <row r="13281" spans="1:4" x14ac:dyDescent="0.2">
      <c r="A13281" t="str">
        <f>"13280"</f>
        <v>13280</v>
      </c>
      <c r="B13281" t="str">
        <f>"-0.21"</f>
        <v>-0.21</v>
      </c>
      <c r="C13281" t="str">
        <f>"19"</f>
        <v>19</v>
      </c>
      <c r="D13281" t="s">
        <v>408</v>
      </c>
    </row>
    <row r="13282" spans="1:4" x14ac:dyDescent="0.2">
      <c r="A13282" t="str">
        <f>"13281"</f>
        <v>13281</v>
      </c>
      <c r="B13282" t="str">
        <f>"0.7"</f>
        <v>0.7</v>
      </c>
      <c r="C13282" t="str">
        <f>"15"</f>
        <v>15</v>
      </c>
      <c r="D13282" t="str">
        <f>"A Balloon Called Moaning"</f>
        <v>A Balloon Called Moaning</v>
      </c>
    </row>
    <row r="13283" spans="1:4" x14ac:dyDescent="0.2">
      <c r="A13283" t="str">
        <f>"13282"</f>
        <v>13282</v>
      </c>
      <c r="B13283" t="str">
        <f>"-0.19"</f>
        <v>-0.19</v>
      </c>
      <c r="C13283" t="str">
        <f>"17"</f>
        <v>17</v>
      </c>
      <c r="D13283" t="str">
        <f>"MCMLXXX"</f>
        <v>MCMLXXX</v>
      </c>
    </row>
    <row r="13284" spans="1:4" x14ac:dyDescent="0.2">
      <c r="A13284" t="str">
        <f>"13283"</f>
        <v>13283</v>
      </c>
      <c r="B13284" t="str">
        <f>"-0.65"</f>
        <v>-0.65</v>
      </c>
      <c r="C13284" t="str">
        <f>"21"</f>
        <v>21</v>
      </c>
      <c r="D13284" t="str">
        <f>"Sun Bronzed Greek Gods EP"</f>
        <v>Sun Bronzed Greek Gods EP</v>
      </c>
    </row>
    <row r="13285" spans="1:4" x14ac:dyDescent="0.2">
      <c r="A13285" t="str">
        <f>"13284"</f>
        <v>13284</v>
      </c>
      <c r="B13285" t="str">
        <f>"0.5"</f>
        <v>0.5</v>
      </c>
      <c r="C13285" t="str">
        <f>"19"</f>
        <v>19</v>
      </c>
      <c r="D13285" t="str">
        <f>"Paul's Tomb: A Triumph"</f>
        <v>Paul's Tomb: A Triumph</v>
      </c>
    </row>
    <row r="13286" spans="1:4" x14ac:dyDescent="0.2">
      <c r="A13286" t="str">
        <f>"13285"</f>
        <v>13285</v>
      </c>
      <c r="B13286" t="str">
        <f>"1.17"</f>
        <v>1.17</v>
      </c>
      <c r="C13286" t="str">
        <f>"30"</f>
        <v>30</v>
      </c>
      <c r="D13286" t="str">
        <f>"A Mishmash of Changing Moods"</f>
        <v>A Mishmash of Changing Moods</v>
      </c>
    </row>
    <row r="13287" spans="1:4" x14ac:dyDescent="0.2">
      <c r="A13287" t="str">
        <f>"13286"</f>
        <v>13286</v>
      </c>
      <c r="B13287" t="str">
        <f>"0.92"</f>
        <v>0.92</v>
      </c>
      <c r="C13287" t="str">
        <f>"14"</f>
        <v>14</v>
      </c>
      <c r="D13287" t="str">
        <f>"You Never Did Anything Wrong to Me"</f>
        <v>You Never Did Anything Wrong to Me</v>
      </c>
    </row>
    <row r="13288" spans="1:4" x14ac:dyDescent="0.2">
      <c r="A13288" t="str">
        <f>"13287"</f>
        <v>13287</v>
      </c>
      <c r="B13288" t="str">
        <f>"0.46"</f>
        <v>0.46</v>
      </c>
      <c r="C13288" t="str">
        <f>"23"</f>
        <v>23</v>
      </c>
      <c r="D13288" t="str">
        <f>"Barefoot Wanderer"</f>
        <v>Barefoot Wanderer</v>
      </c>
    </row>
    <row r="13289" spans="1:4" x14ac:dyDescent="0.2">
      <c r="A13289" t="str">
        <f>"13288"</f>
        <v>13288</v>
      </c>
      <c r="B13289" t="str">
        <f>"-0.21"</f>
        <v>-0.21</v>
      </c>
      <c r="C13289" t="str">
        <f>"23"</f>
        <v>23</v>
      </c>
      <c r="D13289" t="str">
        <f>"Crystal Castles"</f>
        <v>Crystal Castles</v>
      </c>
    </row>
    <row r="13290" spans="1:4" x14ac:dyDescent="0.2">
      <c r="A13290" t="str">
        <f>"13289"</f>
        <v>13289</v>
      </c>
      <c r="B13290" t="str">
        <f>"-0.16"</f>
        <v>-0.16</v>
      </c>
      <c r="C13290" t="str">
        <f>"25"</f>
        <v>25</v>
      </c>
      <c r="D13290" t="str">
        <f>"My Best Friend Is You"</f>
        <v>My Best Friend Is You</v>
      </c>
    </row>
    <row r="13291" spans="1:4" x14ac:dyDescent="0.2">
      <c r="A13291" t="str">
        <f>"13290"</f>
        <v>13290</v>
      </c>
      <c r="B13291" t="str">
        <f>"-0.12"</f>
        <v>-0.12</v>
      </c>
      <c r="C13291" t="str">
        <f>"22"</f>
        <v>22</v>
      </c>
      <c r="D13291" t="str">
        <f>"Écailles de Lune"</f>
        <v>Écailles de Lune</v>
      </c>
    </row>
    <row r="13292" spans="1:4" x14ac:dyDescent="0.2">
      <c r="A13292" t="str">
        <f>"13291"</f>
        <v>13291</v>
      </c>
      <c r="B13292" t="str">
        <f>"-0.81"</f>
        <v>-0.81</v>
      </c>
      <c r="C13292" t="str">
        <f>"24"</f>
        <v>24</v>
      </c>
      <c r="D13292" t="str">
        <f>"Words Are Stupid"</f>
        <v>Words Are Stupid</v>
      </c>
    </row>
    <row r="13293" spans="1:4" x14ac:dyDescent="0.2">
      <c r="A13293" t="str">
        <f>"13292"</f>
        <v>13292</v>
      </c>
      <c r="B13293" t="str">
        <f>"1.65"</f>
        <v>1.65</v>
      </c>
      <c r="C13293" t="str">
        <f>"17"</f>
        <v>17</v>
      </c>
      <c r="D13293" t="str">
        <f>"Inter Arbiter"</f>
        <v>Inter Arbiter</v>
      </c>
    </row>
    <row r="13294" spans="1:4" x14ac:dyDescent="0.2">
      <c r="A13294" t="str">
        <f>"13293"</f>
        <v>13293</v>
      </c>
      <c r="B13294" t="str">
        <f>"0.7"</f>
        <v>0.7</v>
      </c>
      <c r="C13294" t="str">
        <f>"22"</f>
        <v>22</v>
      </c>
      <c r="D13294" t="str">
        <f>"DJ-Kicks"</f>
        <v>DJ-Kicks</v>
      </c>
    </row>
    <row r="13295" spans="1:4" x14ac:dyDescent="0.2">
      <c r="A13295" t="str">
        <f>"13294"</f>
        <v>13294</v>
      </c>
      <c r="B13295" t="str">
        <f>"0.05"</f>
        <v>0.05</v>
      </c>
      <c r="C13295" t="str">
        <f>"13"</f>
        <v>13</v>
      </c>
      <c r="D13295" t="str">
        <f>"Voluspa"</f>
        <v>Voluspa</v>
      </c>
    </row>
    <row r="13296" spans="1:4" x14ac:dyDescent="0.2">
      <c r="A13296" t="str">
        <f>"13295"</f>
        <v>13295</v>
      </c>
      <c r="B13296" t="str">
        <f>"1.38"</f>
        <v>1.38</v>
      </c>
      <c r="C13296" t="str">
        <f>"26"</f>
        <v>26</v>
      </c>
      <c r="D13296" t="str">
        <f>"What We Lose in the Fire We Gain in the Flood"</f>
        <v>What We Lose in the Fire We Gain in the Flood</v>
      </c>
    </row>
    <row r="13297" spans="1:4" x14ac:dyDescent="0.2">
      <c r="A13297" t="str">
        <f>"13296"</f>
        <v>13296</v>
      </c>
      <c r="B13297" t="str">
        <f>"0.31"</f>
        <v>0.31</v>
      </c>
      <c r="C13297" t="str">
        <f>"19"</f>
        <v>19</v>
      </c>
      <c r="D13297" t="str">
        <f>"Trans-Continental Hustle"</f>
        <v>Trans-Continental Hustle</v>
      </c>
    </row>
    <row r="13298" spans="1:4" x14ac:dyDescent="0.2">
      <c r="A13298" t="str">
        <f>"13297"</f>
        <v>13297</v>
      </c>
      <c r="B13298" t="str">
        <f>"0.72"</f>
        <v>0.72</v>
      </c>
      <c r="C13298" t="str">
        <f>"18"</f>
        <v>18</v>
      </c>
      <c r="D13298" t="str">
        <f>"Little More Lived In"</f>
        <v>Little More Lived In</v>
      </c>
    </row>
    <row r="13299" spans="1:4" x14ac:dyDescent="0.2">
      <c r="A13299" t="str">
        <f>"13298"</f>
        <v>13298</v>
      </c>
      <c r="B13299" t="str">
        <f>"1.19"</f>
        <v>1.19</v>
      </c>
      <c r="C13299" t="str">
        <f>"29"</f>
        <v>29</v>
      </c>
      <c r="D13299" t="str">
        <f>"Nobody's Daughter"</f>
        <v>Nobody's Daughter</v>
      </c>
    </row>
    <row r="13300" spans="1:4" x14ac:dyDescent="0.2">
      <c r="A13300" t="str">
        <f>"13299"</f>
        <v>13299</v>
      </c>
      <c r="B13300" t="str">
        <f>"0.36"</f>
        <v>0.36</v>
      </c>
      <c r="C13300" t="str">
        <f>"24"</f>
        <v>24</v>
      </c>
      <c r="D13300" t="str">
        <f>"Avi Buffalo"</f>
        <v>Avi Buffalo</v>
      </c>
    </row>
    <row r="13301" spans="1:4" x14ac:dyDescent="0.2">
      <c r="A13301" t="str">
        <f>"13300"</f>
        <v>13300</v>
      </c>
      <c r="B13301" t="str">
        <f>"-0.27"</f>
        <v>-0.27</v>
      </c>
      <c r="C13301" t="str">
        <f>"24"</f>
        <v>24</v>
      </c>
      <c r="D13301" t="str">
        <f>"Daughters"</f>
        <v>Daughters</v>
      </c>
    </row>
    <row r="13302" spans="1:4" x14ac:dyDescent="0.2">
      <c r="A13302" t="str">
        <f>"13301"</f>
        <v>13301</v>
      </c>
      <c r="B13302" t="str">
        <f>"0.18"</f>
        <v>0.18</v>
      </c>
      <c r="C13302" t="str">
        <f>"22"</f>
        <v>22</v>
      </c>
      <c r="D13302" t="str">
        <f>"Animal Feelings"</f>
        <v>Animal Feelings</v>
      </c>
    </row>
    <row r="13303" spans="1:4" x14ac:dyDescent="0.2">
      <c r="A13303" t="str">
        <f>"13302"</f>
        <v>13302</v>
      </c>
      <c r="B13303" t="str">
        <f>"-0.73"</f>
        <v>-0.73</v>
      </c>
      <c r="C13303" t="str">
        <f>"18"</f>
        <v>18</v>
      </c>
      <c r="D13303" t="str">
        <f>"Thistled Spring"</f>
        <v>Thistled Spring</v>
      </c>
    </row>
    <row r="13304" spans="1:4" x14ac:dyDescent="0.2">
      <c r="A13304" t="str">
        <f>"13303"</f>
        <v>13303</v>
      </c>
      <c r="B13304" t="str">
        <f>"1.73"</f>
        <v>1.73</v>
      </c>
      <c r="C13304" t="str">
        <f>"22"</f>
        <v>22</v>
      </c>
      <c r="D13304" t="str">
        <f>"Clinging to a Scheme"</f>
        <v>Clinging to a Scheme</v>
      </c>
    </row>
    <row r="13305" spans="1:4" x14ac:dyDescent="0.2">
      <c r="A13305" t="str">
        <f>"13304"</f>
        <v>13304</v>
      </c>
      <c r="B13305" t="str">
        <f>"0.14"</f>
        <v>0.14</v>
      </c>
      <c r="C13305" t="str">
        <f>"23"</f>
        <v>23</v>
      </c>
      <c r="D13305" t="str">
        <f>"Streetlights"</f>
        <v>Streetlights</v>
      </c>
    </row>
    <row r="13306" spans="1:4" x14ac:dyDescent="0.2">
      <c r="A13306" t="str">
        <f>"13305"</f>
        <v>13305</v>
      </c>
      <c r="B13306" t="str">
        <f>"1.27"</f>
        <v>1.27</v>
      </c>
      <c r="C13306" t="str">
        <f>"18"</f>
        <v>18</v>
      </c>
      <c r="D13306" t="str">
        <f>"Completely Removed"</f>
        <v>Completely Removed</v>
      </c>
    </row>
    <row r="13307" spans="1:4" x14ac:dyDescent="0.2">
      <c r="A13307" t="str">
        <f>"13306"</f>
        <v>13306</v>
      </c>
      <c r="B13307" t="str">
        <f>"0.63"</f>
        <v>0.63</v>
      </c>
      <c r="C13307" t="str">
        <f>"30"</f>
        <v>30</v>
      </c>
      <c r="D13307" t="str">
        <f>"Guitar El Chark"</f>
        <v>Guitar El Chark</v>
      </c>
    </row>
    <row r="13308" spans="1:4" x14ac:dyDescent="0.2">
      <c r="A13308" t="str">
        <f>"13307"</f>
        <v>13307</v>
      </c>
      <c r="B13308" t="str">
        <f>"-0.83"</f>
        <v>-0.83</v>
      </c>
      <c r="C13308" t="str">
        <f>"19"</f>
        <v>19</v>
      </c>
      <c r="D13308" t="str">
        <f>"III"</f>
        <v>III</v>
      </c>
    </row>
    <row r="13309" spans="1:4" x14ac:dyDescent="0.2">
      <c r="A13309" t="str">
        <f>"13308"</f>
        <v>13308</v>
      </c>
      <c r="B13309" t="str">
        <f>"-0.45"</f>
        <v>-0.45</v>
      </c>
      <c r="C13309" t="str">
        <f>"15"</f>
        <v>15</v>
      </c>
      <c r="D13309" t="str">
        <f>"The Chaos"</f>
        <v>The Chaos</v>
      </c>
    </row>
    <row r="13310" spans="1:4" x14ac:dyDescent="0.2">
      <c r="A13310" t="str">
        <f>"13309"</f>
        <v>13309</v>
      </c>
      <c r="B13310" t="str">
        <f>"0.25"</f>
        <v>0.25</v>
      </c>
      <c r="C13310" t="str">
        <f>"18"</f>
        <v>18</v>
      </c>
      <c r="D13310" t="str">
        <f>"All Days are Nights: Songs for Lulu"</f>
        <v>All Days are Nights: Songs for Lulu</v>
      </c>
    </row>
    <row r="13311" spans="1:4" x14ac:dyDescent="0.2">
      <c r="A13311" t="str">
        <f>"13310"</f>
        <v>13310</v>
      </c>
      <c r="B13311" t="str">
        <f>"1.56"</f>
        <v>1.56</v>
      </c>
      <c r="C13311" t="str">
        <f>"23"</f>
        <v>23</v>
      </c>
      <c r="D13311" t="str">
        <f>"Secret Agent"</f>
        <v>Secret Agent</v>
      </c>
    </row>
    <row r="13312" spans="1:4" x14ac:dyDescent="0.2">
      <c r="A13312" t="str">
        <f>"13311"</f>
        <v>13311</v>
      </c>
      <c r="B13312" t="str">
        <f>"0.55"</f>
        <v>0.55</v>
      </c>
      <c r="C13312" t="str">
        <f>"31"</f>
        <v>31</v>
      </c>
      <c r="D13312" t="str">
        <f>"The Day the Turf Stood Still"</f>
        <v>The Day the Turf Stood Still</v>
      </c>
    </row>
    <row r="13313" spans="1:4" x14ac:dyDescent="0.2">
      <c r="A13313" t="str">
        <f>"13312"</f>
        <v>13312</v>
      </c>
      <c r="B13313" t="str">
        <f>"-0.63"</f>
        <v>-0.63</v>
      </c>
      <c r="C13313" t="str">
        <f>"16"</f>
        <v>16</v>
      </c>
      <c r="D13313" t="str">
        <f>"Clay Stones"</f>
        <v>Clay Stones</v>
      </c>
    </row>
    <row r="13314" spans="1:4" x14ac:dyDescent="0.2">
      <c r="A13314" t="str">
        <f>"13313"</f>
        <v>13313</v>
      </c>
      <c r="B13314" t="str">
        <f>"0.93"</f>
        <v>0.93</v>
      </c>
      <c r="C13314" t="str">
        <f>"28"</f>
        <v>28</v>
      </c>
      <c r="D13314" t="str">
        <f>"Subiza"</f>
        <v>Subiza</v>
      </c>
    </row>
    <row r="13315" spans="1:4" x14ac:dyDescent="0.2">
      <c r="A13315" t="str">
        <f>"13314"</f>
        <v>13314</v>
      </c>
      <c r="B13315" t="str">
        <f>"0.98"</f>
        <v>0.98</v>
      </c>
      <c r="C13315" t="str">
        <f>"26"</f>
        <v>26</v>
      </c>
      <c r="D13315" t="str">
        <f>"Travellers in Space and Time"</f>
        <v>Travellers in Space and Time</v>
      </c>
    </row>
    <row r="13316" spans="1:4" x14ac:dyDescent="0.2">
      <c r="A13316" t="str">
        <f>"13315"</f>
        <v>13315</v>
      </c>
      <c r="B13316" t="str">
        <f>"0.22"</f>
        <v>0.22</v>
      </c>
      <c r="C13316" t="str">
        <f>"38"</f>
        <v>38</v>
      </c>
      <c r="D13316" t="str">
        <f>"Kush and Orange Juice"</f>
        <v>Kush and Orange Juice</v>
      </c>
    </row>
    <row r="13317" spans="1:4" x14ac:dyDescent="0.2">
      <c r="A13317" t="str">
        <f>"13316"</f>
        <v>13316</v>
      </c>
      <c r="B13317" t="str">
        <f>"-0.52"</f>
        <v>-0.52</v>
      </c>
      <c r="C13317" t="str">
        <f>"19"</f>
        <v>19</v>
      </c>
      <c r="D13317" t="str">
        <f>"Lux"</f>
        <v>Lux</v>
      </c>
    </row>
    <row r="13318" spans="1:4" x14ac:dyDescent="0.2">
      <c r="A13318" t="str">
        <f>"13317"</f>
        <v>13317</v>
      </c>
      <c r="B13318" t="str">
        <f>"1.32"</f>
        <v>1.32</v>
      </c>
      <c r="C13318" t="str">
        <f>"21"</f>
        <v>21</v>
      </c>
      <c r="D13318" t="str">
        <f>"The Endtables"</f>
        <v>The Endtables</v>
      </c>
    </row>
    <row r="13319" spans="1:4" x14ac:dyDescent="0.2">
      <c r="A13319" t="str">
        <f>"13318"</f>
        <v>13318</v>
      </c>
      <c r="B13319" t="str">
        <f>"0.28"</f>
        <v>0.28</v>
      </c>
      <c r="C13319" t="str">
        <f>"26"</f>
        <v>26</v>
      </c>
      <c r="D13319" t="str">
        <f>"I See the Sign"</f>
        <v>I See the Sign</v>
      </c>
    </row>
    <row r="13320" spans="1:4" x14ac:dyDescent="0.2">
      <c r="A13320" t="str">
        <f>"13319"</f>
        <v>13319</v>
      </c>
      <c r="B13320" t="str">
        <f>"0.94"</f>
        <v>0.94</v>
      </c>
      <c r="C13320" t="str">
        <f>"44"</f>
        <v>44</v>
      </c>
      <c r="D13320" t="str">
        <f>"Incredible String Band"</f>
        <v>Incredible String Band</v>
      </c>
    </row>
    <row r="13321" spans="1:4" x14ac:dyDescent="0.2">
      <c r="A13321" t="str">
        <f>"13320"</f>
        <v>13320</v>
      </c>
      <c r="B13321" t="str">
        <f>"-0.59"</f>
        <v>-0.59</v>
      </c>
      <c r="C13321" t="str">
        <f>"15"</f>
        <v>15</v>
      </c>
      <c r="D13321" t="str">
        <f>"Thing"</f>
        <v>Thing</v>
      </c>
    </row>
    <row r="13322" spans="1:4" x14ac:dyDescent="0.2">
      <c r="A13322" t="str">
        <f>"13321"</f>
        <v>13321</v>
      </c>
      <c r="B13322" t="str">
        <f>"0.5"</f>
        <v>0.5</v>
      </c>
      <c r="C13322" t="str">
        <f>"21"</f>
        <v>21</v>
      </c>
      <c r="D13322" t="str">
        <f>"Ear Drums and Black Holes"</f>
        <v>Ear Drums and Black Holes</v>
      </c>
    </row>
    <row r="13323" spans="1:4" x14ac:dyDescent="0.2">
      <c r="A13323" t="str">
        <f>"13322"</f>
        <v>13322</v>
      </c>
      <c r="B13323" t="str">
        <f>"-0.52"</f>
        <v>-0.52</v>
      </c>
      <c r="C13323" t="str">
        <f>"21"</f>
        <v>21</v>
      </c>
      <c r="D13323" t="str">
        <f>"$"</f>
        <v>$</v>
      </c>
    </row>
    <row r="13324" spans="1:4" x14ac:dyDescent="0.2">
      <c r="A13324" t="str">
        <f>"13323"</f>
        <v>13323</v>
      </c>
      <c r="B13324" t="str">
        <f>"1.13"</f>
        <v>1.13</v>
      </c>
      <c r="C13324" t="str">
        <f>"20"</f>
        <v>20</v>
      </c>
      <c r="D13324" t="str">
        <f>"Swim"</f>
        <v>Swim</v>
      </c>
    </row>
    <row r="13325" spans="1:4" x14ac:dyDescent="0.2">
      <c r="A13325" t="str">
        <f>"13324"</f>
        <v>13324</v>
      </c>
      <c r="B13325" t="str">
        <f>"0.85"</f>
        <v>0.85</v>
      </c>
      <c r="C13325" t="str">
        <f>"28"</f>
        <v>28</v>
      </c>
      <c r="D13325" t="str">
        <f>"A Coming of Age"</f>
        <v>A Coming of Age</v>
      </c>
    </row>
    <row r="13326" spans="1:4" x14ac:dyDescent="0.2">
      <c r="A13326" t="str">
        <f>"13325"</f>
        <v>13325</v>
      </c>
      <c r="B13326" t="str">
        <f>"0.9"</f>
        <v>0.9</v>
      </c>
      <c r="C13326" t="str">
        <f>"15"</f>
        <v>15</v>
      </c>
      <c r="D13326" t="str">
        <f>"Righteous Fists of Harmony"</f>
        <v>Righteous Fists of Harmony</v>
      </c>
    </row>
    <row r="13327" spans="1:4" x14ac:dyDescent="0.2">
      <c r="A13327" t="str">
        <f>"13326"</f>
        <v>13326</v>
      </c>
      <c r="B13327" t="str">
        <f>"1.07"</f>
        <v>1.07</v>
      </c>
      <c r="C13327" t="str">
        <f>"15"</f>
        <v>15</v>
      </c>
      <c r="D13327" t="str">
        <f>"Where Is the Truth"</f>
        <v>Where Is the Truth</v>
      </c>
    </row>
    <row r="13328" spans="1:4" x14ac:dyDescent="0.2">
      <c r="A13328" t="str">
        <f>"13327"</f>
        <v>13327</v>
      </c>
      <c r="B13328" t="str">
        <f>"0.65"</f>
        <v>0.65</v>
      </c>
      <c r="C13328" t="str">
        <f>"23"</f>
        <v>23</v>
      </c>
      <c r="D13328" t="str">
        <f>"The Outsiders Are Back"</f>
        <v>The Outsiders Are Back</v>
      </c>
    </row>
    <row r="13329" spans="1:4" x14ac:dyDescent="0.2">
      <c r="A13329" t="str">
        <f>"13328"</f>
        <v>13328</v>
      </c>
      <c r="B13329" t="str">
        <f>"0.81"</f>
        <v>0.81</v>
      </c>
      <c r="C13329" t="str">
        <f>"54"</f>
        <v>54</v>
      </c>
      <c r="D13329" t="str">
        <f>"City of Daughters"</f>
        <v>City of Daughters</v>
      </c>
    </row>
    <row r="13330" spans="1:4" x14ac:dyDescent="0.2">
      <c r="A13330" t="str">
        <f>"13329"</f>
        <v>13329</v>
      </c>
      <c r="B13330" t="str">
        <f>"0.75"</f>
        <v>0.75</v>
      </c>
      <c r="C13330" t="str">
        <f>"17"</f>
        <v>17</v>
      </c>
      <c r="D13330" t="str">
        <f>"La La Land"</f>
        <v>La La Land</v>
      </c>
    </row>
    <row r="13331" spans="1:4" x14ac:dyDescent="0.2">
      <c r="A13331" t="str">
        <f>"13330"</f>
        <v>13330</v>
      </c>
      <c r="B13331" t="str">
        <f>"0.16"</f>
        <v>0.16</v>
      </c>
      <c r="C13331" t="str">
        <f>"21"</f>
        <v>21</v>
      </c>
      <c r="D13331" t="str">
        <f>"LeftBack"</f>
        <v>LeftBack</v>
      </c>
    </row>
    <row r="13332" spans="1:4" x14ac:dyDescent="0.2">
      <c r="A13332" t="str">
        <f>"13331"</f>
        <v>13331</v>
      </c>
      <c r="B13332" t="str">
        <f>"-0.59"</f>
        <v>-0.59</v>
      </c>
      <c r="C13332" t="str">
        <f>"23"</f>
        <v>23</v>
      </c>
      <c r="D13332" t="str">
        <f>"WHB"</f>
        <v>WHB</v>
      </c>
    </row>
    <row r="13333" spans="1:4" x14ac:dyDescent="0.2">
      <c r="A13333" t="str">
        <f>"13332"</f>
        <v>13332</v>
      </c>
      <c r="B13333" t="str">
        <f>"0.43"</f>
        <v>0.43</v>
      </c>
      <c r="C13333" t="str">
        <f>"24"</f>
        <v>24</v>
      </c>
      <c r="D13333" t="str">
        <f>"It All Falls Apart"</f>
        <v>It All Falls Apart</v>
      </c>
    </row>
    <row r="13334" spans="1:4" x14ac:dyDescent="0.2">
      <c r="A13334" t="str">
        <f>"13333"</f>
        <v>13333</v>
      </c>
      <c r="B13334" t="str">
        <f>"-0.44"</f>
        <v>-0.44</v>
      </c>
      <c r="C13334" t="str">
        <f>"40"</f>
        <v>40</v>
      </c>
      <c r="D13334" t="str">
        <f>"Rough Travel for a Rare Thing"</f>
        <v>Rough Travel for a Rare Thing</v>
      </c>
    </row>
    <row r="13335" spans="1:4" x14ac:dyDescent="0.2">
      <c r="A13335" t="str">
        <f>"13334"</f>
        <v>13334</v>
      </c>
      <c r="B13335" t="str">
        <f>"-0.21"</f>
        <v>-0.21</v>
      </c>
      <c r="C13335" t="str">
        <f>"35"</f>
        <v>35</v>
      </c>
      <c r="D13335" t="str">
        <f>"The Burrrprint (2)"</f>
        <v>The Burrrprint (2)</v>
      </c>
    </row>
    <row r="13336" spans="1:4" x14ac:dyDescent="0.2">
      <c r="A13336" t="str">
        <f>"13335"</f>
        <v>13335</v>
      </c>
      <c r="B13336" t="str">
        <f>"-0.38"</f>
        <v>-0.38</v>
      </c>
      <c r="C13336" t="str">
        <f>"24"</f>
        <v>24</v>
      </c>
      <c r="D13336" t="str">
        <f>"Initiate"</f>
        <v>Initiate</v>
      </c>
    </row>
    <row r="13337" spans="1:4" x14ac:dyDescent="0.2">
      <c r="A13337" t="str">
        <f>"13336"</f>
        <v>13336</v>
      </c>
      <c r="B13337" t="str">
        <f>"-0.41"</f>
        <v>-0.41</v>
      </c>
      <c r="C13337" t="str">
        <f>"21"</f>
        <v>21</v>
      </c>
      <c r="D13337" t="str">
        <f>"Steal Your Face"</f>
        <v>Steal Your Face</v>
      </c>
    </row>
    <row r="13338" spans="1:4" x14ac:dyDescent="0.2">
      <c r="A13338" t="str">
        <f>"13337"</f>
        <v>13337</v>
      </c>
      <c r="B13338" t="str">
        <f>"0.48"</f>
        <v>0.48</v>
      </c>
      <c r="C13338" t="str">
        <f>"22"</f>
        <v>22</v>
      </c>
      <c r="D13338" t="str">
        <f>"Sucker"</f>
        <v>Sucker</v>
      </c>
    </row>
    <row r="13339" spans="1:4" x14ac:dyDescent="0.2">
      <c r="A13339" t="str">
        <f>"13338"</f>
        <v>13338</v>
      </c>
      <c r="B13339" t="str">
        <f>"0.88"</f>
        <v>0.88</v>
      </c>
      <c r="C13339" t="str">
        <f>"23"</f>
        <v>23</v>
      </c>
      <c r="D13339" t="str">
        <f>"The Wild Hunt"</f>
        <v>The Wild Hunt</v>
      </c>
    </row>
    <row r="13340" spans="1:4" x14ac:dyDescent="0.2">
      <c r="A13340" t="str">
        <f>"13339"</f>
        <v>13339</v>
      </c>
      <c r="B13340" t="str">
        <f>"-0.33"</f>
        <v>-0.33</v>
      </c>
      <c r="C13340" t="str">
        <f>"24"</f>
        <v>24</v>
      </c>
      <c r="D13340" t="str">
        <f>"City of Straw"</f>
        <v>City of Straw</v>
      </c>
    </row>
    <row r="13341" spans="1:4" x14ac:dyDescent="0.2">
      <c r="A13341" t="str">
        <f>"13340"</f>
        <v>13340</v>
      </c>
      <c r="B13341" t="str">
        <f>"0.23"</f>
        <v>0.23</v>
      </c>
      <c r="C13341" t="str">
        <f>"16"</f>
        <v>16</v>
      </c>
      <c r="D13341" t="str">
        <f>"ForNever"</f>
        <v>ForNever</v>
      </c>
    </row>
    <row r="13342" spans="1:4" x14ac:dyDescent="0.2">
      <c r="A13342" t="str">
        <f>"13341"</f>
        <v>13341</v>
      </c>
      <c r="B13342" t="str">
        <f>"0.54"</f>
        <v>0.54</v>
      </c>
      <c r="C13342" t="str">
        <f>"20"</f>
        <v>20</v>
      </c>
      <c r="D13342" t="str">
        <f>"Las Vênus Resort Palace Hotel"</f>
        <v>Las Vênus Resort Palace Hotel</v>
      </c>
    </row>
    <row r="13343" spans="1:4" x14ac:dyDescent="0.2">
      <c r="A13343" t="str">
        <f>"13342"</f>
        <v>13342</v>
      </c>
      <c r="B13343" t="str">
        <f>"-0.06"</f>
        <v>-0.06</v>
      </c>
      <c r="C13343" t="str">
        <f>"17"</f>
        <v>17</v>
      </c>
      <c r="D13343" t="str">
        <f>"Goodbye Falkenburg"</f>
        <v>Goodbye Falkenburg</v>
      </c>
    </row>
    <row r="13344" spans="1:4" x14ac:dyDescent="0.2">
      <c r="A13344" t="str">
        <f>"13343"</f>
        <v>13343</v>
      </c>
      <c r="B13344" t="str">
        <f>"0.3"</f>
        <v>0.3</v>
      </c>
      <c r="C13344" t="str">
        <f>"30"</f>
        <v>30</v>
      </c>
      <c r="D13344" t="str">
        <f>"Raw Power [Legacy Editon]"</f>
        <v>Raw Power [Legacy Editon]</v>
      </c>
    </row>
    <row r="13345" spans="1:4" x14ac:dyDescent="0.2">
      <c r="A13345" t="str">
        <f>"13344"</f>
        <v>13344</v>
      </c>
      <c r="B13345" t="str">
        <f>"-0.09"</f>
        <v>-0.09</v>
      </c>
      <c r="C13345" t="str">
        <f>"22"</f>
        <v>22</v>
      </c>
      <c r="D13345" t="str">
        <f>"Prins Thomas"</f>
        <v>Prins Thomas</v>
      </c>
    </row>
    <row r="13346" spans="1:4" x14ac:dyDescent="0.2">
      <c r="A13346" t="str">
        <f>"13345"</f>
        <v>13345</v>
      </c>
      <c r="B13346" t="str">
        <f>"0.75"</f>
        <v>0.75</v>
      </c>
      <c r="C13346" t="str">
        <f>"38"</f>
        <v>38</v>
      </c>
      <c r="D13346" t="str">
        <f>"Prior to the Fire"</f>
        <v>Prior to the Fire</v>
      </c>
    </row>
    <row r="13347" spans="1:4" x14ac:dyDescent="0.2">
      <c r="A13347" t="str">
        <f>"13346"</f>
        <v>13346</v>
      </c>
      <c r="B13347" t="str">
        <f>"0.25"</f>
        <v>0.25</v>
      </c>
      <c r="C13347" t="str">
        <f>"29"</f>
        <v>29</v>
      </c>
      <c r="D13347" t="s">
        <v>409</v>
      </c>
    </row>
    <row r="13348" spans="1:4" x14ac:dyDescent="0.2">
      <c r="A13348" t="str">
        <f>"13347"</f>
        <v>13347</v>
      </c>
      <c r="B13348" t="str">
        <f>"0.43"</f>
        <v>0.43</v>
      </c>
      <c r="C13348" t="str">
        <f>"23"</f>
        <v>23</v>
      </c>
      <c r="D13348" t="str">
        <f>"Wooden Blankets EP"</f>
        <v>Wooden Blankets EP</v>
      </c>
    </row>
    <row r="13349" spans="1:4" x14ac:dyDescent="0.2">
      <c r="A13349" t="str">
        <f>"13348"</f>
        <v>13348</v>
      </c>
      <c r="B13349" t="str">
        <f>"0.22"</f>
        <v>0.22</v>
      </c>
      <c r="C13349" t="str">
        <f>"32"</f>
        <v>32</v>
      </c>
      <c r="D13349" t="str">
        <f>"True Love Cast Out All Evil"</f>
        <v>True Love Cast Out All Evil</v>
      </c>
    </row>
    <row r="13350" spans="1:4" x14ac:dyDescent="0.2">
      <c r="A13350" t="str">
        <f>"13349"</f>
        <v>13349</v>
      </c>
      <c r="B13350" t="str">
        <f>"0.23"</f>
        <v>0.23</v>
      </c>
      <c r="C13350" t="str">
        <f>"14"</f>
        <v>14</v>
      </c>
      <c r="D13350" t="s">
        <v>410</v>
      </c>
    </row>
    <row r="13351" spans="1:4" x14ac:dyDescent="0.2">
      <c r="A13351" t="str">
        <f>"13350"</f>
        <v>13350</v>
      </c>
      <c r="B13351" t="str">
        <f>"-0.25"</f>
        <v>-0.25</v>
      </c>
      <c r="C13351" t="str">
        <f>"18"</f>
        <v>18</v>
      </c>
      <c r="D13351" t="str">
        <f>"Gute Luft"</f>
        <v>Gute Luft</v>
      </c>
    </row>
    <row r="13352" spans="1:4" x14ac:dyDescent="0.2">
      <c r="A13352" t="str">
        <f>"13351"</f>
        <v>13351</v>
      </c>
      <c r="B13352" t="str">
        <f>"-0.15"</f>
        <v>-0.15</v>
      </c>
      <c r="C13352" t="str">
        <f>"16"</f>
        <v>16</v>
      </c>
      <c r="D13352" t="str">
        <f>"Heart That's Pounding"</f>
        <v>Heart That's Pounding</v>
      </c>
    </row>
    <row r="13353" spans="1:4" x14ac:dyDescent="0.2">
      <c r="A13353" t="str">
        <f>"13352"</f>
        <v>13352</v>
      </c>
      <c r="B13353" t="str">
        <f>"0.71"</f>
        <v>0.71</v>
      </c>
      <c r="C13353" t="str">
        <f>"22"</f>
        <v>22</v>
      </c>
      <c r="D13353" t="str">
        <f>"Speculation"</f>
        <v>Speculation</v>
      </c>
    </row>
    <row r="13354" spans="1:4" x14ac:dyDescent="0.2">
      <c r="A13354" t="str">
        <f>"13353"</f>
        <v>13353</v>
      </c>
      <c r="B13354" t="str">
        <f>"0.58"</f>
        <v>0.58</v>
      </c>
      <c r="C13354" t="str">
        <f>"34"</f>
        <v>34</v>
      </c>
      <c r="D13354" t="str">
        <f>"Congratulations"</f>
        <v>Congratulations</v>
      </c>
    </row>
    <row r="13355" spans="1:4" x14ac:dyDescent="0.2">
      <c r="A13355" t="str">
        <f>"13354"</f>
        <v>13354</v>
      </c>
      <c r="B13355" t="str">
        <f>"-0.42"</f>
        <v>-0.42</v>
      </c>
      <c r="C13355" t="str">
        <f>"21"</f>
        <v>21</v>
      </c>
      <c r="D13355" t="str">
        <f>"One One"</f>
        <v>One One</v>
      </c>
    </row>
    <row r="13356" spans="1:4" x14ac:dyDescent="0.2">
      <c r="A13356" t="str">
        <f>"13355"</f>
        <v>13355</v>
      </c>
      <c r="B13356" t="str">
        <f>"0.14"</f>
        <v>0.14</v>
      </c>
      <c r="C13356" t="str">
        <f>"23"</f>
        <v>23</v>
      </c>
      <c r="D13356" t="str">
        <f>"Slave Riot"</f>
        <v>Slave Riot</v>
      </c>
    </row>
    <row r="13357" spans="1:4" x14ac:dyDescent="0.2">
      <c r="A13357" t="str">
        <f>"13356"</f>
        <v>13356</v>
      </c>
      <c r="B13357" t="str">
        <f>"-0.64"</f>
        <v>-0.64</v>
      </c>
      <c r="C13357" t="str">
        <f>"15"</f>
        <v>15</v>
      </c>
      <c r="D13357" t="str">
        <f>"Small Black EP"</f>
        <v>Small Black EP</v>
      </c>
    </row>
    <row r="13358" spans="1:4" x14ac:dyDescent="0.2">
      <c r="A13358" t="str">
        <f>"13357"</f>
        <v>13357</v>
      </c>
      <c r="B13358" t="str">
        <f>"0.9"</f>
        <v>0.9</v>
      </c>
      <c r="C13358" t="str">
        <f>"21"</f>
        <v>21</v>
      </c>
      <c r="D13358" t="str">
        <f>"White Hills"</f>
        <v>White Hills</v>
      </c>
    </row>
    <row r="13359" spans="1:4" x14ac:dyDescent="0.2">
      <c r="A13359" t="str">
        <f>"13358"</f>
        <v>13358</v>
      </c>
      <c r="B13359" t="str">
        <f>"-1.88"</f>
        <v>-1.88</v>
      </c>
      <c r="C13359" t="str">
        <f>"23"</f>
        <v>23</v>
      </c>
      <c r="D13359" t="str">
        <f>"Wu-Massacre"</f>
        <v>Wu-Massacre</v>
      </c>
    </row>
    <row r="13360" spans="1:4" x14ac:dyDescent="0.2">
      <c r="A13360" t="str">
        <f>"13359"</f>
        <v>13359</v>
      </c>
      <c r="B13360" t="str">
        <f>"-0.56"</f>
        <v>-0.56</v>
      </c>
      <c r="C13360" t="str">
        <f>"26"</f>
        <v>26</v>
      </c>
      <c r="D13360" t="str">
        <f>"High Places vs. Mankind"</f>
        <v>High Places vs. Mankind</v>
      </c>
    </row>
    <row r="13361" spans="1:4" x14ac:dyDescent="0.2">
      <c r="A13361" t="str">
        <f>"13360"</f>
        <v>13360</v>
      </c>
      <c r="B13361" t="str">
        <f>"0.43"</f>
        <v>0.43</v>
      </c>
      <c r="C13361" t="str">
        <f>"23"</f>
        <v>23</v>
      </c>
      <c r="D13361" t="str">
        <f>"The Bundles"</f>
        <v>The Bundles</v>
      </c>
    </row>
    <row r="13362" spans="1:4" x14ac:dyDescent="0.2">
      <c r="A13362" t="str">
        <f>"13361"</f>
        <v>13361</v>
      </c>
      <c r="B13362" t="str">
        <f>"-0.18"</f>
        <v>-0.18</v>
      </c>
      <c r="C13362" t="str">
        <f>"19"</f>
        <v>19</v>
      </c>
      <c r="D13362" t="str">
        <f>"Tommy"</f>
        <v>Tommy</v>
      </c>
    </row>
    <row r="13363" spans="1:4" x14ac:dyDescent="0.2">
      <c r="A13363" t="str">
        <f>"13362"</f>
        <v>13362</v>
      </c>
      <c r="B13363" t="str">
        <f>"1.32"</f>
        <v>1.32</v>
      </c>
      <c r="C13363" t="str">
        <f>"25"</f>
        <v>25</v>
      </c>
      <c r="D13363" t="str">
        <f>"Escape"</f>
        <v>Escape</v>
      </c>
    </row>
    <row r="13364" spans="1:4" x14ac:dyDescent="0.2">
      <c r="A13364" t="str">
        <f>"13363"</f>
        <v>13363</v>
      </c>
      <c r="B13364" t="str">
        <f>"0.68"</f>
        <v>0.68</v>
      </c>
      <c r="C13364" t="str">
        <f>"29"</f>
        <v>29</v>
      </c>
      <c r="D13364" t="str">
        <f>"Here Lies Love"</f>
        <v>Here Lies Love</v>
      </c>
    </row>
    <row r="13365" spans="1:4" x14ac:dyDescent="0.2">
      <c r="A13365" t="str">
        <f>"13364"</f>
        <v>13364</v>
      </c>
      <c r="B13365" t="str">
        <f>"-0.04"</f>
        <v>-0.04</v>
      </c>
      <c r="C13365" t="str">
        <f>"20"</f>
        <v>20</v>
      </c>
      <c r="D13365" t="str">
        <f>"The Dark Leaves"</f>
        <v>The Dark Leaves</v>
      </c>
    </row>
    <row r="13366" spans="1:4" x14ac:dyDescent="0.2">
      <c r="A13366" t="str">
        <f>"13365"</f>
        <v>13365</v>
      </c>
      <c r="B13366" t="str">
        <f>"-0.05"</f>
        <v>-0.05</v>
      </c>
      <c r="C13366" t="str">
        <f>"22"</f>
        <v>22</v>
      </c>
      <c r="D13366" t="str">
        <f>"No Mas"</f>
        <v>No Mas</v>
      </c>
    </row>
    <row r="13367" spans="1:4" x14ac:dyDescent="0.2">
      <c r="A13367" t="str">
        <f>"13366"</f>
        <v>13366</v>
      </c>
      <c r="B13367" t="str">
        <f>"-0.76"</f>
        <v>-0.76</v>
      </c>
      <c r="C13367" t="str">
        <f>"18"</f>
        <v>18</v>
      </c>
      <c r="D13367" t="str">
        <f>"Extra Wow"</f>
        <v>Extra Wow</v>
      </c>
    </row>
    <row r="13368" spans="1:4" x14ac:dyDescent="0.2">
      <c r="A13368" t="str">
        <f>"13367"</f>
        <v>13367</v>
      </c>
      <c r="B13368" t="str">
        <f>"0.63"</f>
        <v>0.63</v>
      </c>
      <c r="C13368" t="str">
        <f>"21"</f>
        <v>21</v>
      </c>
      <c r="D13368" t="str">
        <f>"Bubu King"</f>
        <v>Bubu King</v>
      </c>
    </row>
    <row r="13369" spans="1:4" x14ac:dyDescent="0.2">
      <c r="A13369" t="str">
        <f>"13368"</f>
        <v>13368</v>
      </c>
      <c r="B13369" t="str">
        <f>"0.17"</f>
        <v>0.17</v>
      </c>
      <c r="C13369" t="str">
        <f>"22"</f>
        <v>22</v>
      </c>
      <c r="D13369" t="str">
        <f>"The Places Between: The Best of Doves"</f>
        <v>The Places Between: The Best of Doves</v>
      </c>
    </row>
    <row r="13370" spans="1:4" x14ac:dyDescent="0.2">
      <c r="A13370" t="str">
        <f>"13369"</f>
        <v>13369</v>
      </c>
      <c r="B13370" t="str">
        <f>"0.17"</f>
        <v>0.17</v>
      </c>
      <c r="C13370" t="str">
        <f>"35"</f>
        <v>35</v>
      </c>
      <c r="D13370" t="str">
        <f>"Unfun"</f>
        <v>Unfun</v>
      </c>
    </row>
    <row r="13371" spans="1:4" x14ac:dyDescent="0.2">
      <c r="A13371" t="str">
        <f>"13370"</f>
        <v>13370</v>
      </c>
      <c r="B13371" t="str">
        <f>"0.27"</f>
        <v>0.27</v>
      </c>
      <c r="C13371" t="str">
        <f>"18"</f>
        <v>18</v>
      </c>
      <c r="D13371" t="str">
        <f>"Vol. 2"</f>
        <v>Vol. 2</v>
      </c>
    </row>
    <row r="13372" spans="1:4" x14ac:dyDescent="0.2">
      <c r="A13372" t="str">
        <f>"13371"</f>
        <v>13371</v>
      </c>
      <c r="B13372" t="str">
        <f>"-0.16"</f>
        <v>-0.16</v>
      </c>
      <c r="C13372" t="str">
        <f>"25"</f>
        <v>25</v>
      </c>
      <c r="D13372" t="str">
        <f>"PUMPS!"</f>
        <v>PUMPS!</v>
      </c>
    </row>
    <row r="13373" spans="1:4" x14ac:dyDescent="0.2">
      <c r="A13373" t="str">
        <f>"13372"</f>
        <v>13372</v>
      </c>
      <c r="B13373" t="str">
        <f>"0.23"</f>
        <v>0.23</v>
      </c>
      <c r="C13373" t="str">
        <f>"17"</f>
        <v>17</v>
      </c>
      <c r="D13373" t="str">
        <f>"Skulltaste"</f>
        <v>Skulltaste</v>
      </c>
    </row>
    <row r="13374" spans="1:4" x14ac:dyDescent="0.2">
      <c r="A13374" t="str">
        <f>"13373"</f>
        <v>13373</v>
      </c>
      <c r="B13374" t="str">
        <f>"0.68"</f>
        <v>0.68</v>
      </c>
      <c r="C13374" t="str">
        <f>"39"</f>
        <v>39</v>
      </c>
      <c r="D13374" t="str">
        <f>"New Amerykah Part Two: Return of the Ankh"</f>
        <v>New Amerykah Part Two: Return of the Ankh</v>
      </c>
    </row>
    <row r="13375" spans="1:4" x14ac:dyDescent="0.2">
      <c r="A13375" t="str">
        <f>"13374"</f>
        <v>13374</v>
      </c>
      <c r="B13375" t="str">
        <f>"-0.48"</f>
        <v>-0.48</v>
      </c>
      <c r="C13375" t="str">
        <f>"23"</f>
        <v>23</v>
      </c>
      <c r="D13375" t="str">
        <f>"Hippies"</f>
        <v>Hippies</v>
      </c>
    </row>
    <row r="13376" spans="1:4" x14ac:dyDescent="0.2">
      <c r="A13376" t="str">
        <f>"13375"</f>
        <v>13375</v>
      </c>
      <c r="B13376" t="str">
        <f>"-0.09"</f>
        <v>-0.09</v>
      </c>
      <c r="C13376" t="str">
        <f>"19"</f>
        <v>19</v>
      </c>
      <c r="D13376" t="str">
        <f>"The Predicate (Dub Version)"</f>
        <v>The Predicate (Dub Version)</v>
      </c>
    </row>
    <row r="13377" spans="1:4" x14ac:dyDescent="0.2">
      <c r="A13377" t="str">
        <f>"13376"</f>
        <v>13376</v>
      </c>
      <c r="B13377" t="str">
        <f>"0.69"</f>
        <v>0.69</v>
      </c>
      <c r="C13377" t="str">
        <f>"22"</f>
        <v>22</v>
      </c>
      <c r="D13377" t="str">
        <f>"...And Then We Saw Land"</f>
        <v>...And Then We Saw Land</v>
      </c>
    </row>
    <row r="13378" spans="1:4" x14ac:dyDescent="0.2">
      <c r="A13378" t="str">
        <f>"13377"</f>
        <v>13377</v>
      </c>
      <c r="B13378" t="str">
        <f>"0.6"</f>
        <v>0.6</v>
      </c>
      <c r="C13378" t="str">
        <f>"24"</f>
        <v>24</v>
      </c>
      <c r="D13378" t="str">
        <f>"New Love"</f>
        <v>New Love</v>
      </c>
    </row>
    <row r="13379" spans="1:4" x14ac:dyDescent="0.2">
      <c r="A13379" t="str">
        <f>"13378"</f>
        <v>13378</v>
      </c>
      <c r="B13379" t="str">
        <f>"-0.34"</f>
        <v>-0.34</v>
      </c>
      <c r="C13379" t="str">
        <f>"37"</f>
        <v>37</v>
      </c>
      <c r="D13379" t="str">
        <f>"Go"</f>
        <v>Go</v>
      </c>
    </row>
    <row r="13380" spans="1:4" x14ac:dyDescent="0.2">
      <c r="A13380" t="str">
        <f>"13379"</f>
        <v>13379</v>
      </c>
      <c r="B13380" t="str">
        <f>"0.36"</f>
        <v>0.36</v>
      </c>
      <c r="C13380" t="str">
        <f>"22"</f>
        <v>22</v>
      </c>
      <c r="D13380" t="str">
        <f>"I Learned the Hard Way"</f>
        <v>I Learned the Hard Way</v>
      </c>
    </row>
    <row r="13381" spans="1:4" x14ac:dyDescent="0.2">
      <c r="A13381" t="str">
        <f>"13380"</f>
        <v>13380</v>
      </c>
      <c r="B13381" t="str">
        <f>"1.01"</f>
        <v>1.01</v>
      </c>
      <c r="C13381" t="str">
        <f>"18"</f>
        <v>18</v>
      </c>
      <c r="D13381" t="str">
        <f>"NonStopErotik"</f>
        <v>NonStopErotik</v>
      </c>
    </row>
    <row r="13382" spans="1:4" x14ac:dyDescent="0.2">
      <c r="A13382" t="str">
        <f>"13381"</f>
        <v>13381</v>
      </c>
      <c r="B13382" t="str">
        <f>"0.73"</f>
        <v>0.73</v>
      </c>
      <c r="C13382" t="str">
        <f>"14"</f>
        <v>14</v>
      </c>
      <c r="D13382" t="str">
        <f>"The Law of Large Numbers"</f>
        <v>The Law of Large Numbers</v>
      </c>
    </row>
    <row r="13383" spans="1:4" x14ac:dyDescent="0.2">
      <c r="A13383" t="str">
        <f>"13382"</f>
        <v>13382</v>
      </c>
      <c r="B13383" t="str">
        <f>"0.63"</f>
        <v>0.63</v>
      </c>
      <c r="C13383" t="str">
        <f>"24"</f>
        <v>24</v>
      </c>
      <c r="D13383" t="str">
        <f>"No Rest"</f>
        <v>No Rest</v>
      </c>
    </row>
    <row r="13384" spans="1:4" x14ac:dyDescent="0.2">
      <c r="A13384" t="str">
        <f>"13383"</f>
        <v>13383</v>
      </c>
      <c r="B13384" t="str">
        <f>"0.8"</f>
        <v>0.8</v>
      </c>
      <c r="C13384" t="str">
        <f>"30"</f>
        <v>30</v>
      </c>
      <c r="D13384" t="str">
        <f>"The Wonder Show of the World"</f>
        <v>The Wonder Show of the World</v>
      </c>
    </row>
    <row r="13385" spans="1:4" x14ac:dyDescent="0.2">
      <c r="A13385" t="str">
        <f>"13384"</f>
        <v>13384</v>
      </c>
      <c r="B13385" t="str">
        <f>"0.68"</f>
        <v>0.68</v>
      </c>
      <c r="C13385" t="str">
        <f>"19"</f>
        <v>19</v>
      </c>
      <c r="D13385" t="str">
        <f>"I Speak Because I Can"</f>
        <v>I Speak Because I Can</v>
      </c>
    </row>
    <row r="13386" spans="1:4" x14ac:dyDescent="0.2">
      <c r="A13386" t="str">
        <f>"13385"</f>
        <v>13385</v>
      </c>
      <c r="B13386" t="str">
        <f>"0.89"</f>
        <v>0.89</v>
      </c>
      <c r="C13386" t="str">
        <f>"21"</f>
        <v>21</v>
      </c>
      <c r="D13386" t="str">
        <f>"Triangulation"</f>
        <v>Triangulation</v>
      </c>
    </row>
    <row r="13387" spans="1:4" x14ac:dyDescent="0.2">
      <c r="A13387" t="str">
        <f>"13386"</f>
        <v>13386</v>
      </c>
      <c r="B13387" t="str">
        <f>"-0.46"</f>
        <v>-0.46</v>
      </c>
      <c r="C13387" t="str">
        <f>"18"</f>
        <v>18</v>
      </c>
      <c r="D13387" t="str">
        <f>"Outbursts"</f>
        <v>Outbursts</v>
      </c>
    </row>
    <row r="13388" spans="1:4" x14ac:dyDescent="0.2">
      <c r="A13388" t="str">
        <f>"13387"</f>
        <v>13387</v>
      </c>
      <c r="B13388" t="str">
        <f>"1.16"</f>
        <v>1.16</v>
      </c>
      <c r="C13388" t="str">
        <f>"23"</f>
        <v>23</v>
      </c>
      <c r="D13388" t="str">
        <f>"Future Factory"</f>
        <v>Future Factory</v>
      </c>
    </row>
    <row r="13389" spans="1:4" x14ac:dyDescent="0.2">
      <c r="A13389" t="str">
        <f>"13388"</f>
        <v>13388</v>
      </c>
      <c r="B13389" t="str">
        <f>"-1.26"</f>
        <v>-1.26</v>
      </c>
      <c r="C13389" t="str">
        <f>"30"</f>
        <v>30</v>
      </c>
      <c r="D13389" t="str">
        <f>"Sisterworld Reinterpretations"</f>
        <v>Sisterworld Reinterpretations</v>
      </c>
    </row>
    <row r="13390" spans="1:4" x14ac:dyDescent="0.2">
      <c r="A13390" t="str">
        <f>"13389"</f>
        <v>13389</v>
      </c>
      <c r="B13390" t="str">
        <f>"0.36"</f>
        <v>0.36</v>
      </c>
      <c r="C13390" t="str">
        <f>"16"</f>
        <v>16</v>
      </c>
      <c r="D13390" t="str">
        <f>"Black Tambourine"</f>
        <v>Black Tambourine</v>
      </c>
    </row>
    <row r="13391" spans="1:4" x14ac:dyDescent="0.2">
      <c r="A13391" t="str">
        <f>"13390"</f>
        <v>13390</v>
      </c>
      <c r="B13391" t="str">
        <f>"1.02"</f>
        <v>1.02</v>
      </c>
      <c r="C13391" t="str">
        <f>"27"</f>
        <v>27</v>
      </c>
      <c r="D13391" t="str">
        <f>"Our Inventions"</f>
        <v>Our Inventions</v>
      </c>
    </row>
    <row r="13392" spans="1:4" x14ac:dyDescent="0.2">
      <c r="A13392" t="str">
        <f>"13391"</f>
        <v>13391</v>
      </c>
      <c r="B13392" t="str">
        <f>"-0.16"</f>
        <v>-0.16</v>
      </c>
      <c r="C13392" t="str">
        <f>"15"</f>
        <v>15</v>
      </c>
      <c r="D13392" t="str">
        <f>"Holy Broken"</f>
        <v>Holy Broken</v>
      </c>
    </row>
    <row r="13393" spans="1:4" x14ac:dyDescent="0.2">
      <c r="A13393" t="str">
        <f>"13392"</f>
        <v>13392</v>
      </c>
      <c r="B13393" t="str">
        <f>"1.03"</f>
        <v>1.03</v>
      </c>
      <c r="C13393" t="str">
        <f>"15"</f>
        <v>15</v>
      </c>
      <c r="D13393" t="str">
        <f>"Machines That Listen"</f>
        <v>Machines That Listen</v>
      </c>
    </row>
    <row r="13394" spans="1:4" x14ac:dyDescent="0.2">
      <c r="A13394" t="str">
        <f>"13393"</f>
        <v>13393</v>
      </c>
      <c r="B13394" t="str">
        <f>"0.96"</f>
        <v>0.96</v>
      </c>
      <c r="C13394" t="str">
        <f>"20"</f>
        <v>20</v>
      </c>
      <c r="D13394" t="str">
        <f>"I Will Be"</f>
        <v>I Will Be</v>
      </c>
    </row>
    <row r="13395" spans="1:4" x14ac:dyDescent="0.2">
      <c r="A13395" t="str">
        <f>"13394"</f>
        <v>13394</v>
      </c>
      <c r="B13395" t="str">
        <f>"-0.08"</f>
        <v>-0.08</v>
      </c>
      <c r="C13395" t="str">
        <f>"21"</f>
        <v>21</v>
      </c>
      <c r="D13395" t="str">
        <f>"Nolens Volens"</f>
        <v>Nolens Volens</v>
      </c>
    </row>
    <row r="13396" spans="1:4" x14ac:dyDescent="0.2">
      <c r="A13396" t="str">
        <f>"13395"</f>
        <v>13395</v>
      </c>
      <c r="B13396" t="str">
        <f>"1.21"</f>
        <v>1.21</v>
      </c>
      <c r="C13396" t="str">
        <f>"19"</f>
        <v>19</v>
      </c>
      <c r="D13396" t="str">
        <f>"Mimicking Birds"</f>
        <v>Mimicking Birds</v>
      </c>
    </row>
    <row r="13397" spans="1:4" x14ac:dyDescent="0.2">
      <c r="A13397" t="str">
        <f>"13396"</f>
        <v>13396</v>
      </c>
      <c r="B13397" t="str">
        <f>"-0.46"</f>
        <v>-0.46</v>
      </c>
      <c r="C13397" t="str">
        <f>"22"</f>
        <v>22</v>
      </c>
      <c r="D13397" t="str">
        <f>"Endless Falls"</f>
        <v>Endless Falls</v>
      </c>
    </row>
    <row r="13398" spans="1:4" x14ac:dyDescent="0.2">
      <c r="A13398" t="str">
        <f>"13397"</f>
        <v>13397</v>
      </c>
      <c r="B13398" t="str">
        <f>"0.1"</f>
        <v>0.1</v>
      </c>
      <c r="C13398" t="str">
        <f>"14"</f>
        <v>14</v>
      </c>
      <c r="D13398" t="str">
        <f>"Wrestling Moves"</f>
        <v>Wrestling Moves</v>
      </c>
    </row>
    <row r="13399" spans="1:4" x14ac:dyDescent="0.2">
      <c r="A13399" t="str">
        <f>"13398"</f>
        <v>13398</v>
      </c>
      <c r="B13399" t="str">
        <f>"1.5"</f>
        <v>1.5</v>
      </c>
      <c r="C13399" t="str">
        <f>"54"</f>
        <v>54</v>
      </c>
      <c r="D13399" t="str">
        <f>"Today"</f>
        <v>Today</v>
      </c>
    </row>
    <row r="13400" spans="1:4" x14ac:dyDescent="0.2">
      <c r="A13400" t="str">
        <f>"13399"</f>
        <v>13399</v>
      </c>
      <c r="B13400" t="str">
        <f>"1.56"</f>
        <v>1.56</v>
      </c>
      <c r="C13400" t="str">
        <f>"25"</f>
        <v>25</v>
      </c>
      <c r="D13400" t="str">
        <f>"Tomorrow Is Alright"</f>
        <v>Tomorrow Is Alright</v>
      </c>
    </row>
    <row r="13401" spans="1:4" x14ac:dyDescent="0.2">
      <c r="A13401" t="str">
        <f>"13400"</f>
        <v>13400</v>
      </c>
      <c r="B13401" t="str">
        <f>"0.83"</f>
        <v>0.83</v>
      </c>
      <c r="C13401" t="str">
        <f>"28"</f>
        <v>28</v>
      </c>
      <c r="D13401" t="str">
        <f>"Color Your Life"</f>
        <v>Color Your Life</v>
      </c>
    </row>
    <row r="13402" spans="1:4" x14ac:dyDescent="0.2">
      <c r="A13402" t="str">
        <f>"13401"</f>
        <v>13401</v>
      </c>
      <c r="B13402" t="str">
        <f>"0.07"</f>
        <v>0.07</v>
      </c>
      <c r="C13402" t="str">
        <f>"23"</f>
        <v>23</v>
      </c>
      <c r="D13402" t="str">
        <f>"Africa"</f>
        <v>Africa</v>
      </c>
    </row>
    <row r="13403" spans="1:4" x14ac:dyDescent="0.2">
      <c r="A13403" t="str">
        <f>"13402"</f>
        <v>13402</v>
      </c>
      <c r="B13403" t="str">
        <f>"0.36"</f>
        <v>0.36</v>
      </c>
      <c r="C13403" t="str">
        <f>"17"</f>
        <v>17</v>
      </c>
      <c r="D13403" t="str">
        <f>"White Mystery"</f>
        <v>White Mystery</v>
      </c>
    </row>
    <row r="13404" spans="1:4" x14ac:dyDescent="0.2">
      <c r="A13404" t="str">
        <f>"13403"</f>
        <v>13403</v>
      </c>
      <c r="B13404" t="str">
        <f>"-0.91"</f>
        <v>-0.91</v>
      </c>
      <c r="C13404" t="str">
        <f>"38"</f>
        <v>38</v>
      </c>
      <c r="D13404" t="str">
        <f>"Roman Candle"</f>
        <v>Roman Candle</v>
      </c>
    </row>
    <row r="13405" spans="1:4" x14ac:dyDescent="0.2">
      <c r="A13405" t="str">
        <f>"13404"</f>
        <v>13404</v>
      </c>
      <c r="B13405" t="str">
        <f>"1.95"</f>
        <v>1.95</v>
      </c>
      <c r="C13405" t="str">
        <f>"27"</f>
        <v>27</v>
      </c>
      <c r="D13405" t="str">
        <f>"Mulatu Steps Ahead"</f>
        <v>Mulatu Steps Ahead</v>
      </c>
    </row>
    <row r="13406" spans="1:4" x14ac:dyDescent="0.2">
      <c r="A13406" t="str">
        <f>"13405"</f>
        <v>13405</v>
      </c>
      <c r="B13406" t="str">
        <f>"0.64"</f>
        <v>0.64</v>
      </c>
      <c r="C13406" t="str">
        <f>"13"</f>
        <v>13</v>
      </c>
      <c r="D13406" t="str">
        <f>"The Illustrated Garden"</f>
        <v>The Illustrated Garden</v>
      </c>
    </row>
    <row r="13407" spans="1:4" x14ac:dyDescent="0.2">
      <c r="A13407" t="str">
        <f>"13406"</f>
        <v>13406</v>
      </c>
      <c r="B13407" t="str">
        <f>"0.9"</f>
        <v>0.9</v>
      </c>
      <c r="C13407" t="str">
        <f>"19"</f>
        <v>19</v>
      </c>
      <c r="D13407" t="str">
        <f>"And in the Endless Pause There Came the Sound of Bees"</f>
        <v>And in the Endless Pause There Came the Sound of Bees</v>
      </c>
    </row>
    <row r="13408" spans="1:4" x14ac:dyDescent="0.2">
      <c r="A13408" t="str">
        <f>"13407"</f>
        <v>13407</v>
      </c>
      <c r="B13408" t="str">
        <f>"-0.08"</f>
        <v>-0.08</v>
      </c>
      <c r="C13408" t="str">
        <f>"19"</f>
        <v>19</v>
      </c>
      <c r="D13408" t="str">
        <f>"Love &amp; Desperation"</f>
        <v>Love &amp; Desperation</v>
      </c>
    </row>
    <row r="13409" spans="1:4" x14ac:dyDescent="0.2">
      <c r="A13409" t="str">
        <f>"13408"</f>
        <v>13408</v>
      </c>
      <c r="B13409" t="str">
        <f>"0.48"</f>
        <v>0.48</v>
      </c>
      <c r="C13409" t="str">
        <f>"60"</f>
        <v>60</v>
      </c>
      <c r="D13409" t="str">
        <f>"Under Great White Northern Lights"</f>
        <v>Under Great White Northern Lights</v>
      </c>
    </row>
    <row r="13410" spans="1:4" x14ac:dyDescent="0.2">
      <c r="A13410" t="str">
        <f>"13409"</f>
        <v>13409</v>
      </c>
      <c r="B13410" t="str">
        <f>"0.83"</f>
        <v>0.83</v>
      </c>
      <c r="C13410" t="str">
        <f>"16"</f>
        <v>16</v>
      </c>
      <c r="D13410" t="str">
        <f>"Missing Deadlines: Selected Remixes"</f>
        <v>Missing Deadlines: Selected Remixes</v>
      </c>
    </row>
    <row r="13411" spans="1:4" x14ac:dyDescent="0.2">
      <c r="A13411" t="str">
        <f>"13410"</f>
        <v>13410</v>
      </c>
      <c r="B13411" t="str">
        <f>"-0.24"</f>
        <v>-0.24</v>
      </c>
      <c r="C13411" t="str">
        <f>"15"</f>
        <v>15</v>
      </c>
      <c r="D13411" t="str">
        <f>"Dear Companion"</f>
        <v>Dear Companion</v>
      </c>
    </row>
    <row r="13412" spans="1:4" x14ac:dyDescent="0.2">
      <c r="A13412" t="str">
        <f>"13411"</f>
        <v>13411</v>
      </c>
      <c r="B13412" t="str">
        <f>"1.34"</f>
        <v>1.34</v>
      </c>
      <c r="C13412" t="str">
        <f>"22"</f>
        <v>22</v>
      </c>
      <c r="D13412" t="str">
        <f>"Lux"</f>
        <v>Lux</v>
      </c>
    </row>
    <row r="13413" spans="1:4" x14ac:dyDescent="0.2">
      <c r="A13413" t="str">
        <f>"13412"</f>
        <v>13412</v>
      </c>
      <c r="B13413" t="str">
        <f>"0.3"</f>
        <v>0.3</v>
      </c>
      <c r="C13413" t="str">
        <f>"23"</f>
        <v>23</v>
      </c>
      <c r="D13413" t="s">
        <v>411</v>
      </c>
    </row>
    <row r="13414" spans="1:4" x14ac:dyDescent="0.2">
      <c r="A13414" t="str">
        <f>"13413"</f>
        <v>13413</v>
      </c>
      <c r="B13414" t="str">
        <f>"0.53"</f>
        <v>0.53</v>
      </c>
      <c r="C13414" t="str">
        <f>"26"</f>
        <v>26</v>
      </c>
      <c r="D13414" t="str">
        <f>"Head First"</f>
        <v>Head First</v>
      </c>
    </row>
    <row r="13415" spans="1:4" x14ac:dyDescent="0.2">
      <c r="A13415" t="str">
        <f>"13414"</f>
        <v>13414</v>
      </c>
      <c r="B13415" t="str">
        <f>"0.29"</f>
        <v>0.29</v>
      </c>
      <c r="C13415" t="str">
        <f>"29"</f>
        <v>29</v>
      </c>
      <c r="D13415" t="str">
        <f>"Two Thousand and Ten Injuries"</f>
        <v>Two Thousand and Ten Injuries</v>
      </c>
    </row>
    <row r="13416" spans="1:4" x14ac:dyDescent="0.2">
      <c r="A13416" t="str">
        <f>"13415"</f>
        <v>13415</v>
      </c>
      <c r="B13416" t="str">
        <f>"-0.65"</f>
        <v>-0.65</v>
      </c>
      <c r="C13416" t="str">
        <f>"24"</f>
        <v>24</v>
      </c>
      <c r="D13416" t="str">
        <f>"Manifesto"</f>
        <v>Manifesto</v>
      </c>
    </row>
    <row r="13417" spans="1:4" x14ac:dyDescent="0.2">
      <c r="A13417" t="str">
        <f>"13416"</f>
        <v>13416</v>
      </c>
      <c r="B13417" t="str">
        <f>"-0.68"</f>
        <v>-0.68</v>
      </c>
      <c r="C13417" t="str">
        <f>"16"</f>
        <v>16</v>
      </c>
      <c r="D13417" t="str">
        <f>"Sleep Mountain"</f>
        <v>Sleep Mountain</v>
      </c>
    </row>
    <row r="13418" spans="1:4" x14ac:dyDescent="0.2">
      <c r="A13418" t="str">
        <f>"13417"</f>
        <v>13417</v>
      </c>
      <c r="B13418" t="str">
        <f>"-0.54"</f>
        <v>-0.54</v>
      </c>
      <c r="C13418" t="str">
        <f>"13"</f>
        <v>13</v>
      </c>
      <c r="D13418" t="str">
        <f>"The Optimist"</f>
        <v>The Optimist</v>
      </c>
    </row>
    <row r="13419" spans="1:4" x14ac:dyDescent="0.2">
      <c r="A13419" t="str">
        <f>"13418"</f>
        <v>13418</v>
      </c>
      <c r="B13419" t="str">
        <f>"0.42"</f>
        <v>0.42</v>
      </c>
      <c r="C13419" t="str">
        <f>"17"</f>
        <v>17</v>
      </c>
      <c r="D13419" t="s">
        <v>412</v>
      </c>
    </row>
    <row r="13420" spans="1:4" x14ac:dyDescent="0.2">
      <c r="A13420" t="str">
        <f>"13419"</f>
        <v>13419</v>
      </c>
      <c r="B13420" t="str">
        <f>"-0.47"</f>
        <v>-0.47</v>
      </c>
      <c r="C13420" t="str">
        <f>"22"</f>
        <v>22</v>
      </c>
      <c r="D13420" t="str">
        <f>"Dirty Shirt Rock 'n' Roll: The First Ten Years"</f>
        <v>Dirty Shirt Rock 'n' Roll: The First Ten Years</v>
      </c>
    </row>
    <row r="13421" spans="1:4" x14ac:dyDescent="0.2">
      <c r="A13421" t="str">
        <f>"13420"</f>
        <v>13420</v>
      </c>
      <c r="B13421" t="str">
        <f>"-0.44"</f>
        <v>-0.44</v>
      </c>
      <c r="C13421" t="str">
        <f>"25"</f>
        <v>25</v>
      </c>
      <c r="D13421" t="str">
        <f>"S-M 2: Abyss in B Minor"</f>
        <v>S-M 2: Abyss in B Minor</v>
      </c>
    </row>
    <row r="13422" spans="1:4" x14ac:dyDescent="0.2">
      <c r="A13422" t="str">
        <f>"13421"</f>
        <v>13421</v>
      </c>
      <c r="B13422" t="str">
        <f>"0.66"</f>
        <v>0.66</v>
      </c>
      <c r="C13422" t="str">
        <f>"19"</f>
        <v>19</v>
      </c>
      <c r="D13422" t="str">
        <f>"Everyday Balloons"</f>
        <v>Everyday Balloons</v>
      </c>
    </row>
    <row r="13423" spans="1:4" x14ac:dyDescent="0.2">
      <c r="A13423" t="str">
        <f>"13422"</f>
        <v>13422</v>
      </c>
      <c r="B13423" t="str">
        <f>"0.3"</f>
        <v>0.3</v>
      </c>
      <c r="C13423" t="str">
        <f>"25"</f>
        <v>25</v>
      </c>
      <c r="D13423" t="str">
        <f>"A"</f>
        <v>A</v>
      </c>
    </row>
    <row r="13424" spans="1:4" x14ac:dyDescent="0.2">
      <c r="A13424" t="str">
        <f>"13423"</f>
        <v>13423</v>
      </c>
      <c r="B13424" t="str">
        <f>"0.06"</f>
        <v>0.06</v>
      </c>
      <c r="C13424" t="str">
        <f>"23"</f>
        <v>23</v>
      </c>
      <c r="D13424" t="str">
        <f>"Greenberg OST"</f>
        <v>Greenberg OST</v>
      </c>
    </row>
    <row r="13425" spans="1:4" x14ac:dyDescent="0.2">
      <c r="A13425" t="str">
        <f>"13424"</f>
        <v>13424</v>
      </c>
      <c r="B13425" t="str">
        <f>"-0.79"</f>
        <v>-0.79</v>
      </c>
      <c r="C13425" t="str">
        <f>"20"</f>
        <v>20</v>
      </c>
      <c r="D13425" t="str">
        <f>"In the Court of the Wrestling Let's"</f>
        <v>In the Court of the Wrestling Let's</v>
      </c>
    </row>
    <row r="13426" spans="1:4" x14ac:dyDescent="0.2">
      <c r="A13426" t="str">
        <f>"13425"</f>
        <v>13425</v>
      </c>
      <c r="B13426" t="str">
        <f>"0.68"</f>
        <v>0.68</v>
      </c>
      <c r="C13426" t="str">
        <f>"23"</f>
        <v>23</v>
      </c>
      <c r="D13426" t="s">
        <v>413</v>
      </c>
    </row>
    <row r="13427" spans="1:4" x14ac:dyDescent="0.2">
      <c r="A13427" t="str">
        <f>"13426"</f>
        <v>13426</v>
      </c>
      <c r="B13427" t="str">
        <f>"0.09"</f>
        <v>0.09</v>
      </c>
      <c r="C13427" t="str">
        <f>"25"</f>
        <v>25</v>
      </c>
      <c r="D13427" t="str">
        <f>"Alex Bleeker and the Freaks"</f>
        <v>Alex Bleeker and the Freaks</v>
      </c>
    </row>
    <row r="13428" spans="1:4" x14ac:dyDescent="0.2">
      <c r="A13428" t="str">
        <f>"13427"</f>
        <v>13427</v>
      </c>
      <c r="B13428" t="str">
        <f>"-1.14"</f>
        <v>-1.14</v>
      </c>
      <c r="C13428" t="str">
        <f>"14"</f>
        <v>14</v>
      </c>
      <c r="D13428" t="str">
        <f>"Invisible Violence"</f>
        <v>Invisible Violence</v>
      </c>
    </row>
    <row r="13429" spans="1:4" x14ac:dyDescent="0.2">
      <c r="A13429" t="str">
        <f>"13428"</f>
        <v>13428</v>
      </c>
      <c r="B13429" t="str">
        <f>"0"</f>
        <v>0</v>
      </c>
      <c r="C13429" t="str">
        <f>"28"</f>
        <v>28</v>
      </c>
      <c r="D13429" t="str">
        <f>"Volume Two"</f>
        <v>Volume Two</v>
      </c>
    </row>
    <row r="13430" spans="1:4" x14ac:dyDescent="0.2">
      <c r="A13430" t="str">
        <f>"13429"</f>
        <v>13429</v>
      </c>
      <c r="B13430" t="str">
        <f>"-0.75"</f>
        <v>-0.75</v>
      </c>
      <c r="C13430" t="str">
        <f>"20"</f>
        <v>20</v>
      </c>
      <c r="D13430" t="str">
        <f>"Oversteps"</f>
        <v>Oversteps</v>
      </c>
    </row>
    <row r="13431" spans="1:4" x14ac:dyDescent="0.2">
      <c r="A13431" t="str">
        <f>"13430"</f>
        <v>13430</v>
      </c>
      <c r="B13431" t="str">
        <f>"0.04"</f>
        <v>0.04</v>
      </c>
      <c r="C13431" t="str">
        <f>"21"</f>
        <v>21</v>
      </c>
      <c r="D13431" t="str">
        <f>"This Is Still It"</f>
        <v>This Is Still It</v>
      </c>
    </row>
    <row r="13432" spans="1:4" x14ac:dyDescent="0.2">
      <c r="A13432" t="str">
        <f>"13431"</f>
        <v>13431</v>
      </c>
      <c r="B13432" t="str">
        <f>"0.25"</f>
        <v>0.25</v>
      </c>
      <c r="C13432" t="str">
        <f>"14"</f>
        <v>14</v>
      </c>
      <c r="D13432" t="str">
        <f>"Kings Ballad"</f>
        <v>Kings Ballad</v>
      </c>
    </row>
    <row r="13433" spans="1:4" x14ac:dyDescent="0.2">
      <c r="A13433" t="str">
        <f>"13432"</f>
        <v>13432</v>
      </c>
      <c r="B13433" t="str">
        <f>"0.35"</f>
        <v>0.35</v>
      </c>
      <c r="C13433" t="str">
        <f>"23"</f>
        <v>23</v>
      </c>
      <c r="D13433" t="str">
        <f>"Chant Darling"</f>
        <v>Chant Darling</v>
      </c>
    </row>
    <row r="13434" spans="1:4" x14ac:dyDescent="0.2">
      <c r="A13434" t="str">
        <f>"13433"</f>
        <v>13433</v>
      </c>
      <c r="B13434" t="str">
        <f>"0.34"</f>
        <v>0.34</v>
      </c>
      <c r="C13434" t="str">
        <f>"22"</f>
        <v>22</v>
      </c>
      <c r="D13434" t="str">
        <f>"jj n° 3"</f>
        <v>jj n° 3</v>
      </c>
    </row>
    <row r="13435" spans="1:4" x14ac:dyDescent="0.2">
      <c r="A13435" t="str">
        <f>"13434"</f>
        <v>13434</v>
      </c>
      <c r="B13435" t="str">
        <f>"-0.5"</f>
        <v>-0.5</v>
      </c>
      <c r="C13435" t="str">
        <f>"19"</f>
        <v>19</v>
      </c>
      <c r="D13435" t="str">
        <f>"The Martyrdom of a Catastrophist"</f>
        <v>The Martyrdom of a Catastrophist</v>
      </c>
    </row>
    <row r="13436" spans="1:4" x14ac:dyDescent="0.2">
      <c r="A13436" t="str">
        <f>"13435"</f>
        <v>13435</v>
      </c>
      <c r="B13436" t="str">
        <f>"0.51"</f>
        <v>0.51</v>
      </c>
      <c r="C13436" t="str">
        <f>"18"</f>
        <v>18</v>
      </c>
      <c r="D13436" t="str">
        <f>"Settings EP"</f>
        <v>Settings EP</v>
      </c>
    </row>
    <row r="13437" spans="1:4" x14ac:dyDescent="0.2">
      <c r="A13437" t="str">
        <f>"13436"</f>
        <v>13436</v>
      </c>
      <c r="B13437" t="str">
        <f>"0.63"</f>
        <v>0.63</v>
      </c>
      <c r="C13437" t="str">
        <f>"27"</f>
        <v>27</v>
      </c>
      <c r="D13437" t="str">
        <f>"Rough Frame EP"</f>
        <v>Rough Frame EP</v>
      </c>
    </row>
    <row r="13438" spans="1:4" x14ac:dyDescent="0.2">
      <c r="A13438" t="str">
        <f>"13437"</f>
        <v>13437</v>
      </c>
      <c r="B13438" t="str">
        <f>"1.13"</f>
        <v>1.13</v>
      </c>
      <c r="C13438" t="str">
        <f>"18"</f>
        <v>18</v>
      </c>
      <c r="D13438" t="str">
        <f>"Fly Yellow Moon"</f>
        <v>Fly Yellow Moon</v>
      </c>
    </row>
    <row r="13439" spans="1:4" x14ac:dyDescent="0.2">
      <c r="A13439" t="str">
        <f>"13438"</f>
        <v>13438</v>
      </c>
      <c r="B13439" t="str">
        <f>"0.16"</f>
        <v>0.16</v>
      </c>
      <c r="C13439" t="str">
        <f>"36"</f>
        <v>36</v>
      </c>
      <c r="D13439" t="str">
        <f>"Stuck on Nothing"</f>
        <v>Stuck on Nothing</v>
      </c>
    </row>
    <row r="13440" spans="1:4" x14ac:dyDescent="0.2">
      <c r="A13440" t="str">
        <f>"13439"</f>
        <v>13439</v>
      </c>
      <c r="B13440" t="str">
        <f>"0.73"</f>
        <v>0.73</v>
      </c>
      <c r="C13440" t="str">
        <f>"22"</f>
        <v>22</v>
      </c>
      <c r="D13440" t="str">
        <f>"Massa Hypnos"</f>
        <v>Massa Hypnos</v>
      </c>
    </row>
    <row r="13441" spans="1:4" x14ac:dyDescent="0.2">
      <c r="A13441" t="str">
        <f>"13440"</f>
        <v>13440</v>
      </c>
      <c r="B13441" t="str">
        <f>"-0.28"</f>
        <v>-0.28</v>
      </c>
      <c r="C13441" t="str">
        <f>"25"</f>
        <v>25</v>
      </c>
      <c r="D13441" t="str">
        <f>"Sweet Sister EP"</f>
        <v>Sweet Sister EP</v>
      </c>
    </row>
    <row r="13442" spans="1:4" x14ac:dyDescent="0.2">
      <c r="A13442" t="str">
        <f>"13441"</f>
        <v>13441</v>
      </c>
      <c r="B13442" t="str">
        <f>"0.76"</f>
        <v>0.76</v>
      </c>
      <c r="C13442" t="str">
        <f>"20"</f>
        <v>20</v>
      </c>
      <c r="D13442" t="str">
        <f>"Be Brave"</f>
        <v>Be Brave</v>
      </c>
    </row>
    <row r="13443" spans="1:4" x14ac:dyDescent="0.2">
      <c r="A13443" t="str">
        <f>"13442"</f>
        <v>13442</v>
      </c>
      <c r="B13443" t="str">
        <f>"-0.29"</f>
        <v>-0.29</v>
      </c>
      <c r="C13443" t="str">
        <f>"28"</f>
        <v>28</v>
      </c>
      <c r="D13443" t="str">
        <f>"Masks EP"</f>
        <v>Masks EP</v>
      </c>
    </row>
    <row r="13444" spans="1:4" x14ac:dyDescent="0.2">
      <c r="A13444" t="str">
        <f>"13443"</f>
        <v>13443</v>
      </c>
      <c r="B13444" t="str">
        <f>"0.59"</f>
        <v>0.59</v>
      </c>
      <c r="C13444" t="str">
        <f>"25"</f>
        <v>25</v>
      </c>
      <c r="D13444" t="str">
        <f>"Big Echo"</f>
        <v>Big Echo</v>
      </c>
    </row>
    <row r="13445" spans="1:4" x14ac:dyDescent="0.2">
      <c r="A13445" t="str">
        <f>"13444"</f>
        <v>13444</v>
      </c>
      <c r="B13445" t="str">
        <f>"-0.04"</f>
        <v>-0.04</v>
      </c>
      <c r="C13445" t="str">
        <f>"25"</f>
        <v>25</v>
      </c>
      <c r="D13445" t="str">
        <f>"Weathervanes"</f>
        <v>Weathervanes</v>
      </c>
    </row>
    <row r="13446" spans="1:4" x14ac:dyDescent="0.2">
      <c r="A13446" t="str">
        <f>"13445"</f>
        <v>13445</v>
      </c>
      <c r="B13446" t="str">
        <f>"0.75"</f>
        <v>0.75</v>
      </c>
      <c r="C13446" t="str">
        <f>"25"</f>
        <v>25</v>
      </c>
      <c r="D13446" t="str">
        <f>"Happy Birthday"</f>
        <v>Happy Birthday</v>
      </c>
    </row>
    <row r="13447" spans="1:4" x14ac:dyDescent="0.2">
      <c r="A13447" t="str">
        <f>"13446"</f>
        <v>13446</v>
      </c>
      <c r="B13447" t="str">
        <f>"0.03"</f>
        <v>0.03</v>
      </c>
      <c r="C13447" t="str">
        <f>"34"</f>
        <v>34</v>
      </c>
      <c r="D13447" t="str">
        <f>"Message From the Tribe: An Anthology of Tribe Records 1972-1976"</f>
        <v>Message From the Tribe: An Anthology of Tribe Records 1972-1976</v>
      </c>
    </row>
    <row r="13448" spans="1:4" x14ac:dyDescent="0.2">
      <c r="A13448" t="str">
        <f>"13447"</f>
        <v>13447</v>
      </c>
      <c r="B13448" t="str">
        <f>"-0.48"</f>
        <v>-0.48</v>
      </c>
      <c r="C13448" t="str">
        <f>"20"</f>
        <v>20</v>
      </c>
      <c r="D13448" t="str">
        <f>"Polaroid Piano"</f>
        <v>Polaroid Piano</v>
      </c>
    </row>
    <row r="13449" spans="1:4" x14ac:dyDescent="0.2">
      <c r="A13449" t="str">
        <f>"13448"</f>
        <v>13448</v>
      </c>
      <c r="B13449" t="str">
        <f>"0.31"</f>
        <v>0.31</v>
      </c>
      <c r="C13449" t="str">
        <f>"16"</f>
        <v>16</v>
      </c>
      <c r="D13449" t="str">
        <f>"The Big To-Do"</f>
        <v>The Big To-Do</v>
      </c>
    </row>
    <row r="13450" spans="1:4" x14ac:dyDescent="0.2">
      <c r="A13450" t="str">
        <f>"13449"</f>
        <v>13449</v>
      </c>
      <c r="B13450" t="str">
        <f>"0.23"</f>
        <v>0.23</v>
      </c>
      <c r="C13450" t="str">
        <f>"19"</f>
        <v>19</v>
      </c>
      <c r="D13450" t="str">
        <f>"Are the Roaring Night"</f>
        <v>Are the Roaring Night</v>
      </c>
    </row>
    <row r="13451" spans="1:4" x14ac:dyDescent="0.2">
      <c r="A13451" t="str">
        <f>"13450"</f>
        <v>13450</v>
      </c>
      <c r="B13451" t="str">
        <f>"-1.34"</f>
        <v>-1.34</v>
      </c>
      <c r="C13451" t="str">
        <f>"26"</f>
        <v>26</v>
      </c>
      <c r="D13451" t="str">
        <f>"Who Killed Sgt. Pepper?"</f>
        <v>Who Killed Sgt. Pepper?</v>
      </c>
    </row>
    <row r="13452" spans="1:4" x14ac:dyDescent="0.2">
      <c r="A13452" t="str">
        <f>"13451"</f>
        <v>13451</v>
      </c>
      <c r="B13452" t="str">
        <f>"0.34"</f>
        <v>0.34</v>
      </c>
      <c r="C13452" t="str">
        <f>"33"</f>
        <v>33</v>
      </c>
      <c r="D13452" t="str">
        <f>"Wildling"</f>
        <v>Wildling</v>
      </c>
    </row>
    <row r="13453" spans="1:4" x14ac:dyDescent="0.2">
      <c r="A13453" t="str">
        <f>"13452"</f>
        <v>13452</v>
      </c>
      <c r="B13453" t="str">
        <f>"0.21"</f>
        <v>0.21</v>
      </c>
      <c r="C13453" t="str">
        <f>"22"</f>
        <v>22</v>
      </c>
      <c r="D13453" t="str">
        <f>"Gay Singles"</f>
        <v>Gay Singles</v>
      </c>
    </row>
    <row r="13454" spans="1:4" x14ac:dyDescent="0.2">
      <c r="A13454" t="str">
        <f>"13453"</f>
        <v>13453</v>
      </c>
      <c r="B13454" t="str">
        <f>"0.8"</f>
        <v>0.8</v>
      </c>
      <c r="C13454" t="str">
        <f>"21"</f>
        <v>21</v>
      </c>
      <c r="D13454" t="str">
        <f>"Fang Island"</f>
        <v>Fang Island</v>
      </c>
    </row>
    <row r="13455" spans="1:4" x14ac:dyDescent="0.2">
      <c r="A13455" t="str">
        <f>"13454"</f>
        <v>13454</v>
      </c>
      <c r="B13455" t="str">
        <f>"-0.15"</f>
        <v>-0.15</v>
      </c>
      <c r="C13455" t="str">
        <f>"21"</f>
        <v>21</v>
      </c>
      <c r="D13455" t="str">
        <f>"Rush to Relax"</f>
        <v>Rush to Relax</v>
      </c>
    </row>
    <row r="13456" spans="1:4" x14ac:dyDescent="0.2">
      <c r="A13456" t="str">
        <f>"13455"</f>
        <v>13455</v>
      </c>
      <c r="B13456" t="str">
        <f>"0.36"</f>
        <v>0.36</v>
      </c>
      <c r="C13456" t="str">
        <f>"19"</f>
        <v>19</v>
      </c>
      <c r="D13456" t="str">
        <f>"Lay of Pilgrim Park"</f>
        <v>Lay of Pilgrim Park</v>
      </c>
    </row>
    <row r="13457" spans="1:4" x14ac:dyDescent="0.2">
      <c r="A13457" t="str">
        <f>"13456"</f>
        <v>13456</v>
      </c>
      <c r="B13457" t="str">
        <f>"-0.43"</f>
        <v>-0.43</v>
      </c>
      <c r="C13457" t="str">
        <f>"16"</f>
        <v>16</v>
      </c>
      <c r="D13457" t="str">
        <f>"Shaved EP"</f>
        <v>Shaved EP</v>
      </c>
    </row>
    <row r="13458" spans="1:4" x14ac:dyDescent="0.2">
      <c r="A13458" t="str">
        <f>"13457"</f>
        <v>13457</v>
      </c>
      <c r="B13458" t="str">
        <f>"0.96"</f>
        <v>0.96</v>
      </c>
      <c r="C13458" t="str">
        <f>"27"</f>
        <v>27</v>
      </c>
      <c r="D13458" t="str">
        <f>"PVI006/IBB004"</f>
        <v>PVI006/IBB004</v>
      </c>
    </row>
    <row r="13459" spans="1:4" x14ac:dyDescent="0.2">
      <c r="A13459" t="str">
        <f>"13458"</f>
        <v>13458</v>
      </c>
      <c r="B13459" t="str">
        <f>"-1.02"</f>
        <v>-1.02</v>
      </c>
      <c r="C13459" t="str">
        <f>"24"</f>
        <v>24</v>
      </c>
      <c r="D13459" t="str">
        <f>"The Monitor"</f>
        <v>The Monitor</v>
      </c>
    </row>
    <row r="13460" spans="1:4" x14ac:dyDescent="0.2">
      <c r="A13460" t="str">
        <f>"13459"</f>
        <v>13459</v>
      </c>
      <c r="B13460" t="str">
        <f>"0.47"</f>
        <v>0.47</v>
      </c>
      <c r="C13460" t="str">
        <f>"26"</f>
        <v>26</v>
      </c>
      <c r="D13460" t="str">
        <f>"Carve Out the Face of My God"</f>
        <v>Carve Out the Face of My God</v>
      </c>
    </row>
    <row r="13461" spans="1:4" x14ac:dyDescent="0.2">
      <c r="A13461" t="str">
        <f>"13460"</f>
        <v>13460</v>
      </c>
      <c r="B13461" t="str">
        <f>"-0.8"</f>
        <v>-0.8</v>
      </c>
      <c r="C13461" t="str">
        <f>"34"</f>
        <v>34</v>
      </c>
      <c r="D13461" t="str">
        <f>"The Desert of Shallow Effects"</f>
        <v>The Desert of Shallow Effects</v>
      </c>
    </row>
    <row r="13462" spans="1:4" x14ac:dyDescent="0.2">
      <c r="A13462" t="str">
        <f>"13461"</f>
        <v>13461</v>
      </c>
      <c r="B13462" t="str">
        <f>"0.45"</f>
        <v>0.45</v>
      </c>
      <c r="C13462" t="str">
        <f>"17"</f>
        <v>17</v>
      </c>
      <c r="D13462" t="str">
        <f>"Be So True EP"</f>
        <v>Be So True EP</v>
      </c>
    </row>
    <row r="13463" spans="1:4" x14ac:dyDescent="0.2">
      <c r="A13463" t="str">
        <f>"13462"</f>
        <v>13462</v>
      </c>
      <c r="B13463" t="str">
        <f>"1.18"</f>
        <v>1.18</v>
      </c>
      <c r="C13463" t="str">
        <f>"24"</f>
        <v>24</v>
      </c>
      <c r="D13463" t="s">
        <v>414</v>
      </c>
    </row>
    <row r="13464" spans="1:4" x14ac:dyDescent="0.2">
      <c r="A13464" t="str">
        <f>"13463"</f>
        <v>13463</v>
      </c>
      <c r="B13464" t="str">
        <f>"0.21"</f>
        <v>0.21</v>
      </c>
      <c r="C13464" t="str">
        <f>"27"</f>
        <v>27</v>
      </c>
      <c r="D13464" t="str">
        <f>"Broken Bells"</f>
        <v>Broken Bells</v>
      </c>
    </row>
    <row r="13465" spans="1:4" x14ac:dyDescent="0.2">
      <c r="A13465" t="str">
        <f>"13464"</f>
        <v>13464</v>
      </c>
      <c r="B13465" t="str">
        <f>"0.39"</f>
        <v>0.39</v>
      </c>
      <c r="C13465" t="str">
        <f>"24"</f>
        <v>24</v>
      </c>
      <c r="D13465" t="str">
        <f>"Stridulum EP"</f>
        <v>Stridulum EP</v>
      </c>
    </row>
    <row r="13466" spans="1:4" x14ac:dyDescent="0.2">
      <c r="A13466" t="str">
        <f>"13465"</f>
        <v>13465</v>
      </c>
      <c r="B13466" t="str">
        <f>"0.16"</f>
        <v>0.16</v>
      </c>
      <c r="C13466" t="str">
        <f>"17"</f>
        <v>17</v>
      </c>
      <c r="D13466" t="str">
        <f>"Kairos"</f>
        <v>Kairos</v>
      </c>
    </row>
    <row r="13467" spans="1:4" x14ac:dyDescent="0.2">
      <c r="A13467" t="str">
        <f>"13466"</f>
        <v>13466</v>
      </c>
      <c r="B13467" t="str">
        <f>"-0.13"</f>
        <v>-0.13</v>
      </c>
      <c r="C13467" t="str">
        <f>"19"</f>
        <v>19</v>
      </c>
      <c r="D13467" t="str">
        <f>"Home Acres"</f>
        <v>Home Acres</v>
      </c>
    </row>
    <row r="13468" spans="1:4" x14ac:dyDescent="0.2">
      <c r="A13468" t="str">
        <f>"13467"</f>
        <v>13467</v>
      </c>
      <c r="B13468" t="str">
        <f>"1.11"</f>
        <v>1.11</v>
      </c>
      <c r="C13468" t="str">
        <f>"24"</f>
        <v>24</v>
      </c>
      <c r="D13468" t="str">
        <f>"Return to Form"</f>
        <v>Return to Form</v>
      </c>
    </row>
    <row r="13469" spans="1:4" x14ac:dyDescent="0.2">
      <c r="A13469" t="str">
        <f>"13468"</f>
        <v>13468</v>
      </c>
      <c r="B13469" t="str">
        <f>"1.07"</f>
        <v>1.07</v>
      </c>
      <c r="C13469" t="str">
        <f>"30"</f>
        <v>30</v>
      </c>
      <c r="D13469" t="str">
        <f>"Plastic Beach"</f>
        <v>Plastic Beach</v>
      </c>
    </row>
    <row r="13470" spans="1:4" x14ac:dyDescent="0.2">
      <c r="A13470" t="str">
        <f>"13469"</f>
        <v>13469</v>
      </c>
      <c r="B13470" t="str">
        <f>"-0.46"</f>
        <v>-0.46</v>
      </c>
      <c r="C13470" t="str">
        <f>"21"</f>
        <v>21</v>
      </c>
      <c r="D13470" t="str">
        <f>"Beat the Devil's Tattoo"</f>
        <v>Beat the Devil's Tattoo</v>
      </c>
    </row>
    <row r="13471" spans="1:4" x14ac:dyDescent="0.2">
      <c r="A13471" t="str">
        <f>"13470"</f>
        <v>13470</v>
      </c>
      <c r="B13471" t="str">
        <f>"-0.51"</f>
        <v>-0.51</v>
      </c>
      <c r="C13471" t="str">
        <f>"27"</f>
        <v>27</v>
      </c>
      <c r="D13471" t="str">
        <f>"Strange Keys to Untune Gods' Firmament"</f>
        <v>Strange Keys to Untune Gods' Firmament</v>
      </c>
    </row>
    <row r="13472" spans="1:4" x14ac:dyDescent="0.2">
      <c r="A13472" t="str">
        <f>"13471"</f>
        <v>13471</v>
      </c>
      <c r="B13472" t="str">
        <f>"-0.13"</f>
        <v>-0.13</v>
      </c>
      <c r="C13472" t="str">
        <f>"24"</f>
        <v>24</v>
      </c>
      <c r="D13472" t="str">
        <f>"Land of Make Believe"</f>
        <v>Land of Make Believe</v>
      </c>
    </row>
    <row r="13473" spans="1:4" x14ac:dyDescent="0.2">
      <c r="A13473" t="str">
        <f>"13472"</f>
        <v>13472</v>
      </c>
      <c r="B13473" t="str">
        <f>"-0.16"</f>
        <v>-0.16</v>
      </c>
      <c r="C13473" t="str">
        <f>"18"</f>
        <v>18</v>
      </c>
      <c r="D13473" t="str">
        <f>"%"</f>
        <v>%</v>
      </c>
    </row>
    <row r="13474" spans="1:4" x14ac:dyDescent="0.2">
      <c r="A13474" t="str">
        <f>"13473"</f>
        <v>13473</v>
      </c>
      <c r="B13474" t="str">
        <f>"-0.3"</f>
        <v>-0.3</v>
      </c>
      <c r="C13474" t="str">
        <f>"28"</f>
        <v>28</v>
      </c>
      <c r="D13474" t="str">
        <f>"Sisterworld"</f>
        <v>Sisterworld</v>
      </c>
    </row>
    <row r="13475" spans="1:4" x14ac:dyDescent="0.2">
      <c r="A13475" t="str">
        <f>"13474"</f>
        <v>13474</v>
      </c>
      <c r="B13475" t="str">
        <f>"0.59"</f>
        <v>0.59</v>
      </c>
      <c r="C13475" t="str">
        <f>"39"</f>
        <v>39</v>
      </c>
      <c r="D13475" t="str">
        <f>"The Brutalist Bricks"</f>
        <v>The Brutalist Bricks</v>
      </c>
    </row>
    <row r="13476" spans="1:4" x14ac:dyDescent="0.2">
      <c r="A13476" t="str">
        <f>"13475"</f>
        <v>13475</v>
      </c>
      <c r="B13476" t="str">
        <f>"0.28"</f>
        <v>0.28</v>
      </c>
      <c r="C13476" t="str">
        <f>"30"</f>
        <v>30</v>
      </c>
      <c r="D13476" t="str">
        <f>"In Stereo"</f>
        <v>In Stereo</v>
      </c>
    </row>
    <row r="13477" spans="1:4" x14ac:dyDescent="0.2">
      <c r="A13477" t="str">
        <f>"13476"</f>
        <v>13476</v>
      </c>
      <c r="B13477" t="str">
        <f>"0.64"</f>
        <v>0.64</v>
      </c>
      <c r="C13477" t="str">
        <f>"23"</f>
        <v>23</v>
      </c>
      <c r="D13477" t="str">
        <f>"Double Jointer"</f>
        <v>Double Jointer</v>
      </c>
    </row>
    <row r="13478" spans="1:4" x14ac:dyDescent="0.2">
      <c r="A13478" t="str">
        <f>"13477"</f>
        <v>13477</v>
      </c>
      <c r="B13478" t="str">
        <f>"-0.42"</f>
        <v>-0.42</v>
      </c>
      <c r="C13478" t="str">
        <f>"28"</f>
        <v>28</v>
      </c>
      <c r="D13478" t="s">
        <v>415</v>
      </c>
    </row>
    <row r="13479" spans="1:4" x14ac:dyDescent="0.2">
      <c r="A13479" t="str">
        <f>"13478"</f>
        <v>13478</v>
      </c>
      <c r="B13479" t="str">
        <f>"0.94"</f>
        <v>0.94</v>
      </c>
      <c r="C13479" t="str">
        <f>"44"</f>
        <v>44</v>
      </c>
      <c r="D13479" t="str">
        <f>"Quarantine the Past"</f>
        <v>Quarantine the Past</v>
      </c>
    </row>
    <row r="13480" spans="1:4" x14ac:dyDescent="0.2">
      <c r="A13480" t="str">
        <f>"13479"</f>
        <v>13479</v>
      </c>
      <c r="B13480" t="str">
        <f>"-0.14"</f>
        <v>-0.14</v>
      </c>
      <c r="C13480" t="str">
        <f>"26"</f>
        <v>26</v>
      </c>
      <c r="D13480" t="str">
        <f>"The Winter of Mixed Drinks"</f>
        <v>The Winter of Mixed Drinks</v>
      </c>
    </row>
    <row r="13481" spans="1:4" x14ac:dyDescent="0.2">
      <c r="A13481" t="str">
        <f>"13480"</f>
        <v>13480</v>
      </c>
      <c r="B13481" t="str">
        <f>"0.3"</f>
        <v>0.3</v>
      </c>
      <c r="C13481" t="str">
        <f>"26"</f>
        <v>26</v>
      </c>
      <c r="D13481" t="str">
        <f>"Nerve Up"</f>
        <v>Nerve Up</v>
      </c>
    </row>
    <row r="13482" spans="1:4" x14ac:dyDescent="0.2">
      <c r="A13482" t="str">
        <f>"13481"</f>
        <v>13481</v>
      </c>
      <c r="B13482" t="str">
        <f>"0.74"</f>
        <v>0.74</v>
      </c>
      <c r="C13482" t="str">
        <f>"24"</f>
        <v>24</v>
      </c>
      <c r="D13482" t="str">
        <f>"Between Buildings and Trees"</f>
        <v>Between Buildings and Trees</v>
      </c>
    </row>
    <row r="13483" spans="1:4" x14ac:dyDescent="0.2">
      <c r="A13483" t="str">
        <f>"13482"</f>
        <v>13482</v>
      </c>
      <c r="B13483" t="str">
        <f>"-1.08"</f>
        <v>-1.08</v>
      </c>
      <c r="C13483" t="str">
        <f>"20"</f>
        <v>20</v>
      </c>
      <c r="D13483" t="str">
        <f>"Time on a String"</f>
        <v>Time on a String</v>
      </c>
    </row>
    <row r="13484" spans="1:4" x14ac:dyDescent="0.2">
      <c r="A13484" t="str">
        <f>"13483"</f>
        <v>13483</v>
      </c>
      <c r="B13484" t="str">
        <f>"0.6"</f>
        <v>0.6</v>
      </c>
      <c r="C13484" t="str">
        <f>"42"</f>
        <v>42</v>
      </c>
      <c r="D13484" t="str">
        <f>"Oar"</f>
        <v>Oar</v>
      </c>
    </row>
    <row r="13485" spans="1:4" x14ac:dyDescent="0.2">
      <c r="A13485" t="str">
        <f>"13484"</f>
        <v>13484</v>
      </c>
      <c r="B13485" t="str">
        <f>"-0.24"</f>
        <v>-0.24</v>
      </c>
      <c r="C13485" t="str">
        <f>"33"</f>
        <v>33</v>
      </c>
      <c r="D13485" t="str">
        <f>"Fight Softly"</f>
        <v>Fight Softly</v>
      </c>
    </row>
    <row r="13486" spans="1:4" x14ac:dyDescent="0.2">
      <c r="A13486" t="str">
        <f>"13485"</f>
        <v>13485</v>
      </c>
      <c r="B13486" t="str">
        <f>"-1.04"</f>
        <v>-1.04</v>
      </c>
      <c r="C13486" t="str">
        <f>"27"</f>
        <v>27</v>
      </c>
      <c r="D13486" t="str">
        <f>"Jet Lag"</f>
        <v>Jet Lag</v>
      </c>
    </row>
    <row r="13487" spans="1:4" x14ac:dyDescent="0.2">
      <c r="A13487" t="str">
        <f>"13486"</f>
        <v>13486</v>
      </c>
      <c r="B13487" t="str">
        <f>"0.66"</f>
        <v>0.66</v>
      </c>
      <c r="C13487" t="str">
        <f>"26"</f>
        <v>26</v>
      </c>
      <c r="D13487" t="str">
        <f>"Lights"</f>
        <v>Lights</v>
      </c>
    </row>
    <row r="13488" spans="1:4" x14ac:dyDescent="0.2">
      <c r="A13488" t="str">
        <f>"13487"</f>
        <v>13487</v>
      </c>
      <c r="B13488" t="str">
        <f>"-0.43"</f>
        <v>-0.43</v>
      </c>
      <c r="C13488" t="str">
        <f>"22"</f>
        <v>22</v>
      </c>
      <c r="D13488" t="str">
        <f>"Hologram Jams"</f>
        <v>Hologram Jams</v>
      </c>
    </row>
    <row r="13489" spans="1:4" x14ac:dyDescent="0.2">
      <c r="A13489" t="str">
        <f>"13488"</f>
        <v>13488</v>
      </c>
      <c r="B13489" t="str">
        <f>"-0.19"</f>
        <v>-0.19</v>
      </c>
      <c r="C13489" t="str">
        <f>"21"</f>
        <v>21</v>
      </c>
      <c r="D13489" t="str">
        <f>"A Sufi and a Killer"</f>
        <v>A Sufi and a Killer</v>
      </c>
    </row>
    <row r="13490" spans="1:4" x14ac:dyDescent="0.2">
      <c r="A13490" t="str">
        <f>"13489"</f>
        <v>13489</v>
      </c>
      <c r="B13490" t="str">
        <f>"-0.24"</f>
        <v>-0.24</v>
      </c>
      <c r="C13490" t="str">
        <f>"26"</f>
        <v>26</v>
      </c>
      <c r="D13490" t="str">
        <f>"In the Dark"</f>
        <v>In the Dark</v>
      </c>
    </row>
    <row r="13491" spans="1:4" x14ac:dyDescent="0.2">
      <c r="A13491" t="str">
        <f>"13490"</f>
        <v>13490</v>
      </c>
      <c r="B13491" t="str">
        <f>"0.26"</f>
        <v>0.26</v>
      </c>
      <c r="C13491" t="str">
        <f>"38"</f>
        <v>38</v>
      </c>
      <c r="D13491" t="str">
        <f>"Constellations"</f>
        <v>Constellations</v>
      </c>
    </row>
    <row r="13492" spans="1:4" x14ac:dyDescent="0.2">
      <c r="A13492" t="str">
        <f>"13491"</f>
        <v>13491</v>
      </c>
      <c r="B13492" t="str">
        <f>"0.52"</f>
        <v>0.52</v>
      </c>
      <c r="C13492" t="str">
        <f>"26"</f>
        <v>26</v>
      </c>
      <c r="D13492" t="str">
        <f>"Draumalandid"</f>
        <v>Draumalandid</v>
      </c>
    </row>
    <row r="13493" spans="1:4" x14ac:dyDescent="0.2">
      <c r="A13493" t="str">
        <f>"13492"</f>
        <v>13492</v>
      </c>
      <c r="B13493" t="str">
        <f>"1.25"</f>
        <v>1.25</v>
      </c>
      <c r="C13493" t="str">
        <f>"20"</f>
        <v>20</v>
      </c>
      <c r="D13493" t="str">
        <f>"Nigeria Afrobeat Special: The New Explosive Sound in 1970s Nigeria"</f>
        <v>Nigeria Afrobeat Special: The New Explosive Sound in 1970s Nigeria</v>
      </c>
    </row>
    <row r="13494" spans="1:4" x14ac:dyDescent="0.2">
      <c r="A13494" t="str">
        <f>"13493"</f>
        <v>13493</v>
      </c>
      <c r="B13494" t="str">
        <f>"0.5"</f>
        <v>0.5</v>
      </c>
      <c r="C13494" t="str">
        <f>"34"</f>
        <v>34</v>
      </c>
      <c r="D13494" t="str">
        <f>"The Creatures in the Garden of Lady Walton"</f>
        <v>The Creatures in the Garden of Lady Walton</v>
      </c>
    </row>
    <row r="13495" spans="1:4" x14ac:dyDescent="0.2">
      <c r="A13495" t="str">
        <f>"13494"</f>
        <v>13494</v>
      </c>
      <c r="B13495" t="str">
        <f>"-0.78"</f>
        <v>-0.78</v>
      </c>
      <c r="C13495" t="str">
        <f>"20"</f>
        <v>20</v>
      </c>
      <c r="D13495" t="str">
        <f>"Permalight"</f>
        <v>Permalight</v>
      </c>
    </row>
    <row r="13496" spans="1:4" x14ac:dyDescent="0.2">
      <c r="A13496" t="str">
        <f>"13495"</f>
        <v>13495</v>
      </c>
      <c r="B13496" t="str">
        <f>"0.39"</f>
        <v>0.39</v>
      </c>
      <c r="C13496" t="str">
        <f>"30"</f>
        <v>30</v>
      </c>
      <c r="D13496" t="str">
        <f>"Going Places"</f>
        <v>Going Places</v>
      </c>
    </row>
    <row r="13497" spans="1:4" x14ac:dyDescent="0.2">
      <c r="A13497" t="str">
        <f>"13496"</f>
        <v>13496</v>
      </c>
      <c r="B13497" t="str">
        <f>"-0.56"</f>
        <v>-0.56</v>
      </c>
      <c r="C13497" t="str">
        <f>"23"</f>
        <v>23</v>
      </c>
      <c r="D13497" t="s">
        <v>416</v>
      </c>
    </row>
    <row r="13498" spans="1:4" x14ac:dyDescent="0.2">
      <c r="A13498" t="str">
        <f>"13497"</f>
        <v>13497</v>
      </c>
      <c r="B13498" t="str">
        <f>"0.33"</f>
        <v>0.33</v>
      </c>
      <c r="C13498" t="str">
        <f>"25"</f>
        <v>25</v>
      </c>
      <c r="D13498" t="str">
        <f>"Back to Light"</f>
        <v>Back to Light</v>
      </c>
    </row>
    <row r="13499" spans="1:4" x14ac:dyDescent="0.2">
      <c r="A13499" t="str">
        <f>"13498"</f>
        <v>13498</v>
      </c>
      <c r="B13499" t="str">
        <f>"-0.07"</f>
        <v>-0.07</v>
      </c>
      <c r="C13499" t="str">
        <f>"84"</f>
        <v>84</v>
      </c>
      <c r="D13499" t="str">
        <f>"Ladies and Gentlemen We are Floating in Space [Collector's Editon]"</f>
        <v>Ladies and Gentlemen We are Floating in Space [Collector's Editon]</v>
      </c>
    </row>
    <row r="13500" spans="1:4" x14ac:dyDescent="0.2">
      <c r="A13500" t="str">
        <f>"13499"</f>
        <v>13499</v>
      </c>
      <c r="B13500" t="str">
        <f>"-0.06"</f>
        <v>-0.06</v>
      </c>
      <c r="C13500" t="str">
        <f>"18"</f>
        <v>18</v>
      </c>
      <c r="D13500" t="str">
        <f>"Rat a Tat Tat"</f>
        <v>Rat a Tat Tat</v>
      </c>
    </row>
    <row r="13501" spans="1:4" x14ac:dyDescent="0.2">
      <c r="A13501" t="str">
        <f>"13500"</f>
        <v>13500</v>
      </c>
      <c r="B13501" t="str">
        <f>"-0.27"</f>
        <v>-0.27</v>
      </c>
      <c r="C13501" t="str">
        <f>"38"</f>
        <v>38</v>
      </c>
      <c r="D13501" t="str">
        <f>"Close Calls With Brick Walls / Mother of Mankind"</f>
        <v>Close Calls With Brick Walls / Mother of Mankind</v>
      </c>
    </row>
    <row r="13502" spans="1:4" x14ac:dyDescent="0.2">
      <c r="A13502" t="str">
        <f>"13501"</f>
        <v>13501</v>
      </c>
      <c r="B13502" t="str">
        <f>"0.3"</f>
        <v>0.3</v>
      </c>
      <c r="C13502" t="str">
        <f>"23"</f>
        <v>23</v>
      </c>
      <c r="D13502" t="str">
        <f>"Coconut"</f>
        <v>Coconut</v>
      </c>
    </row>
    <row r="13503" spans="1:4" x14ac:dyDescent="0.2">
      <c r="A13503" t="str">
        <f>"13502"</f>
        <v>13502</v>
      </c>
      <c r="B13503" t="str">
        <f>"-0.54"</f>
        <v>-0.54</v>
      </c>
      <c r="C13503" t="str">
        <f>"30"</f>
        <v>30</v>
      </c>
      <c r="D13503" t="str">
        <f>"Descending Shadows"</f>
        <v>Descending Shadows</v>
      </c>
    </row>
    <row r="13504" spans="1:4" x14ac:dyDescent="0.2">
      <c r="A13504" t="str">
        <f>"13503"</f>
        <v>13503</v>
      </c>
      <c r="B13504" t="str">
        <f>"-0.14"</f>
        <v>-0.14</v>
      </c>
      <c r="C13504" t="str">
        <f>"42"</f>
        <v>42</v>
      </c>
      <c r="D13504" t="s">
        <v>417</v>
      </c>
    </row>
    <row r="13505" spans="1:4" x14ac:dyDescent="0.2">
      <c r="A13505" t="str">
        <f>"13504"</f>
        <v>13504</v>
      </c>
      <c r="B13505" t="str">
        <f>"0.82"</f>
        <v>0.82</v>
      </c>
      <c r="C13505" t="str">
        <f>"29"</f>
        <v>29</v>
      </c>
      <c r="D13505" t="str">
        <f>"Nitetime Rainbows EP"</f>
        <v>Nitetime Rainbows EP</v>
      </c>
    </row>
    <row r="13506" spans="1:4" x14ac:dyDescent="0.2">
      <c r="A13506" t="str">
        <f>"13505"</f>
        <v>13505</v>
      </c>
      <c r="B13506" t="str">
        <f>"0.33"</f>
        <v>0.33</v>
      </c>
      <c r="C13506" t="str">
        <f>"42"</f>
        <v>42</v>
      </c>
      <c r="D13506" t="str">
        <f>"Snakes for the Divine"</f>
        <v>Snakes for the Divine</v>
      </c>
    </row>
    <row r="13507" spans="1:4" x14ac:dyDescent="0.2">
      <c r="A13507" t="str">
        <f>"13506"</f>
        <v>13506</v>
      </c>
      <c r="B13507" t="str">
        <f>"-1.43"</f>
        <v>-1.43</v>
      </c>
      <c r="C13507" t="str">
        <f>"21"</f>
        <v>21</v>
      </c>
      <c r="D13507" t="str">
        <f>"Mathematics Presents: Return of Wu and Friends"</f>
        <v>Mathematics Presents: Return of Wu and Friends</v>
      </c>
    </row>
    <row r="13508" spans="1:4" x14ac:dyDescent="0.2">
      <c r="A13508" t="str">
        <f>"13507"</f>
        <v>13507</v>
      </c>
      <c r="B13508" t="str">
        <f>"1.07"</f>
        <v>1.07</v>
      </c>
      <c r="C13508" t="str">
        <f>"24"</f>
        <v>24</v>
      </c>
      <c r="D13508" t="str">
        <f>"Yeah So"</f>
        <v>Yeah So</v>
      </c>
    </row>
    <row r="13509" spans="1:4" x14ac:dyDescent="0.2">
      <c r="A13509" t="str">
        <f>"13508"</f>
        <v>13508</v>
      </c>
      <c r="B13509" t="str">
        <f>"-0.56"</f>
        <v>-0.56</v>
      </c>
      <c r="C13509" t="str">
        <f>"44"</f>
        <v>44</v>
      </c>
      <c r="D13509" t="s">
        <v>418</v>
      </c>
    </row>
    <row r="13510" spans="1:4" x14ac:dyDescent="0.2">
      <c r="A13510" t="str">
        <f>"13509"</f>
        <v>13509</v>
      </c>
      <c r="B13510" t="str">
        <f>"0.32"</f>
        <v>0.32</v>
      </c>
      <c r="C13510" t="str">
        <f>"23"</f>
        <v>23</v>
      </c>
      <c r="D13510" t="str">
        <f>"Watergate 05"</f>
        <v>Watergate 05</v>
      </c>
    </row>
    <row r="13511" spans="1:4" x14ac:dyDescent="0.2">
      <c r="A13511" t="str">
        <f>"13510"</f>
        <v>13510</v>
      </c>
      <c r="B13511" t="str">
        <f>"1.38"</f>
        <v>1.38</v>
      </c>
      <c r="C13511" t="str">
        <f>"25"</f>
        <v>25</v>
      </c>
      <c r="D13511" t="str">
        <f>"Magic Chairs"</f>
        <v>Magic Chairs</v>
      </c>
    </row>
    <row r="13512" spans="1:4" x14ac:dyDescent="0.2">
      <c r="A13512" t="str">
        <f>"13511"</f>
        <v>13511</v>
      </c>
      <c r="B13512" t="str">
        <f>"0.48"</f>
        <v>0.48</v>
      </c>
      <c r="C13512" t="str">
        <f>"19"</f>
        <v>19</v>
      </c>
      <c r="D13512" t="str">
        <f>"Maintenant"</f>
        <v>Maintenant</v>
      </c>
    </row>
    <row r="13513" spans="1:4" x14ac:dyDescent="0.2">
      <c r="A13513" t="str">
        <f>"13512"</f>
        <v>13512</v>
      </c>
      <c r="B13513" t="str">
        <f>"1.5"</f>
        <v>1.5</v>
      </c>
      <c r="C13513" t="str">
        <f>"21"</f>
        <v>21</v>
      </c>
      <c r="D13513" t="str">
        <f>"Trilogi"</f>
        <v>Trilogi</v>
      </c>
    </row>
    <row r="13514" spans="1:4" x14ac:dyDescent="0.2">
      <c r="A13514" t="str">
        <f>"13513"</f>
        <v>13513</v>
      </c>
      <c r="B13514" t="str">
        <f>"-0.32"</f>
        <v>-0.32</v>
      </c>
      <c r="C13514" t="str">
        <f>"33"</f>
        <v>33</v>
      </c>
      <c r="D13514" t="str">
        <f>"American Recordings VI: Ain't No Grave"</f>
        <v>American Recordings VI: Ain't No Grave</v>
      </c>
    </row>
    <row r="13515" spans="1:4" x14ac:dyDescent="0.2">
      <c r="A13515" t="str">
        <f>"13514"</f>
        <v>13514</v>
      </c>
      <c r="B13515" t="str">
        <f>"1.12"</f>
        <v>1.12</v>
      </c>
      <c r="C13515" t="str">
        <f>"32"</f>
        <v>32</v>
      </c>
      <c r="D13515" t="str">
        <f>"Work"</f>
        <v>Work</v>
      </c>
    </row>
    <row r="13516" spans="1:4" x14ac:dyDescent="0.2">
      <c r="A13516" t="str">
        <f>"13515"</f>
        <v>13515</v>
      </c>
      <c r="B13516" t="str">
        <f>"-0.31"</f>
        <v>-0.31</v>
      </c>
      <c r="C13516" t="str">
        <f>"33"</f>
        <v>33</v>
      </c>
      <c r="D13516" t="str">
        <f>"The Magician's Private Library"</f>
        <v>The Magician's Private Library</v>
      </c>
    </row>
    <row r="13517" spans="1:4" x14ac:dyDescent="0.2">
      <c r="A13517" t="str">
        <f>"13516"</f>
        <v>13516</v>
      </c>
      <c r="B13517" t="str">
        <f>"0.68"</f>
        <v>0.68</v>
      </c>
      <c r="C13517" t="str">
        <f>"26"</f>
        <v>26</v>
      </c>
      <c r="D13517" t="str">
        <f>"Eyelid Movies"</f>
        <v>Eyelid Movies</v>
      </c>
    </row>
    <row r="13518" spans="1:4" x14ac:dyDescent="0.2">
      <c r="A13518" t="str">
        <f>"13517"</f>
        <v>13517</v>
      </c>
      <c r="B13518" t="str">
        <f>"1.36"</f>
        <v>1.36</v>
      </c>
      <c r="C13518" t="str">
        <f>"35"</f>
        <v>35</v>
      </c>
      <c r="D13518" t="str">
        <f>"Dream Get Together"</f>
        <v>Dream Get Together</v>
      </c>
    </row>
    <row r="13519" spans="1:4" x14ac:dyDescent="0.2">
      <c r="A13519" t="str">
        <f>"13518"</f>
        <v>13518</v>
      </c>
      <c r="B13519" t="str">
        <f>"0.56"</f>
        <v>0.56</v>
      </c>
      <c r="C13519" t="str">
        <f>"32"</f>
        <v>32</v>
      </c>
      <c r="D13519" t="str">
        <f>"XXXX"</f>
        <v>XXXX</v>
      </c>
    </row>
    <row r="13520" spans="1:4" x14ac:dyDescent="0.2">
      <c r="A13520" t="str">
        <f>"13519"</f>
        <v>13519</v>
      </c>
      <c r="B13520" t="str">
        <f>"-0.23"</f>
        <v>-0.23</v>
      </c>
      <c r="C13520" t="str">
        <f>"20"</f>
        <v>20</v>
      </c>
      <c r="D13520" t="str">
        <f>"Landing"</f>
        <v>Landing</v>
      </c>
    </row>
    <row r="13521" spans="1:4" x14ac:dyDescent="0.2">
      <c r="A13521" t="str">
        <f>"13520"</f>
        <v>13520</v>
      </c>
      <c r="B13521" t="str">
        <f>"1.63"</f>
        <v>1.63</v>
      </c>
      <c r="C13521" t="str">
        <f>"22"</f>
        <v>22</v>
      </c>
      <c r="D13521" t="str">
        <f>"The Golden Archipelago"</f>
        <v>The Golden Archipelago</v>
      </c>
    </row>
    <row r="13522" spans="1:4" x14ac:dyDescent="0.2">
      <c r="A13522" t="str">
        <f>"13521"</f>
        <v>13521</v>
      </c>
      <c r="B13522" t="str">
        <f>"0.31"</f>
        <v>0.31</v>
      </c>
      <c r="C13522" t="str">
        <f>"27"</f>
        <v>27</v>
      </c>
      <c r="D13522" t="str">
        <f>"Similes"</f>
        <v>Similes</v>
      </c>
    </row>
    <row r="13523" spans="1:4" x14ac:dyDescent="0.2">
      <c r="A13523" t="str">
        <f>"13522"</f>
        <v>13522</v>
      </c>
      <c r="B13523" t="str">
        <f>"0.59"</f>
        <v>0.59</v>
      </c>
      <c r="C13523" t="str">
        <f>"32"</f>
        <v>32</v>
      </c>
      <c r="D13523" t="str">
        <f>"Luck in the Valley"</f>
        <v>Luck in the Valley</v>
      </c>
    </row>
    <row r="13524" spans="1:4" x14ac:dyDescent="0.2">
      <c r="A13524" t="str">
        <f>"13523"</f>
        <v>13523</v>
      </c>
      <c r="B13524" t="str">
        <f>"-0.46"</f>
        <v>-0.46</v>
      </c>
      <c r="C13524" t="str">
        <f>"24"</f>
        <v>24</v>
      </c>
      <c r="D13524" t="str">
        <f>"Minor Love"</f>
        <v>Minor Love</v>
      </c>
    </row>
    <row r="13525" spans="1:4" x14ac:dyDescent="0.2">
      <c r="A13525" t="str">
        <f>"13524"</f>
        <v>13524</v>
      </c>
      <c r="B13525" t="str">
        <f>"0.3"</f>
        <v>0.3</v>
      </c>
      <c r="C13525" t="str">
        <f>"21"</f>
        <v>21</v>
      </c>
      <c r="D13525" t="str">
        <f>"Introducing"</f>
        <v>Introducing</v>
      </c>
    </row>
    <row r="13526" spans="1:4" x14ac:dyDescent="0.2">
      <c r="A13526" t="str">
        <f>"13525"</f>
        <v>13525</v>
      </c>
      <c r="B13526" t="str">
        <f>"1.01"</f>
        <v>1.01</v>
      </c>
      <c r="C13526" t="str">
        <f>"57"</f>
        <v>57</v>
      </c>
      <c r="D13526" t="str">
        <f>"Have One on Me"</f>
        <v>Have One on Me</v>
      </c>
    </row>
    <row r="13527" spans="1:4" x14ac:dyDescent="0.2">
      <c r="A13527" t="str">
        <f>"13526"</f>
        <v>13526</v>
      </c>
      <c r="B13527" t="str">
        <f>"0.44"</f>
        <v>0.44</v>
      </c>
      <c r="C13527" t="str">
        <f>"20"</f>
        <v>20</v>
      </c>
      <c r="D13527" t="str">
        <f>"The Meat of Life"</f>
        <v>The Meat of Life</v>
      </c>
    </row>
    <row r="13528" spans="1:4" x14ac:dyDescent="0.2">
      <c r="A13528" t="str">
        <f>"13527"</f>
        <v>13527</v>
      </c>
      <c r="B13528" t="str">
        <f>"-0.13"</f>
        <v>-0.13</v>
      </c>
      <c r="C13528" t="str">
        <f>"24"</f>
        <v>24</v>
      </c>
      <c r="D13528" t="str">
        <f>"Fabric 50"</f>
        <v>Fabric 50</v>
      </c>
    </row>
    <row r="13529" spans="1:4" x14ac:dyDescent="0.2">
      <c r="A13529" t="str">
        <f>"13528"</f>
        <v>13528</v>
      </c>
      <c r="B13529" t="str">
        <f>"0.04"</f>
        <v>0.04</v>
      </c>
      <c r="C13529" t="str">
        <f>"15"</f>
        <v>15</v>
      </c>
      <c r="D13529" t="str">
        <f>"Standing on Top of Utopia"</f>
        <v>Standing on Top of Utopia</v>
      </c>
    </row>
    <row r="13530" spans="1:4" x14ac:dyDescent="0.2">
      <c r="A13530" t="str">
        <f>"13529"</f>
        <v>13529</v>
      </c>
      <c r="B13530" t="str">
        <f>"1.08"</f>
        <v>1.08</v>
      </c>
      <c r="C13530" t="str">
        <f>"21"</f>
        <v>21</v>
      </c>
      <c r="D13530" t="str">
        <f>"European"</f>
        <v>European</v>
      </c>
    </row>
    <row r="13531" spans="1:4" x14ac:dyDescent="0.2">
      <c r="A13531" t="str">
        <f>"13530"</f>
        <v>13530</v>
      </c>
      <c r="B13531" t="str">
        <f>"0.02"</f>
        <v>0.02</v>
      </c>
      <c r="C13531" t="str">
        <f>"29"</f>
        <v>29</v>
      </c>
      <c r="D13531" t="str">
        <f>"Hidden"</f>
        <v>Hidden</v>
      </c>
    </row>
    <row r="13532" spans="1:4" x14ac:dyDescent="0.2">
      <c r="A13532" t="str">
        <f>"13531"</f>
        <v>13531</v>
      </c>
      <c r="B13532" t="str">
        <f>"0.83"</f>
        <v>0.83</v>
      </c>
      <c r="C13532" t="str">
        <f>"22"</f>
        <v>22</v>
      </c>
      <c r="D13532" t="str">
        <f>"American Gong"</f>
        <v>American Gong</v>
      </c>
    </row>
    <row r="13533" spans="1:4" x14ac:dyDescent="0.2">
      <c r="A13533" t="str">
        <f>"13532"</f>
        <v>13532</v>
      </c>
      <c r="B13533" t="str">
        <f>"-0.11"</f>
        <v>-0.11</v>
      </c>
      <c r="C13533" t="str">
        <f>"22"</f>
        <v>22</v>
      </c>
      <c r="D13533" t="str">
        <f>"Tidings"</f>
        <v>Tidings</v>
      </c>
    </row>
    <row r="13534" spans="1:4" x14ac:dyDescent="0.2">
      <c r="A13534" t="str">
        <f>"13533"</f>
        <v>13533</v>
      </c>
      <c r="B13534" t="str">
        <f>"1.13"</f>
        <v>1.13</v>
      </c>
      <c r="C13534" t="str">
        <f>"20"</f>
        <v>20</v>
      </c>
      <c r="D13534" t="str">
        <f>"The Years EP"</f>
        <v>The Years EP</v>
      </c>
    </row>
    <row r="13535" spans="1:4" x14ac:dyDescent="0.2">
      <c r="A13535" t="str">
        <f>"13534"</f>
        <v>13534</v>
      </c>
      <c r="B13535" t="str">
        <f>"0.27"</f>
        <v>0.27</v>
      </c>
      <c r="C13535" t="str">
        <f>"25"</f>
        <v>25</v>
      </c>
      <c r="D13535" t="str">
        <f>"Animalore"</f>
        <v>Animalore</v>
      </c>
    </row>
    <row r="13536" spans="1:4" x14ac:dyDescent="0.2">
      <c r="A13536" t="str">
        <f>"13535"</f>
        <v>13535</v>
      </c>
      <c r="B13536" t="str">
        <f>"0.63"</f>
        <v>0.63</v>
      </c>
      <c r="C13536" t="str">
        <f>"36"</f>
        <v>36</v>
      </c>
      <c r="D13536" t="str">
        <f>"Black Noise"</f>
        <v>Black Noise</v>
      </c>
    </row>
    <row r="13537" spans="1:4" x14ac:dyDescent="0.2">
      <c r="A13537" t="str">
        <f>"13536"</f>
        <v>13536</v>
      </c>
      <c r="B13537" t="str">
        <f>"0.43"</f>
        <v>0.43</v>
      </c>
      <c r="C13537" t="str">
        <f>"30"</f>
        <v>30</v>
      </c>
      <c r="D13537" t="str">
        <f>"Presidence"</f>
        <v>Presidence</v>
      </c>
    </row>
    <row r="13538" spans="1:4" x14ac:dyDescent="0.2">
      <c r="A13538" t="str">
        <f>"13537"</f>
        <v>13537</v>
      </c>
      <c r="B13538" t="str">
        <f>"0.34"</f>
        <v>0.34</v>
      </c>
      <c r="C13538" t="str">
        <f>"29"</f>
        <v>29</v>
      </c>
      <c r="D13538" t="str">
        <f>"Prenuptial Agreement"</f>
        <v>Prenuptial Agreement</v>
      </c>
    </row>
    <row r="13539" spans="1:4" x14ac:dyDescent="0.2">
      <c r="A13539" t="str">
        <f>"13538"</f>
        <v>13538</v>
      </c>
      <c r="B13539" t="str">
        <f>"0.79"</f>
        <v>0.79</v>
      </c>
      <c r="C13539" t="str">
        <f>"20"</f>
        <v>20</v>
      </c>
      <c r="D13539" t="str">
        <f>"We Are Proud of Our Choices"</f>
        <v>We Are Proud of Our Choices</v>
      </c>
    </row>
    <row r="13540" spans="1:4" x14ac:dyDescent="0.2">
      <c r="A13540" t="str">
        <f>"13539"</f>
        <v>13539</v>
      </c>
      <c r="B13540" t="str">
        <f>"-0.62"</f>
        <v>-0.62</v>
      </c>
      <c r="C13540" t="str">
        <f>"25"</f>
        <v>25</v>
      </c>
      <c r="D13540" t="str">
        <f>"Sigh No More"</f>
        <v>Sigh No More</v>
      </c>
    </row>
    <row r="13541" spans="1:4" x14ac:dyDescent="0.2">
      <c r="A13541" t="str">
        <f>"13540"</f>
        <v>13540</v>
      </c>
      <c r="B13541" t="str">
        <f>"0.32"</f>
        <v>0.32</v>
      </c>
      <c r="C13541" t="str">
        <f>"40"</f>
        <v>40</v>
      </c>
      <c r="D13541" t="str">
        <f>"The Stimulus Package"</f>
        <v>The Stimulus Package</v>
      </c>
    </row>
    <row r="13542" spans="1:4" x14ac:dyDescent="0.2">
      <c r="A13542" t="str">
        <f>"13541"</f>
        <v>13541</v>
      </c>
      <c r="B13542" t="str">
        <f>"0.95"</f>
        <v>0.95</v>
      </c>
      <c r="C13542" t="str">
        <f>"28"</f>
        <v>28</v>
      </c>
      <c r="D13542" t="str">
        <f>"We All Got Out of the Army"</f>
        <v>We All Got Out of the Army</v>
      </c>
    </row>
    <row r="13543" spans="1:4" x14ac:dyDescent="0.2">
      <c r="A13543" t="str">
        <f>"13542"</f>
        <v>13542</v>
      </c>
      <c r="B13543" t="str">
        <f>"0.55"</f>
        <v>0.55</v>
      </c>
      <c r="C13543" t="str">
        <f>"19"</f>
        <v>19</v>
      </c>
      <c r="D13543" t="str">
        <f>"Tapestry of Webs"</f>
        <v>Tapestry of Webs</v>
      </c>
    </row>
    <row r="13544" spans="1:4" x14ac:dyDescent="0.2">
      <c r="A13544" t="str">
        <f>"13543"</f>
        <v>13543</v>
      </c>
      <c r="B13544" t="str">
        <f>"0.29"</f>
        <v>0.29</v>
      </c>
      <c r="C13544" t="str">
        <f>"39"</f>
        <v>39</v>
      </c>
      <c r="D13544" t="s">
        <v>419</v>
      </c>
    </row>
    <row r="13545" spans="1:4" x14ac:dyDescent="0.2">
      <c r="A13545" t="str">
        <f>"13544"</f>
        <v>13544</v>
      </c>
      <c r="B13545" t="str">
        <f>"0.14"</f>
        <v>0.14</v>
      </c>
      <c r="C13545" t="str">
        <f>"22"</f>
        <v>22</v>
      </c>
      <c r="D13545" t="str">
        <f>"Planets of Old"</f>
        <v>Planets of Old</v>
      </c>
    </row>
    <row r="13546" spans="1:4" x14ac:dyDescent="0.2">
      <c r="A13546" t="str">
        <f>"13545"</f>
        <v>13545</v>
      </c>
      <c r="B13546" t="str">
        <f>"-0.22"</f>
        <v>-0.22</v>
      </c>
      <c r="C13546" t="str">
        <f>"39"</f>
        <v>39</v>
      </c>
      <c r="D13546" t="str">
        <f>"Causers of This"</f>
        <v>Causers of This</v>
      </c>
    </row>
    <row r="13547" spans="1:4" x14ac:dyDescent="0.2">
      <c r="A13547" t="str">
        <f>"13546"</f>
        <v>13546</v>
      </c>
      <c r="B13547" t="str">
        <f>"0.17"</f>
        <v>0.17</v>
      </c>
      <c r="C13547" t="str">
        <f>"26"</f>
        <v>26</v>
      </c>
      <c r="D13547" t="str">
        <f>"Measure"</f>
        <v>Measure</v>
      </c>
    </row>
    <row r="13548" spans="1:4" x14ac:dyDescent="0.2">
      <c r="A13548" t="str">
        <f>"13547"</f>
        <v>13547</v>
      </c>
      <c r="B13548" t="str">
        <f>"0.97"</f>
        <v>0.97</v>
      </c>
      <c r="C13548" t="str">
        <f>"19"</f>
        <v>19</v>
      </c>
      <c r="D13548" t="str">
        <f>"The Minimal Wave Tapes: Vol. 1"</f>
        <v>The Minimal Wave Tapes: Vol. 1</v>
      </c>
    </row>
    <row r="13549" spans="1:4" x14ac:dyDescent="0.2">
      <c r="A13549" t="str">
        <f>"13548"</f>
        <v>13548</v>
      </c>
      <c r="B13549" t="str">
        <f>"-0.11"</f>
        <v>-0.11</v>
      </c>
      <c r="C13549" t="str">
        <f>"26"</f>
        <v>26</v>
      </c>
      <c r="D13549" t="str">
        <f>"Peace &amp; Love"</f>
        <v>Peace &amp; Love</v>
      </c>
    </row>
    <row r="13550" spans="1:4" x14ac:dyDescent="0.2">
      <c r="A13550" t="str">
        <f>"13549"</f>
        <v>13549</v>
      </c>
      <c r="B13550" t="str">
        <f>"-0.33"</f>
        <v>-0.33</v>
      </c>
      <c r="C13550" t="str">
        <f>"16"</f>
        <v>16</v>
      </c>
      <c r="D13550" t="str">
        <f>"Maudlin"</f>
        <v>Maudlin</v>
      </c>
    </row>
    <row r="13551" spans="1:4" x14ac:dyDescent="0.2">
      <c r="A13551" t="str">
        <f>"13550"</f>
        <v>13550</v>
      </c>
      <c r="B13551" t="str">
        <f>"-0.43"</f>
        <v>-0.43</v>
      </c>
      <c r="C13551" t="str">
        <f>"33"</f>
        <v>33</v>
      </c>
      <c r="D13551" t="str">
        <f>"Scratch My Back"</f>
        <v>Scratch My Back</v>
      </c>
    </row>
    <row r="13552" spans="1:4" x14ac:dyDescent="0.2">
      <c r="A13552" t="str">
        <f>"13551"</f>
        <v>13551</v>
      </c>
      <c r="B13552" t="str">
        <f>"-0.84"</f>
        <v>-0.84</v>
      </c>
      <c r="C13552" t="str">
        <f>"28"</f>
        <v>28</v>
      </c>
      <c r="D13552" t="str">
        <f>"Kollaps Tradixionales"</f>
        <v>Kollaps Tradixionales</v>
      </c>
    </row>
    <row r="13553" spans="1:4" x14ac:dyDescent="0.2">
      <c r="A13553" t="str">
        <f>"13552"</f>
        <v>13552</v>
      </c>
      <c r="B13553" t="str">
        <f>"0.02"</f>
        <v>0.02</v>
      </c>
      <c r="C13553" t="str">
        <f>"22"</f>
        <v>22</v>
      </c>
      <c r="D13553" t="str">
        <f>"Found Songs"</f>
        <v>Found Songs</v>
      </c>
    </row>
    <row r="13554" spans="1:4" x14ac:dyDescent="0.2">
      <c r="A13554" t="str">
        <f>"13553"</f>
        <v>13553</v>
      </c>
      <c r="B13554" t="str">
        <f>"1.07"</f>
        <v>1.07</v>
      </c>
      <c r="C13554" t="str">
        <f>"29"</f>
        <v>29</v>
      </c>
      <c r="D13554" t="str">
        <f>"Gorilla Manor"</f>
        <v>Gorilla Manor</v>
      </c>
    </row>
    <row r="13555" spans="1:4" x14ac:dyDescent="0.2">
      <c r="A13555" t="str">
        <f>"13554"</f>
        <v>13554</v>
      </c>
      <c r="B13555" t="str">
        <f>"1.51"</f>
        <v>1.51</v>
      </c>
      <c r="C13555" t="str">
        <f>"30"</f>
        <v>30</v>
      </c>
      <c r="D13555" t="str">
        <f>"Falling Down a Mountain"</f>
        <v>Falling Down a Mountain</v>
      </c>
    </row>
    <row r="13556" spans="1:4" x14ac:dyDescent="0.2">
      <c r="A13556" t="str">
        <f>"13555"</f>
        <v>13555</v>
      </c>
      <c r="B13556" t="str">
        <f>"-0.14"</f>
        <v>-0.14</v>
      </c>
      <c r="C13556" t="str">
        <f>"18"</f>
        <v>18</v>
      </c>
      <c r="D13556" t="str">
        <f>"Frauhaus"</f>
        <v>Frauhaus</v>
      </c>
    </row>
    <row r="13557" spans="1:4" x14ac:dyDescent="0.2">
      <c r="A13557" t="str">
        <f>"13556"</f>
        <v>13556</v>
      </c>
      <c r="B13557" t="str">
        <f>"-0.05"</f>
        <v>-0.05</v>
      </c>
      <c r="C13557" t="str">
        <f>"24"</f>
        <v>24</v>
      </c>
      <c r="D13557" t="str">
        <f>"Face a Frowning World: An E.C. Ball Memorial Album"</f>
        <v>Face a Frowning World: An E.C. Ball Memorial Album</v>
      </c>
    </row>
    <row r="13558" spans="1:4" x14ac:dyDescent="0.2">
      <c r="A13558" t="str">
        <f>"13557"</f>
        <v>13557</v>
      </c>
      <c r="B13558" t="str">
        <f>"0.05"</f>
        <v>0.05</v>
      </c>
      <c r="C13558" t="str">
        <f>"24"</f>
        <v>24</v>
      </c>
      <c r="D13558" t="str">
        <f>"Mountain Debris"</f>
        <v>Mountain Debris</v>
      </c>
    </row>
    <row r="13559" spans="1:4" x14ac:dyDescent="0.2">
      <c r="A13559" t="str">
        <f>"13558"</f>
        <v>13558</v>
      </c>
      <c r="B13559" t="str">
        <f>"1.24"</f>
        <v>1.24</v>
      </c>
      <c r="C13559" t="str">
        <f>"36"</f>
        <v>36</v>
      </c>
      <c r="D13559" t="str">
        <f>"Soldier of Love"</f>
        <v>Soldier of Love</v>
      </c>
    </row>
    <row r="13560" spans="1:4" x14ac:dyDescent="0.2">
      <c r="A13560" t="str">
        <f>"13559"</f>
        <v>13559</v>
      </c>
      <c r="B13560" t="str">
        <f>"-0.2"</f>
        <v>-0.2</v>
      </c>
      <c r="C13560" t="str">
        <f>"31"</f>
        <v>31</v>
      </c>
      <c r="D13560" t="str">
        <f>"Renihilation"</f>
        <v>Renihilation</v>
      </c>
    </row>
    <row r="13561" spans="1:4" x14ac:dyDescent="0.2">
      <c r="A13561" t="str">
        <f>"13560"</f>
        <v>13560</v>
      </c>
      <c r="B13561" t="str">
        <f>"-0.1"</f>
        <v>-0.1</v>
      </c>
      <c r="C13561" t="str">
        <f>"31"</f>
        <v>31</v>
      </c>
      <c r="D13561" t="str">
        <f>"North/South/East/West"</f>
        <v>North/South/East/West</v>
      </c>
    </row>
    <row r="13562" spans="1:4" x14ac:dyDescent="0.2">
      <c r="A13562" t="str">
        <f>"13561"</f>
        <v>13561</v>
      </c>
      <c r="B13562" t="str">
        <f>"0.21"</f>
        <v>0.21</v>
      </c>
      <c r="C13562" t="str">
        <f>"16"</f>
        <v>16</v>
      </c>
      <c r="D13562" t="str">
        <f>"The Amazing"</f>
        <v>The Amazing</v>
      </c>
    </row>
    <row r="13563" spans="1:4" x14ac:dyDescent="0.2">
      <c r="A13563" t="str">
        <f>"13562"</f>
        <v>13562</v>
      </c>
      <c r="B13563" t="str">
        <f>"1.15"</f>
        <v>1.15</v>
      </c>
      <c r="C13563" t="str">
        <f>"19"</f>
        <v>19</v>
      </c>
      <c r="D13563" t="str">
        <f>"Playtime"</f>
        <v>Playtime</v>
      </c>
    </row>
    <row r="13564" spans="1:4" x14ac:dyDescent="0.2">
      <c r="A13564" t="str">
        <f>"13563"</f>
        <v>13563</v>
      </c>
      <c r="B13564" t="str">
        <f>"0.33"</f>
        <v>0.33</v>
      </c>
      <c r="C13564" t="str">
        <f>"24"</f>
        <v>24</v>
      </c>
      <c r="D13564" t="str">
        <f>"Odd Blood"</f>
        <v>Odd Blood</v>
      </c>
    </row>
    <row r="13565" spans="1:4" x14ac:dyDescent="0.2">
      <c r="A13565" t="str">
        <f>"13564"</f>
        <v>13564</v>
      </c>
      <c r="B13565" t="str">
        <f>"-0.43"</f>
        <v>-0.43</v>
      </c>
      <c r="C13565" t="str">
        <f>"22"</f>
        <v>22</v>
      </c>
      <c r="D13565" t="str">
        <f>"Periphery"</f>
        <v>Periphery</v>
      </c>
    </row>
    <row r="13566" spans="1:4" x14ac:dyDescent="0.2">
      <c r="A13566" t="str">
        <f>"13565"</f>
        <v>13565</v>
      </c>
      <c r="B13566" t="str">
        <f>"0.16"</f>
        <v>0.16</v>
      </c>
      <c r="C13566" t="str">
        <f>"32"</f>
        <v>32</v>
      </c>
      <c r="D13566" t="str">
        <f>"The Calcination of Scout Niblett"</f>
        <v>The Calcination of Scout Niblett</v>
      </c>
    </row>
    <row r="13567" spans="1:4" x14ac:dyDescent="0.2">
      <c r="A13567" t="str">
        <f>"13566"</f>
        <v>13566</v>
      </c>
      <c r="B13567" t="str">
        <f>"0.1"</f>
        <v>0.1</v>
      </c>
      <c r="C13567" t="str">
        <f>"35"</f>
        <v>35</v>
      </c>
      <c r="D13567" t="str">
        <f>"Frictionalism 1994-2009"</f>
        <v>Frictionalism 1994-2009</v>
      </c>
    </row>
    <row r="13568" spans="1:4" x14ac:dyDescent="0.2">
      <c r="A13568" t="str">
        <f>"13567"</f>
        <v>13567</v>
      </c>
      <c r="B13568" t="str">
        <f>"1.31"</f>
        <v>1.31</v>
      </c>
      <c r="C13568" t="str">
        <f>"20"</f>
        <v>20</v>
      </c>
      <c r="D13568" t="str">
        <f>"Casual Victim Pile"</f>
        <v>Casual Victim Pile</v>
      </c>
    </row>
    <row r="13569" spans="1:4" x14ac:dyDescent="0.2">
      <c r="A13569" t="str">
        <f>"13568"</f>
        <v>13568</v>
      </c>
      <c r="B13569" t="str">
        <f>"0.32"</f>
        <v>0.32</v>
      </c>
      <c r="C13569" t="str">
        <f>"27"</f>
        <v>27</v>
      </c>
      <c r="D13569" t="str">
        <f>"I'm New Here"</f>
        <v>I'm New Here</v>
      </c>
    </row>
    <row r="13570" spans="1:4" x14ac:dyDescent="0.2">
      <c r="A13570" t="str">
        <f>"13569"</f>
        <v>13569</v>
      </c>
      <c r="B13570" t="str">
        <f>"0.09"</f>
        <v>0.09</v>
      </c>
      <c r="C13570" t="str">
        <f>"25"</f>
        <v>25</v>
      </c>
      <c r="D13570" t="str">
        <f>"Thin Thin Line"</f>
        <v>Thin Thin Line</v>
      </c>
    </row>
    <row r="13571" spans="1:4" x14ac:dyDescent="0.2">
      <c r="A13571" t="str">
        <f>"13570"</f>
        <v>13570</v>
      </c>
      <c r="B13571" t="str">
        <f>"1.44"</f>
        <v>1.44</v>
      </c>
      <c r="C13571" t="str">
        <f>"20"</f>
        <v>20</v>
      </c>
      <c r="D13571" t="str">
        <f>"It Was Easy"</f>
        <v>It Was Easy</v>
      </c>
    </row>
    <row r="13572" spans="1:4" x14ac:dyDescent="0.2">
      <c r="A13572" t="str">
        <f>"13571"</f>
        <v>13571</v>
      </c>
      <c r="B13572" t="str">
        <f>"0.13"</f>
        <v>0.13</v>
      </c>
      <c r="C13572" t="str">
        <f>"33"</f>
        <v>33</v>
      </c>
      <c r="D13572" t="str">
        <f>"Aufgang"</f>
        <v>Aufgang</v>
      </c>
    </row>
    <row r="13573" spans="1:4" x14ac:dyDescent="0.2">
      <c r="A13573" t="str">
        <f>"13572"</f>
        <v>13572</v>
      </c>
      <c r="B13573" t="str">
        <f>"-0.17"</f>
        <v>-0.17</v>
      </c>
      <c r="C13573" t="str">
        <f>"28"</f>
        <v>28</v>
      </c>
      <c r="D13573" t="str">
        <f>"Interference"</f>
        <v>Interference</v>
      </c>
    </row>
    <row r="13574" spans="1:4" x14ac:dyDescent="0.2">
      <c r="A13574" t="str">
        <f>"13573"</f>
        <v>13573</v>
      </c>
      <c r="B13574" t="str">
        <f>"-0.85"</f>
        <v>-0.85</v>
      </c>
      <c r="C13574" t="str">
        <f>"34"</f>
        <v>34</v>
      </c>
      <c r="D13574" t="str">
        <f>"Heligoland"</f>
        <v>Heligoland</v>
      </c>
    </row>
    <row r="13575" spans="1:4" x14ac:dyDescent="0.2">
      <c r="A13575" t="str">
        <f>"13574"</f>
        <v>13574</v>
      </c>
      <c r="B13575" t="str">
        <f>"-0.02"</f>
        <v>-0.02</v>
      </c>
      <c r="C13575" t="str">
        <f>"20"</f>
        <v>20</v>
      </c>
      <c r="D13575" t="str">
        <f>"Songs About People I Know"</f>
        <v>Songs About People I Know</v>
      </c>
    </row>
    <row r="13576" spans="1:4" x14ac:dyDescent="0.2">
      <c r="A13576" t="str">
        <f>"13575"</f>
        <v>13575</v>
      </c>
      <c r="B13576" t="str">
        <f>"-0.71"</f>
        <v>-0.71</v>
      </c>
      <c r="C13576" t="str">
        <f>"21"</f>
        <v>21</v>
      </c>
      <c r="D13576" t="str">
        <f>"AFCGT"</f>
        <v>AFCGT</v>
      </c>
    </row>
    <row r="13577" spans="1:4" x14ac:dyDescent="0.2">
      <c r="A13577" t="str">
        <f>"13576"</f>
        <v>13576</v>
      </c>
      <c r="B13577" t="str">
        <f>"0.1"</f>
        <v>0.1</v>
      </c>
      <c r="C13577" t="str">
        <f>"18"</f>
        <v>18</v>
      </c>
      <c r="D13577" t="str">
        <f>"Raiders"</f>
        <v>Raiders</v>
      </c>
    </row>
    <row r="13578" spans="1:4" x14ac:dyDescent="0.2">
      <c r="A13578" t="str">
        <f>"13577"</f>
        <v>13577</v>
      </c>
      <c r="B13578" t="str">
        <f>"-0.04"</f>
        <v>-0.04</v>
      </c>
      <c r="C13578" t="str">
        <f>"24"</f>
        <v>24</v>
      </c>
      <c r="D13578" t="s">
        <v>420</v>
      </c>
    </row>
    <row r="13579" spans="1:4" x14ac:dyDescent="0.2">
      <c r="A13579" t="str">
        <f>"13578"</f>
        <v>13578</v>
      </c>
      <c r="B13579" t="str">
        <f>"1.17"</f>
        <v>1.17</v>
      </c>
      <c r="C13579" t="str">
        <f>"41"</f>
        <v>41</v>
      </c>
      <c r="D13579" t="str">
        <f>"One Life Stand"</f>
        <v>One Life Stand</v>
      </c>
    </row>
    <row r="13580" spans="1:4" x14ac:dyDescent="0.2">
      <c r="A13580" t="str">
        <f>"13579"</f>
        <v>13579</v>
      </c>
      <c r="B13580" t="str">
        <f>"1.62"</f>
        <v>1.62</v>
      </c>
      <c r="C13580" t="str">
        <f>"22"</f>
        <v>22</v>
      </c>
      <c r="D13580" t="str">
        <f>"Ali and Toumani"</f>
        <v>Ali and Toumani</v>
      </c>
    </row>
    <row r="13581" spans="1:4" x14ac:dyDescent="0.2">
      <c r="A13581" t="str">
        <f>"13580"</f>
        <v>13580</v>
      </c>
      <c r="B13581" t="str">
        <f>"-0.05"</f>
        <v>-0.05</v>
      </c>
      <c r="C13581" t="str">
        <f>"31"</f>
        <v>31</v>
      </c>
      <c r="D13581" t="str">
        <f>"Daptone Gold"</f>
        <v>Daptone Gold</v>
      </c>
    </row>
    <row r="13582" spans="1:4" x14ac:dyDescent="0.2">
      <c r="A13582" t="str">
        <f>"13581"</f>
        <v>13581</v>
      </c>
      <c r="B13582" t="str">
        <f>"0.09"</f>
        <v>0.09</v>
      </c>
      <c r="C13582" t="str">
        <f>"29"</f>
        <v>29</v>
      </c>
      <c r="D13582" t="str">
        <f>"Heart of My Own"</f>
        <v>Heart of My Own</v>
      </c>
    </row>
    <row r="13583" spans="1:4" x14ac:dyDescent="0.2">
      <c r="A13583" t="str">
        <f>"13582"</f>
        <v>13582</v>
      </c>
      <c r="B13583" t="str">
        <f>"1.25"</f>
        <v>1.25</v>
      </c>
      <c r="C13583" t="str">
        <f>"19"</f>
        <v>19</v>
      </c>
      <c r="D13583" t="s">
        <v>421</v>
      </c>
    </row>
    <row r="13584" spans="1:4" x14ac:dyDescent="0.2">
      <c r="A13584" t="str">
        <f>"13583"</f>
        <v>13583</v>
      </c>
      <c r="B13584" t="str">
        <f>"0.39"</f>
        <v>0.39</v>
      </c>
      <c r="C13584" t="str">
        <f>"26"</f>
        <v>26</v>
      </c>
      <c r="D13584" t="str">
        <f>"Dreamland EP: Marimba and Shit-Drums"</f>
        <v>Dreamland EP: Marimba and Shit-Drums</v>
      </c>
    </row>
    <row r="13585" spans="1:4" x14ac:dyDescent="0.2">
      <c r="A13585" t="str">
        <f>"13584"</f>
        <v>13584</v>
      </c>
      <c r="B13585" t="str">
        <f>"0.44"</f>
        <v>0.44</v>
      </c>
      <c r="C13585" t="str">
        <f>"14"</f>
        <v>14</v>
      </c>
      <c r="D13585" t="str">
        <f>"The Soft Pack"</f>
        <v>The Soft Pack</v>
      </c>
    </row>
    <row r="13586" spans="1:4" x14ac:dyDescent="0.2">
      <c r="A13586" t="str">
        <f>"13585"</f>
        <v>13585</v>
      </c>
      <c r="B13586" t="str">
        <f>"1.07"</f>
        <v>1.07</v>
      </c>
      <c r="C13586" t="str">
        <f>"28"</f>
        <v>28</v>
      </c>
      <c r="D13586" t="str">
        <f>"In Search of Stoney Jackson"</f>
        <v>In Search of Stoney Jackson</v>
      </c>
    </row>
    <row r="13587" spans="1:4" x14ac:dyDescent="0.2">
      <c r="A13587" t="str">
        <f>"13586"</f>
        <v>13586</v>
      </c>
      <c r="B13587" t="str">
        <f>"0.73"</f>
        <v>0.73</v>
      </c>
      <c r="C13587" t="str">
        <f>"31"</f>
        <v>31</v>
      </c>
      <c r="D13587" t="str">
        <f>"Good God! Born Again Funk"</f>
        <v>Good God! Born Again Funk</v>
      </c>
    </row>
    <row r="13588" spans="1:4" x14ac:dyDescent="0.2">
      <c r="A13588" t="str">
        <f>"13587"</f>
        <v>13587</v>
      </c>
      <c r="B13588" t="str">
        <f>"0.94"</f>
        <v>0.94</v>
      </c>
      <c r="C13588" t="str">
        <f>"18"</f>
        <v>18</v>
      </c>
      <c r="D13588" t="str">
        <f>"144 Pulsations of Light"</f>
        <v>144 Pulsations of Light</v>
      </c>
    </row>
    <row r="13589" spans="1:4" x14ac:dyDescent="0.2">
      <c r="A13589" t="str">
        <f>"13588"</f>
        <v>13588</v>
      </c>
      <c r="B13589" t="str">
        <f>"-0.74"</f>
        <v>-0.74</v>
      </c>
      <c r="C13589" t="str">
        <f>"41"</f>
        <v>41</v>
      </c>
      <c r="D13589" t="str">
        <f>"Rebirth"</f>
        <v>Rebirth</v>
      </c>
    </row>
    <row r="13590" spans="1:4" x14ac:dyDescent="0.2">
      <c r="A13590" t="str">
        <f>"13589"</f>
        <v>13589</v>
      </c>
      <c r="B13590" t="str">
        <f>"0.03"</f>
        <v>0.03</v>
      </c>
      <c r="C13590" t="str">
        <f>"30"</f>
        <v>30</v>
      </c>
      <c r="D13590" t="str">
        <f>"Mind Chaos"</f>
        <v>Mind Chaos</v>
      </c>
    </row>
    <row r="13591" spans="1:4" x14ac:dyDescent="0.2">
      <c r="A13591" t="str">
        <f>"13590"</f>
        <v>13590</v>
      </c>
      <c r="B13591" t="str">
        <f>"0.59"</f>
        <v>0.59</v>
      </c>
      <c r="C13591" t="str">
        <f>"15"</f>
        <v>15</v>
      </c>
      <c r="D13591" t="str">
        <f>"A Chorus of Storytellers"</f>
        <v>A Chorus of Storytellers</v>
      </c>
    </row>
    <row r="13592" spans="1:4" x14ac:dyDescent="0.2">
      <c r="A13592" t="str">
        <f>"13591"</f>
        <v>13591</v>
      </c>
      <c r="B13592" t="str">
        <f>"-0.82"</f>
        <v>-0.82</v>
      </c>
      <c r="C13592" t="str">
        <f>"21"</f>
        <v>21</v>
      </c>
      <c r="D13592" t="s">
        <v>422</v>
      </c>
    </row>
    <row r="13593" spans="1:4" x14ac:dyDescent="0.2">
      <c r="A13593" t="str">
        <f>"13592"</f>
        <v>13592</v>
      </c>
      <c r="B13593" t="str">
        <f>"0.42"</f>
        <v>0.42</v>
      </c>
      <c r="C13593" t="str">
        <f>"24"</f>
        <v>24</v>
      </c>
      <c r="D13593" t="str">
        <f>"Shape of the Shape"</f>
        <v>Shape of the Shape</v>
      </c>
    </row>
    <row r="13594" spans="1:4" x14ac:dyDescent="0.2">
      <c r="A13594" t="str">
        <f>"13593"</f>
        <v>13593</v>
      </c>
      <c r="B13594" t="str">
        <f>"0.78"</f>
        <v>0.78</v>
      </c>
      <c r="C13594" t="str">
        <f>"31"</f>
        <v>31</v>
      </c>
      <c r="D13594" t="str">
        <f>"The Courage of Others"</f>
        <v>The Courage of Others</v>
      </c>
    </row>
    <row r="13595" spans="1:4" x14ac:dyDescent="0.2">
      <c r="A13595" t="str">
        <f>"13594"</f>
        <v>13594</v>
      </c>
      <c r="B13595" t="str">
        <f>"0.3"</f>
        <v>0.3</v>
      </c>
      <c r="C13595" t="str">
        <f>"24"</f>
        <v>24</v>
      </c>
      <c r="D13595" t="str">
        <f>"Ugly Side of Love"</f>
        <v>Ugly Side of Love</v>
      </c>
    </row>
    <row r="13596" spans="1:4" x14ac:dyDescent="0.2">
      <c r="A13596" t="str">
        <f>"13595"</f>
        <v>13595</v>
      </c>
      <c r="B13596" t="str">
        <f>"1.22"</f>
        <v>1.22</v>
      </c>
      <c r="C13596" t="str">
        <f>"36"</f>
        <v>36</v>
      </c>
      <c r="D13596" t="s">
        <v>423</v>
      </c>
    </row>
    <row r="13597" spans="1:4" x14ac:dyDescent="0.2">
      <c r="A13597" t="str">
        <f>"13596"</f>
        <v>13596</v>
      </c>
      <c r="B13597" t="str">
        <f>"0.31"</f>
        <v>0.31</v>
      </c>
      <c r="C13597" t="str">
        <f>"19"</f>
        <v>19</v>
      </c>
      <c r="D13597" t="str">
        <f>"You &amp; Me"</f>
        <v>You &amp; Me</v>
      </c>
    </row>
    <row r="13598" spans="1:4" x14ac:dyDescent="0.2">
      <c r="A13598" t="str">
        <f>"13597"</f>
        <v>13597</v>
      </c>
      <c r="B13598" t="str">
        <f>"0.2"</f>
        <v>0.2</v>
      </c>
      <c r="C13598" t="str">
        <f>"34"</f>
        <v>34</v>
      </c>
      <c r="D13598" t="str">
        <f>"Leaving on a Mayday"</f>
        <v>Leaving on a Mayday</v>
      </c>
    </row>
    <row r="13599" spans="1:4" x14ac:dyDescent="0.2">
      <c r="A13599" t="str">
        <f>"13598"</f>
        <v>13598</v>
      </c>
      <c r="B13599" t="str">
        <f>"-0.87"</f>
        <v>-0.87</v>
      </c>
      <c r="C13599" t="str">
        <f>"27"</f>
        <v>27</v>
      </c>
      <c r="D13599" t="str">
        <f>"Couple Tracks"</f>
        <v>Couple Tracks</v>
      </c>
    </row>
    <row r="13600" spans="1:4" x14ac:dyDescent="0.2">
      <c r="A13600" t="str">
        <f>"13599"</f>
        <v>13599</v>
      </c>
      <c r="B13600" t="str">
        <f>"0.63"</f>
        <v>0.63</v>
      </c>
      <c r="C13600" t="str">
        <f>"21"</f>
        <v>21</v>
      </c>
      <c r="D13600" t="str">
        <f>"The House of Love"</f>
        <v>The House of Love</v>
      </c>
    </row>
    <row r="13601" spans="1:4" x14ac:dyDescent="0.2">
      <c r="A13601" t="str">
        <f>"13600"</f>
        <v>13600</v>
      </c>
      <c r="B13601" t="str">
        <f>"0.11"</f>
        <v>0.11</v>
      </c>
      <c r="C13601" t="str">
        <f>"20"</f>
        <v>20</v>
      </c>
      <c r="D13601" t="str">
        <f>"Paper Dolls"</f>
        <v>Paper Dolls</v>
      </c>
    </row>
    <row r="13602" spans="1:4" x14ac:dyDescent="0.2">
      <c r="A13602" t="str">
        <f>"13601"</f>
        <v>13601</v>
      </c>
      <c r="B13602" t="str">
        <f>"0.38"</f>
        <v>0.38</v>
      </c>
      <c r="C13602" t="str">
        <f>"22"</f>
        <v>22</v>
      </c>
      <c r="D13602" t="str">
        <f>"Rifts"</f>
        <v>Rifts</v>
      </c>
    </row>
    <row r="13603" spans="1:4" x14ac:dyDescent="0.2">
      <c r="A13603" t="str">
        <f>"13602"</f>
        <v>13602</v>
      </c>
      <c r="B13603" t="str">
        <f>"-0.88"</f>
        <v>-0.88</v>
      </c>
      <c r="C13603" t="str">
        <f>"29"</f>
        <v>29</v>
      </c>
      <c r="D13603" t="str">
        <f>"Ommatidia"</f>
        <v>Ommatidia</v>
      </c>
    </row>
    <row r="13604" spans="1:4" x14ac:dyDescent="0.2">
      <c r="A13604" t="str">
        <f>"13603"</f>
        <v>13603</v>
      </c>
      <c r="B13604" t="str">
        <f>"-0.28"</f>
        <v>-0.28</v>
      </c>
      <c r="C13604" t="str">
        <f>"48"</f>
        <v>48</v>
      </c>
      <c r="D13604" t="str">
        <f>"Romance Is Boring"</f>
        <v>Romance Is Boring</v>
      </c>
    </row>
    <row r="13605" spans="1:4" x14ac:dyDescent="0.2">
      <c r="A13605" t="str">
        <f>"13604"</f>
        <v>13604</v>
      </c>
      <c r="B13605" t="str">
        <f>"-0.65"</f>
        <v>-0.65</v>
      </c>
      <c r="C13605" t="str">
        <f>"29"</f>
        <v>29</v>
      </c>
      <c r="D13605" t="str">
        <f>"Life Is Sweet! Nice to Meet You"</f>
        <v>Life Is Sweet! Nice to Meet You</v>
      </c>
    </row>
    <row r="13606" spans="1:4" x14ac:dyDescent="0.2">
      <c r="A13606" t="str">
        <f>"13605"</f>
        <v>13605</v>
      </c>
      <c r="B13606" t="str">
        <f>"0.73"</f>
        <v>0.73</v>
      </c>
      <c r="C13606" t="str">
        <f>"16"</f>
        <v>16</v>
      </c>
      <c r="D13606" t="str">
        <f>"Journal of Ardency"</f>
        <v>Journal of Ardency</v>
      </c>
    </row>
    <row r="13607" spans="1:4" x14ac:dyDescent="0.2">
      <c r="A13607" t="str">
        <f>"13606"</f>
        <v>13606</v>
      </c>
      <c r="B13607" t="str">
        <f>"-0.41"</f>
        <v>-0.41</v>
      </c>
      <c r="C13607" t="str">
        <f>"23"</f>
        <v>23</v>
      </c>
      <c r="D13607" t="str">
        <f>"Einzelkämpfer"</f>
        <v>Einzelkämpfer</v>
      </c>
    </row>
    <row r="13608" spans="1:4" x14ac:dyDescent="0.2">
      <c r="A13608" t="str">
        <f>"13607"</f>
        <v>13607</v>
      </c>
      <c r="B13608" t="str">
        <f>"-0.18"</f>
        <v>-0.18</v>
      </c>
      <c r="C13608" t="str">
        <f>"20"</f>
        <v>20</v>
      </c>
      <c r="D13608" t="str">
        <f>"Accelerated Living"</f>
        <v>Accelerated Living</v>
      </c>
    </row>
    <row r="13609" spans="1:4" x14ac:dyDescent="0.2">
      <c r="A13609" t="str">
        <f>"13608"</f>
        <v>13608</v>
      </c>
      <c r="B13609" t="str">
        <f>"0.91"</f>
        <v>0.91</v>
      </c>
      <c r="C13609" t="str">
        <f>"25"</f>
        <v>25</v>
      </c>
      <c r="D13609" t="str">
        <f>"Stroke: Songs for Chris Knox"</f>
        <v>Stroke: Songs for Chris Knox</v>
      </c>
    </row>
    <row r="13610" spans="1:4" x14ac:dyDescent="0.2">
      <c r="A13610" t="str">
        <f>"13609"</f>
        <v>13609</v>
      </c>
      <c r="B13610" t="str">
        <f>"-0.54"</f>
        <v>-0.54</v>
      </c>
      <c r="C13610" t="str">
        <f>"25"</f>
        <v>25</v>
      </c>
      <c r="D13610" t="str">
        <f>"To Realize"</f>
        <v>To Realize</v>
      </c>
    </row>
    <row r="13611" spans="1:4" x14ac:dyDescent="0.2">
      <c r="A13611" t="str">
        <f>"13610"</f>
        <v>13610</v>
      </c>
      <c r="B13611" t="str">
        <f>"-0.99"</f>
        <v>-0.99</v>
      </c>
      <c r="C13611" t="str">
        <f>"19"</f>
        <v>19</v>
      </c>
      <c r="D13611" t="str">
        <f>"Night Music"</f>
        <v>Night Music</v>
      </c>
    </row>
    <row r="13612" spans="1:4" x14ac:dyDescent="0.2">
      <c r="A13612" t="str">
        <f>"13611"</f>
        <v>13611</v>
      </c>
      <c r="B13612" t="str">
        <f>"0.15"</f>
        <v>0.15</v>
      </c>
      <c r="C13612" t="str">
        <f>"27"</f>
        <v>27</v>
      </c>
      <c r="D13612" t="s">
        <v>424</v>
      </c>
    </row>
    <row r="13613" spans="1:4" x14ac:dyDescent="0.2">
      <c r="A13613" t="str">
        <f>"13612"</f>
        <v>13612</v>
      </c>
      <c r="B13613" t="str">
        <f>"-0.57"</f>
        <v>-0.57</v>
      </c>
      <c r="C13613" t="str">
        <f>"32"</f>
        <v>32</v>
      </c>
      <c r="D13613" t="str">
        <f>"Adventures in Experimental Electric Orchestra from the San Francisco Psychedelic Underground"</f>
        <v>Adventures in Experimental Electric Orchestra from the San Francisco Psychedelic Underground</v>
      </c>
    </row>
    <row r="13614" spans="1:4" x14ac:dyDescent="0.2">
      <c r="A13614" t="str">
        <f>"13613"</f>
        <v>13613</v>
      </c>
      <c r="B13614" t="str">
        <f>"-0.6"</f>
        <v>-0.6</v>
      </c>
      <c r="C13614" t="str">
        <f>"40"</f>
        <v>40</v>
      </c>
      <c r="D13614" t="str">
        <f>"IRM"</f>
        <v>IRM</v>
      </c>
    </row>
    <row r="13615" spans="1:4" x14ac:dyDescent="0.2">
      <c r="A13615" t="str">
        <f>"13614"</f>
        <v>13614</v>
      </c>
      <c r="B13615" t="str">
        <f>"0.41"</f>
        <v>0.41</v>
      </c>
      <c r="C13615" t="str">
        <f>"21"</f>
        <v>21</v>
      </c>
      <c r="D13615" t="str">
        <f>"Turn Ons"</f>
        <v>Turn Ons</v>
      </c>
    </row>
    <row r="13616" spans="1:4" x14ac:dyDescent="0.2">
      <c r="A13616" t="str">
        <f>"13615"</f>
        <v>13615</v>
      </c>
      <c r="B13616" t="str">
        <f>"0.22"</f>
        <v>0.22</v>
      </c>
      <c r="C13616" t="str">
        <f>"23"</f>
        <v>23</v>
      </c>
      <c r="D13616" t="str">
        <f>"2"</f>
        <v>2</v>
      </c>
    </row>
    <row r="13617" spans="1:4" x14ac:dyDescent="0.2">
      <c r="A13617" t="str">
        <f>"13616"</f>
        <v>13616</v>
      </c>
      <c r="B13617" t="str">
        <f>"0.85"</f>
        <v>0.85</v>
      </c>
      <c r="C13617" t="str">
        <f>"21"</f>
        <v>21</v>
      </c>
      <c r="D13617" t="str">
        <f>"Versions"</f>
        <v>Versions</v>
      </c>
    </row>
    <row r="13618" spans="1:4" x14ac:dyDescent="0.2">
      <c r="A13618" t="str">
        <f>"13617"</f>
        <v>13617</v>
      </c>
      <c r="B13618" t="str">
        <f>"0.02"</f>
        <v>0.02</v>
      </c>
      <c r="C13618" t="str">
        <f>"29"</f>
        <v>29</v>
      </c>
      <c r="D13618" t="str">
        <f>"Forge Your Own Chains: Heavy Psychedelic Ballads and Dirges 1968-1974"</f>
        <v>Forge Your Own Chains: Heavy Psychedelic Ballads and Dirges 1968-1974</v>
      </c>
    </row>
    <row r="13619" spans="1:4" x14ac:dyDescent="0.2">
      <c r="A13619" t="str">
        <f>"13618"</f>
        <v>13618</v>
      </c>
      <c r="B13619" t="str">
        <f>"-0.29"</f>
        <v>-0.29</v>
      </c>
      <c r="C13619" t="str">
        <f>"45"</f>
        <v>45</v>
      </c>
      <c r="D13619" t="str">
        <f>"Realism"</f>
        <v>Realism</v>
      </c>
    </row>
    <row r="13620" spans="1:4" x14ac:dyDescent="0.2">
      <c r="A13620" t="str">
        <f>"13619"</f>
        <v>13619</v>
      </c>
      <c r="B13620" t="str">
        <f>"0.08"</f>
        <v>0.08</v>
      </c>
      <c r="C13620" t="str">
        <f>"33"</f>
        <v>33</v>
      </c>
      <c r="D13620" t="str">
        <f>"FabricLive 49"</f>
        <v>FabricLive 49</v>
      </c>
    </row>
    <row r="13621" spans="1:4" x14ac:dyDescent="0.2">
      <c r="A13621" t="str">
        <f>"13620"</f>
        <v>13620</v>
      </c>
      <c r="B13621" t="str">
        <f>"0.83"</f>
        <v>0.83</v>
      </c>
      <c r="C13621" t="str">
        <f>"23"</f>
        <v>23</v>
      </c>
      <c r="D13621" t="str">
        <f>"Pop Ambient 2010"</f>
        <v>Pop Ambient 2010</v>
      </c>
    </row>
    <row r="13622" spans="1:4" x14ac:dyDescent="0.2">
      <c r="A13622" t="str">
        <f>"13621"</f>
        <v>13621</v>
      </c>
      <c r="B13622" t="str">
        <f>"0.17"</f>
        <v>0.17</v>
      </c>
      <c r="C13622" t="str">
        <f>"25"</f>
        <v>25</v>
      </c>
      <c r="D13622" t="str">
        <f>"Together You and I"</f>
        <v>Together You and I</v>
      </c>
    </row>
    <row r="13623" spans="1:4" x14ac:dyDescent="0.2">
      <c r="A13623" t="str">
        <f>"13622"</f>
        <v>13622</v>
      </c>
      <c r="B13623" t="str">
        <f>"0.6"</f>
        <v>0.6</v>
      </c>
      <c r="C13623" t="str">
        <f>"29"</f>
        <v>29</v>
      </c>
      <c r="D13623" t="str">
        <f>"YellowFever"</f>
        <v>YellowFever</v>
      </c>
    </row>
    <row r="13624" spans="1:4" x14ac:dyDescent="0.2">
      <c r="A13624" t="str">
        <f>"13623"</f>
        <v>13623</v>
      </c>
      <c r="B13624" t="str">
        <f>"-0.14"</f>
        <v>-0.14</v>
      </c>
      <c r="C13624" t="str">
        <f>"38"</f>
        <v>38</v>
      </c>
      <c r="D13624" t="str">
        <f>"Teen Dream"</f>
        <v>Teen Dream</v>
      </c>
    </row>
    <row r="13625" spans="1:4" x14ac:dyDescent="0.2">
      <c r="A13625" t="str">
        <f>"13624"</f>
        <v>13624</v>
      </c>
      <c r="B13625" t="str">
        <f>"0.01"</f>
        <v>0.01</v>
      </c>
      <c r="C13625" t="str">
        <f>"35"</f>
        <v>35</v>
      </c>
      <c r="D13625" t="str">
        <f>"Acolyte"</f>
        <v>Acolyte</v>
      </c>
    </row>
    <row r="13626" spans="1:4" x14ac:dyDescent="0.2">
      <c r="A13626" t="str">
        <f>"13625"</f>
        <v>13625</v>
      </c>
      <c r="B13626" t="str">
        <f>"0.5"</f>
        <v>0.5</v>
      </c>
      <c r="C13626" t="str">
        <f>"35"</f>
        <v>35</v>
      </c>
      <c r="D13626" t="str">
        <f>"Setting the Paces"</f>
        <v>Setting the Paces</v>
      </c>
    </row>
    <row r="13627" spans="1:4" x14ac:dyDescent="0.2">
      <c r="A13627" t="str">
        <f>"13626"</f>
        <v>13626</v>
      </c>
      <c r="B13627" t="str">
        <f>"0.33"</f>
        <v>0.33</v>
      </c>
      <c r="C13627" t="str">
        <f>"42"</f>
        <v>42</v>
      </c>
      <c r="D13627" t="str">
        <f>"The Biggest Ragga Dancehall Anthems 2009"</f>
        <v>The Biggest Ragga Dancehall Anthems 2009</v>
      </c>
    </row>
    <row r="13628" spans="1:4" x14ac:dyDescent="0.2">
      <c r="A13628" t="str">
        <f>"13627"</f>
        <v>13627</v>
      </c>
      <c r="B13628" t="str">
        <f>"0.21"</f>
        <v>0.21</v>
      </c>
      <c r="C13628" t="str">
        <f>"28"</f>
        <v>28</v>
      </c>
      <c r="D13628" t="str">
        <f>"One-Armed Bandit"</f>
        <v>One-Armed Bandit</v>
      </c>
    </row>
    <row r="13629" spans="1:4" x14ac:dyDescent="0.2">
      <c r="A13629" t="str">
        <f>"13628"</f>
        <v>13628</v>
      </c>
      <c r="B13629" t="str">
        <f>"1.63"</f>
        <v>1.63</v>
      </c>
      <c r="C13629" t="str">
        <f>"46"</f>
        <v>46</v>
      </c>
      <c r="D13629" t="str">
        <f>"There Is Love in You"</f>
        <v>There Is Love in You</v>
      </c>
    </row>
    <row r="13630" spans="1:4" x14ac:dyDescent="0.2">
      <c r="A13630" t="str">
        <f>"13629"</f>
        <v>13629</v>
      </c>
      <c r="B13630" t="str">
        <f>"-0.04"</f>
        <v>-0.04</v>
      </c>
      <c r="C13630" t="str">
        <f>"20"</f>
        <v>20</v>
      </c>
      <c r="D13630" t="str">
        <f>"Sturm"</f>
        <v>Sturm</v>
      </c>
    </row>
    <row r="13631" spans="1:4" x14ac:dyDescent="0.2">
      <c r="A13631" t="str">
        <f>"13630"</f>
        <v>13630</v>
      </c>
      <c r="B13631" t="str">
        <f>"0.5"</f>
        <v>0.5</v>
      </c>
      <c r="C13631" t="str">
        <f>"19"</f>
        <v>19</v>
      </c>
      <c r="D13631" t="str">
        <f>"The Flexible Entertainer"</f>
        <v>The Flexible Entertainer</v>
      </c>
    </row>
    <row r="13632" spans="1:4" x14ac:dyDescent="0.2">
      <c r="A13632" t="str">
        <f>"13631"</f>
        <v>13631</v>
      </c>
      <c r="B13632" t="str">
        <f>"0.13"</f>
        <v>0.13</v>
      </c>
      <c r="C13632" t="str">
        <f>"27"</f>
        <v>27</v>
      </c>
      <c r="D13632" t="str">
        <f>"Funtown Comedown"</f>
        <v>Funtown Comedown</v>
      </c>
    </row>
    <row r="13633" spans="1:4" x14ac:dyDescent="0.2">
      <c r="A13633" t="str">
        <f>"13632"</f>
        <v>13632</v>
      </c>
      <c r="B13633" t="str">
        <f>"0.73"</f>
        <v>0.73</v>
      </c>
      <c r="C13633" t="str">
        <f>"17"</f>
        <v>17</v>
      </c>
      <c r="D13633" t="str">
        <f>"Is There Nothing We Could Do?"</f>
        <v>Is There Nothing We Could Do?</v>
      </c>
    </row>
    <row r="13634" spans="1:4" x14ac:dyDescent="0.2">
      <c r="A13634" t="str">
        <f>"13633"</f>
        <v>13633</v>
      </c>
      <c r="B13634" t="str">
        <f>"0.47"</f>
        <v>0.47</v>
      </c>
      <c r="C13634" t="str">
        <f>"22"</f>
        <v>22</v>
      </c>
      <c r="D13634" t="str">
        <f>"Fabric 48"</f>
        <v>Fabric 48</v>
      </c>
    </row>
    <row r="13635" spans="1:4" x14ac:dyDescent="0.2">
      <c r="A13635" t="str">
        <f>"13634"</f>
        <v>13634</v>
      </c>
      <c r="B13635" t="str">
        <f>"0.47"</f>
        <v>0.47</v>
      </c>
      <c r="C13635" t="str">
        <f>"30"</f>
        <v>30</v>
      </c>
      <c r="D13635" t="str">
        <f>"Eddy Current Suppression Ring"</f>
        <v>Eddy Current Suppression Ring</v>
      </c>
    </row>
    <row r="13636" spans="1:4" x14ac:dyDescent="0.2">
      <c r="A13636" t="str">
        <f>"13635"</f>
        <v>13635</v>
      </c>
      <c r="B13636" t="str">
        <f>"2.29"</f>
        <v>2.29</v>
      </c>
      <c r="C13636" t="str">
        <f>"16"</f>
        <v>16</v>
      </c>
      <c r="D13636" t="str">
        <f>"Book of Leaves"</f>
        <v>Book of Leaves</v>
      </c>
    </row>
    <row r="13637" spans="1:4" x14ac:dyDescent="0.2">
      <c r="A13637" t="str">
        <f>"13636"</f>
        <v>13636</v>
      </c>
      <c r="B13637" t="str">
        <f>"0.68"</f>
        <v>0.68</v>
      </c>
      <c r="C13637" t="str">
        <f>"22"</f>
        <v>22</v>
      </c>
      <c r="D13637" t="str">
        <f>"Five American Portraits"</f>
        <v>Five American Portraits</v>
      </c>
    </row>
    <row r="13638" spans="1:4" x14ac:dyDescent="0.2">
      <c r="A13638" t="str">
        <f>"13637"</f>
        <v>13637</v>
      </c>
      <c r="B13638" t="str">
        <f>"-0.4"</f>
        <v>-0.4</v>
      </c>
      <c r="C13638" t="str">
        <f>"48"</f>
        <v>48</v>
      </c>
      <c r="D13638" t="str">
        <f>"Diplo Presents: Free Gucci (Best of The Cold War Mixtapes)"</f>
        <v>Diplo Presents: Free Gucci (Best of The Cold War Mixtapes)</v>
      </c>
    </row>
    <row r="13639" spans="1:4" x14ac:dyDescent="0.2">
      <c r="A13639" t="str">
        <f>"13638"</f>
        <v>13638</v>
      </c>
      <c r="B13639" t="str">
        <f>"0.06"</f>
        <v>0.06</v>
      </c>
      <c r="C13639" t="str">
        <f>"21"</f>
        <v>21</v>
      </c>
      <c r="D13639" t="str">
        <f>"Zephyr EP"</f>
        <v>Zephyr EP</v>
      </c>
    </row>
    <row r="13640" spans="1:4" x14ac:dyDescent="0.2">
      <c r="A13640" t="str">
        <f>"13639"</f>
        <v>13639</v>
      </c>
      <c r="B13640" t="str">
        <f>"0.46"</f>
        <v>0.46</v>
      </c>
      <c r="C13640" t="str">
        <f>"25"</f>
        <v>25</v>
      </c>
      <c r="D13640" t="str">
        <f>"Black Wooden EP"</f>
        <v>Black Wooden EP</v>
      </c>
    </row>
    <row r="13641" spans="1:4" x14ac:dyDescent="0.2">
      <c r="A13641" t="str">
        <f>"13640"</f>
        <v>13640</v>
      </c>
      <c r="B13641" t="str">
        <f>"1.14"</f>
        <v>1.14</v>
      </c>
      <c r="C13641" t="str">
        <f>"27"</f>
        <v>27</v>
      </c>
      <c r="D13641" t="s">
        <v>425</v>
      </c>
    </row>
    <row r="13642" spans="1:4" x14ac:dyDescent="0.2">
      <c r="A13642" t="str">
        <f>"13641"</f>
        <v>13641</v>
      </c>
      <c r="B13642" t="str">
        <f>"0.81"</f>
        <v>0.81</v>
      </c>
      <c r="C13642" t="str">
        <f>"29"</f>
        <v>29</v>
      </c>
      <c r="D13642" t="str">
        <f>"Silence"</f>
        <v>Silence</v>
      </c>
    </row>
    <row r="13643" spans="1:4" x14ac:dyDescent="0.2">
      <c r="A13643" t="str">
        <f>"13642"</f>
        <v>13642</v>
      </c>
      <c r="B13643" t="str">
        <f>"0.36"</f>
        <v>0.36</v>
      </c>
      <c r="C13643" t="str">
        <f>"29"</f>
        <v>29</v>
      </c>
      <c r="D13643" t="str">
        <f>"Astro Coast"</f>
        <v>Astro Coast</v>
      </c>
    </row>
    <row r="13644" spans="1:4" x14ac:dyDescent="0.2">
      <c r="A13644" t="str">
        <f>"13643"</f>
        <v>13643</v>
      </c>
      <c r="B13644" t="str">
        <f>"-1.35"</f>
        <v>-1.35</v>
      </c>
      <c r="C13644" t="str">
        <f>"20"</f>
        <v>20</v>
      </c>
      <c r="D13644" t="str">
        <f>"End Times"</f>
        <v>End Times</v>
      </c>
    </row>
    <row r="13645" spans="1:4" x14ac:dyDescent="0.2">
      <c r="A13645" t="str">
        <f>"13644"</f>
        <v>13644</v>
      </c>
      <c r="B13645" t="str">
        <f>"-0.13"</f>
        <v>-0.13</v>
      </c>
      <c r="C13645" t="str">
        <f>"36"</f>
        <v>36</v>
      </c>
      <c r="D13645" t="str">
        <f>"Up From Below"</f>
        <v>Up From Below</v>
      </c>
    </row>
    <row r="13646" spans="1:4" x14ac:dyDescent="0.2">
      <c r="A13646" t="str">
        <f>"13645"</f>
        <v>13645</v>
      </c>
      <c r="B13646" t="str">
        <f>"0.4"</f>
        <v>0.4</v>
      </c>
      <c r="C13646" t="str">
        <f>"17"</f>
        <v>17</v>
      </c>
      <c r="D13646" t="str">
        <f>"What Day Is it Tonight?"</f>
        <v>What Day Is it Tonight?</v>
      </c>
    </row>
    <row r="13647" spans="1:4" x14ac:dyDescent="0.2">
      <c r="A13647" t="str">
        <f>"13646"</f>
        <v>13646</v>
      </c>
      <c r="B13647" t="str">
        <f>"-0.46"</f>
        <v>-0.46</v>
      </c>
      <c r="C13647" t="str">
        <f>"25"</f>
        <v>25</v>
      </c>
      <c r="D13647" t="str">
        <f>"Dimensional Bleedthrough"</f>
        <v>Dimensional Bleedthrough</v>
      </c>
    </row>
    <row r="13648" spans="1:4" x14ac:dyDescent="0.2">
      <c r="A13648" t="str">
        <f>"13647"</f>
        <v>13647</v>
      </c>
      <c r="B13648" t="str">
        <f>"0.43"</f>
        <v>0.43</v>
      </c>
      <c r="C13648" t="str">
        <f>"22"</f>
        <v>22</v>
      </c>
      <c r="D13648" t="str">
        <f>"Real Life Is No Cool"</f>
        <v>Real Life Is No Cool</v>
      </c>
    </row>
    <row r="13649" spans="1:4" x14ac:dyDescent="0.2">
      <c r="A13649" t="str">
        <f>"13648"</f>
        <v>13648</v>
      </c>
      <c r="B13649" t="str">
        <f>"0.83"</f>
        <v>0.83</v>
      </c>
      <c r="C13649" t="str">
        <f>"37"</f>
        <v>37</v>
      </c>
      <c r="D13649" t="str">
        <f>"Intimate Moments for a Sensual Evening"</f>
        <v>Intimate Moments for a Sensual Evening</v>
      </c>
    </row>
    <row r="13650" spans="1:4" x14ac:dyDescent="0.2">
      <c r="A13650" t="str">
        <f>"13649"</f>
        <v>13649</v>
      </c>
      <c r="B13650" t="str">
        <f>"0.74"</f>
        <v>0.74</v>
      </c>
      <c r="C13650" t="str">
        <f>"25"</f>
        <v>25</v>
      </c>
      <c r="D13650" t="str">
        <f>"Make It Sound in Tune"</f>
        <v>Make It Sound in Tune</v>
      </c>
    </row>
    <row r="13651" spans="1:4" x14ac:dyDescent="0.2">
      <c r="A13651" t="str">
        <f>"13650"</f>
        <v>13650</v>
      </c>
      <c r="B13651" t="str">
        <f>"0.26"</f>
        <v>0.26</v>
      </c>
      <c r="C13651" t="str">
        <f>"16"</f>
        <v>16</v>
      </c>
      <c r="D13651" t="str">
        <f>"Trust"</f>
        <v>Trust</v>
      </c>
    </row>
    <row r="13652" spans="1:4" x14ac:dyDescent="0.2">
      <c r="A13652" t="str">
        <f>"13651"</f>
        <v>13651</v>
      </c>
      <c r="B13652" t="str">
        <f>"0.39"</f>
        <v>0.39</v>
      </c>
      <c r="C13652" t="str">
        <f>"21"</f>
        <v>21</v>
      </c>
      <c r="D13652" t="str">
        <f>"You Are the One I Pick"</f>
        <v>You Are the One I Pick</v>
      </c>
    </row>
    <row r="13653" spans="1:4" x14ac:dyDescent="0.2">
      <c r="A13653" t="str">
        <f>"13652"</f>
        <v>13652</v>
      </c>
      <c r="B13653" t="str">
        <f>"0.14"</f>
        <v>0.14</v>
      </c>
      <c r="C13653" t="str">
        <f>"39"</f>
        <v>39</v>
      </c>
      <c r="D13653" t="str">
        <f>"Transference"</f>
        <v>Transference</v>
      </c>
    </row>
    <row r="13654" spans="1:4" x14ac:dyDescent="0.2">
      <c r="A13654" t="str">
        <f>"13653"</f>
        <v>13653</v>
      </c>
      <c r="B13654" t="str">
        <f>"0.97"</f>
        <v>0.97</v>
      </c>
      <c r="C13654" t="str">
        <f>"23"</f>
        <v>23</v>
      </c>
      <c r="D13654" t="str">
        <f>"Roy Montgomery/Grouper"</f>
        <v>Roy Montgomery/Grouper</v>
      </c>
    </row>
    <row r="13655" spans="1:4" x14ac:dyDescent="0.2">
      <c r="A13655" t="str">
        <f>"13654"</f>
        <v>13654</v>
      </c>
      <c r="B13655" t="str">
        <f>"0.88"</f>
        <v>0.88</v>
      </c>
      <c r="C13655" t="str">
        <f>"20"</f>
        <v>20</v>
      </c>
      <c r="D13655" t="str">
        <f>"Athens"</f>
        <v>Athens</v>
      </c>
    </row>
    <row r="13656" spans="1:4" x14ac:dyDescent="0.2">
      <c r="A13656" t="str">
        <f>"13655"</f>
        <v>13655</v>
      </c>
      <c r="B13656" t="str">
        <f>"1.7"</f>
        <v>1.7</v>
      </c>
      <c r="C13656" t="str">
        <f>"23"</f>
        <v>23</v>
      </c>
      <c r="D13656" t="str">
        <f>"Underwater Peoples Winter Review"</f>
        <v>Underwater Peoples Winter Review</v>
      </c>
    </row>
    <row r="13657" spans="1:4" x14ac:dyDescent="0.2">
      <c r="A13657" t="str">
        <f>"13656"</f>
        <v>13656</v>
      </c>
      <c r="B13657" t="str">
        <f>"0.8"</f>
        <v>0.8</v>
      </c>
      <c r="C13657" t="str">
        <f>"20"</f>
        <v>20</v>
      </c>
      <c r="D13657" t="str">
        <f>"Carousel"</f>
        <v>Carousel</v>
      </c>
    </row>
    <row r="13658" spans="1:4" x14ac:dyDescent="0.2">
      <c r="A13658" t="str">
        <f>"13657"</f>
        <v>13657</v>
      </c>
      <c r="B13658" t="str">
        <f>"0.3"</f>
        <v>0.3</v>
      </c>
      <c r="C13658" t="str">
        <f>"30"</f>
        <v>30</v>
      </c>
      <c r="D13658" t="str">
        <f>"The Dark Side of the Moon"</f>
        <v>The Dark Side of the Moon</v>
      </c>
    </row>
    <row r="13659" spans="1:4" x14ac:dyDescent="0.2">
      <c r="A13659" t="str">
        <f>"13658"</f>
        <v>13658</v>
      </c>
      <c r="B13659" t="str">
        <f>"0.01"</f>
        <v>0.01</v>
      </c>
      <c r="C13659" t="str">
        <f>"27"</f>
        <v>27</v>
      </c>
      <c r="D13659" t="str">
        <f>"The Colossus"</f>
        <v>The Colossus</v>
      </c>
    </row>
    <row r="13660" spans="1:4" x14ac:dyDescent="0.2">
      <c r="A13660" t="str">
        <f>"13659"</f>
        <v>13659</v>
      </c>
      <c r="B13660" t="str">
        <f>"0.48"</f>
        <v>0.48</v>
      </c>
      <c r="C13660" t="str">
        <f>"28"</f>
        <v>28</v>
      </c>
      <c r="D13660" t="str">
        <f>"Rain on the City"</f>
        <v>Rain on the City</v>
      </c>
    </row>
    <row r="13661" spans="1:4" x14ac:dyDescent="0.2">
      <c r="A13661" t="str">
        <f>"13660"</f>
        <v>13660</v>
      </c>
      <c r="B13661" t="str">
        <f>"1.04"</f>
        <v>1.04</v>
      </c>
      <c r="C13661" t="str">
        <f>"25"</f>
        <v>25</v>
      </c>
      <c r="D13661" t="str">
        <f>"July Flame"</f>
        <v>July Flame</v>
      </c>
    </row>
    <row r="13662" spans="1:4" x14ac:dyDescent="0.2">
      <c r="A13662" t="str">
        <f>"13661"</f>
        <v>13661</v>
      </c>
      <c r="B13662" t="str">
        <f>"0.09"</f>
        <v>0.09</v>
      </c>
      <c r="C13662" t="str">
        <f>"18"</f>
        <v>18</v>
      </c>
      <c r="D13662" t="str">
        <f>"Climb Up"</f>
        <v>Climb Up</v>
      </c>
    </row>
    <row r="13663" spans="1:4" x14ac:dyDescent="0.2">
      <c r="A13663" t="str">
        <f>"13662"</f>
        <v>13662</v>
      </c>
      <c r="B13663" t="str">
        <f>"1.37"</f>
        <v>1.37</v>
      </c>
      <c r="C13663" t="str">
        <f>"30"</f>
        <v>30</v>
      </c>
      <c r="D13663" t="str">
        <f>"Heartland"</f>
        <v>Heartland</v>
      </c>
    </row>
    <row r="13664" spans="1:4" x14ac:dyDescent="0.2">
      <c r="A13664" t="str">
        <f>"13663"</f>
        <v>13663</v>
      </c>
      <c r="B13664" t="str">
        <f>"-0.51"</f>
        <v>-0.51</v>
      </c>
      <c r="C13664" t="str">
        <f>"36"</f>
        <v>36</v>
      </c>
      <c r="D13664" t="str">
        <f>"The Little Match Girl Passion"</f>
        <v>The Little Match Girl Passion</v>
      </c>
    </row>
    <row r="13665" spans="1:4" x14ac:dyDescent="0.2">
      <c r="A13665" t="str">
        <f>"13664"</f>
        <v>13664</v>
      </c>
      <c r="B13665" t="str">
        <f>"-0.36"</f>
        <v>-0.36</v>
      </c>
      <c r="C13665" t="str">
        <f>"29"</f>
        <v>29</v>
      </c>
      <c r="D13665" t="str">
        <f>"Legendary Hearts"</f>
        <v>Legendary Hearts</v>
      </c>
    </row>
    <row r="13666" spans="1:4" x14ac:dyDescent="0.2">
      <c r="A13666" t="str">
        <f>"13665"</f>
        <v>13665</v>
      </c>
      <c r="B13666" t="str">
        <f>"0.21"</f>
        <v>0.21</v>
      </c>
      <c r="C13666" t="str">
        <f>"43"</f>
        <v>43</v>
      </c>
      <c r="D13666" t="str">
        <f>"All Shall Fall"</f>
        <v>All Shall Fall</v>
      </c>
    </row>
    <row r="13667" spans="1:4" x14ac:dyDescent="0.2">
      <c r="A13667" t="str">
        <f>"13666"</f>
        <v>13666</v>
      </c>
      <c r="B13667" t="str">
        <f>"-0.23"</f>
        <v>-0.23</v>
      </c>
      <c r="C13667" t="str">
        <f>"23"</f>
        <v>23</v>
      </c>
      <c r="D13667" t="str">
        <f>"Hustler's Son"</f>
        <v>Hustler's Son</v>
      </c>
    </row>
    <row r="13668" spans="1:4" x14ac:dyDescent="0.2">
      <c r="A13668" t="str">
        <f>"13667"</f>
        <v>13667</v>
      </c>
      <c r="B13668" t="str">
        <f>"0.71"</f>
        <v>0.71</v>
      </c>
      <c r="C13668" t="str">
        <f>"40"</f>
        <v>40</v>
      </c>
      <c r="D13668" t="str">
        <f>"Campfire Songs"</f>
        <v>Campfire Songs</v>
      </c>
    </row>
    <row r="13669" spans="1:4" x14ac:dyDescent="0.2">
      <c r="A13669" t="str">
        <f>"13668"</f>
        <v>13668</v>
      </c>
      <c r="B13669" t="str">
        <f>"-0.81"</f>
        <v>-0.81</v>
      </c>
      <c r="C13669" t="str">
        <f>"45"</f>
        <v>45</v>
      </c>
      <c r="D13669" t="str">
        <f>"The Fame Monster"</f>
        <v>The Fame Monster</v>
      </c>
    </row>
    <row r="13670" spans="1:4" x14ac:dyDescent="0.2">
      <c r="A13670" t="str">
        <f>"13669"</f>
        <v>13669</v>
      </c>
      <c r="B13670" t="str">
        <f>"1.25"</f>
        <v>1.25</v>
      </c>
      <c r="C13670" t="str">
        <f>"24"</f>
        <v>24</v>
      </c>
      <c r="D13670" t="str">
        <f>"Reality EP"</f>
        <v>Reality EP</v>
      </c>
    </row>
    <row r="13671" spans="1:4" x14ac:dyDescent="0.2">
      <c r="A13671" t="str">
        <f>"13670"</f>
        <v>13670</v>
      </c>
      <c r="B13671" t="str">
        <f>"0.99"</f>
        <v>0.99</v>
      </c>
      <c r="C13671" t="str">
        <f>"32"</f>
        <v>32</v>
      </c>
      <c r="D13671" t="str">
        <f>"Judy Sucks a Lemon for Breakfast"</f>
        <v>Judy Sucks a Lemon for Breakfast</v>
      </c>
    </row>
    <row r="13672" spans="1:4" x14ac:dyDescent="0.2">
      <c r="A13672" t="str">
        <f>"13671"</f>
        <v>13671</v>
      </c>
      <c r="B13672" t="str">
        <f>"0.83"</f>
        <v>0.83</v>
      </c>
      <c r="C13672" t="str">
        <f>"18"</f>
        <v>18</v>
      </c>
      <c r="D13672" t="str">
        <f>"A Parallax I"</f>
        <v>A Parallax I</v>
      </c>
    </row>
    <row r="13673" spans="1:4" x14ac:dyDescent="0.2">
      <c r="A13673" t="str">
        <f>"13672"</f>
        <v>13672</v>
      </c>
      <c r="B13673" t="str">
        <f>"-0.17"</f>
        <v>-0.17</v>
      </c>
      <c r="C13673" t="str">
        <f>"23"</f>
        <v>23</v>
      </c>
      <c r="D13673" t="str">
        <f>"Low Tide Digitals III"</f>
        <v>Low Tide Digitals III</v>
      </c>
    </row>
    <row r="13674" spans="1:4" x14ac:dyDescent="0.2">
      <c r="A13674" t="str">
        <f>"13673"</f>
        <v>13673</v>
      </c>
      <c r="B13674" t="str">
        <f>"-0.64"</f>
        <v>-0.64</v>
      </c>
      <c r="C13674" t="str">
        <f>"41"</f>
        <v>41</v>
      </c>
      <c r="D13674" t="str">
        <f>"VH1 Storytellers"</f>
        <v>VH1 Storytellers</v>
      </c>
    </row>
    <row r="13675" spans="1:4" x14ac:dyDescent="0.2">
      <c r="A13675" t="str">
        <f>"13674"</f>
        <v>13674</v>
      </c>
      <c r="B13675" t="str">
        <f>"0.75"</f>
        <v>0.75</v>
      </c>
      <c r="C13675" t="str">
        <f>"35"</f>
        <v>35</v>
      </c>
      <c r="D13675" t="str">
        <f>"Fela: The Best of the Black President"</f>
        <v>Fela: The Best of the Black President</v>
      </c>
    </row>
    <row r="13676" spans="1:4" x14ac:dyDescent="0.2">
      <c r="A13676" t="str">
        <f>"13675"</f>
        <v>13675</v>
      </c>
      <c r="B13676" t="str">
        <f>"-0.41"</f>
        <v>-0.41</v>
      </c>
      <c r="C13676" t="str">
        <f>"22"</f>
        <v>22</v>
      </c>
      <c r="D13676" t="str">
        <f>"Huntsville International"</f>
        <v>Huntsville International</v>
      </c>
    </row>
    <row r="13677" spans="1:4" x14ac:dyDescent="0.2">
      <c r="A13677" t="str">
        <f>"13676"</f>
        <v>13676</v>
      </c>
      <c r="B13677" t="str">
        <f>"-0.84"</f>
        <v>-0.84</v>
      </c>
      <c r="C13677" t="str">
        <f>"25"</f>
        <v>25</v>
      </c>
      <c r="D13677" t="str">
        <f>"Gonna Work Out Fine"</f>
        <v>Gonna Work Out Fine</v>
      </c>
    </row>
    <row r="13678" spans="1:4" x14ac:dyDescent="0.2">
      <c r="A13678" t="str">
        <f>"13677"</f>
        <v>13677</v>
      </c>
      <c r="B13678" t="str">
        <f>"0.29"</f>
        <v>0.29</v>
      </c>
      <c r="C13678" t="str">
        <f>"23"</f>
        <v>23</v>
      </c>
      <c r="D13678" t="str">
        <f>"Eggs"</f>
        <v>Eggs</v>
      </c>
    </row>
    <row r="13679" spans="1:4" x14ac:dyDescent="0.2">
      <c r="A13679" t="str">
        <f>"13678"</f>
        <v>13678</v>
      </c>
      <c r="B13679" t="str">
        <f>"0.15"</f>
        <v>0.15</v>
      </c>
      <c r="C13679" t="str">
        <f>"54"</f>
        <v>54</v>
      </c>
      <c r="D13679" t="str">
        <f>"Contra"</f>
        <v>Contra</v>
      </c>
    </row>
    <row r="13680" spans="1:4" x14ac:dyDescent="0.2">
      <c r="A13680" t="str">
        <f>"13679"</f>
        <v>13679</v>
      </c>
      <c r="B13680" t="str">
        <f>"-0.02"</f>
        <v>-0.02</v>
      </c>
      <c r="C13680" t="str">
        <f>"66"</f>
        <v>66</v>
      </c>
      <c r="D13680" t="str">
        <f>"The Burrprint: The Movie 3-D"</f>
        <v>The Burrprint: The Movie 3-D</v>
      </c>
    </row>
    <row r="13681" spans="1:4" x14ac:dyDescent="0.2">
      <c r="A13681" t="str">
        <f>"13680"</f>
        <v>13680</v>
      </c>
      <c r="B13681" t="str">
        <f>"0.82"</f>
        <v>0.82</v>
      </c>
      <c r="C13681" t="str">
        <f>"22"</f>
        <v>22</v>
      </c>
      <c r="D13681" t="str">
        <f>"The Voidist"</f>
        <v>The Voidist</v>
      </c>
    </row>
    <row r="13682" spans="1:4" x14ac:dyDescent="0.2">
      <c r="A13682" t="str">
        <f>"13681"</f>
        <v>13681</v>
      </c>
      <c r="B13682" t="str">
        <f>"1.53"</f>
        <v>1.53</v>
      </c>
      <c r="C13682" t="str">
        <f>"20"</f>
        <v>20</v>
      </c>
      <c r="D13682" t="str">
        <f>"Rejoicer"</f>
        <v>Rejoicer</v>
      </c>
    </row>
    <row r="13683" spans="1:4" x14ac:dyDescent="0.2">
      <c r="A13683" t="str">
        <f>"13682"</f>
        <v>13682</v>
      </c>
      <c r="B13683" t="str">
        <f>"0.2"</f>
        <v>0.2</v>
      </c>
      <c r="C13683" t="str">
        <f>"17"</f>
        <v>17</v>
      </c>
      <c r="D13683" t="str">
        <f>"Movies Is Magic"</f>
        <v>Movies Is Magic</v>
      </c>
    </row>
    <row r="13684" spans="1:4" x14ac:dyDescent="0.2">
      <c r="A13684" t="str">
        <f>"13683"</f>
        <v>13683</v>
      </c>
      <c r="B13684" t="str">
        <f>"-0.15"</f>
        <v>-0.15</v>
      </c>
      <c r="C13684" t="str">
        <f>"36"</f>
        <v>36</v>
      </c>
      <c r="D13684" t="str">
        <f>"We Are Young Money"</f>
        <v>We Are Young Money</v>
      </c>
    </row>
    <row r="13685" spans="1:4" x14ac:dyDescent="0.2">
      <c r="A13685" t="str">
        <f>"13684"</f>
        <v>13684</v>
      </c>
      <c r="B13685" t="str">
        <f>"-0.98"</f>
        <v>-0.98</v>
      </c>
      <c r="C13685" t="str">
        <f>"43"</f>
        <v>43</v>
      </c>
      <c r="D13685" t="str">
        <f>"By the Throat"</f>
        <v>By the Throat</v>
      </c>
    </row>
    <row r="13686" spans="1:4" x14ac:dyDescent="0.2">
      <c r="A13686" t="str">
        <f>"13685"</f>
        <v>13685</v>
      </c>
      <c r="B13686" t="str">
        <f>"0.31"</f>
        <v>0.31</v>
      </c>
      <c r="C13686" t="str">
        <f>"34"</f>
        <v>34</v>
      </c>
      <c r="D13686" t="str">
        <f>"Gone: The Promises Of Yesterday"</f>
        <v>Gone: The Promises Of Yesterday</v>
      </c>
    </row>
    <row r="13687" spans="1:4" x14ac:dyDescent="0.2">
      <c r="A13687" t="str">
        <f>"13686"</f>
        <v>13686</v>
      </c>
      <c r="B13687" t="str">
        <f>"0.58"</f>
        <v>0.58</v>
      </c>
      <c r="C13687" t="str">
        <f>"19"</f>
        <v>19</v>
      </c>
      <c r="D13687" t="str">
        <f>"The Mantles"</f>
        <v>The Mantles</v>
      </c>
    </row>
    <row r="13688" spans="1:4" x14ac:dyDescent="0.2">
      <c r="A13688" t="str">
        <f>"13687"</f>
        <v>13687</v>
      </c>
      <c r="B13688" t="str">
        <f>"0.88"</f>
        <v>0.88</v>
      </c>
      <c r="C13688" t="str">
        <f>"30"</f>
        <v>30</v>
      </c>
      <c r="D13688" t="str">
        <f>"An Exaltation of Laarks"</f>
        <v>An Exaltation of Laarks</v>
      </c>
    </row>
    <row r="13689" spans="1:4" x14ac:dyDescent="0.2">
      <c r="A13689" t="str">
        <f>"13688"</f>
        <v>13688</v>
      </c>
      <c r="B13689" t="str">
        <f>"-0.59"</f>
        <v>-0.59</v>
      </c>
      <c r="C13689" t="str">
        <f>"21"</f>
        <v>21</v>
      </c>
      <c r="D13689" t="str">
        <f>"Gazzillion Ear EP"</f>
        <v>Gazzillion Ear EP</v>
      </c>
    </row>
    <row r="13690" spans="1:4" x14ac:dyDescent="0.2">
      <c r="A13690" t="str">
        <f>"13689"</f>
        <v>13689</v>
      </c>
      <c r="B13690" t="str">
        <f>"-0.09"</f>
        <v>-0.09</v>
      </c>
      <c r="C13690" t="str">
        <f>"30"</f>
        <v>30</v>
      </c>
      <c r="D13690" t="str">
        <f>"ATL RMX"</f>
        <v>ATL RMX</v>
      </c>
    </row>
    <row r="13691" spans="1:4" x14ac:dyDescent="0.2">
      <c r="A13691" t="str">
        <f>"13690"</f>
        <v>13690</v>
      </c>
      <c r="B13691" t="str">
        <f>"-0.31"</f>
        <v>-0.31</v>
      </c>
      <c r="C13691" t="str">
        <f>"18"</f>
        <v>18</v>
      </c>
      <c r="D13691" t="str">
        <f>"Young One"</f>
        <v>Young One</v>
      </c>
    </row>
    <row r="13692" spans="1:4" x14ac:dyDescent="0.2">
      <c r="A13692" t="str">
        <f>"13691"</f>
        <v>13691</v>
      </c>
      <c r="B13692" t="str">
        <f>"0.91"</f>
        <v>0.91</v>
      </c>
      <c r="C13692" t="str">
        <f>"44"</f>
        <v>44</v>
      </c>
      <c r="D13692" t="str">
        <f>"Triptych"</f>
        <v>Triptych</v>
      </c>
    </row>
    <row r="13693" spans="1:4" x14ac:dyDescent="0.2">
      <c r="A13693" t="str">
        <f>"13692"</f>
        <v>13692</v>
      </c>
      <c r="B13693" t="str">
        <f>"-1.18"</f>
        <v>-1.18</v>
      </c>
      <c r="C13693" t="str">
        <f>"24"</f>
        <v>24</v>
      </c>
      <c r="D13693" t="str">
        <f>"Strange Gods"</f>
        <v>Strange Gods</v>
      </c>
    </row>
    <row r="13694" spans="1:4" x14ac:dyDescent="0.2">
      <c r="A13694" t="str">
        <f>"13693"</f>
        <v>13693</v>
      </c>
      <c r="B13694" t="str">
        <f>"0.71"</f>
        <v>0.71</v>
      </c>
      <c r="C13694" t="str">
        <f>"22"</f>
        <v>22</v>
      </c>
      <c r="D13694" t="str">
        <f>"Enemy of the State: A Love Story"</f>
        <v>Enemy of the State: A Love Story</v>
      </c>
    </row>
    <row r="13695" spans="1:4" x14ac:dyDescent="0.2">
      <c r="A13695" t="str">
        <f>"13694"</f>
        <v>13694</v>
      </c>
      <c r="B13695" t="str">
        <f>"0.36"</f>
        <v>0.36</v>
      </c>
      <c r="C13695" t="str">
        <f>"22"</f>
        <v>22</v>
      </c>
      <c r="D13695" t="str">
        <f>"Who Designs Nature's How"</f>
        <v>Who Designs Nature's How</v>
      </c>
    </row>
    <row r="13696" spans="1:4" x14ac:dyDescent="0.2">
      <c r="A13696" t="str">
        <f>"13695"</f>
        <v>13695</v>
      </c>
      <c r="B13696" t="str">
        <f>"0.1"</f>
        <v>0.1</v>
      </c>
      <c r="C13696" t="str">
        <f>"19"</f>
        <v>19</v>
      </c>
      <c r="D13696" t="str">
        <f>"Alphabet 1968"</f>
        <v>Alphabet 1968</v>
      </c>
    </row>
    <row r="13697" spans="1:4" x14ac:dyDescent="0.2">
      <c r="A13697" t="str">
        <f>"13696"</f>
        <v>13696</v>
      </c>
      <c r="B13697" t="str">
        <f>"-0.82"</f>
        <v>-0.82</v>
      </c>
      <c r="C13697" t="str">
        <f>"34"</f>
        <v>34</v>
      </c>
      <c r="D13697" t="str">
        <f>"The Dance Paradox"</f>
        <v>The Dance Paradox</v>
      </c>
    </row>
    <row r="13698" spans="1:4" x14ac:dyDescent="0.2">
      <c r="A13698" t="str">
        <f>"13697"</f>
        <v>13697</v>
      </c>
      <c r="B13698" t="str">
        <f>"-0.14"</f>
        <v>-0.14</v>
      </c>
      <c r="C13698" t="str">
        <f>"24"</f>
        <v>24</v>
      </c>
      <c r="D13698" t="str">
        <f>"Chimeric"</f>
        <v>Chimeric</v>
      </c>
    </row>
    <row r="13699" spans="1:4" x14ac:dyDescent="0.2">
      <c r="A13699" t="str">
        <f>"13698"</f>
        <v>13698</v>
      </c>
      <c r="B13699" t="str">
        <f>"0.75"</f>
        <v>0.75</v>
      </c>
      <c r="C13699" t="str">
        <f>"31"</f>
        <v>31</v>
      </c>
      <c r="D13699" t="str">
        <f>"Prison Break EP"</f>
        <v>Prison Break EP</v>
      </c>
    </row>
    <row r="13700" spans="1:4" x14ac:dyDescent="0.2">
      <c r="A13700" t="str">
        <f>"13699"</f>
        <v>13699</v>
      </c>
      <c r="B13700" t="str">
        <f>"-0.05"</f>
        <v>-0.05</v>
      </c>
      <c r="C13700" t="str">
        <f>"29"</f>
        <v>29</v>
      </c>
      <c r="D13700" t="s">
        <v>426</v>
      </c>
    </row>
    <row r="13701" spans="1:4" x14ac:dyDescent="0.2">
      <c r="A13701" t="str">
        <f>"13700"</f>
        <v>13700</v>
      </c>
      <c r="B13701" t="str">
        <f>"-0.78"</f>
        <v>-0.78</v>
      </c>
      <c r="C13701" t="str">
        <f>"25"</f>
        <v>25</v>
      </c>
      <c r="D13701" t="str">
        <f>"God Is a Twelve-Year-Old Boy With Asperger's"</f>
        <v>God Is a Twelve-Year-Old Boy With Asperger's</v>
      </c>
    </row>
    <row r="13702" spans="1:4" x14ac:dyDescent="0.2">
      <c r="A13702" t="str">
        <f>"13701"</f>
        <v>13701</v>
      </c>
      <c r="B13702" t="str">
        <f>"-0.08"</f>
        <v>-0.08</v>
      </c>
      <c r="C13702" t="str">
        <f>"29"</f>
        <v>29</v>
      </c>
      <c r="D13702" t="str">
        <f>"Milky Ways"</f>
        <v>Milky Ways</v>
      </c>
    </row>
    <row r="13703" spans="1:4" x14ac:dyDescent="0.2">
      <c r="A13703" t="str">
        <f>"13702"</f>
        <v>13702</v>
      </c>
      <c r="B13703" t="str">
        <f>"0.18"</f>
        <v>0.18</v>
      </c>
      <c r="C13703" t="str">
        <f>"18"</f>
        <v>18</v>
      </c>
      <c r="D13703" t="str">
        <f>"Of the Body Prone"</f>
        <v>Of the Body Prone</v>
      </c>
    </row>
    <row r="13704" spans="1:4" x14ac:dyDescent="0.2">
      <c r="A13704" t="str">
        <f>"13703"</f>
        <v>13703</v>
      </c>
      <c r="B13704" t="str">
        <f>"0"</f>
        <v>0</v>
      </c>
      <c r="C13704" t="str">
        <f>"47"</f>
        <v>47</v>
      </c>
      <c r="D13704" t="str">
        <f>"Untitled"</f>
        <v>Untitled</v>
      </c>
    </row>
    <row r="13705" spans="1:4" x14ac:dyDescent="0.2">
      <c r="A13705" t="str">
        <f>"13704"</f>
        <v>13704</v>
      </c>
      <c r="B13705" t="str">
        <f>"-0.44"</f>
        <v>-0.44</v>
      </c>
      <c r="C13705" t="str">
        <f>"37"</f>
        <v>37</v>
      </c>
      <c r="D13705" t="str">
        <f>"My Dusty Road"</f>
        <v>My Dusty Road</v>
      </c>
    </row>
    <row r="13706" spans="1:4" x14ac:dyDescent="0.2">
      <c r="A13706" t="str">
        <f>"13705"</f>
        <v>13705</v>
      </c>
      <c r="B13706" t="str">
        <f>"-0.58"</f>
        <v>-0.58</v>
      </c>
      <c r="C13706" t="str">
        <f>"27"</f>
        <v>27</v>
      </c>
      <c r="D13706" t="str">
        <f>"In This Light and on This Evening"</f>
        <v>In This Light and on This Evening</v>
      </c>
    </row>
    <row r="13707" spans="1:4" x14ac:dyDescent="0.2">
      <c r="A13707" t="str">
        <f>"13706"</f>
        <v>13706</v>
      </c>
      <c r="B13707" t="str">
        <f>"0.73"</f>
        <v>0.73</v>
      </c>
      <c r="C13707" t="str">
        <f>"38"</f>
        <v>38</v>
      </c>
      <c r="D13707" t="str">
        <f>"Kitsuné Maison 8"</f>
        <v>Kitsuné Maison 8</v>
      </c>
    </row>
    <row r="13708" spans="1:4" x14ac:dyDescent="0.2">
      <c r="A13708" t="str">
        <f>"13707"</f>
        <v>13707</v>
      </c>
      <c r="B13708" t="str">
        <f>"-0.12"</f>
        <v>-0.12</v>
      </c>
      <c r="C13708" t="str">
        <f>"22"</f>
        <v>22</v>
      </c>
      <c r="D13708" t="str">
        <f>"Slow Attack"</f>
        <v>Slow Attack</v>
      </c>
    </row>
    <row r="13709" spans="1:4" x14ac:dyDescent="0.2">
      <c r="A13709" t="str">
        <f>"13708"</f>
        <v>13708</v>
      </c>
      <c r="B13709" t="str">
        <f>"0.21"</f>
        <v>0.21</v>
      </c>
      <c r="C13709" t="str">
        <f>"80"</f>
        <v>80</v>
      </c>
      <c r="D13709" t="str">
        <f>"Neil Young"</f>
        <v>Neil Young</v>
      </c>
    </row>
    <row r="13710" spans="1:4" x14ac:dyDescent="0.2">
      <c r="A13710" t="str">
        <f>"13709"</f>
        <v>13709</v>
      </c>
      <c r="B13710" t="str">
        <f>"0.2"</f>
        <v>0.2</v>
      </c>
      <c r="C13710" t="str">
        <f>"21"</f>
        <v>21</v>
      </c>
      <c r="D13710" t="str">
        <f>"Klang"</f>
        <v>Klang</v>
      </c>
    </row>
    <row r="13711" spans="1:4" x14ac:dyDescent="0.2">
      <c r="A13711" t="str">
        <f>"13710"</f>
        <v>13710</v>
      </c>
      <c r="B13711" t="str">
        <f>"-0.15"</f>
        <v>-0.15</v>
      </c>
      <c r="C13711" t="str">
        <f>"31"</f>
        <v>31</v>
      </c>
      <c r="D13711" t="str">
        <f>"xx"</f>
        <v>xx</v>
      </c>
    </row>
    <row r="13712" spans="1:4" x14ac:dyDescent="0.2">
      <c r="A13712" t="str">
        <f>"13711"</f>
        <v>13711</v>
      </c>
      <c r="B13712" t="str">
        <f>"-0.45"</f>
        <v>-0.45</v>
      </c>
      <c r="C13712" t="str">
        <f>"21"</f>
        <v>21</v>
      </c>
      <c r="D13712" t="str">
        <f>"Echo Kid"</f>
        <v>Echo Kid</v>
      </c>
    </row>
    <row r="13713" spans="1:4" x14ac:dyDescent="0.2">
      <c r="A13713" t="str">
        <f>"13712"</f>
        <v>13712</v>
      </c>
      <c r="B13713" t="str">
        <f>"0.68"</f>
        <v>0.68</v>
      </c>
      <c r="C13713" t="str">
        <f>"20"</f>
        <v>20</v>
      </c>
      <c r="D13713" t="str">
        <f>"Xenophanes"</f>
        <v>Xenophanes</v>
      </c>
    </row>
    <row r="13714" spans="1:4" x14ac:dyDescent="0.2">
      <c r="A13714" t="str">
        <f>"13713"</f>
        <v>13713</v>
      </c>
      <c r="B13714" t="str">
        <f>"0.89"</f>
        <v>0.89</v>
      </c>
      <c r="C13714" t="str">
        <f>"35"</f>
        <v>35</v>
      </c>
      <c r="D13714" t="s">
        <v>427</v>
      </c>
    </row>
    <row r="13715" spans="1:4" x14ac:dyDescent="0.2">
      <c r="A13715" t="str">
        <f>"13714"</f>
        <v>13714</v>
      </c>
      <c r="B13715" t="str">
        <f>"-0.53"</f>
        <v>-0.53</v>
      </c>
      <c r="C13715" t="str">
        <f>"33"</f>
        <v>33</v>
      </c>
      <c r="D13715" t="str">
        <f>"Til the Casket Drops"</f>
        <v>Til the Casket Drops</v>
      </c>
    </row>
    <row r="13716" spans="1:4" x14ac:dyDescent="0.2">
      <c r="A13716" t="str">
        <f>"13715"</f>
        <v>13715</v>
      </c>
      <c r="B13716" t="str">
        <f>"1.14"</f>
        <v>1.14</v>
      </c>
      <c r="C13716" t="str">
        <f>"31"</f>
        <v>31</v>
      </c>
      <c r="D13716" t="str">
        <f>"Fantastic Mr. Fox OST"</f>
        <v>Fantastic Mr. Fox OST</v>
      </c>
    </row>
    <row r="13717" spans="1:4" x14ac:dyDescent="0.2">
      <c r="A13717" t="str">
        <f>"13716"</f>
        <v>13716</v>
      </c>
      <c r="B13717" t="str">
        <f>"-0.06"</f>
        <v>-0.06</v>
      </c>
      <c r="C13717" t="str">
        <f>"24"</f>
        <v>24</v>
      </c>
      <c r="D13717" t="str">
        <f>"Television"</f>
        <v>Television</v>
      </c>
    </row>
    <row r="13718" spans="1:4" x14ac:dyDescent="0.2">
      <c r="A13718" t="str">
        <f>"13717"</f>
        <v>13717</v>
      </c>
      <c r="B13718" t="str">
        <f>"-0.49"</f>
        <v>-0.49</v>
      </c>
      <c r="C13718" t="str">
        <f>"22"</f>
        <v>22</v>
      </c>
      <c r="D13718" t="str">
        <f>"Ghost"</f>
        <v>Ghost</v>
      </c>
    </row>
    <row r="13719" spans="1:4" x14ac:dyDescent="0.2">
      <c r="A13719" t="str">
        <f>"13718"</f>
        <v>13718</v>
      </c>
      <c r="B13719" t="str">
        <f>"-0.41"</f>
        <v>-0.41</v>
      </c>
      <c r="C13719" t="str">
        <f>"32"</f>
        <v>32</v>
      </c>
      <c r="D13719" t="str">
        <f>"Darkness Come Alive"</f>
        <v>Darkness Come Alive</v>
      </c>
    </row>
    <row r="13720" spans="1:4" x14ac:dyDescent="0.2">
      <c r="A13720" t="str">
        <f>"13719"</f>
        <v>13719</v>
      </c>
      <c r="B13720" t="str">
        <f>"0.3"</f>
        <v>0.3</v>
      </c>
      <c r="C13720" t="str">
        <f>"18"</f>
        <v>18</v>
      </c>
      <c r="D13720" t="str">
        <f>"Music For Insomnia"</f>
        <v>Music For Insomnia</v>
      </c>
    </row>
    <row r="13721" spans="1:4" x14ac:dyDescent="0.2">
      <c r="A13721" t="str">
        <f>"13720"</f>
        <v>13720</v>
      </c>
      <c r="B13721" t="str">
        <f>"0.47"</f>
        <v>0.47</v>
      </c>
      <c r="C13721" t="str">
        <f>"9"</f>
        <v>9</v>
      </c>
      <c r="D13721" t="s">
        <v>428</v>
      </c>
    </row>
    <row r="13722" spans="1:4" x14ac:dyDescent="0.2">
      <c r="A13722" t="str">
        <f>"13721"</f>
        <v>13721</v>
      </c>
      <c r="B13722" t="str">
        <f>"-0.97"</f>
        <v>-0.97</v>
      </c>
      <c r="C13722" t="str">
        <f>"21"</f>
        <v>21</v>
      </c>
      <c r="D13722" t="str">
        <f>"Zounds"</f>
        <v>Zounds</v>
      </c>
    </row>
    <row r="13723" spans="1:4" x14ac:dyDescent="0.2">
      <c r="A13723" t="str">
        <f>"13722"</f>
        <v>13722</v>
      </c>
      <c r="B13723" t="str">
        <f>"-0.69"</f>
        <v>-0.69</v>
      </c>
      <c r="C13723" t="str">
        <f>"20"</f>
        <v>20</v>
      </c>
      <c r="D13723" t="str">
        <f>"Kids Aflame"</f>
        <v>Kids Aflame</v>
      </c>
    </row>
    <row r="13724" spans="1:4" x14ac:dyDescent="0.2">
      <c r="A13724" t="str">
        <f>"13723"</f>
        <v>13723</v>
      </c>
      <c r="B13724" t="str">
        <f>"0.11"</f>
        <v>0.11</v>
      </c>
      <c r="C13724" t="str">
        <f>"19"</f>
        <v>19</v>
      </c>
      <c r="D13724" t="str">
        <f>"Jarvik Mindstate"</f>
        <v>Jarvik Mindstate</v>
      </c>
    </row>
    <row r="13725" spans="1:4" x14ac:dyDescent="0.2">
      <c r="A13725" t="str">
        <f>"13724"</f>
        <v>13724</v>
      </c>
      <c r="B13725" t="str">
        <f>"0.64"</f>
        <v>0.64</v>
      </c>
      <c r="C13725" t="str">
        <f>"65"</f>
        <v>65</v>
      </c>
      <c r="D13725" t="str">
        <f>"Elvis 75: Good Rockin' Tonight"</f>
        <v>Elvis 75: Good Rockin' Tonight</v>
      </c>
    </row>
    <row r="13726" spans="1:4" x14ac:dyDescent="0.2">
      <c r="A13726" t="str">
        <f>"13725"</f>
        <v>13725</v>
      </c>
      <c r="B13726" t="str">
        <f>"0.58"</f>
        <v>0.58</v>
      </c>
      <c r="C13726" t="str">
        <f>"16"</f>
        <v>16</v>
      </c>
      <c r="D13726" t="str">
        <f>"Renaissance: The Mix Collection"</f>
        <v>Renaissance: The Mix Collection</v>
      </c>
    </row>
    <row r="13727" spans="1:4" x14ac:dyDescent="0.2">
      <c r="A13727" t="str">
        <f>"13726"</f>
        <v>13726</v>
      </c>
      <c r="B13727" t="str">
        <f>"0.57"</f>
        <v>0.57</v>
      </c>
      <c r="C13727" t="str">
        <f>"28"</f>
        <v>28</v>
      </c>
      <c r="D13727" t="str">
        <f>"9"</f>
        <v>9</v>
      </c>
    </row>
    <row r="13728" spans="1:4" x14ac:dyDescent="0.2">
      <c r="A13728" t="str">
        <f>"13727"</f>
        <v>13727</v>
      </c>
      <c r="B13728" t="str">
        <f>"0.95"</f>
        <v>0.95</v>
      </c>
      <c r="C13728" t="str">
        <f>"27"</f>
        <v>27</v>
      </c>
      <c r="D13728" t="s">
        <v>429</v>
      </c>
    </row>
    <row r="13729" spans="1:4" x14ac:dyDescent="0.2">
      <c r="A13729" t="str">
        <f>"13728"</f>
        <v>13728</v>
      </c>
      <c r="B13729" t="str">
        <f>"1.86"</f>
        <v>1.86</v>
      </c>
      <c r="C13729" t="str">
        <f>"35"</f>
        <v>35</v>
      </c>
      <c r="D13729" t="str">
        <f>"Light: On the South Side"</f>
        <v>Light: On the South Side</v>
      </c>
    </row>
    <row r="13730" spans="1:4" x14ac:dyDescent="0.2">
      <c r="A13730" t="str">
        <f>"13729"</f>
        <v>13729</v>
      </c>
      <c r="B13730" t="str">
        <f>"-0.69"</f>
        <v>-0.69</v>
      </c>
      <c r="C13730" t="str">
        <f>"39"</f>
        <v>39</v>
      </c>
      <c r="D13730" t="str">
        <f>"Lifter Puller"</f>
        <v>Lifter Puller</v>
      </c>
    </row>
    <row r="13731" spans="1:4" x14ac:dyDescent="0.2">
      <c r="A13731" t="str">
        <f>"13730"</f>
        <v>13730</v>
      </c>
      <c r="B13731" t="str">
        <f>"0.95"</f>
        <v>0.95</v>
      </c>
      <c r="C13731" t="str">
        <f>"33"</f>
        <v>33</v>
      </c>
      <c r="D13731" t="str">
        <f>"Asleep in the Back [Deluxe Edition]"</f>
        <v>Asleep in the Back [Deluxe Edition]</v>
      </c>
    </row>
    <row r="13732" spans="1:4" x14ac:dyDescent="0.2">
      <c r="A13732" t="str">
        <f>"13731"</f>
        <v>13731</v>
      </c>
      <c r="B13732" t="str">
        <f>"0.52"</f>
        <v>0.52</v>
      </c>
      <c r="C13732" t="str">
        <f>"37"</f>
        <v>37</v>
      </c>
      <c r="D13732" t="str">
        <f>"New York-Addis-London: The Story of Ethio Jazz 1965-1975"</f>
        <v>New York-Addis-London: The Story of Ethio Jazz 1965-1975</v>
      </c>
    </row>
    <row r="13733" spans="1:4" x14ac:dyDescent="0.2">
      <c r="A13733" t="str">
        <f>"13732"</f>
        <v>13732</v>
      </c>
      <c r="B13733" t="str">
        <f>"1.05"</f>
        <v>1.05</v>
      </c>
      <c r="C13733" t="str">
        <f>"23"</f>
        <v>23</v>
      </c>
      <c r="D13733" t="str">
        <f>"Dr. No's Ethiopium"</f>
        <v>Dr. No's Ethiopium</v>
      </c>
    </row>
    <row r="13734" spans="1:4" x14ac:dyDescent="0.2">
      <c r="A13734" t="str">
        <f>"13733"</f>
        <v>13733</v>
      </c>
      <c r="B13734" t="str">
        <f>"-0.68"</f>
        <v>-0.68</v>
      </c>
      <c r="C13734" t="str">
        <f>"24"</f>
        <v>24</v>
      </c>
      <c r="D13734" t="str">
        <f>"Endless Bummer"</f>
        <v>Endless Bummer</v>
      </c>
    </row>
    <row r="13735" spans="1:4" x14ac:dyDescent="0.2">
      <c r="A13735" t="str">
        <f>"13734"</f>
        <v>13734</v>
      </c>
      <c r="B13735" t="str">
        <f>"-0.44"</f>
        <v>-0.44</v>
      </c>
      <c r="C13735" t="str">
        <f>"27"</f>
        <v>27</v>
      </c>
      <c r="D13735" t="str">
        <f>"Dreamin' Man"</f>
        <v>Dreamin' Man</v>
      </c>
    </row>
    <row r="13736" spans="1:4" x14ac:dyDescent="0.2">
      <c r="A13736" t="str">
        <f>"13735"</f>
        <v>13735</v>
      </c>
      <c r="B13736" t="str">
        <f>"-0.08"</f>
        <v>-0.08</v>
      </c>
      <c r="C13736" t="str">
        <f>"36"</f>
        <v>36</v>
      </c>
      <c r="D13736" t="str">
        <f>"Score! The Remixes!"</f>
        <v>Score! The Remixes!</v>
      </c>
    </row>
    <row r="13737" spans="1:4" x14ac:dyDescent="0.2">
      <c r="A13737" t="str">
        <f>"13736"</f>
        <v>13736</v>
      </c>
      <c r="B13737" t="str">
        <f>"0.11"</f>
        <v>0.11</v>
      </c>
      <c r="C13737" t="str">
        <f>"24"</f>
        <v>24</v>
      </c>
      <c r="D13737" t="str">
        <f>"Tribute to the Sun"</f>
        <v>Tribute to the Sun</v>
      </c>
    </row>
    <row r="13738" spans="1:4" x14ac:dyDescent="0.2">
      <c r="A13738" t="str">
        <f>"13737"</f>
        <v>13737</v>
      </c>
      <c r="B13738" t="str">
        <f>"0.49"</f>
        <v>0.49</v>
      </c>
      <c r="C13738" t="str">
        <f>"25"</f>
        <v>25</v>
      </c>
      <c r="D13738" t="str">
        <f>"Armonico Hewa"</f>
        <v>Armonico Hewa</v>
      </c>
    </row>
    <row r="13739" spans="1:4" x14ac:dyDescent="0.2">
      <c r="A13739" t="str">
        <f>"13738"</f>
        <v>13738</v>
      </c>
      <c r="B13739" t="str">
        <f>"0.08"</f>
        <v>0.08</v>
      </c>
      <c r="C13739" t="str">
        <f>"34"</f>
        <v>34</v>
      </c>
      <c r="D13739" t="str">
        <f>"Pyramids With Nadja"</f>
        <v>Pyramids With Nadja</v>
      </c>
    </row>
    <row r="13740" spans="1:4" x14ac:dyDescent="0.2">
      <c r="A13740" t="str">
        <f>"13739"</f>
        <v>13739</v>
      </c>
      <c r="B13740" t="str">
        <f>"-0.64"</f>
        <v>-0.64</v>
      </c>
      <c r="C13740" t="str">
        <f>"28"</f>
        <v>28</v>
      </c>
      <c r="D13740" t="str">
        <f>"Felt 3: A Tribute to Rosie Perez"</f>
        <v>Felt 3: A Tribute to Rosie Perez</v>
      </c>
    </row>
    <row r="13741" spans="1:4" x14ac:dyDescent="0.2">
      <c r="A13741" t="str">
        <f>"13740"</f>
        <v>13740</v>
      </c>
      <c r="B13741" t="str">
        <f>"0.45"</f>
        <v>0.45</v>
      </c>
      <c r="C13741" t="str">
        <f>"51"</f>
        <v>51</v>
      </c>
      <c r="D13741" t="str">
        <f>"Good Evening New York City"</f>
        <v>Good Evening New York City</v>
      </c>
    </row>
    <row r="13742" spans="1:4" x14ac:dyDescent="0.2">
      <c r="A13742" t="str">
        <f>"13741"</f>
        <v>13741</v>
      </c>
      <c r="B13742" t="str">
        <f>"0.75"</f>
        <v>0.75</v>
      </c>
      <c r="C13742" t="str">
        <f>"21"</f>
        <v>21</v>
      </c>
      <c r="D13742" t="str">
        <f>"Florine"</f>
        <v>Florine</v>
      </c>
    </row>
    <row r="13743" spans="1:4" x14ac:dyDescent="0.2">
      <c r="A13743" t="str">
        <f>"13742"</f>
        <v>13742</v>
      </c>
      <c r="B13743" t="str">
        <f>"-0.44"</f>
        <v>-0.44</v>
      </c>
      <c r="C13743" t="str">
        <f>"33"</f>
        <v>33</v>
      </c>
      <c r="D13743" t="str">
        <f>"24/7"</f>
        <v>24/7</v>
      </c>
    </row>
    <row r="13744" spans="1:4" x14ac:dyDescent="0.2">
      <c r="A13744" t="str">
        <f>"13743"</f>
        <v>13743</v>
      </c>
      <c r="B13744" t="str">
        <f>"0.15"</f>
        <v>0.15</v>
      </c>
      <c r="C13744" t="str">
        <f>"27"</f>
        <v>27</v>
      </c>
      <c r="D13744" t="str">
        <f>"Cocoon of Love"</f>
        <v>Cocoon of Love</v>
      </c>
    </row>
    <row r="13745" spans="1:4" x14ac:dyDescent="0.2">
      <c r="A13745" t="str">
        <f>"13744"</f>
        <v>13744</v>
      </c>
      <c r="B13745" t="str">
        <f>"-0.54"</f>
        <v>-0.54</v>
      </c>
      <c r="C13745" t="str">
        <f>"49"</f>
        <v>49</v>
      </c>
      <c r="D13745" t="str">
        <f>"Rated R"</f>
        <v>Rated R</v>
      </c>
    </row>
    <row r="13746" spans="1:4" x14ac:dyDescent="0.2">
      <c r="A13746" t="str">
        <f>"13745"</f>
        <v>13745</v>
      </c>
      <c r="B13746" t="str">
        <f>"1.31"</f>
        <v>1.31</v>
      </c>
      <c r="C13746" t="str">
        <f>"27"</f>
        <v>27</v>
      </c>
      <c r="D13746" t="str">
        <f>"Toeachizown"</f>
        <v>Toeachizown</v>
      </c>
    </row>
    <row r="13747" spans="1:4" x14ac:dyDescent="0.2">
      <c r="A13747" t="str">
        <f>"13746"</f>
        <v>13746</v>
      </c>
      <c r="B13747" t="str">
        <f>"0.58"</f>
        <v>0.58</v>
      </c>
      <c r="C13747" t="str">
        <f>"40"</f>
        <v>40</v>
      </c>
      <c r="D13747" t="str">
        <f>"The Seventh Seal"</f>
        <v>The Seventh Seal</v>
      </c>
    </row>
    <row r="13748" spans="1:4" x14ac:dyDescent="0.2">
      <c r="A13748" t="str">
        <f>"13747"</f>
        <v>13747</v>
      </c>
      <c r="B13748" t="str">
        <f>"-1.01"</f>
        <v>-1.01</v>
      </c>
      <c r="C13748" t="str">
        <f>"33"</f>
        <v>33</v>
      </c>
      <c r="D13748" t="str">
        <f>"Dead Zone Boys"</f>
        <v>Dead Zone Boys</v>
      </c>
    </row>
    <row r="13749" spans="1:4" x14ac:dyDescent="0.2">
      <c r="A13749" t="str">
        <f>"13748"</f>
        <v>13748</v>
      </c>
      <c r="B13749" t="str">
        <f>"-0.41"</f>
        <v>-0.41</v>
      </c>
      <c r="C13749" t="str">
        <f>"20"</f>
        <v>20</v>
      </c>
      <c r="D13749" t="str">
        <f>"The Treatment"</f>
        <v>The Treatment</v>
      </c>
    </row>
    <row r="13750" spans="1:4" x14ac:dyDescent="0.2">
      <c r="A13750" t="str">
        <f>"13749"</f>
        <v>13749</v>
      </c>
      <c r="B13750" t="str">
        <f>"1.06"</f>
        <v>1.06</v>
      </c>
      <c r="C13750" t="str">
        <f>"61"</f>
        <v>61</v>
      </c>
      <c r="D13750" t="str">
        <f>"The Catalogue"</f>
        <v>The Catalogue</v>
      </c>
    </row>
    <row r="13751" spans="1:4" x14ac:dyDescent="0.2">
      <c r="A13751" t="str">
        <f>"13750"</f>
        <v>13750</v>
      </c>
      <c r="B13751" t="str">
        <f>"0.41"</f>
        <v>0.41</v>
      </c>
      <c r="C13751" t="str">
        <f>"21"</f>
        <v>21</v>
      </c>
      <c r="D13751" t="str">
        <f>"Blakroc"</f>
        <v>Blakroc</v>
      </c>
    </row>
    <row r="13752" spans="1:4" x14ac:dyDescent="0.2">
      <c r="A13752" t="str">
        <f>"13751"</f>
        <v>13751</v>
      </c>
      <c r="B13752" t="str">
        <f>"1.63"</f>
        <v>1.63</v>
      </c>
      <c r="C13752" t="str">
        <f>"23"</f>
        <v>23</v>
      </c>
      <c r="D13752" t="str">
        <f>"A Retrospective 1998-2008 or I Was a Christian Emo Twentysomething"</f>
        <v>A Retrospective 1998-2008 or I Was a Christian Emo Twentysomething</v>
      </c>
    </row>
    <row r="13753" spans="1:4" x14ac:dyDescent="0.2">
      <c r="A13753" t="str">
        <f>"13752"</f>
        <v>13752</v>
      </c>
      <c r="B13753" t="str">
        <f>"-0.66"</f>
        <v>-0.66</v>
      </c>
      <c r="C13753" t="str">
        <f>"23"</f>
        <v>23</v>
      </c>
      <c r="D13753" t="str">
        <f>"Echo Party"</f>
        <v>Echo Party</v>
      </c>
    </row>
    <row r="13754" spans="1:4" x14ac:dyDescent="0.2">
      <c r="A13754" t="str">
        <f>"13753"</f>
        <v>13753</v>
      </c>
      <c r="B13754" t="str">
        <f>"0.71"</f>
        <v>0.71</v>
      </c>
      <c r="C13754" t="str">
        <f>"32"</f>
        <v>32</v>
      </c>
      <c r="D13754" t="str">
        <f>"New Worlds"</f>
        <v>New Worlds</v>
      </c>
    </row>
    <row r="13755" spans="1:4" x14ac:dyDescent="0.2">
      <c r="A13755" t="str">
        <f>"13754"</f>
        <v>13754</v>
      </c>
      <c r="B13755" t="str">
        <f>"-0.64"</f>
        <v>-0.64</v>
      </c>
      <c r="C13755" t="str">
        <f>"37"</f>
        <v>37</v>
      </c>
      <c r="D13755" t="str">
        <f>"One Fast Move or I'm Gone: Music From Kerouac's Big Sur"</f>
        <v>One Fast Move or I'm Gone: Music From Kerouac's Big Sur</v>
      </c>
    </row>
    <row r="13756" spans="1:4" x14ac:dyDescent="0.2">
      <c r="A13756" t="str">
        <f>"13755"</f>
        <v>13755</v>
      </c>
      <c r="B13756" t="str">
        <f>"0.4"</f>
        <v>0.4</v>
      </c>
      <c r="C13756" t="str">
        <f>"26"</f>
        <v>26</v>
      </c>
      <c r="D13756" t="str">
        <f>"Stir the Blood"</f>
        <v>Stir the Blood</v>
      </c>
    </row>
    <row r="13757" spans="1:4" x14ac:dyDescent="0.2">
      <c r="A13757" t="str">
        <f>"13756"</f>
        <v>13756</v>
      </c>
      <c r="B13757" t="str">
        <f>"-1.04"</f>
        <v>-1.04</v>
      </c>
      <c r="C13757" t="str">
        <f>"18"</f>
        <v>18</v>
      </c>
      <c r="D13757" t="str">
        <f>"Buzzrock Warrior"</f>
        <v>Buzzrock Warrior</v>
      </c>
    </row>
    <row r="13758" spans="1:4" x14ac:dyDescent="0.2">
      <c r="A13758" t="str">
        <f>"13757"</f>
        <v>13757</v>
      </c>
      <c r="B13758" t="str">
        <f>"-0.45"</f>
        <v>-0.45</v>
      </c>
      <c r="C13758" t="str">
        <f>"33"</f>
        <v>33</v>
      </c>
      <c r="D13758" t="str">
        <f>"What We All Come to Need"</f>
        <v>What We All Come to Need</v>
      </c>
    </row>
    <row r="13759" spans="1:4" x14ac:dyDescent="0.2">
      <c r="A13759" t="str">
        <f>"13758"</f>
        <v>13758</v>
      </c>
      <c r="B13759" t="str">
        <f>"1.24"</f>
        <v>1.24</v>
      </c>
      <c r="C13759" t="str">
        <f>"16"</f>
        <v>16</v>
      </c>
      <c r="D13759" t="str">
        <f>"Maybes EP"</f>
        <v>Maybes EP</v>
      </c>
    </row>
    <row r="13760" spans="1:4" x14ac:dyDescent="0.2">
      <c r="A13760" t="str">
        <f>"13759"</f>
        <v>13759</v>
      </c>
      <c r="B13760" t="str">
        <f>"0.26"</f>
        <v>0.26</v>
      </c>
      <c r="C13760" t="str">
        <f>"42"</f>
        <v>42</v>
      </c>
      <c r="D13760" t="str">
        <f>"Fall Be Kind EP"</f>
        <v>Fall Be Kind EP</v>
      </c>
    </row>
    <row r="13761" spans="1:4" x14ac:dyDescent="0.2">
      <c r="A13761" t="str">
        <f>"13760"</f>
        <v>13760</v>
      </c>
      <c r="B13761" t="str">
        <f>"-0.22"</f>
        <v>-0.22</v>
      </c>
      <c r="C13761" t="str">
        <f>"50"</f>
        <v>50</v>
      </c>
      <c r="D13761" t="str">
        <f>"New York"</f>
        <v>New York</v>
      </c>
    </row>
    <row r="13762" spans="1:4" x14ac:dyDescent="0.2">
      <c r="A13762" t="str">
        <f>"13761"</f>
        <v>13761</v>
      </c>
      <c r="B13762" t="str">
        <f>"0.86"</f>
        <v>0.86</v>
      </c>
      <c r="C13762" t="str">
        <f>"13"</f>
        <v>13</v>
      </c>
      <c r="D13762" t="str">
        <f>"Arrow"</f>
        <v>Arrow</v>
      </c>
    </row>
    <row r="13763" spans="1:4" x14ac:dyDescent="0.2">
      <c r="A13763" t="str">
        <f>"13762"</f>
        <v>13762</v>
      </c>
      <c r="B13763" t="str">
        <f>"0.31"</f>
        <v>0.31</v>
      </c>
      <c r="C13763" t="str">
        <f>"20"</f>
        <v>20</v>
      </c>
      <c r="D13763" t="str">
        <f>"Family"</f>
        <v>Family</v>
      </c>
    </row>
    <row r="13764" spans="1:4" x14ac:dyDescent="0.2">
      <c r="A13764" t="str">
        <f>"13763"</f>
        <v>13763</v>
      </c>
      <c r="B13764" t="str">
        <f>"0.08"</f>
        <v>0.08</v>
      </c>
      <c r="C13764" t="str">
        <f>"22"</f>
        <v>22</v>
      </c>
      <c r="D13764" t="str">
        <f>"Spells"</f>
        <v>Spells</v>
      </c>
    </row>
    <row r="13765" spans="1:4" x14ac:dyDescent="0.2">
      <c r="A13765" t="str">
        <f>"13764"</f>
        <v>13764</v>
      </c>
      <c r="B13765" t="str">
        <f>"0.05"</f>
        <v>0.05</v>
      </c>
      <c r="C13765" t="str">
        <f>"34"</f>
        <v>34</v>
      </c>
      <c r="D13765" t="str">
        <f>"For Your Own Special Sweetheart"</f>
        <v>For Your Own Special Sweetheart</v>
      </c>
    </row>
    <row r="13766" spans="1:4" x14ac:dyDescent="0.2">
      <c r="A13766" t="str">
        <f>"13765"</f>
        <v>13765</v>
      </c>
      <c r="B13766" t="str">
        <f>"0.27"</f>
        <v>0.27</v>
      </c>
      <c r="C13766" t="str">
        <f>"31"</f>
        <v>31</v>
      </c>
      <c r="D13766" t="s">
        <v>430</v>
      </c>
    </row>
    <row r="13767" spans="1:4" x14ac:dyDescent="0.2">
      <c r="A13767" t="str">
        <f>"13766"</f>
        <v>13766</v>
      </c>
      <c r="B13767" t="str">
        <f>"-0.51"</f>
        <v>-0.51</v>
      </c>
      <c r="C13767" t="str">
        <f>"25"</f>
        <v>25</v>
      </c>
      <c r="D13767" t="str">
        <f>"Escape 2 Mars"</f>
        <v>Escape 2 Mars</v>
      </c>
    </row>
    <row r="13768" spans="1:4" x14ac:dyDescent="0.2">
      <c r="A13768" t="str">
        <f>"13767"</f>
        <v>13767</v>
      </c>
      <c r="B13768" t="str">
        <f>"0.88"</f>
        <v>0.88</v>
      </c>
      <c r="C13768" t="str">
        <f>"17"</f>
        <v>17</v>
      </c>
      <c r="D13768" t="str">
        <f>"Distillation"</f>
        <v>Distillation</v>
      </c>
    </row>
    <row r="13769" spans="1:4" x14ac:dyDescent="0.2">
      <c r="A13769" t="str">
        <f>"13768"</f>
        <v>13768</v>
      </c>
      <c r="B13769" t="str">
        <f>"-0.52"</f>
        <v>-0.52</v>
      </c>
      <c r="C13769" t="str">
        <f>"38"</f>
        <v>38</v>
      </c>
      <c r="D13769" t="str">
        <f>"Seconds"</f>
        <v>Seconds</v>
      </c>
    </row>
    <row r="13770" spans="1:4" x14ac:dyDescent="0.2">
      <c r="A13770" t="str">
        <f>"13769"</f>
        <v>13769</v>
      </c>
      <c r="B13770" t="str">
        <f>"-0.83"</f>
        <v>-0.83</v>
      </c>
      <c r="C13770" t="str">
        <f>"43"</f>
        <v>43</v>
      </c>
      <c r="D13770" t="str">
        <f>"Glitter and Doom Live"</f>
        <v>Glitter and Doom Live</v>
      </c>
    </row>
    <row r="13771" spans="1:4" x14ac:dyDescent="0.2">
      <c r="A13771" t="str">
        <f>"13770"</f>
        <v>13770</v>
      </c>
      <c r="B13771" t="str">
        <f>"0.22"</f>
        <v>0.22</v>
      </c>
      <c r="C13771" t="str">
        <f>"32"</f>
        <v>32</v>
      </c>
      <c r="D13771" t="str">
        <f>"Can You Dig It? The Music and Politics of Black Action Films 1968-75"</f>
        <v>Can You Dig It? The Music and Politics of Black Action Films 1968-75</v>
      </c>
    </row>
    <row r="13772" spans="1:4" x14ac:dyDescent="0.2">
      <c r="A13772" t="str">
        <f>"13771"</f>
        <v>13771</v>
      </c>
      <c r="B13772" t="str">
        <f>"0.31"</f>
        <v>0.31</v>
      </c>
      <c r="C13772" t="str">
        <f>"19"</f>
        <v>19</v>
      </c>
      <c r="D13772" t="str">
        <f>"Idol Omen"</f>
        <v>Idol Omen</v>
      </c>
    </row>
    <row r="13773" spans="1:4" x14ac:dyDescent="0.2">
      <c r="A13773" t="str">
        <f>"13772"</f>
        <v>13772</v>
      </c>
      <c r="B13773" t="str">
        <f>"0.96"</f>
        <v>0.96</v>
      </c>
      <c r="C13773" t="str">
        <f>"27"</f>
        <v>27</v>
      </c>
      <c r="D13773" t="str">
        <f>"Ouled Bambara: Portraits of Gnawa"</f>
        <v>Ouled Bambara: Portraits of Gnawa</v>
      </c>
    </row>
    <row r="13774" spans="1:4" x14ac:dyDescent="0.2">
      <c r="A13774" t="str">
        <f>"13773"</f>
        <v>13773</v>
      </c>
      <c r="B13774" t="str">
        <f>"1.33"</f>
        <v>1.33</v>
      </c>
      <c r="C13774" t="str">
        <f>"19"</f>
        <v>19</v>
      </c>
      <c r="D13774" t="str">
        <f>"Trust in Numbers"</f>
        <v>Trust in Numbers</v>
      </c>
    </row>
    <row r="13775" spans="1:4" x14ac:dyDescent="0.2">
      <c r="A13775" t="str">
        <f>"13774"</f>
        <v>13774</v>
      </c>
      <c r="B13775" t="str">
        <f>"0.49"</f>
        <v>0.49</v>
      </c>
      <c r="C13775" t="str">
        <f>"26"</f>
        <v>26</v>
      </c>
      <c r="D13775" t="str">
        <f>"2002-2010"</f>
        <v>2002-2010</v>
      </c>
    </row>
    <row r="13776" spans="1:4" x14ac:dyDescent="0.2">
      <c r="A13776" t="str">
        <f>"13775"</f>
        <v>13775</v>
      </c>
      <c r="B13776" t="str">
        <f>"-0.35"</f>
        <v>-0.35</v>
      </c>
      <c r="C13776" t="str">
        <f>"45"</f>
        <v>45</v>
      </c>
      <c r="D13776" t="str">
        <f>"Live in New York"</f>
        <v>Live in New York</v>
      </c>
    </row>
    <row r="13777" spans="1:4" x14ac:dyDescent="0.2">
      <c r="A13777" t="str">
        <f>"13776"</f>
        <v>13776</v>
      </c>
      <c r="B13777" t="str">
        <f>"-0.15"</f>
        <v>-0.15</v>
      </c>
      <c r="C13777" t="str">
        <f>"40"</f>
        <v>40</v>
      </c>
      <c r="D13777" t="str">
        <f>"Up to Now"</f>
        <v>Up to Now</v>
      </c>
    </row>
    <row r="13778" spans="1:4" x14ac:dyDescent="0.2">
      <c r="A13778" t="str">
        <f>"13777"</f>
        <v>13777</v>
      </c>
      <c r="B13778" t="str">
        <f>"-0.54"</f>
        <v>-0.54</v>
      </c>
      <c r="C13778" t="str">
        <f>"26"</f>
        <v>26</v>
      </c>
      <c r="D13778" t="str">
        <f>"Hot Wax"</f>
        <v>Hot Wax</v>
      </c>
    </row>
    <row r="13779" spans="1:4" x14ac:dyDescent="0.2">
      <c r="A13779" t="str">
        <f>"13778"</f>
        <v>13778</v>
      </c>
      <c r="B13779" t="str">
        <f>"0.03"</f>
        <v>0.03</v>
      </c>
      <c r="C13779" t="str">
        <f>"21"</f>
        <v>21</v>
      </c>
      <c r="D13779" t="str">
        <f>"Carpet Madness"</f>
        <v>Carpet Madness</v>
      </c>
    </row>
    <row r="13780" spans="1:4" x14ac:dyDescent="0.2">
      <c r="A13780" t="str">
        <f>"13779"</f>
        <v>13779</v>
      </c>
      <c r="B13780" t="str">
        <f>"-0.52"</f>
        <v>-0.52</v>
      </c>
      <c r="C13780" t="str">
        <f>"27"</f>
        <v>27</v>
      </c>
      <c r="D13780" t="str">
        <f>"Them Crooked Vultures"</f>
        <v>Them Crooked Vultures</v>
      </c>
    </row>
    <row r="13781" spans="1:4" x14ac:dyDescent="0.2">
      <c r="A13781" t="str">
        <f>"13780"</f>
        <v>13780</v>
      </c>
      <c r="B13781" t="str">
        <f>"0.7"</f>
        <v>0.7</v>
      </c>
      <c r="C13781" t="str">
        <f>"33"</f>
        <v>33</v>
      </c>
      <c r="D13781" t="s">
        <v>431</v>
      </c>
    </row>
    <row r="13782" spans="1:4" x14ac:dyDescent="0.2">
      <c r="A13782" t="str">
        <f>"13781"</f>
        <v>13781</v>
      </c>
      <c r="B13782" t="str">
        <f>"-0.31"</f>
        <v>-0.31</v>
      </c>
      <c r="C13782" t="str">
        <f>"30"</f>
        <v>30</v>
      </c>
      <c r="D13782" t="str">
        <f>"Street Anthems"</f>
        <v>Street Anthems</v>
      </c>
    </row>
    <row r="13783" spans="1:4" x14ac:dyDescent="0.2">
      <c r="A13783" t="str">
        <f>"13782"</f>
        <v>13782</v>
      </c>
      <c r="B13783" t="str">
        <f>"0.23"</f>
        <v>0.23</v>
      </c>
      <c r="C13783" t="str">
        <f>"27"</f>
        <v>27</v>
      </c>
      <c r="D13783" t="str">
        <f>"Local Currency: Solo 1992-1998"</f>
        <v>Local Currency: Solo 1992-1998</v>
      </c>
    </row>
    <row r="13784" spans="1:4" x14ac:dyDescent="0.2">
      <c r="A13784" t="str">
        <f>"13783"</f>
        <v>13783</v>
      </c>
      <c r="B13784" t="str">
        <f>"-0.93"</f>
        <v>-0.93</v>
      </c>
      <c r="C13784" t="str">
        <f>"24"</f>
        <v>24</v>
      </c>
      <c r="D13784" t="str">
        <f>"Blackout Summer"</f>
        <v>Blackout Summer</v>
      </c>
    </row>
    <row r="13785" spans="1:4" x14ac:dyDescent="0.2">
      <c r="A13785" t="str">
        <f>"13784"</f>
        <v>13784</v>
      </c>
      <c r="B13785" t="str">
        <f>"0.57"</f>
        <v>0.57</v>
      </c>
      <c r="C13785" t="str">
        <f>"32"</f>
        <v>32</v>
      </c>
      <c r="D13785" t="str">
        <f>"Don't Stop"</f>
        <v>Don't Stop</v>
      </c>
    </row>
    <row r="13786" spans="1:4" x14ac:dyDescent="0.2">
      <c r="A13786" t="str">
        <f>"13785"</f>
        <v>13785</v>
      </c>
      <c r="B13786" t="str">
        <f>"0"</f>
        <v>0</v>
      </c>
      <c r="C13786" t="str">
        <f>"29"</f>
        <v>29</v>
      </c>
      <c r="D13786" t="str">
        <f>"The Apple and the Tooth"</f>
        <v>The Apple and the Tooth</v>
      </c>
    </row>
    <row r="13787" spans="1:4" x14ac:dyDescent="0.2">
      <c r="A13787" t="str">
        <f>"13786"</f>
        <v>13786</v>
      </c>
      <c r="B13787" t="str">
        <f>"-0.14"</f>
        <v>-0.14</v>
      </c>
      <c r="C13787" t="str">
        <f>"23"</f>
        <v>23</v>
      </c>
      <c r="D13787" t="str">
        <f>"Ask the Night"</f>
        <v>Ask the Night</v>
      </c>
    </row>
    <row r="13788" spans="1:4" x14ac:dyDescent="0.2">
      <c r="A13788" t="str">
        <f>"13787"</f>
        <v>13787</v>
      </c>
      <c r="B13788" t="str">
        <f>"1.08"</f>
        <v>1.08</v>
      </c>
      <c r="C13788" t="str">
        <f>"26"</f>
        <v>26</v>
      </c>
      <c r="D13788" t="str">
        <f>"Yankee Reality"</f>
        <v>Yankee Reality</v>
      </c>
    </row>
    <row r="13789" spans="1:4" x14ac:dyDescent="0.2">
      <c r="A13789" t="str">
        <f>"13788"</f>
        <v>13788</v>
      </c>
      <c r="B13789" t="str">
        <f>"1.48"</f>
        <v>1.48</v>
      </c>
      <c r="C13789" t="str">
        <f>"31"</f>
        <v>31</v>
      </c>
      <c r="D13789" t="str">
        <f>"Historicity"</f>
        <v>Historicity</v>
      </c>
    </row>
    <row r="13790" spans="1:4" x14ac:dyDescent="0.2">
      <c r="A13790" t="str">
        <f>"13789"</f>
        <v>13789</v>
      </c>
      <c r="B13790" t="str">
        <f>"0.79"</f>
        <v>0.79</v>
      </c>
      <c r="C13790" t="str">
        <f>"26"</f>
        <v>26</v>
      </c>
      <c r="D13790" t="str">
        <f>"Real Estate"</f>
        <v>Real Estate</v>
      </c>
    </row>
    <row r="13791" spans="1:4" x14ac:dyDescent="0.2">
      <c r="A13791" t="str">
        <f>"13790"</f>
        <v>13790</v>
      </c>
      <c r="B13791" t="str">
        <f>"0.06"</f>
        <v>0.06</v>
      </c>
      <c r="C13791" t="str">
        <f>"24"</f>
        <v>24</v>
      </c>
      <c r="D13791" t="str">
        <f>"Space Oddity [40th Anniversary Edition]"</f>
        <v>Space Oddity [40th Anniversary Edition]</v>
      </c>
    </row>
    <row r="13792" spans="1:4" x14ac:dyDescent="0.2">
      <c r="A13792" t="str">
        <f>"13791"</f>
        <v>13791</v>
      </c>
      <c r="B13792" t="str">
        <f>"-0.53"</f>
        <v>-0.53</v>
      </c>
      <c r="C13792" t="str">
        <f>"37"</f>
        <v>37</v>
      </c>
      <c r="D13792" t="str">
        <f>"Ultraviolet"</f>
        <v>Ultraviolet</v>
      </c>
    </row>
    <row r="13793" spans="1:4" x14ac:dyDescent="0.2">
      <c r="A13793" t="str">
        <f>"13792"</f>
        <v>13792</v>
      </c>
      <c r="B13793" t="str">
        <f>"-0.46"</f>
        <v>-0.46</v>
      </c>
      <c r="C13793" t="str">
        <f>"24"</f>
        <v>24</v>
      </c>
      <c r="D13793" t="str">
        <f>"Sugarland"</f>
        <v>Sugarland</v>
      </c>
    </row>
    <row r="13794" spans="1:4" x14ac:dyDescent="0.2">
      <c r="A13794" t="str">
        <f>"13793"</f>
        <v>13793</v>
      </c>
      <c r="B13794" t="str">
        <f>"1.32"</f>
        <v>1.32</v>
      </c>
      <c r="C13794" t="str">
        <f>"19"</f>
        <v>19</v>
      </c>
      <c r="D13794" t="str">
        <f>"Continent"</f>
        <v>Continent</v>
      </c>
    </row>
    <row r="13795" spans="1:4" x14ac:dyDescent="0.2">
      <c r="A13795" t="str">
        <f>"13794"</f>
        <v>13794</v>
      </c>
      <c r="B13795" t="str">
        <f>"-0.15"</f>
        <v>-0.15</v>
      </c>
      <c r="C13795" t="str">
        <f>"56"</f>
        <v>56</v>
      </c>
      <c r="D13795" t="str">
        <f>"No Ceilings"</f>
        <v>No Ceilings</v>
      </c>
    </row>
    <row r="13796" spans="1:4" x14ac:dyDescent="0.2">
      <c r="A13796" t="str">
        <f>"13795"</f>
        <v>13795</v>
      </c>
      <c r="B13796" t="str">
        <f>"0.13"</f>
        <v>0.13</v>
      </c>
      <c r="C13796" t="str">
        <f>"46"</f>
        <v>46</v>
      </c>
      <c r="D13796" t="str">
        <f>"Suitcase 3: Up We Go Now"</f>
        <v>Suitcase 3: Up We Go Now</v>
      </c>
    </row>
    <row r="13797" spans="1:4" x14ac:dyDescent="0.2">
      <c r="A13797" t="str">
        <f>"13796"</f>
        <v>13796</v>
      </c>
      <c r="B13797" t="str">
        <f>"-0.71"</f>
        <v>-0.71</v>
      </c>
      <c r="C13797" t="str">
        <f>"31"</f>
        <v>31</v>
      </c>
      <c r="D13797" t="str">
        <f>"Before I Self Destruct"</f>
        <v>Before I Self Destruct</v>
      </c>
    </row>
    <row r="13798" spans="1:4" x14ac:dyDescent="0.2">
      <c r="A13798" t="str">
        <f>"13797"</f>
        <v>13797</v>
      </c>
      <c r="B13798" t="str">
        <f>"-0.13"</f>
        <v>-0.13</v>
      </c>
      <c r="C13798" t="str">
        <f>"23"</f>
        <v>23</v>
      </c>
      <c r="D13798" t="str">
        <f>"Ignore the Ignorant"</f>
        <v>Ignore the Ignorant</v>
      </c>
    </row>
    <row r="13799" spans="1:4" x14ac:dyDescent="0.2">
      <c r="A13799" t="str">
        <f>"13798"</f>
        <v>13798</v>
      </c>
      <c r="B13799" t="str">
        <f>"-0.12"</f>
        <v>-0.12</v>
      </c>
      <c r="C13799" t="str">
        <f>"24"</f>
        <v>24</v>
      </c>
      <c r="D13799" t="str">
        <f>"Machine Dreams"</f>
        <v>Machine Dreams</v>
      </c>
    </row>
    <row r="13800" spans="1:4" x14ac:dyDescent="0.2">
      <c r="A13800" t="str">
        <f>"13799"</f>
        <v>13799</v>
      </c>
      <c r="B13800" t="str">
        <f>"0.53"</f>
        <v>0.53</v>
      </c>
      <c r="C13800" t="str">
        <f>"41"</f>
        <v>41</v>
      </c>
      <c r="D13800" t="str">
        <f>"iTunes Originals"</f>
        <v>iTunes Originals</v>
      </c>
    </row>
    <row r="13801" spans="1:4" x14ac:dyDescent="0.2">
      <c r="A13801" t="str">
        <f>"13800"</f>
        <v>13800</v>
      </c>
      <c r="B13801" t="str">
        <f>"0.28"</f>
        <v>0.28</v>
      </c>
      <c r="C13801" t="str">
        <f>"28"</f>
        <v>28</v>
      </c>
      <c r="D13801" t="str">
        <f>"Get Yer Ya-Ya's Out! The Rolling Stones in Concert [40th Anniversary Deluxe Box Set]"</f>
        <v>Get Yer Ya-Ya's Out! The Rolling Stones in Concert [40th Anniversary Deluxe Box Set]</v>
      </c>
    </row>
    <row r="13802" spans="1:4" x14ac:dyDescent="0.2">
      <c r="A13802" t="str">
        <f>"13801"</f>
        <v>13801</v>
      </c>
      <c r="B13802" t="str">
        <f>"0.24"</f>
        <v>0.24</v>
      </c>
      <c r="C13802" t="str">
        <f>"35"</f>
        <v>35</v>
      </c>
      <c r="D13802" t="str">
        <f>"Flashmob"</f>
        <v>Flashmob</v>
      </c>
    </row>
    <row r="13803" spans="1:4" x14ac:dyDescent="0.2">
      <c r="A13803" t="str">
        <f>"13802"</f>
        <v>13802</v>
      </c>
      <c r="B13803" t="str">
        <f>"-0.62"</f>
        <v>-0.62</v>
      </c>
      <c r="C13803" t="str">
        <f>"20"</f>
        <v>20</v>
      </c>
      <c r="D13803" t="str">
        <f>"Rock is Dodelijk"</f>
        <v>Rock is Dodelijk</v>
      </c>
    </row>
    <row r="13804" spans="1:4" x14ac:dyDescent="0.2">
      <c r="A13804" t="str">
        <f>"13803"</f>
        <v>13803</v>
      </c>
      <c r="B13804" t="str">
        <f>"0.38"</f>
        <v>0.38</v>
      </c>
      <c r="C13804" t="str">
        <f>"21"</f>
        <v>21</v>
      </c>
      <c r="D13804" t="str">
        <f>"Waiting For You"</f>
        <v>Waiting For You</v>
      </c>
    </row>
    <row r="13805" spans="1:4" x14ac:dyDescent="0.2">
      <c r="A13805" t="str">
        <f>"13804"</f>
        <v>13804</v>
      </c>
      <c r="B13805" t="str">
        <f>"0.76"</f>
        <v>0.76</v>
      </c>
      <c r="C13805" t="str">
        <f>"24"</f>
        <v>24</v>
      </c>
      <c r="D13805" t="str">
        <f>"Stills"</f>
        <v>Stills</v>
      </c>
    </row>
    <row r="13806" spans="1:4" x14ac:dyDescent="0.2">
      <c r="A13806" t="str">
        <f>"13805"</f>
        <v>13805</v>
      </c>
      <c r="B13806" t="str">
        <f>"0.7"</f>
        <v>0.7</v>
      </c>
      <c r="C13806" t="str">
        <f>"31"</f>
        <v>31</v>
      </c>
      <c r="D13806" t="str">
        <f>"Harvest Festival"</f>
        <v>Harvest Festival</v>
      </c>
    </row>
    <row r="13807" spans="1:4" x14ac:dyDescent="0.2">
      <c r="A13807" t="str">
        <f>"13806"</f>
        <v>13806</v>
      </c>
      <c r="B13807" t="str">
        <f>"0.16"</f>
        <v>0.16</v>
      </c>
      <c r="C13807" t="str">
        <f>"31"</f>
        <v>31</v>
      </c>
      <c r="D13807" t="str">
        <f>"Solar Life Raft"</f>
        <v>Solar Life Raft</v>
      </c>
    </row>
    <row r="13808" spans="1:4" x14ac:dyDescent="0.2">
      <c r="A13808" t="str">
        <f>"13807"</f>
        <v>13807</v>
      </c>
      <c r="B13808" t="str">
        <f>"0"</f>
        <v>0</v>
      </c>
      <c r="C13808" t="str">
        <f>"21"</f>
        <v>21</v>
      </c>
      <c r="D13808" t="str">
        <f>"Belly of the Lion"</f>
        <v>Belly of the Lion</v>
      </c>
    </row>
    <row r="13809" spans="1:4" x14ac:dyDescent="0.2">
      <c r="A13809" t="str">
        <f>"13808"</f>
        <v>13808</v>
      </c>
      <c r="B13809" t="str">
        <f>"-1.58"</f>
        <v>-1.58</v>
      </c>
      <c r="C13809" t="str">
        <f>"19"</f>
        <v>19</v>
      </c>
      <c r="D13809" t="str">
        <f>"Dog Poison"</f>
        <v>Dog Poison</v>
      </c>
    </row>
    <row r="13810" spans="1:4" x14ac:dyDescent="0.2">
      <c r="A13810" t="str">
        <f>"13809"</f>
        <v>13809</v>
      </c>
      <c r="B13810" t="str">
        <f>"0.24"</f>
        <v>0.24</v>
      </c>
      <c r="C13810" t="str">
        <f>"44"</f>
        <v>44</v>
      </c>
      <c r="D13810" t="str">
        <f>"Bleach [Deluxe Edition]"</f>
        <v>Bleach [Deluxe Edition]</v>
      </c>
    </row>
    <row r="13811" spans="1:4" x14ac:dyDescent="0.2">
      <c r="A13811" t="str">
        <f>"13810"</f>
        <v>13810</v>
      </c>
      <c r="B13811" t="str">
        <f>"0.15"</f>
        <v>0.15</v>
      </c>
      <c r="C13811" t="str">
        <f>"23"</f>
        <v>23</v>
      </c>
      <c r="D13811" t="str">
        <f>"Rewolf"</f>
        <v>Rewolf</v>
      </c>
    </row>
    <row r="13812" spans="1:4" x14ac:dyDescent="0.2">
      <c r="A13812" t="str">
        <f>"13811"</f>
        <v>13811</v>
      </c>
      <c r="B13812" t="str">
        <f>"0.79"</f>
        <v>0.79</v>
      </c>
      <c r="C13812" t="str">
        <f>"23"</f>
        <v>23</v>
      </c>
      <c r="D13812" t="str">
        <f>"Extended Vacation"</f>
        <v>Extended Vacation</v>
      </c>
    </row>
    <row r="13813" spans="1:4" x14ac:dyDescent="0.2">
      <c r="A13813" t="str">
        <f>"13812"</f>
        <v>13812</v>
      </c>
      <c r="B13813" t="str">
        <f>"0.03"</f>
        <v>0.03</v>
      </c>
      <c r="C13813" t="str">
        <f>"23"</f>
        <v>23</v>
      </c>
      <c r="D13813" t="str">
        <f>"A Good Year for Hardness"</f>
        <v>A Good Year for Hardness</v>
      </c>
    </row>
    <row r="13814" spans="1:4" x14ac:dyDescent="0.2">
      <c r="A13814" t="str">
        <f>"13813"</f>
        <v>13813</v>
      </c>
      <c r="B13814" t="str">
        <f>"0.57"</f>
        <v>0.57</v>
      </c>
      <c r="C13814" t="str">
        <f>"26"</f>
        <v>26</v>
      </c>
      <c r="D13814" t="str">
        <f>"Islands"</f>
        <v>Islands</v>
      </c>
    </row>
    <row r="13815" spans="1:4" x14ac:dyDescent="0.2">
      <c r="A13815" t="str">
        <f>"13814"</f>
        <v>13814</v>
      </c>
      <c r="B13815" t="str">
        <f>"0.11"</f>
        <v>0.11</v>
      </c>
      <c r="C13815" t="str">
        <f>"53"</f>
        <v>53</v>
      </c>
      <c r="D13815" t="str">
        <f>"Attention Deficit"</f>
        <v>Attention Deficit</v>
      </c>
    </row>
    <row r="13816" spans="1:4" x14ac:dyDescent="0.2">
      <c r="A13816" t="str">
        <f>"13815"</f>
        <v>13815</v>
      </c>
      <c r="B13816" t="str">
        <f>"0.4"</f>
        <v>0.4</v>
      </c>
      <c r="C13816" t="str">
        <f>"24"</f>
        <v>24</v>
      </c>
      <c r="D13816" t="str">
        <f>"Chomp More"</f>
        <v>Chomp More</v>
      </c>
    </row>
    <row r="13817" spans="1:4" x14ac:dyDescent="0.2">
      <c r="A13817" t="str">
        <f>"13816"</f>
        <v>13816</v>
      </c>
      <c r="B13817" t="str">
        <f>"0.02"</f>
        <v>0.02</v>
      </c>
      <c r="C13817" t="str">
        <f>"20"</f>
        <v>20</v>
      </c>
      <c r="D13817" t="str">
        <f>"Truce Opium"</f>
        <v>Truce Opium</v>
      </c>
    </row>
    <row r="13818" spans="1:4" x14ac:dyDescent="0.2">
      <c r="A13818" t="str">
        <f>"13817"</f>
        <v>13817</v>
      </c>
      <c r="B13818" t="str">
        <f>"-0.68"</f>
        <v>-0.68</v>
      </c>
      <c r="C13818" t="str">
        <f>"21"</f>
        <v>21</v>
      </c>
      <c r="D13818" t="str">
        <f>"Visitation"</f>
        <v>Visitation</v>
      </c>
    </row>
    <row r="13819" spans="1:4" x14ac:dyDescent="0.2">
      <c r="A13819" t="str">
        <f>"13818"</f>
        <v>13818</v>
      </c>
      <c r="B13819" t="str">
        <f>"-0.45"</f>
        <v>-0.45</v>
      </c>
      <c r="C13819" t="str">
        <f>"28"</f>
        <v>28</v>
      </c>
      <c r="D13819" t="str">
        <f>"Warm Brother"</f>
        <v>Warm Brother</v>
      </c>
    </row>
    <row r="13820" spans="1:4" x14ac:dyDescent="0.2">
      <c r="A13820" t="str">
        <f>"13819"</f>
        <v>13819</v>
      </c>
      <c r="B13820" t="str">
        <f>"1.12"</f>
        <v>1.12</v>
      </c>
      <c r="C13820" t="str">
        <f>"24"</f>
        <v>24</v>
      </c>
      <c r="D13820" t="str">
        <f>"Beast Rest Forth Mouth"</f>
        <v>Beast Rest Forth Mouth</v>
      </c>
    </row>
    <row r="13821" spans="1:4" x14ac:dyDescent="0.2">
      <c r="A13821" t="str">
        <f>"13820"</f>
        <v>13820</v>
      </c>
      <c r="B13821" t="str">
        <f>"0.39"</f>
        <v>0.39</v>
      </c>
      <c r="C13821" t="str">
        <f>"37"</f>
        <v>37</v>
      </c>
      <c r="D13821" t="str">
        <f>"World Painted Blood"</f>
        <v>World Painted Blood</v>
      </c>
    </row>
    <row r="13822" spans="1:4" x14ac:dyDescent="0.2">
      <c r="A13822" t="str">
        <f>"13821"</f>
        <v>13821</v>
      </c>
      <c r="B13822" t="str">
        <f>"0.78"</f>
        <v>0.78</v>
      </c>
      <c r="C13822" t="str">
        <f>"29"</f>
        <v>29</v>
      </c>
      <c r="D13822" t="s">
        <v>432</v>
      </c>
    </row>
    <row r="13823" spans="1:4" x14ac:dyDescent="0.2">
      <c r="A13823" t="str">
        <f>"13822"</f>
        <v>13822</v>
      </c>
      <c r="B13823" t="str">
        <f>"0.67"</f>
        <v>0.67</v>
      </c>
      <c r="C13823" t="str">
        <f>"24"</f>
        <v>24</v>
      </c>
      <c r="D13823" t="str">
        <f>"Performing Parades"</f>
        <v>Performing Parades</v>
      </c>
    </row>
    <row r="13824" spans="1:4" x14ac:dyDescent="0.2">
      <c r="A13824" t="str">
        <f>"13823"</f>
        <v>13823</v>
      </c>
      <c r="B13824" t="str">
        <f>"-0.7"</f>
        <v>-0.7</v>
      </c>
      <c r="C13824" t="str">
        <f>"23"</f>
        <v>23</v>
      </c>
      <c r="D13824" t="str">
        <f>"Horror Disco"</f>
        <v>Horror Disco</v>
      </c>
    </row>
    <row r="13825" spans="1:4" x14ac:dyDescent="0.2">
      <c r="A13825" t="str">
        <f>"13824"</f>
        <v>13824</v>
      </c>
      <c r="B13825" t="str">
        <f>"0.22"</f>
        <v>0.22</v>
      </c>
      <c r="C13825" t="str">
        <f>"91"</f>
        <v>91</v>
      </c>
      <c r="D13825" t="str">
        <f>"Warp20 (Box Set)"</f>
        <v>Warp20 (Box Set)</v>
      </c>
    </row>
    <row r="13826" spans="1:4" x14ac:dyDescent="0.2">
      <c r="A13826" t="str">
        <f>"13825"</f>
        <v>13825</v>
      </c>
      <c r="B13826" t="str">
        <f>"0.15"</f>
        <v>0.15</v>
      </c>
      <c r="C13826" t="str">
        <f>"30"</f>
        <v>30</v>
      </c>
      <c r="D13826" t="str">
        <f>"Broken"</f>
        <v>Broken</v>
      </c>
    </row>
    <row r="13827" spans="1:4" x14ac:dyDescent="0.2">
      <c r="A13827" t="str">
        <f>"13826"</f>
        <v>13826</v>
      </c>
      <c r="B13827" t="str">
        <f>"-0.63"</f>
        <v>-0.63</v>
      </c>
      <c r="C13827" t="str">
        <f>"25"</f>
        <v>25</v>
      </c>
      <c r="D13827" t="str">
        <f>"Turning the Mind"</f>
        <v>Turning the Mind</v>
      </c>
    </row>
    <row r="13828" spans="1:4" x14ac:dyDescent="0.2">
      <c r="A13828" t="str">
        <f>"13827"</f>
        <v>13827</v>
      </c>
      <c r="B13828" t="str">
        <f>"-0.64"</f>
        <v>-0.64</v>
      </c>
      <c r="C13828" t="str">
        <f>"15"</f>
        <v>15</v>
      </c>
      <c r="D13828" t="str">
        <f>"Thriller"</f>
        <v>Thriller</v>
      </c>
    </row>
    <row r="13829" spans="1:4" x14ac:dyDescent="0.2">
      <c r="A13829" t="str">
        <f>"13828"</f>
        <v>13828</v>
      </c>
      <c r="B13829" t="str">
        <f>"0.38"</f>
        <v>0.38</v>
      </c>
      <c r="C13829" t="str">
        <f>"22"</f>
        <v>22</v>
      </c>
      <c r="D13829" t="str">
        <f>"Everything Is New"</f>
        <v>Everything Is New</v>
      </c>
    </row>
    <row r="13830" spans="1:4" x14ac:dyDescent="0.2">
      <c r="A13830" t="str">
        <f>"13829"</f>
        <v>13829</v>
      </c>
      <c r="B13830" t="str">
        <f>"-0.42"</f>
        <v>-0.42</v>
      </c>
      <c r="C13830" t="str">
        <f>"50"</f>
        <v>50</v>
      </c>
      <c r="D13830" t="str">
        <f>"Phrazes for the Young"</f>
        <v>Phrazes for the Young</v>
      </c>
    </row>
    <row r="13831" spans="1:4" x14ac:dyDescent="0.2">
      <c r="A13831" t="str">
        <f>"13830"</f>
        <v>13830</v>
      </c>
      <c r="B13831" t="str">
        <f>"0.94"</f>
        <v>0.94</v>
      </c>
      <c r="C13831" t="str">
        <f>"33"</f>
        <v>33</v>
      </c>
      <c r="D13831" t="str">
        <f>"Invisible Girl"</f>
        <v>Invisible Girl</v>
      </c>
    </row>
    <row r="13832" spans="1:4" x14ac:dyDescent="0.2">
      <c r="A13832" t="str">
        <f>"13831"</f>
        <v>13831</v>
      </c>
      <c r="B13832" t="str">
        <f>"-1.17"</f>
        <v>-1.17</v>
      </c>
      <c r="C13832" t="str">
        <f>"22"</f>
        <v>22</v>
      </c>
      <c r="D13832" t="str">
        <f>"Ay Ay Ay"</f>
        <v>Ay Ay Ay</v>
      </c>
    </row>
    <row r="13833" spans="1:4" x14ac:dyDescent="0.2">
      <c r="A13833" t="str">
        <f>"13832"</f>
        <v>13832</v>
      </c>
      <c r="B13833" t="str">
        <f>"0.09"</f>
        <v>0.09</v>
      </c>
      <c r="C13833" t="str">
        <f>"39"</f>
        <v>39</v>
      </c>
      <c r="D13833" t="str">
        <f>"In the Gardens of the North"</f>
        <v>In the Gardens of the North</v>
      </c>
    </row>
    <row r="13834" spans="1:4" x14ac:dyDescent="0.2">
      <c r="A13834" t="str">
        <f>"13833"</f>
        <v>13833</v>
      </c>
      <c r="B13834" t="str">
        <f>"-0.3"</f>
        <v>-0.3</v>
      </c>
      <c r="C13834" t="str">
        <f>"31"</f>
        <v>31</v>
      </c>
      <c r="D13834" t="str">
        <f>"When the Devil's Loose"</f>
        <v>When the Devil's Loose</v>
      </c>
    </row>
    <row r="13835" spans="1:4" x14ac:dyDescent="0.2">
      <c r="A13835" t="str">
        <f>"13834"</f>
        <v>13834</v>
      </c>
      <c r="B13835" t="str">
        <f>"-1.23"</f>
        <v>-1.23</v>
      </c>
      <c r="C13835" t="str">
        <f>"24"</f>
        <v>24</v>
      </c>
      <c r="D13835" t="str">
        <f>"Raditude"</f>
        <v>Raditude</v>
      </c>
    </row>
    <row r="13836" spans="1:4" x14ac:dyDescent="0.2">
      <c r="A13836" t="str">
        <f>"13835"</f>
        <v>13835</v>
      </c>
      <c r="B13836" t="str">
        <f>"-0.2"</f>
        <v>-0.2</v>
      </c>
      <c r="C13836" t="str">
        <f>"20"</f>
        <v>20</v>
      </c>
      <c r="D13836" t="str">
        <f>"Molina and Johnson"</f>
        <v>Molina and Johnson</v>
      </c>
    </row>
    <row r="13837" spans="1:4" x14ac:dyDescent="0.2">
      <c r="A13837" t="str">
        <f>"13836"</f>
        <v>13836</v>
      </c>
      <c r="B13837" t="str">
        <f>"-1.03"</f>
        <v>-1.03</v>
      </c>
      <c r="C13837" t="str">
        <f>"32"</f>
        <v>32</v>
      </c>
      <c r="D13837" t="str">
        <f>"Received Pronunciation"</f>
        <v>Received Pronunciation</v>
      </c>
    </row>
    <row r="13838" spans="1:4" x14ac:dyDescent="0.2">
      <c r="A13838" t="str">
        <f>"13837"</f>
        <v>13837</v>
      </c>
      <c r="B13838" t="str">
        <f>"0.06"</f>
        <v>0.06</v>
      </c>
      <c r="C13838" t="str">
        <f>"16"</f>
        <v>16</v>
      </c>
      <c r="D13838" t="s">
        <v>433</v>
      </c>
    </row>
    <row r="13839" spans="1:4" x14ac:dyDescent="0.2">
      <c r="A13839" t="str">
        <f>"13838"</f>
        <v>13838</v>
      </c>
      <c r="B13839" t="str">
        <f>"-0.25"</f>
        <v>-0.25</v>
      </c>
      <c r="C13839" t="str">
        <f>"20"</f>
        <v>20</v>
      </c>
      <c r="D13839" t="str">
        <f>"Midnight Soul Serenade"</f>
        <v>Midnight Soul Serenade</v>
      </c>
    </row>
    <row r="13840" spans="1:4" x14ac:dyDescent="0.2">
      <c r="A13840" t="str">
        <f>"13839"</f>
        <v>13839</v>
      </c>
      <c r="B13840" t="str">
        <f>"-0.05"</f>
        <v>-0.05</v>
      </c>
      <c r="C13840" t="str">
        <f>"36"</f>
        <v>36</v>
      </c>
      <c r="D13840" t="str">
        <f>"Swords"</f>
        <v>Swords</v>
      </c>
    </row>
    <row r="13841" spans="1:4" x14ac:dyDescent="0.2">
      <c r="A13841" t="str">
        <f>"13840"</f>
        <v>13840</v>
      </c>
      <c r="B13841" t="str">
        <f>"0.45"</f>
        <v>0.45</v>
      </c>
      <c r="C13841" t="str">
        <f>"29"</f>
        <v>29</v>
      </c>
      <c r="D13841" t="str">
        <f>"Greatest Hits"</f>
        <v>Greatest Hits</v>
      </c>
    </row>
    <row r="13842" spans="1:4" x14ac:dyDescent="0.2">
      <c r="A13842" t="str">
        <f>"13841"</f>
        <v>13841</v>
      </c>
      <c r="B13842" t="str">
        <f>"0.4"</f>
        <v>0.4</v>
      </c>
      <c r="C13842" t="str">
        <f>"46"</f>
        <v>46</v>
      </c>
      <c r="D13842" t="str">
        <f>"Blue Record"</f>
        <v>Blue Record</v>
      </c>
    </row>
    <row r="13843" spans="1:4" x14ac:dyDescent="0.2">
      <c r="A13843" t="str">
        <f>"13842"</f>
        <v>13842</v>
      </c>
      <c r="B13843" t="str">
        <f>"1.03"</f>
        <v>1.03</v>
      </c>
      <c r="C13843" t="str">
        <f>"36"</f>
        <v>36</v>
      </c>
      <c r="D13843" t="str">
        <f>"Eccentric Soul: Smart's Palace"</f>
        <v>Eccentric Soul: Smart's Palace</v>
      </c>
    </row>
    <row r="13844" spans="1:4" x14ac:dyDescent="0.2">
      <c r="A13844" t="str">
        <f>"13843"</f>
        <v>13843</v>
      </c>
      <c r="B13844" t="str">
        <f>"0.13"</f>
        <v>0.13</v>
      </c>
      <c r="C13844" t="str">
        <f>"19"</f>
        <v>19</v>
      </c>
      <c r="D13844" t="str">
        <f>"Unbalance"</f>
        <v>Unbalance</v>
      </c>
    </row>
    <row r="13845" spans="1:4" x14ac:dyDescent="0.2">
      <c r="A13845" t="str">
        <f>"13844"</f>
        <v>13844</v>
      </c>
      <c r="B13845" t="str">
        <f>"0.52"</f>
        <v>0.52</v>
      </c>
      <c r="C13845" t="str">
        <f>"38"</f>
        <v>38</v>
      </c>
      <c r="D13845" t="str">
        <f>"The Unforgettable Fire [Deluxe Edition]"</f>
        <v>The Unforgettable Fire [Deluxe Edition]</v>
      </c>
    </row>
    <row r="13846" spans="1:4" x14ac:dyDescent="0.2">
      <c r="A13846" t="str">
        <f>"13845"</f>
        <v>13845</v>
      </c>
      <c r="B13846" t="str">
        <f>"-1.55"</f>
        <v>-1.55</v>
      </c>
      <c r="C13846" t="str">
        <f>"21"</f>
        <v>21</v>
      </c>
      <c r="D13846" t="str">
        <f>"Unexpected Guests"</f>
        <v>Unexpected Guests</v>
      </c>
    </row>
    <row r="13847" spans="1:4" x14ac:dyDescent="0.2">
      <c r="A13847" t="str">
        <f>"13846"</f>
        <v>13846</v>
      </c>
      <c r="B13847" t="str">
        <f>"0.31"</f>
        <v>0.31</v>
      </c>
      <c r="C13847" t="str">
        <f>"26"</f>
        <v>26</v>
      </c>
      <c r="D13847" t="str">
        <f>"Shaft OST [Deluxe Edition]"</f>
        <v>Shaft OST [Deluxe Edition]</v>
      </c>
    </row>
    <row r="13848" spans="1:4" x14ac:dyDescent="0.2">
      <c r="A13848" t="str">
        <f>"13847"</f>
        <v>13847</v>
      </c>
      <c r="B13848" t="str">
        <f>"-1.17"</f>
        <v>-1.17</v>
      </c>
      <c r="C13848" t="str">
        <f>"24"</f>
        <v>24</v>
      </c>
      <c r="D13848" t="str">
        <f>"Entropy"</f>
        <v>Entropy</v>
      </c>
    </row>
    <row r="13849" spans="1:4" x14ac:dyDescent="0.2">
      <c r="A13849" t="str">
        <f>"13848"</f>
        <v>13848</v>
      </c>
      <c r="B13849" t="str">
        <f>"-0.2"</f>
        <v>-0.2</v>
      </c>
      <c r="C13849" t="str">
        <f>"27"</f>
        <v>27</v>
      </c>
      <c r="D13849" t="str">
        <f>"Under Stellar Steam"</f>
        <v>Under Stellar Steam</v>
      </c>
    </row>
    <row r="13850" spans="1:4" x14ac:dyDescent="0.2">
      <c r="A13850" t="str">
        <f>"13849"</f>
        <v>13849</v>
      </c>
      <c r="B13850" t="str">
        <f>"0.05"</f>
        <v>0.05</v>
      </c>
      <c r="C13850" t="str">
        <f>"43"</f>
        <v>43</v>
      </c>
      <c r="D13850" t="str">
        <f>"What Will We Be"</f>
        <v>What Will We Be</v>
      </c>
    </row>
    <row r="13851" spans="1:4" x14ac:dyDescent="0.2">
      <c r="A13851" t="str">
        <f>"13850"</f>
        <v>13850</v>
      </c>
      <c r="B13851" t="str">
        <f>"0.24"</f>
        <v>0.24</v>
      </c>
      <c r="C13851" t="str">
        <f>"20"</f>
        <v>20</v>
      </c>
      <c r="D13851" t="str">
        <f>"Sainthood"</f>
        <v>Sainthood</v>
      </c>
    </row>
    <row r="13852" spans="1:4" x14ac:dyDescent="0.2">
      <c r="A13852" t="str">
        <f>"13851"</f>
        <v>13851</v>
      </c>
      <c r="B13852" t="str">
        <f>"-0.92"</f>
        <v>-0.92</v>
      </c>
      <c r="C13852" t="str">
        <f>"21"</f>
        <v>21</v>
      </c>
      <c r="D13852" t="str">
        <f>"Beak&gt;"</f>
        <v>Beak&gt;</v>
      </c>
    </row>
    <row r="13853" spans="1:4" x14ac:dyDescent="0.2">
      <c r="A13853" t="str">
        <f>"13852"</f>
        <v>13852</v>
      </c>
      <c r="B13853" t="str">
        <f>"0.13"</f>
        <v>0.13</v>
      </c>
      <c r="C13853" t="str">
        <f>"19"</f>
        <v>19</v>
      </c>
      <c r="D13853" t="str">
        <f>"Opiate Sun"</f>
        <v>Opiate Sun</v>
      </c>
    </row>
    <row r="13854" spans="1:4" x14ac:dyDescent="0.2">
      <c r="A13854" t="str">
        <f>"13853"</f>
        <v>13853</v>
      </c>
      <c r="B13854" t="str">
        <f>"0.55"</f>
        <v>0.55</v>
      </c>
      <c r="C13854" t="str">
        <f>"33"</f>
        <v>33</v>
      </c>
      <c r="D13854" t="str">
        <f>"III"</f>
        <v>III</v>
      </c>
    </row>
    <row r="13855" spans="1:4" x14ac:dyDescent="0.2">
      <c r="A13855" t="str">
        <f>"13854"</f>
        <v>13854</v>
      </c>
      <c r="B13855" t="str">
        <f>"0.68"</f>
        <v>0.68</v>
      </c>
      <c r="C13855" t="str">
        <f>"37"</f>
        <v>37</v>
      </c>
      <c r="D13855" t="str">
        <f>"Live at the Olympia"</f>
        <v>Live at the Olympia</v>
      </c>
    </row>
    <row r="13856" spans="1:4" x14ac:dyDescent="0.2">
      <c r="A13856" t="str">
        <f>"13855"</f>
        <v>13855</v>
      </c>
      <c r="B13856" t="str">
        <f>"-0.73"</f>
        <v>-0.73</v>
      </c>
      <c r="C13856" t="str">
        <f>"59"</f>
        <v>59</v>
      </c>
      <c r="D13856" t="str">
        <f>"Axe to Fall"</f>
        <v>Axe to Fall</v>
      </c>
    </row>
    <row r="13857" spans="1:4" x14ac:dyDescent="0.2">
      <c r="A13857" t="str">
        <f>"13856"</f>
        <v>13856</v>
      </c>
      <c r="B13857" t="str">
        <f>"0.4"</f>
        <v>0.4</v>
      </c>
      <c r="C13857" t="str">
        <f>"19"</f>
        <v>19</v>
      </c>
      <c r="D13857" t="str">
        <f>"Let's Build a Roof"</f>
        <v>Let's Build a Roof</v>
      </c>
    </row>
    <row r="13858" spans="1:4" x14ac:dyDescent="0.2">
      <c r="A13858" t="str">
        <f>"13857"</f>
        <v>13857</v>
      </c>
      <c r="B13858" t="str">
        <f>"0.58"</f>
        <v>0.58</v>
      </c>
      <c r="C13858" t="str">
        <f>"17"</f>
        <v>17</v>
      </c>
      <c r="D13858" t="str">
        <f>"Strict Joy"</f>
        <v>Strict Joy</v>
      </c>
    </row>
    <row r="13859" spans="1:4" x14ac:dyDescent="0.2">
      <c r="A13859" t="str">
        <f>"13858"</f>
        <v>13858</v>
      </c>
      <c r="B13859" t="str">
        <f>"-0.3"</f>
        <v>-0.3</v>
      </c>
      <c r="C13859" t="str">
        <f>"22"</f>
        <v>22</v>
      </c>
      <c r="D13859" t="str">
        <f>"Smoke the Monster Out"</f>
        <v>Smoke the Monster Out</v>
      </c>
    </row>
    <row r="13860" spans="1:4" x14ac:dyDescent="0.2">
      <c r="A13860" t="str">
        <f>"13859"</f>
        <v>13859</v>
      </c>
      <c r="B13860" t="str">
        <f>"-0.16"</f>
        <v>-0.16</v>
      </c>
      <c r="C13860" t="str">
        <f>"51"</f>
        <v>51</v>
      </c>
      <c r="D13860" t="str">
        <f>"5: Five Years of Hyperdub"</f>
        <v>5: Five Years of Hyperdub</v>
      </c>
    </row>
    <row r="13861" spans="1:4" x14ac:dyDescent="0.2">
      <c r="A13861" t="str">
        <f>"13860"</f>
        <v>13860</v>
      </c>
      <c r="B13861" t="str">
        <f>"-0.67"</f>
        <v>-0.67</v>
      </c>
      <c r="C13861" t="str">
        <f>"28"</f>
        <v>28</v>
      </c>
      <c r="D13861" t="str">
        <f>"Kaleidoscope"</f>
        <v>Kaleidoscope</v>
      </c>
    </row>
    <row r="13862" spans="1:4" x14ac:dyDescent="0.2">
      <c r="A13862" t="str">
        <f>"13861"</f>
        <v>13861</v>
      </c>
      <c r="B13862" t="str">
        <f>"0.68"</f>
        <v>0.68</v>
      </c>
      <c r="C13862" t="str">
        <f>"32"</f>
        <v>32</v>
      </c>
      <c r="D13862" t="str">
        <f>"Normal as Blueberry Pie - A Tribute to Doris Day"</f>
        <v>Normal as Blueberry Pie - A Tribute to Doris Day</v>
      </c>
    </row>
    <row r="13863" spans="1:4" x14ac:dyDescent="0.2">
      <c r="A13863" t="str">
        <f>"13862"</f>
        <v>13862</v>
      </c>
      <c r="B13863" t="str">
        <f>"-0.29"</f>
        <v>-0.29</v>
      </c>
      <c r="C13863" t="str">
        <f>"30"</f>
        <v>30</v>
      </c>
      <c r="D13863" t="str">
        <f>"Hors d'Oeuvres"</f>
        <v>Hors d'Oeuvres</v>
      </c>
    </row>
    <row r="13864" spans="1:4" x14ac:dyDescent="0.2">
      <c r="A13864" t="str">
        <f>"13863"</f>
        <v>13863</v>
      </c>
      <c r="B13864" t="str">
        <f>"0.14"</f>
        <v>0.14</v>
      </c>
      <c r="C13864" t="str">
        <f>"29"</f>
        <v>29</v>
      </c>
      <c r="D13864" t="str">
        <f>"Let's Just Stay Here"</f>
        <v>Let's Just Stay Here</v>
      </c>
    </row>
    <row r="13865" spans="1:4" x14ac:dyDescent="0.2">
      <c r="A13865" t="str">
        <f>"13864"</f>
        <v>13864</v>
      </c>
      <c r="B13865" t="str">
        <f>"-0.29"</f>
        <v>-0.29</v>
      </c>
      <c r="C13865" t="str">
        <f>"61"</f>
        <v>61</v>
      </c>
      <c r="D13865" t="str">
        <f>"Head [Deluxe Edition]"</f>
        <v>Head [Deluxe Edition]</v>
      </c>
    </row>
    <row r="13866" spans="1:4" x14ac:dyDescent="0.2">
      <c r="A13866" t="str">
        <f>"13865"</f>
        <v>13865</v>
      </c>
      <c r="B13866" t="str">
        <f>"0.35"</f>
        <v>0.35</v>
      </c>
      <c r="C13866" t="str">
        <f>"30"</f>
        <v>30</v>
      </c>
      <c r="D13866" t="str">
        <f>"Investigate Witch Cults of the Radio Age"</f>
        <v>Investigate Witch Cults of the Radio Age</v>
      </c>
    </row>
    <row r="13867" spans="1:4" x14ac:dyDescent="0.2">
      <c r="A13867" t="str">
        <f>"13866"</f>
        <v>13866</v>
      </c>
      <c r="B13867" t="str">
        <f>"-0.53"</f>
        <v>-0.53</v>
      </c>
      <c r="C13867" t="str">
        <f>"28"</f>
        <v>28</v>
      </c>
      <c r="D13867" t="str">
        <f>"Wayfaring Strangers: Lonesome Heroes"</f>
        <v>Wayfaring Strangers: Lonesome Heroes</v>
      </c>
    </row>
    <row r="13868" spans="1:4" x14ac:dyDescent="0.2">
      <c r="A13868" t="str">
        <f>"13867"</f>
        <v>13867</v>
      </c>
      <c r="B13868" t="str">
        <f>"-0.27"</f>
        <v>-0.27</v>
      </c>
      <c r="C13868" t="str">
        <f>"16"</f>
        <v>16</v>
      </c>
      <c r="D13868" t="str">
        <f>"Let It Die"</f>
        <v>Let It Die</v>
      </c>
    </row>
    <row r="13869" spans="1:4" x14ac:dyDescent="0.2">
      <c r="A13869" t="str">
        <f>"13868"</f>
        <v>13868</v>
      </c>
      <c r="B13869" t="str">
        <f>"-0.34"</f>
        <v>-0.34</v>
      </c>
      <c r="C13869" t="str">
        <f>"19"</f>
        <v>19</v>
      </c>
      <c r="D13869" t="str">
        <f>"Summer of Fear"</f>
        <v>Summer of Fear</v>
      </c>
    </row>
    <row r="13870" spans="1:4" x14ac:dyDescent="0.2">
      <c r="A13870" t="str">
        <f>"13869"</f>
        <v>13869</v>
      </c>
      <c r="B13870" t="str">
        <f>"-0.02"</f>
        <v>-0.02</v>
      </c>
      <c r="C13870" t="str">
        <f>"31"</f>
        <v>31</v>
      </c>
      <c r="D13870" t="str">
        <f>"The Twilight Saga: New Moon OST"</f>
        <v>The Twilight Saga: New Moon OST</v>
      </c>
    </row>
    <row r="13871" spans="1:4" x14ac:dyDescent="0.2">
      <c r="A13871" t="str">
        <f>"13870"</f>
        <v>13870</v>
      </c>
      <c r="B13871" t="str">
        <f>"0.05"</f>
        <v>0.05</v>
      </c>
      <c r="C13871" t="str">
        <f>"20"</f>
        <v>20</v>
      </c>
      <c r="D13871" t="str">
        <f>"Christmas in the Heart"</f>
        <v>Christmas in the Heart</v>
      </c>
    </row>
    <row r="13872" spans="1:4" x14ac:dyDescent="0.2">
      <c r="A13872" t="str">
        <f>"13871"</f>
        <v>13871</v>
      </c>
      <c r="B13872" t="str">
        <f>"0.08"</f>
        <v>0.08</v>
      </c>
      <c r="C13872" t="str">
        <f>"30"</f>
        <v>30</v>
      </c>
      <c r="D13872" t="str">
        <f>"Baghdad Batteries: Orbsessions Vol. III"</f>
        <v>Baghdad Batteries: Orbsessions Vol. III</v>
      </c>
    </row>
    <row r="13873" spans="1:4" x14ac:dyDescent="0.2">
      <c r="A13873" t="str">
        <f>"13872"</f>
        <v>13872</v>
      </c>
      <c r="B13873" t="str">
        <f>"-0.52"</f>
        <v>-0.52</v>
      </c>
      <c r="C13873" t="str">
        <f>"21"</f>
        <v>21</v>
      </c>
      <c r="D13873" t="str">
        <f>"The First Days of Spring"</f>
        <v>The First Days of Spring</v>
      </c>
    </row>
    <row r="13874" spans="1:4" x14ac:dyDescent="0.2">
      <c r="A13874" t="str">
        <f>"13873"</f>
        <v>13873</v>
      </c>
      <c r="B13874" t="str">
        <f>"0.33"</f>
        <v>0.33</v>
      </c>
      <c r="C13874" t="str">
        <f>"32"</f>
        <v>32</v>
      </c>
      <c r="D13874" t="str">
        <f>"Transition"</f>
        <v>Transition</v>
      </c>
    </row>
    <row r="13875" spans="1:4" x14ac:dyDescent="0.2">
      <c r="A13875" t="str">
        <f>"13874"</f>
        <v>13874</v>
      </c>
      <c r="B13875" t="str">
        <f>"1.08"</f>
        <v>1.08</v>
      </c>
      <c r="C13875" t="str">
        <f>"24"</f>
        <v>24</v>
      </c>
      <c r="D13875" t="str">
        <f>"Tarot Sport"</f>
        <v>Tarot Sport</v>
      </c>
    </row>
    <row r="13876" spans="1:4" x14ac:dyDescent="0.2">
      <c r="A13876" t="str">
        <f>"13875"</f>
        <v>13875</v>
      </c>
      <c r="B13876" t="str">
        <f>"-0.21"</f>
        <v>-0.21</v>
      </c>
      <c r="C13876" t="str">
        <f>"23"</f>
        <v>23</v>
      </c>
      <c r="D13876" t="str">
        <f>"Other Truths"</f>
        <v>Other Truths</v>
      </c>
    </row>
    <row r="13877" spans="1:4" x14ac:dyDescent="0.2">
      <c r="A13877" t="str">
        <f>"13876"</f>
        <v>13876</v>
      </c>
      <c r="B13877" t="str">
        <f>"-0.99"</f>
        <v>-0.99</v>
      </c>
      <c r="C13877" t="str">
        <f>"43"</f>
        <v>43</v>
      </c>
      <c r="D13877" t="str">
        <f>"Break It Up"</f>
        <v>Break It Up</v>
      </c>
    </row>
    <row r="13878" spans="1:4" x14ac:dyDescent="0.2">
      <c r="A13878" t="str">
        <f>"13877"</f>
        <v>13877</v>
      </c>
      <c r="B13878" t="str">
        <f>"0.59"</f>
        <v>0.59</v>
      </c>
      <c r="C13878" t="str">
        <f>"16"</f>
        <v>16</v>
      </c>
      <c r="D13878" t="str">
        <f>"Keep in Mind Frankenstein"</f>
        <v>Keep in Mind Frankenstein</v>
      </c>
    </row>
    <row r="13879" spans="1:4" x14ac:dyDescent="0.2">
      <c r="A13879" t="str">
        <f>"13878"</f>
        <v>13878</v>
      </c>
      <c r="B13879" t="str">
        <f>"0.48"</f>
        <v>0.48</v>
      </c>
      <c r="C13879" t="str">
        <f>"17"</f>
        <v>17</v>
      </c>
      <c r="D13879" t="str">
        <f>"Grey-Eyed Girls"</f>
        <v>Grey-Eyed Girls</v>
      </c>
    </row>
    <row r="13880" spans="1:4" x14ac:dyDescent="0.2">
      <c r="A13880" t="str">
        <f>"13879"</f>
        <v>13879</v>
      </c>
      <c r="B13880" t="str">
        <f>"1.06"</f>
        <v>1.06</v>
      </c>
      <c r="C13880" t="str">
        <f>"36"</f>
        <v>36</v>
      </c>
      <c r="D13880" t="str">
        <f>"Logos"</f>
        <v>Logos</v>
      </c>
    </row>
    <row r="13881" spans="1:4" x14ac:dyDescent="0.2">
      <c r="A13881" t="str">
        <f>"13880"</f>
        <v>13880</v>
      </c>
      <c r="B13881" t="str">
        <f>"-0.88"</f>
        <v>-0.88</v>
      </c>
      <c r="C13881" t="str">
        <f>"29"</f>
        <v>29</v>
      </c>
      <c r="D13881" t="str">
        <f>"Trapped Animal"</f>
        <v>Trapped Animal</v>
      </c>
    </row>
    <row r="13882" spans="1:4" x14ac:dyDescent="0.2">
      <c r="A13882" t="str">
        <f>"13881"</f>
        <v>13881</v>
      </c>
      <c r="B13882" t="str">
        <f>"-0.52"</f>
        <v>-0.52</v>
      </c>
      <c r="C13882" t="str">
        <f>"23"</f>
        <v>23</v>
      </c>
      <c r="D13882" t="str">
        <f>"Feel Good Together"</f>
        <v>Feel Good Together</v>
      </c>
    </row>
    <row r="13883" spans="1:4" x14ac:dyDescent="0.2">
      <c r="A13883" t="str">
        <f>"13882"</f>
        <v>13882</v>
      </c>
      <c r="B13883" t="str">
        <f>"0.36"</f>
        <v>0.36</v>
      </c>
      <c r="C13883" t="str">
        <f>"24"</f>
        <v>24</v>
      </c>
      <c r="D13883" t="str">
        <f>"Doomsday EP"</f>
        <v>Doomsday EP</v>
      </c>
    </row>
    <row r="13884" spans="1:4" x14ac:dyDescent="0.2">
      <c r="A13884" t="str">
        <f>"13883"</f>
        <v>13883</v>
      </c>
      <c r="B13884" t="str">
        <f>"0.71"</f>
        <v>0.71</v>
      </c>
      <c r="C13884" t="str">
        <f>"21"</f>
        <v>21</v>
      </c>
      <c r="D13884" t="str">
        <f>"Barn Nova"</f>
        <v>Barn Nova</v>
      </c>
    </row>
    <row r="13885" spans="1:4" x14ac:dyDescent="0.2">
      <c r="A13885" t="str">
        <f>"13884"</f>
        <v>13884</v>
      </c>
      <c r="B13885" t="str">
        <f>"0.8"</f>
        <v>0.8</v>
      </c>
      <c r="C13885" t="str">
        <f>"43"</f>
        <v>43</v>
      </c>
      <c r="D13885" t="str">
        <f>"Wolfgang Amadeus Phoenix [Remix Collection]"</f>
        <v>Wolfgang Amadeus Phoenix [Remix Collection]</v>
      </c>
    </row>
    <row r="13886" spans="1:4" x14ac:dyDescent="0.2">
      <c r="A13886" t="str">
        <f>"13885"</f>
        <v>13885</v>
      </c>
      <c r="B13886" t="str">
        <f>"1"</f>
        <v>1</v>
      </c>
      <c r="C13886" t="str">
        <f>"22"</f>
        <v>22</v>
      </c>
      <c r="D13886" t="str">
        <f>"The Fountain"</f>
        <v>The Fountain</v>
      </c>
    </row>
    <row r="13887" spans="1:4" x14ac:dyDescent="0.2">
      <c r="A13887" t="str">
        <f>"13886"</f>
        <v>13886</v>
      </c>
      <c r="B13887" t="str">
        <f>"-0.05"</f>
        <v>-0.05</v>
      </c>
      <c r="C13887" t="str">
        <f>"40"</f>
        <v>40</v>
      </c>
      <c r="D13887" t="str">
        <f>"Skin and Bones"</f>
        <v>Skin and Bones</v>
      </c>
    </row>
    <row r="13888" spans="1:4" x14ac:dyDescent="0.2">
      <c r="A13888" t="str">
        <f>"13887"</f>
        <v>13887</v>
      </c>
      <c r="B13888" t="str">
        <f>"0.04"</f>
        <v>0.04</v>
      </c>
      <c r="C13888" t="str">
        <f>"24"</f>
        <v>24</v>
      </c>
      <c r="D13888" t="str">
        <f>"Black Beach"</f>
        <v>Black Beach</v>
      </c>
    </row>
    <row r="13889" spans="1:4" x14ac:dyDescent="0.2">
      <c r="A13889" t="str">
        <f>"13888"</f>
        <v>13888</v>
      </c>
      <c r="B13889" t="str">
        <f>"0.72"</f>
        <v>0.72</v>
      </c>
      <c r="C13889" t="str">
        <f>"37"</f>
        <v>37</v>
      </c>
      <c r="D13889" t="str">
        <f>"Geneva"</f>
        <v>Geneva</v>
      </c>
    </row>
    <row r="13890" spans="1:4" x14ac:dyDescent="0.2">
      <c r="A13890" t="str">
        <f>"13889"</f>
        <v>13889</v>
      </c>
      <c r="B13890" t="str">
        <f>"0.9"</f>
        <v>0.9</v>
      </c>
      <c r="C13890" t="str">
        <f>"24"</f>
        <v>24</v>
      </c>
      <c r="D13890" t="str">
        <f>"I Told You I Was Freaky"</f>
        <v>I Told You I Was Freaky</v>
      </c>
    </row>
    <row r="13891" spans="1:4" x14ac:dyDescent="0.2">
      <c r="A13891" t="str">
        <f>"13890"</f>
        <v>13890</v>
      </c>
      <c r="B13891" t="str">
        <f>"-0.27"</f>
        <v>-0.27</v>
      </c>
      <c r="C13891" t="str">
        <f>"37"</f>
        <v>37</v>
      </c>
      <c r="D13891" t="str">
        <f>"The Real Feel"</f>
        <v>The Real Feel</v>
      </c>
    </row>
    <row r="13892" spans="1:4" x14ac:dyDescent="0.2">
      <c r="A13892" t="str">
        <f>"13891"</f>
        <v>13891</v>
      </c>
      <c r="B13892" t="str">
        <f>"-1"</f>
        <v>-1</v>
      </c>
      <c r="C13892" t="str">
        <f>"32"</f>
        <v>32</v>
      </c>
      <c r="D13892" t="str">
        <f>"CrownsDown"</f>
        <v>CrownsDown</v>
      </c>
    </row>
    <row r="13893" spans="1:4" x14ac:dyDescent="0.2">
      <c r="A13893" t="str">
        <f>"13892"</f>
        <v>13892</v>
      </c>
      <c r="B13893" t="str">
        <f>"-0.82"</f>
        <v>-0.82</v>
      </c>
      <c r="C13893" t="str">
        <f>"32"</f>
        <v>32</v>
      </c>
      <c r="D13893" t="str">
        <f>"Yeah Ghost"</f>
        <v>Yeah Ghost</v>
      </c>
    </row>
    <row r="13894" spans="1:4" x14ac:dyDescent="0.2">
      <c r="A13894" t="str">
        <f>"13893"</f>
        <v>13893</v>
      </c>
      <c r="B13894" t="str">
        <f>"-0.08"</f>
        <v>-0.08</v>
      </c>
      <c r="C13894" t="str">
        <f>"19"</f>
        <v>19</v>
      </c>
      <c r="D13894" t="str">
        <f>"At the Cut"</f>
        <v>At the Cut</v>
      </c>
    </row>
    <row r="13895" spans="1:4" x14ac:dyDescent="0.2">
      <c r="A13895" t="str">
        <f>"13894"</f>
        <v>13894</v>
      </c>
      <c r="B13895" t="str">
        <f>"-0.05"</f>
        <v>-0.05</v>
      </c>
      <c r="C13895" t="str">
        <f>"30"</f>
        <v>30</v>
      </c>
      <c r="D13895" t="str">
        <f>"The BQE"</f>
        <v>The BQE</v>
      </c>
    </row>
    <row r="13896" spans="1:4" x14ac:dyDescent="0.2">
      <c r="A13896" t="str">
        <f>"13895"</f>
        <v>13895</v>
      </c>
      <c r="B13896" t="str">
        <f>"0.65"</f>
        <v>0.65</v>
      </c>
      <c r="C13896" t="str">
        <f>"22"</f>
        <v>22</v>
      </c>
      <c r="D13896" t="str">
        <f>"Celebration"</f>
        <v>Celebration</v>
      </c>
    </row>
    <row r="13897" spans="1:4" x14ac:dyDescent="0.2">
      <c r="A13897" t="str">
        <f>"13896"</f>
        <v>13896</v>
      </c>
      <c r="B13897" t="str">
        <f>"0.75"</f>
        <v>0.75</v>
      </c>
      <c r="C13897" t="str">
        <f>"34"</f>
        <v>34</v>
      </c>
      <c r="D13897" t="str">
        <f>"Declaration of Dependence"</f>
        <v>Declaration of Dependence</v>
      </c>
    </row>
    <row r="13898" spans="1:4" x14ac:dyDescent="0.2">
      <c r="A13898" t="str">
        <f>"13897"</f>
        <v>13897</v>
      </c>
      <c r="B13898" t="str">
        <f>"0.19"</f>
        <v>0.19</v>
      </c>
      <c r="C13898" t="str">
        <f>"41"</f>
        <v>41</v>
      </c>
      <c r="D13898" t="str">
        <f>"Zebra"</f>
        <v>Zebra</v>
      </c>
    </row>
    <row r="13899" spans="1:4" x14ac:dyDescent="0.2">
      <c r="A13899" t="str">
        <f>"13898"</f>
        <v>13898</v>
      </c>
      <c r="B13899" t="str">
        <f>"0.1"</f>
        <v>0.1</v>
      </c>
      <c r="C13899" t="str">
        <f>"20"</f>
        <v>20</v>
      </c>
      <c r="D13899" t="str">
        <f>"New Clouds"</f>
        <v>New Clouds</v>
      </c>
    </row>
    <row r="13900" spans="1:4" x14ac:dyDescent="0.2">
      <c r="A13900" t="str">
        <f>"13899"</f>
        <v>13899</v>
      </c>
      <c r="B13900" t="str">
        <f>"-0.23"</f>
        <v>-0.23</v>
      </c>
      <c r="C13900" t="str">
        <f>"36"</f>
        <v>36</v>
      </c>
      <c r="D13900" t="str">
        <f>"Earthly Delights"</f>
        <v>Earthly Delights</v>
      </c>
    </row>
    <row r="13901" spans="1:4" x14ac:dyDescent="0.2">
      <c r="A13901" t="str">
        <f>"13900"</f>
        <v>13900</v>
      </c>
      <c r="B13901" t="str">
        <f>"-0.03"</f>
        <v>-0.03</v>
      </c>
      <c r="C13901" t="str">
        <f>"27"</f>
        <v>27</v>
      </c>
      <c r="D13901" t="str">
        <f>"Is and Always Was"</f>
        <v>Is and Always Was</v>
      </c>
    </row>
    <row r="13902" spans="1:4" x14ac:dyDescent="0.2">
      <c r="A13902" t="str">
        <f>"13901"</f>
        <v>13901</v>
      </c>
      <c r="B13902" t="str">
        <f>"1.55"</f>
        <v>1.55</v>
      </c>
      <c r="C13902" t="str">
        <f>"30"</f>
        <v>30</v>
      </c>
      <c r="D13902" t="str">
        <f>"Love Is Not Pop"</f>
        <v>Love Is Not Pop</v>
      </c>
    </row>
    <row r="13903" spans="1:4" x14ac:dyDescent="0.2">
      <c r="A13903" t="str">
        <f>"13902"</f>
        <v>13902</v>
      </c>
      <c r="B13903" t="str">
        <f>"-0.04"</f>
        <v>-0.04</v>
      </c>
      <c r="C13903" t="str">
        <f>"44"</f>
        <v>44</v>
      </c>
      <c r="D13903" t="str">
        <f>"Survival Skills"</f>
        <v>Survival Skills</v>
      </c>
    </row>
    <row r="13904" spans="1:4" x14ac:dyDescent="0.2">
      <c r="A13904" t="str">
        <f>"13903"</f>
        <v>13903</v>
      </c>
      <c r="B13904" t="str">
        <f>"0.28"</f>
        <v>0.28</v>
      </c>
      <c r="C13904" t="str">
        <f>"26"</f>
        <v>26</v>
      </c>
      <c r="D13904" t="str">
        <f>"You Can't Take It With You"</f>
        <v>You Can't Take It With You</v>
      </c>
    </row>
    <row r="13905" spans="1:4" x14ac:dyDescent="0.2">
      <c r="A13905" t="str">
        <f>"13904"</f>
        <v>13904</v>
      </c>
      <c r="B13905" t="str">
        <f>"0.42"</f>
        <v>0.42</v>
      </c>
      <c r="C13905" t="str">
        <f>"23"</f>
        <v>23</v>
      </c>
      <c r="D13905" t="str">
        <f>"Tongue N' Cheek"</f>
        <v>Tongue N' Cheek</v>
      </c>
    </row>
    <row r="13906" spans="1:4" x14ac:dyDescent="0.2">
      <c r="A13906" t="str">
        <f>"13905"</f>
        <v>13905</v>
      </c>
      <c r="B13906" t="str">
        <f>"1.31"</f>
        <v>1.31</v>
      </c>
      <c r="C13906" t="str">
        <f>"19"</f>
        <v>19</v>
      </c>
      <c r="D13906" t="str">
        <f>"Dillanthology 3"</f>
        <v>Dillanthology 3</v>
      </c>
    </row>
    <row r="13907" spans="1:4" x14ac:dyDescent="0.2">
      <c r="A13907" t="str">
        <f>"13906"</f>
        <v>13906</v>
      </c>
      <c r="B13907" t="str">
        <f>"-0.17"</f>
        <v>-0.17</v>
      </c>
      <c r="C13907" t="str">
        <f>"26"</f>
        <v>26</v>
      </c>
      <c r="D13907" t="str">
        <f>"Know Better Learn Faster"</f>
        <v>Know Better Learn Faster</v>
      </c>
    </row>
    <row r="13908" spans="1:4" x14ac:dyDescent="0.2">
      <c r="A13908" t="str">
        <f>"13907"</f>
        <v>13907</v>
      </c>
      <c r="B13908" t="str">
        <f>"0.7"</f>
        <v>0.7</v>
      </c>
      <c r="C13908" t="str">
        <f>"18"</f>
        <v>18</v>
      </c>
      <c r="D13908" t="str">
        <f>"We're on Your Side"</f>
        <v>We're on Your Side</v>
      </c>
    </row>
    <row r="13909" spans="1:4" x14ac:dyDescent="0.2">
      <c r="A13909" t="str">
        <f>"13908"</f>
        <v>13908</v>
      </c>
      <c r="B13909" t="str">
        <f>"1.19"</f>
        <v>1.19</v>
      </c>
      <c r="C13909" t="str">
        <f>"17"</f>
        <v>17</v>
      </c>
      <c r="D13909" t="str">
        <f>"The Conformist"</f>
        <v>The Conformist</v>
      </c>
    </row>
    <row r="13910" spans="1:4" x14ac:dyDescent="0.2">
      <c r="A13910" t="str">
        <f>"13909"</f>
        <v>13909</v>
      </c>
      <c r="B13910" t="str">
        <f>"0.06"</f>
        <v>0.06</v>
      </c>
      <c r="C13910" t="str">
        <f>"67"</f>
        <v>67</v>
      </c>
      <c r="D13910" t="str">
        <f>"The Life of the World to Come"</f>
        <v>The Life of the World to Come</v>
      </c>
    </row>
    <row r="13911" spans="1:4" x14ac:dyDescent="0.2">
      <c r="A13911" t="str">
        <f>"13910"</f>
        <v>13910</v>
      </c>
      <c r="B13911" t="str">
        <f>"-1.05"</f>
        <v>-1.05</v>
      </c>
      <c r="C13911" t="str">
        <f>"29"</f>
        <v>29</v>
      </c>
      <c r="D13911" t="str">
        <f>"Splitting the Atom"</f>
        <v>Splitting the Atom</v>
      </c>
    </row>
    <row r="13912" spans="1:4" x14ac:dyDescent="0.2">
      <c r="A13912" t="str">
        <f>"13911"</f>
        <v>13911</v>
      </c>
      <c r="B13912" t="str">
        <f>"1.07"</f>
        <v>1.07</v>
      </c>
      <c r="C13912" t="str">
        <f>"26"</f>
        <v>26</v>
      </c>
      <c r="D13912" t="str">
        <f>"Rio [Collector's Edition]"</f>
        <v>Rio [Collector's Edition]</v>
      </c>
    </row>
    <row r="13913" spans="1:4" x14ac:dyDescent="0.2">
      <c r="A13913" t="str">
        <f>"13912"</f>
        <v>13912</v>
      </c>
      <c r="B13913" t="str">
        <f>"1.28"</f>
        <v>1.28</v>
      </c>
      <c r="C13913" t="str">
        <f>"35"</f>
        <v>35</v>
      </c>
      <c r="D13913" t="str">
        <f>"All the Pleasures of the World"</f>
        <v>All the Pleasures of the World</v>
      </c>
    </row>
    <row r="13914" spans="1:4" x14ac:dyDescent="0.2">
      <c r="A13914" t="str">
        <f>"13913"</f>
        <v>13913</v>
      </c>
      <c r="B13914" t="str">
        <f>"-0.17"</f>
        <v>-0.17</v>
      </c>
      <c r="C13914" t="str">
        <f>"17"</f>
        <v>17</v>
      </c>
      <c r="D13914" t="str">
        <f>"Wildlife"</f>
        <v>Wildlife</v>
      </c>
    </row>
    <row r="13915" spans="1:4" x14ac:dyDescent="0.2">
      <c r="A13915" t="str">
        <f>"13914"</f>
        <v>13914</v>
      </c>
      <c r="B13915" t="str">
        <f>"0.19"</f>
        <v>0.19</v>
      </c>
      <c r="C13915" t="str">
        <f>"46"</f>
        <v>46</v>
      </c>
      <c r="D13915" t="str">
        <f>"Psychic Chasms"</f>
        <v>Psychic Chasms</v>
      </c>
    </row>
    <row r="13916" spans="1:4" x14ac:dyDescent="0.2">
      <c r="A13916" t="str">
        <f>"13915"</f>
        <v>13915</v>
      </c>
      <c r="B13916" t="str">
        <f>"-0.27"</f>
        <v>-0.27</v>
      </c>
      <c r="C13916" t="str">
        <f>"28"</f>
        <v>28</v>
      </c>
      <c r="D13916" t="str">
        <f>"Live at the El Mocambo"</f>
        <v>Live at the El Mocambo</v>
      </c>
    </row>
    <row r="13917" spans="1:4" x14ac:dyDescent="0.2">
      <c r="A13917" t="str">
        <f>"13916"</f>
        <v>13916</v>
      </c>
      <c r="B13917" t="str">
        <f>"0.62"</f>
        <v>0.62</v>
      </c>
      <c r="C13917" t="str">
        <f>"29"</f>
        <v>29</v>
      </c>
      <c r="D13917" t="str">
        <f>"45 Live"</f>
        <v>45 Live</v>
      </c>
    </row>
    <row r="13918" spans="1:4" x14ac:dyDescent="0.2">
      <c r="A13918" t="str">
        <f>"13917"</f>
        <v>13917</v>
      </c>
      <c r="B13918" t="str">
        <f>"-0.08"</f>
        <v>-0.08</v>
      </c>
      <c r="C13918" t="str">
        <f>"25"</f>
        <v>25</v>
      </c>
      <c r="D13918" t="str">
        <f>"Imidiwan: Companions"</f>
        <v>Imidiwan: Companions</v>
      </c>
    </row>
    <row r="13919" spans="1:4" x14ac:dyDescent="0.2">
      <c r="A13919" t="str">
        <f>"13918"</f>
        <v>13918</v>
      </c>
      <c r="B13919" t="str">
        <f>"0.92"</f>
        <v>0.92</v>
      </c>
      <c r="C13919" t="str">
        <f>"23"</f>
        <v>23</v>
      </c>
      <c r="D13919" t="str">
        <f>"The Yolks"</f>
        <v>The Yolks</v>
      </c>
    </row>
    <row r="13920" spans="1:4" x14ac:dyDescent="0.2">
      <c r="A13920" t="str">
        <f>"13919"</f>
        <v>13919</v>
      </c>
      <c r="B13920" t="str">
        <f>"-1.07"</f>
        <v>-1.07</v>
      </c>
      <c r="C13920" t="str">
        <f>"33"</f>
        <v>33</v>
      </c>
      <c r="D13920" t="str">
        <f>"Embryonic"</f>
        <v>Embryonic</v>
      </c>
    </row>
    <row r="13921" spans="1:4" x14ac:dyDescent="0.2">
      <c r="A13921" t="str">
        <f>"13920"</f>
        <v>13920</v>
      </c>
      <c r="B13921" t="str">
        <f>"0.29"</f>
        <v>0.29</v>
      </c>
      <c r="C13921" t="str">
        <f>"22"</f>
        <v>22</v>
      </c>
      <c r="D13921" t="str">
        <f>"Sunset/Sunrise"</f>
        <v>Sunset/Sunrise</v>
      </c>
    </row>
    <row r="13922" spans="1:4" x14ac:dyDescent="0.2">
      <c r="A13922" t="str">
        <f>"13921"</f>
        <v>13921</v>
      </c>
      <c r="B13922" t="str">
        <f>"-0.48"</f>
        <v>-0.48</v>
      </c>
      <c r="C13922" t="str">
        <f>"29"</f>
        <v>29</v>
      </c>
      <c r="D13922" t="str">
        <f>"Butter"</f>
        <v>Butter</v>
      </c>
    </row>
    <row r="13923" spans="1:4" x14ac:dyDescent="0.2">
      <c r="A13923" t="str">
        <f>"13922"</f>
        <v>13922</v>
      </c>
      <c r="B13923" t="str">
        <f>"-0.24"</f>
        <v>-0.24</v>
      </c>
      <c r="C13923" t="str">
        <f>"26"</f>
        <v>26</v>
      </c>
      <c r="D13923" t="str">
        <f>"Good Morning Jokers"</f>
        <v>Good Morning Jokers</v>
      </c>
    </row>
    <row r="13924" spans="1:4" x14ac:dyDescent="0.2">
      <c r="A13924" t="str">
        <f>"13923"</f>
        <v>13923</v>
      </c>
      <c r="B13924" t="str">
        <f>"-1.2"</f>
        <v>-1.2</v>
      </c>
      <c r="C13924" t="str">
        <f>"29"</f>
        <v>29</v>
      </c>
      <c r="D13924" t="str">
        <f>"Abstract Expression"</f>
        <v>Abstract Expression</v>
      </c>
    </row>
    <row r="13925" spans="1:4" x14ac:dyDescent="0.2">
      <c r="A13925" t="str">
        <f>"13924"</f>
        <v>13924</v>
      </c>
      <c r="B13925" t="str">
        <f>"0.51"</f>
        <v>0.51</v>
      </c>
      <c r="C13925" t="str">
        <f>"36"</f>
        <v>36</v>
      </c>
      <c r="D13925" t="str">
        <f>"Scars"</f>
        <v>Scars</v>
      </c>
    </row>
    <row r="13926" spans="1:4" x14ac:dyDescent="0.2">
      <c r="A13926" t="str">
        <f>"13925"</f>
        <v>13925</v>
      </c>
      <c r="B13926" t="str">
        <f>"-0.28"</f>
        <v>-0.28</v>
      </c>
      <c r="C13926" t="str">
        <f>"26"</f>
        <v>26</v>
      </c>
      <c r="D13926" t="str">
        <f>"Never Cry Another Tear"</f>
        <v>Never Cry Another Tear</v>
      </c>
    </row>
    <row r="13927" spans="1:4" x14ac:dyDescent="0.2">
      <c r="A13927" t="str">
        <f>"13926"</f>
        <v>13926</v>
      </c>
      <c r="B13927" t="str">
        <f>"0.42"</f>
        <v>0.42</v>
      </c>
      <c r="C13927" t="str">
        <f>"32"</f>
        <v>32</v>
      </c>
      <c r="D13927" t="str">
        <f>"Ciao My Shining Star: The Songs of Mark Mulcahy"</f>
        <v>Ciao My Shining Star: The Songs of Mark Mulcahy</v>
      </c>
    </row>
    <row r="13928" spans="1:4" x14ac:dyDescent="0.2">
      <c r="A13928" t="str">
        <f>"13927"</f>
        <v>13927</v>
      </c>
      <c r="B13928" t="str">
        <f>"-0.88"</f>
        <v>-0.88</v>
      </c>
      <c r="C13928" t="str">
        <f>"18"</f>
        <v>18</v>
      </c>
      <c r="D13928" t="str">
        <f>"Death Acoustic"</f>
        <v>Death Acoustic</v>
      </c>
    </row>
    <row r="13929" spans="1:4" x14ac:dyDescent="0.2">
      <c r="A13929" t="str">
        <f>"13928"</f>
        <v>13928</v>
      </c>
      <c r="B13929" t="str">
        <f>"0.18"</f>
        <v>0.18</v>
      </c>
      <c r="C13929" t="str">
        <f>"22"</f>
        <v>22</v>
      </c>
      <c r="D13929" t="str">
        <f>"DJ-Kicks"</f>
        <v>DJ-Kicks</v>
      </c>
    </row>
    <row r="13930" spans="1:4" x14ac:dyDescent="0.2">
      <c r="A13930" t="str">
        <f>"13929"</f>
        <v>13929</v>
      </c>
      <c r="B13930" t="str">
        <f>"0.58"</f>
        <v>0.58</v>
      </c>
      <c r="C13930" t="str">
        <f>"29"</f>
        <v>29</v>
      </c>
      <c r="D13930" t="str">
        <f>"Where the Wild Things Are OST"</f>
        <v>Where the Wild Things Are OST</v>
      </c>
    </row>
    <row r="13931" spans="1:4" x14ac:dyDescent="0.2">
      <c r="A13931" t="str">
        <f>"13930"</f>
        <v>13930</v>
      </c>
      <c r="B13931" t="str">
        <f>"0.14"</f>
        <v>0.14</v>
      </c>
      <c r="C13931" t="str">
        <f>"36"</f>
        <v>36</v>
      </c>
      <c r="D13931" t="str">
        <f>"Fluorescent Black"</f>
        <v>Fluorescent Black</v>
      </c>
    </row>
    <row r="13932" spans="1:4" x14ac:dyDescent="0.2">
      <c r="A13932" t="str">
        <f>"13931"</f>
        <v>13931</v>
      </c>
      <c r="B13932" t="str">
        <f>"0.59"</f>
        <v>0.59</v>
      </c>
      <c r="C13932" t="str">
        <f>"16"</f>
        <v>16</v>
      </c>
      <c r="D13932" t="str">
        <f>"Childish Prodigy"</f>
        <v>Childish Prodigy</v>
      </c>
    </row>
    <row r="13933" spans="1:4" x14ac:dyDescent="0.2">
      <c r="A13933" t="str">
        <f>"13932"</f>
        <v>13932</v>
      </c>
      <c r="B13933" t="str">
        <f>"1.08"</f>
        <v>1.08</v>
      </c>
      <c r="C13933" t="str">
        <f>"31"</f>
        <v>31</v>
      </c>
      <c r="D13933" t="str">
        <f>"Zero to 99"</f>
        <v>Zero to 99</v>
      </c>
    </row>
    <row r="13934" spans="1:4" x14ac:dyDescent="0.2">
      <c r="A13934" t="str">
        <f>"13933"</f>
        <v>13933</v>
      </c>
      <c r="B13934" t="str">
        <f>"-0.1"</f>
        <v>-0.1</v>
      </c>
      <c r="C13934" t="str">
        <f>"23"</f>
        <v>23</v>
      </c>
      <c r="D13934" t="str">
        <f>"Magic Neighbor"</f>
        <v>Magic Neighbor</v>
      </c>
    </row>
    <row r="13935" spans="1:4" x14ac:dyDescent="0.2">
      <c r="A13935" t="str">
        <f>"13934"</f>
        <v>13934</v>
      </c>
      <c r="B13935" t="str">
        <f>"0.38"</f>
        <v>0.38</v>
      </c>
      <c r="C13935" t="str">
        <f>"22"</f>
        <v>22</v>
      </c>
      <c r="D13935" t="str">
        <f>"Run Rabbit Run"</f>
        <v>Run Rabbit Run</v>
      </c>
    </row>
    <row r="13936" spans="1:4" x14ac:dyDescent="0.2">
      <c r="A13936" t="str">
        <f>"13935"</f>
        <v>13935</v>
      </c>
      <c r="B13936" t="str">
        <f>"0.11"</f>
        <v>0.11</v>
      </c>
      <c r="C13936" t="str">
        <f>"41"</f>
        <v>41</v>
      </c>
      <c r="D13936" t="str">
        <f>"Ghostdini: The Wizard of Poetry in Emerald City"</f>
        <v>Ghostdini: The Wizard of Poetry in Emerald City</v>
      </c>
    </row>
    <row r="13937" spans="1:4" x14ac:dyDescent="0.2">
      <c r="A13937" t="str">
        <f>"13936"</f>
        <v>13936</v>
      </c>
      <c r="B13937" t="str">
        <f>"0.55"</f>
        <v>0.55</v>
      </c>
      <c r="C13937" t="str">
        <f>"49"</f>
        <v>49</v>
      </c>
      <c r="D13937" t="str">
        <f>"Bonfires on the Heath"</f>
        <v>Bonfires on the Heath</v>
      </c>
    </row>
    <row r="13938" spans="1:4" x14ac:dyDescent="0.2">
      <c r="A13938" t="str">
        <f>"13937"</f>
        <v>13937</v>
      </c>
      <c r="B13938" t="str">
        <f>"-0.01"</f>
        <v>-0.01</v>
      </c>
      <c r="C13938" t="str">
        <f>"41"</f>
        <v>41</v>
      </c>
      <c r="D13938" t="str">
        <f>"Goodnight Unknown"</f>
        <v>Goodnight Unknown</v>
      </c>
    </row>
    <row r="13939" spans="1:4" x14ac:dyDescent="0.2">
      <c r="A13939" t="str">
        <f>"13938"</f>
        <v>13938</v>
      </c>
      <c r="B13939" t="str">
        <f>"-0.16"</f>
        <v>-0.16</v>
      </c>
      <c r="C13939" t="str">
        <f>"34"</f>
        <v>34</v>
      </c>
      <c r="D13939" t="str">
        <f>"Chicken Switch"</f>
        <v>Chicken Switch</v>
      </c>
    </row>
    <row r="13940" spans="1:4" x14ac:dyDescent="0.2">
      <c r="A13940" t="str">
        <f>"13939"</f>
        <v>13939</v>
      </c>
      <c r="B13940" t="str">
        <f>"1.2"</f>
        <v>1.2</v>
      </c>
      <c r="C13940" t="str">
        <f>"37"</f>
        <v>37</v>
      </c>
      <c r="D13940" t="str">
        <f>"Warm Heart of Africa"</f>
        <v>Warm Heart of Africa</v>
      </c>
    </row>
    <row r="13941" spans="1:4" x14ac:dyDescent="0.2">
      <c r="A13941" t="str">
        <f>"13940"</f>
        <v>13940</v>
      </c>
      <c r="B13941" t="str">
        <f>"-0.06"</f>
        <v>-0.06</v>
      </c>
      <c r="C13941" t="str">
        <f>"25"</f>
        <v>25</v>
      </c>
      <c r="D13941" t="str">
        <f>"In and Out of Control"</f>
        <v>In and Out of Control</v>
      </c>
    </row>
    <row r="13942" spans="1:4" x14ac:dyDescent="0.2">
      <c r="A13942" t="str">
        <f>"13941"</f>
        <v>13941</v>
      </c>
      <c r="B13942" t="str">
        <f>"-0.69"</f>
        <v>-0.69</v>
      </c>
      <c r="C13942" t="str">
        <f>"31"</f>
        <v>31</v>
      </c>
      <c r="D13942" t="str">
        <f>"Dead Man's Bones"</f>
        <v>Dead Man's Bones</v>
      </c>
    </row>
    <row r="13943" spans="1:4" x14ac:dyDescent="0.2">
      <c r="A13943" t="str">
        <f>"13942"</f>
        <v>13942</v>
      </c>
      <c r="B13943" t="str">
        <f>"-0.34"</f>
        <v>-0.34</v>
      </c>
      <c r="C13943" t="str">
        <f>"40"</f>
        <v>40</v>
      </c>
      <c r="D13943" t="str">
        <f>"Where the Action Is! Los Angeles Nuggets 1965-1968"</f>
        <v>Where the Action Is! Los Angeles Nuggets 1965-1968</v>
      </c>
    </row>
    <row r="13944" spans="1:4" x14ac:dyDescent="0.2">
      <c r="A13944" t="str">
        <f>"13943"</f>
        <v>13943</v>
      </c>
      <c r="B13944" t="str">
        <f>"0.4"</f>
        <v>0.4</v>
      </c>
      <c r="C13944" t="str">
        <f>"17"</f>
        <v>17</v>
      </c>
      <c r="D13944" t="str">
        <f>"Family"</f>
        <v>Family</v>
      </c>
    </row>
    <row r="13945" spans="1:4" x14ac:dyDescent="0.2">
      <c r="A13945" t="str">
        <f>"13944"</f>
        <v>13944</v>
      </c>
      <c r="B13945" t="str">
        <f>"0.54"</f>
        <v>0.54</v>
      </c>
      <c r="C13945" t="str">
        <f>"26"</f>
        <v>26</v>
      </c>
      <c r="D13945" t="str">
        <f>"There Is No Enemy"</f>
        <v>There Is No Enemy</v>
      </c>
    </row>
    <row r="13946" spans="1:4" x14ac:dyDescent="0.2">
      <c r="A13946" t="str">
        <f>"13945"</f>
        <v>13945</v>
      </c>
      <c r="B13946" t="str">
        <f>"-0.58"</f>
        <v>-0.58</v>
      </c>
      <c r="C13946" t="str">
        <f>"31"</f>
        <v>31</v>
      </c>
      <c r="D13946" t="str">
        <f>"Love 2"</f>
        <v>Love 2</v>
      </c>
    </row>
    <row r="13947" spans="1:4" x14ac:dyDescent="0.2">
      <c r="A13947" t="str">
        <f>"13946"</f>
        <v>13946</v>
      </c>
      <c r="B13947" t="str">
        <f>"0.38"</f>
        <v>0.38</v>
      </c>
      <c r="C13947" t="str">
        <f>"26"</f>
        <v>26</v>
      </c>
      <c r="D13947" t="str">
        <f>"Losing Feeling"</f>
        <v>Losing Feeling</v>
      </c>
    </row>
    <row r="13948" spans="1:4" x14ac:dyDescent="0.2">
      <c r="A13948" t="str">
        <f>"13947"</f>
        <v>13947</v>
      </c>
      <c r="B13948" t="str">
        <f>"-0.5"</f>
        <v>-0.5</v>
      </c>
      <c r="C13948" t="str">
        <f>"22"</f>
        <v>22</v>
      </c>
      <c r="D13948" t="str">
        <f>"Exploding Head"</f>
        <v>Exploding Head</v>
      </c>
    </row>
    <row r="13949" spans="1:4" x14ac:dyDescent="0.2">
      <c r="A13949" t="str">
        <f>"13948"</f>
        <v>13948</v>
      </c>
      <c r="B13949" t="str">
        <f>"0.03"</f>
        <v>0.03</v>
      </c>
      <c r="C13949" t="str">
        <f>"27"</f>
        <v>27</v>
      </c>
      <c r="D13949" t="str">
        <f>"Six"</f>
        <v>Six</v>
      </c>
    </row>
    <row r="13950" spans="1:4" x14ac:dyDescent="0.2">
      <c r="A13950" t="str">
        <f>"13949"</f>
        <v>13949</v>
      </c>
      <c r="B13950" t="str">
        <f>"0.1"</f>
        <v>0.1</v>
      </c>
      <c r="C13950" t="str">
        <f>"49"</f>
        <v>49</v>
      </c>
      <c r="D13950" t="str">
        <f>"Hello Nasty [Deluxe Edition]"</f>
        <v>Hello Nasty [Deluxe Edition]</v>
      </c>
    </row>
    <row r="13951" spans="1:4" x14ac:dyDescent="0.2">
      <c r="A13951" t="str">
        <f>"13950"</f>
        <v>13950</v>
      </c>
      <c r="B13951" t="str">
        <f>"-0.95"</f>
        <v>-0.95</v>
      </c>
      <c r="C13951" t="str">
        <f>"19"</f>
        <v>19</v>
      </c>
      <c r="D13951" t="str">
        <f>"My Weakness Is Strong"</f>
        <v>My Weakness Is Strong</v>
      </c>
    </row>
    <row r="13952" spans="1:4" x14ac:dyDescent="0.2">
      <c r="A13952" t="str">
        <f>"13951"</f>
        <v>13951</v>
      </c>
      <c r="B13952" t="str">
        <f>"1.36"</f>
        <v>1.36</v>
      </c>
      <c r="C13952" t="str">
        <f>"33"</f>
        <v>33</v>
      </c>
      <c r="D13952" t="str">
        <f>"I and Love and You"</f>
        <v>I and Love and You</v>
      </c>
    </row>
    <row r="13953" spans="1:4" x14ac:dyDescent="0.2">
      <c r="A13953" t="str">
        <f>"13952"</f>
        <v>13952</v>
      </c>
      <c r="B13953" t="str">
        <f>"-0.62"</f>
        <v>-0.62</v>
      </c>
      <c r="C13953" t="str">
        <f>"24"</f>
        <v>24</v>
      </c>
      <c r="D13953" t="str">
        <f>"Threats/Worship"</f>
        <v>Threats/Worship</v>
      </c>
    </row>
    <row r="13954" spans="1:4" x14ac:dyDescent="0.2">
      <c r="A13954" t="str">
        <f>"13953"</f>
        <v>13953</v>
      </c>
      <c r="B13954" t="str">
        <f>"0.38"</f>
        <v>0.38</v>
      </c>
      <c r="C13954" t="str">
        <f>"24"</f>
        <v>24</v>
      </c>
      <c r="D13954" t="str">
        <f>"A Strange Arrangement"</f>
        <v>A Strange Arrangement</v>
      </c>
    </row>
    <row r="13955" spans="1:4" x14ac:dyDescent="0.2">
      <c r="A13955" t="str">
        <f>"13954"</f>
        <v>13954</v>
      </c>
      <c r="B13955" t="str">
        <f>"-0.39"</f>
        <v>-0.39</v>
      </c>
      <c r="C13955" t="str">
        <f>"30"</f>
        <v>30</v>
      </c>
      <c r="D13955" t="str">
        <f>"White Lunar"</f>
        <v>White Lunar</v>
      </c>
    </row>
    <row r="13956" spans="1:4" x14ac:dyDescent="0.2">
      <c r="A13956" t="str">
        <f>"13955"</f>
        <v>13955</v>
      </c>
      <c r="B13956" t="str">
        <f>"-0.82"</f>
        <v>-0.82</v>
      </c>
      <c r="C13956" t="str">
        <f>"26"</f>
        <v>26</v>
      </c>
      <c r="D13956" t="str">
        <f>"Man on the Moon: The End of Day"</f>
        <v>Man on the Moon: The End of Day</v>
      </c>
    </row>
    <row r="13957" spans="1:4" x14ac:dyDescent="0.2">
      <c r="A13957" t="str">
        <f>"13956"</f>
        <v>13956</v>
      </c>
      <c r="B13957" t="str">
        <f>"0.57"</f>
        <v>0.57</v>
      </c>
      <c r="C13957" t="str">
        <f>"32"</f>
        <v>32</v>
      </c>
      <c r="D13957" t="str">
        <f>"Milwaukee at Last!!!"</f>
        <v>Milwaukee at Last!!!</v>
      </c>
    </row>
    <row r="13958" spans="1:4" x14ac:dyDescent="0.2">
      <c r="A13958" t="str">
        <f>"13957"</f>
        <v>13957</v>
      </c>
      <c r="B13958" t="str">
        <f>"0.16"</f>
        <v>0.16</v>
      </c>
      <c r="C13958" t="str">
        <f>"29"</f>
        <v>29</v>
      </c>
      <c r="D13958" t="str">
        <f>"Born Again Revisited"</f>
        <v>Born Again Revisited</v>
      </c>
    </row>
    <row r="13959" spans="1:4" x14ac:dyDescent="0.2">
      <c r="A13959" t="str">
        <f>"13958"</f>
        <v>13958</v>
      </c>
      <c r="B13959" t="str">
        <f>"0.75"</f>
        <v>0.75</v>
      </c>
      <c r="C13959" t="str">
        <f>"21"</f>
        <v>21</v>
      </c>
      <c r="D13959" t="str">
        <f>"Threadbare"</f>
        <v>Threadbare</v>
      </c>
    </row>
    <row r="13960" spans="1:4" x14ac:dyDescent="0.2">
      <c r="A13960" t="str">
        <f>"13959"</f>
        <v>13959</v>
      </c>
      <c r="B13960" t="str">
        <f>"-0.23"</f>
        <v>-0.23</v>
      </c>
      <c r="C13960" t="str">
        <f>"21"</f>
        <v>21</v>
      </c>
      <c r="D13960" t="str">
        <f>"Seek Magic"</f>
        <v>Seek Magic</v>
      </c>
    </row>
    <row r="13961" spans="1:4" x14ac:dyDescent="0.2">
      <c r="A13961" t="str">
        <f>"13960"</f>
        <v>13960</v>
      </c>
      <c r="B13961" t="str">
        <f>"0.61"</f>
        <v>0.61</v>
      </c>
      <c r="C13961" t="str">
        <f>"25"</f>
        <v>25</v>
      </c>
      <c r="D13961" t="str">
        <f>"All My Friends Are Funeral Singers"</f>
        <v>All My Friends Are Funeral Singers</v>
      </c>
    </row>
    <row r="13962" spans="1:4" x14ac:dyDescent="0.2">
      <c r="A13962" t="str">
        <f>"13961"</f>
        <v>13961</v>
      </c>
      <c r="B13962" t="str">
        <f>"-0.85"</f>
        <v>-0.85</v>
      </c>
      <c r="C13962" t="str">
        <f>"25"</f>
        <v>25</v>
      </c>
      <c r="D13962" t="str">
        <f>"The Spoils"</f>
        <v>The Spoils</v>
      </c>
    </row>
    <row r="13963" spans="1:4" x14ac:dyDescent="0.2">
      <c r="A13963" t="str">
        <f>"13962"</f>
        <v>13962</v>
      </c>
      <c r="B13963" t="str">
        <f>"0.81"</f>
        <v>0.81</v>
      </c>
      <c r="C13963" t="str">
        <f>"27"</f>
        <v>27</v>
      </c>
      <c r="D13963" t="str">
        <f>"Bright Penny"</f>
        <v>Bright Penny</v>
      </c>
    </row>
    <row r="13964" spans="1:4" x14ac:dyDescent="0.2">
      <c r="A13964" t="str">
        <f>"13963"</f>
        <v>13963</v>
      </c>
      <c r="B13964" t="str">
        <f>"0.14"</f>
        <v>0.14</v>
      </c>
      <c r="C13964" t="str">
        <f>"28"</f>
        <v>28</v>
      </c>
      <c r="D13964" t="str">
        <f>"LOVEWORLD"</f>
        <v>LOVEWORLD</v>
      </c>
    </row>
    <row r="13965" spans="1:4" x14ac:dyDescent="0.2">
      <c r="A13965" t="str">
        <f>"13964"</f>
        <v>13964</v>
      </c>
      <c r="B13965" t="str">
        <f>"-0.12"</f>
        <v>-0.12</v>
      </c>
      <c r="C13965" t="str">
        <f>"42"</f>
        <v>42</v>
      </c>
      <c r="D13965" t="str">
        <f>"45:33 Remixes"</f>
        <v>45:33 Remixes</v>
      </c>
    </row>
    <row r="13966" spans="1:4" x14ac:dyDescent="0.2">
      <c r="A13966" t="str">
        <f>"13965"</f>
        <v>13965</v>
      </c>
      <c r="B13966" t="str">
        <f>"-0.1"</f>
        <v>-0.1</v>
      </c>
      <c r="C13966" t="str">
        <f>"25"</f>
        <v>25</v>
      </c>
      <c r="D13966" t="str">
        <f>"The Sound the Speed the Light"</f>
        <v>The Sound the Speed the Light</v>
      </c>
    </row>
    <row r="13967" spans="1:4" x14ac:dyDescent="0.2">
      <c r="A13967" t="str">
        <f>"13966"</f>
        <v>13966</v>
      </c>
      <c r="B13967" t="str">
        <f>"-0.41"</f>
        <v>-0.41</v>
      </c>
      <c r="C13967" t="str">
        <f>"33"</f>
        <v>33</v>
      </c>
      <c r="D13967" t="str">
        <f>"I Am the Cosmos [Deluxe Edition]"</f>
        <v>I Am the Cosmos [Deluxe Edition]</v>
      </c>
    </row>
    <row r="13968" spans="1:4" x14ac:dyDescent="0.2">
      <c r="A13968" t="str">
        <f>"13967"</f>
        <v>13967</v>
      </c>
      <c r="B13968" t="str">
        <f>"-0.1"</f>
        <v>-0.1</v>
      </c>
      <c r="C13968" t="str">
        <f>"37"</f>
        <v>37</v>
      </c>
      <c r="D13968" t="str">
        <f>"Sing Along to Songs You Don't Know"</f>
        <v>Sing Along to Songs You Don't Know</v>
      </c>
    </row>
    <row r="13969" spans="1:4" x14ac:dyDescent="0.2">
      <c r="A13969" t="str">
        <f>"13968"</f>
        <v>13968</v>
      </c>
      <c r="B13969" t="str">
        <f>"0.57"</f>
        <v>0.57</v>
      </c>
      <c r="C13969" t="str">
        <f>"39"</f>
        <v>39</v>
      </c>
      <c r="D13969" t="str">
        <f>"Manafon"</f>
        <v>Manafon</v>
      </c>
    </row>
    <row r="13970" spans="1:4" x14ac:dyDescent="0.2">
      <c r="A13970" t="str">
        <f>"13969"</f>
        <v>13969</v>
      </c>
      <c r="B13970" t="str">
        <f>"0.5"</f>
        <v>0.5</v>
      </c>
      <c r="C13970" t="str">
        <f>"30"</f>
        <v>30</v>
      </c>
      <c r="D13970" t="str">
        <f>"The Sun Came Out"</f>
        <v>The Sun Came Out</v>
      </c>
    </row>
    <row r="13971" spans="1:4" x14ac:dyDescent="0.2">
      <c r="A13971" t="str">
        <f>"13970"</f>
        <v>13970</v>
      </c>
      <c r="B13971" t="str">
        <f>"-0.31"</f>
        <v>-0.31</v>
      </c>
      <c r="C13971" t="str">
        <f>"24"</f>
        <v>24</v>
      </c>
      <c r="D13971" t="str">
        <f>"Vapours"</f>
        <v>Vapours</v>
      </c>
    </row>
    <row r="13972" spans="1:4" x14ac:dyDescent="0.2">
      <c r="A13972" t="str">
        <f>"13971"</f>
        <v>13971</v>
      </c>
      <c r="B13972" t="str">
        <f>"0.43"</f>
        <v>0.43</v>
      </c>
      <c r="C13972" t="str">
        <f>"22"</f>
        <v>22</v>
      </c>
      <c r="D13972" t="str">
        <f>"Where Were You When It Happened?"</f>
        <v>Where Were You When It Happened?</v>
      </c>
    </row>
    <row r="13973" spans="1:4" x14ac:dyDescent="0.2">
      <c r="A13973" t="str">
        <f>"13972"</f>
        <v>13972</v>
      </c>
      <c r="B13973" t="str">
        <f>"0.41"</f>
        <v>0.41</v>
      </c>
      <c r="C13973" t="str">
        <f>"32"</f>
        <v>32</v>
      </c>
      <c r="D13973" t="str">
        <f>"Fool's Gold"</f>
        <v>Fool's Gold</v>
      </c>
    </row>
    <row r="13974" spans="1:4" x14ac:dyDescent="0.2">
      <c r="A13974" t="str">
        <f>"13973"</f>
        <v>13973</v>
      </c>
      <c r="B13974" t="str">
        <f>"-1.5"</f>
        <v>-1.5</v>
      </c>
      <c r="C13974" t="str">
        <f>"28"</f>
        <v>28</v>
      </c>
      <c r="D13974" t="str">
        <f>"Columbus'd the Whim"</f>
        <v>Columbus'd the Whim</v>
      </c>
    </row>
    <row r="13975" spans="1:4" x14ac:dyDescent="0.2">
      <c r="A13975" t="str">
        <f>"13974"</f>
        <v>13974</v>
      </c>
      <c r="B13975" t="str">
        <f>"-0.51"</f>
        <v>-0.51</v>
      </c>
      <c r="C13975" t="str">
        <f>"52"</f>
        <v>52</v>
      </c>
      <c r="D13975" t="str">
        <f>"Album"</f>
        <v>Album</v>
      </c>
    </row>
    <row r="13976" spans="1:4" x14ac:dyDescent="0.2">
      <c r="A13976" t="str">
        <f>"13975"</f>
        <v>13975</v>
      </c>
      <c r="B13976" t="str">
        <f>"0.47"</f>
        <v>0.47</v>
      </c>
      <c r="C13976" t="str">
        <f>"39"</f>
        <v>39</v>
      </c>
      <c r="D13976" t="str">
        <f>"Eskimo Snow"</f>
        <v>Eskimo Snow</v>
      </c>
    </row>
    <row r="13977" spans="1:4" x14ac:dyDescent="0.2">
      <c r="A13977" t="str">
        <f>"13976"</f>
        <v>13976</v>
      </c>
      <c r="B13977" t="str">
        <f>"0.48"</f>
        <v>0.48</v>
      </c>
      <c r="C13977" t="str">
        <f>"20"</f>
        <v>20</v>
      </c>
      <c r="D13977" t="str">
        <f>"Higher Than the Stars EP"</f>
        <v>Higher Than the Stars EP</v>
      </c>
    </row>
    <row r="13978" spans="1:4" x14ac:dyDescent="0.2">
      <c r="A13978" t="str">
        <f>"13977"</f>
        <v>13977</v>
      </c>
      <c r="B13978" t="str">
        <f>"-0.11"</f>
        <v>-0.11</v>
      </c>
      <c r="C13978" t="str">
        <f>"20"</f>
        <v>20</v>
      </c>
      <c r="D13978" t="str">
        <f>"Through the Devil Softly"</f>
        <v>Through the Devil Softly</v>
      </c>
    </row>
    <row r="13979" spans="1:4" x14ac:dyDescent="0.2">
      <c r="A13979" t="str">
        <f>"13978"</f>
        <v>13978</v>
      </c>
      <c r="B13979" t="str">
        <f>"1.51"</f>
        <v>1.51</v>
      </c>
      <c r="C13979" t="str">
        <f>"27"</f>
        <v>27</v>
      </c>
      <c r="D13979" t="str">
        <f>"White Clouds Drift On and On"</f>
        <v>White Clouds Drift On and On</v>
      </c>
    </row>
    <row r="13980" spans="1:4" x14ac:dyDescent="0.2">
      <c r="A13980" t="str">
        <f>"13979"</f>
        <v>13979</v>
      </c>
      <c r="B13980" t="str">
        <f>"0.65"</f>
        <v>0.65</v>
      </c>
      <c r="C13980" t="str">
        <f>"43"</f>
        <v>43</v>
      </c>
      <c r="D13980" t="str">
        <f>"Unmap"</f>
        <v>Unmap</v>
      </c>
    </row>
    <row r="13981" spans="1:4" x14ac:dyDescent="0.2">
      <c r="A13981" t="str">
        <f>"13980"</f>
        <v>13980</v>
      </c>
      <c r="B13981" t="str">
        <f>"-1.13"</f>
        <v>-1.13</v>
      </c>
      <c r="C13981" t="str">
        <f>"39"</f>
        <v>39</v>
      </c>
      <c r="D13981" t="str">
        <f>"Forget the Night Ahead"</f>
        <v>Forget the Night Ahead</v>
      </c>
    </row>
    <row r="13982" spans="1:4" x14ac:dyDescent="0.2">
      <c r="A13982" t="str">
        <f>"13981"</f>
        <v>13981</v>
      </c>
      <c r="B13982" t="str">
        <f>"0.05"</f>
        <v>0.05</v>
      </c>
      <c r="C13982" t="str">
        <f>"26"</f>
        <v>26</v>
      </c>
      <c r="D13982" t="str">
        <f>"Us"</f>
        <v>Us</v>
      </c>
    </row>
    <row r="13983" spans="1:4" x14ac:dyDescent="0.2">
      <c r="A13983" t="str">
        <f>"13982"</f>
        <v>13982</v>
      </c>
      <c r="B13983" t="str">
        <f>"0.98"</f>
        <v>0.98</v>
      </c>
      <c r="C13983" t="str">
        <f>"22"</f>
        <v>22</v>
      </c>
      <c r="D13983" t="str">
        <f>"Expressions"</f>
        <v>Expressions</v>
      </c>
    </row>
    <row r="13984" spans="1:4" x14ac:dyDescent="0.2">
      <c r="A13984" t="str">
        <f>"13983"</f>
        <v>13983</v>
      </c>
      <c r="B13984" t="str">
        <f>"0.85"</f>
        <v>0.85</v>
      </c>
      <c r="C13984" t="str">
        <f>"24"</f>
        <v>24</v>
      </c>
      <c r="D13984" t="str">
        <f>"Colonial Drones"</f>
        <v>Colonial Drones</v>
      </c>
    </row>
    <row r="13985" spans="1:4" x14ac:dyDescent="0.2">
      <c r="A13985" t="str">
        <f>"13984"</f>
        <v>13984</v>
      </c>
      <c r="B13985" t="str">
        <f>"0.43"</f>
        <v>0.43</v>
      </c>
      <c r="C13985" t="str">
        <f>"40"</f>
        <v>40</v>
      </c>
      <c r="D13985" t="str">
        <f>"Monsters of Folk"</f>
        <v>Monsters of Folk</v>
      </c>
    </row>
    <row r="13986" spans="1:4" x14ac:dyDescent="0.2">
      <c r="A13986" t="str">
        <f>"13985"</f>
        <v>13985</v>
      </c>
      <c r="B13986" t="str">
        <f>"0.11"</f>
        <v>0.11</v>
      </c>
      <c r="C13986" t="str">
        <f>"24"</f>
        <v>24</v>
      </c>
      <c r="D13986" t="str">
        <f>"Between My Head and the Sky"</f>
        <v>Between My Head and the Sky</v>
      </c>
    </row>
    <row r="13987" spans="1:4" x14ac:dyDescent="0.2">
      <c r="A13987" t="str">
        <f>"13986"</f>
        <v>13986</v>
      </c>
      <c r="B13987" t="str">
        <f>"0.95"</f>
        <v>0.95</v>
      </c>
      <c r="C13987" t="str">
        <f>"22"</f>
        <v>22</v>
      </c>
      <c r="D13987" t="str">
        <f>"Year in the Kingdom"</f>
        <v>Year in the Kingdom</v>
      </c>
    </row>
    <row r="13988" spans="1:4" x14ac:dyDescent="0.2">
      <c r="A13988" t="str">
        <f>"13987"</f>
        <v>13987</v>
      </c>
      <c r="B13988" t="str">
        <f>"0.42"</f>
        <v>0.42</v>
      </c>
      <c r="C13988" t="str">
        <f>"25"</f>
        <v>25</v>
      </c>
      <c r="D13988" t="str">
        <f>"69: The Legendary Adventures of a Filter King"</f>
        <v>69: The Legendary Adventures of a Filter King</v>
      </c>
    </row>
    <row r="13989" spans="1:4" x14ac:dyDescent="0.2">
      <c r="A13989" t="str">
        <f>"13988"</f>
        <v>13988</v>
      </c>
      <c r="B13989" t="str">
        <f>"-0.11"</f>
        <v>-0.11</v>
      </c>
      <c r="C13989" t="str">
        <f>"29"</f>
        <v>29</v>
      </c>
      <c r="D13989" t="str">
        <f>"Origin: Orphan"</f>
        <v>Origin: Orphan</v>
      </c>
    </row>
    <row r="13990" spans="1:4" x14ac:dyDescent="0.2">
      <c r="A13990" t="str">
        <f>"13989"</f>
        <v>13989</v>
      </c>
      <c r="B13990" t="str">
        <f>"-0.32"</f>
        <v>-0.32</v>
      </c>
      <c r="C13990" t="str">
        <f>"24"</f>
        <v>24</v>
      </c>
      <c r="D13990" t="str">
        <f>"Backspacer"</f>
        <v>Backspacer</v>
      </c>
    </row>
    <row r="13991" spans="1:4" x14ac:dyDescent="0.2">
      <c r="A13991" t="str">
        <f>"13990"</f>
        <v>13990</v>
      </c>
      <c r="B13991" t="str">
        <f>"-0.04"</f>
        <v>-0.04</v>
      </c>
      <c r="C13991" t="str">
        <f>"36"</f>
        <v>36</v>
      </c>
      <c r="D13991" t="str">
        <f>"Live From Home"</f>
        <v>Live From Home</v>
      </c>
    </row>
    <row r="13992" spans="1:4" x14ac:dyDescent="0.2">
      <c r="A13992" t="str">
        <f>"13991"</f>
        <v>13991</v>
      </c>
      <c r="B13992" t="str">
        <f>"-0.02"</f>
        <v>-0.02</v>
      </c>
      <c r="C13992" t="str">
        <f>"26"</f>
        <v>26</v>
      </c>
      <c r="D13992" t="str">
        <f>"Truelove's Gutter"</f>
        <v>Truelove's Gutter</v>
      </c>
    </row>
    <row r="13993" spans="1:4" x14ac:dyDescent="0.2">
      <c r="A13993" t="str">
        <f>"13992"</f>
        <v>13992</v>
      </c>
      <c r="B13993" t="str">
        <f>"0.77"</f>
        <v>0.77</v>
      </c>
      <c r="C13993" t="str">
        <f>"17"</f>
        <v>17</v>
      </c>
      <c r="D13993" t="s">
        <v>434</v>
      </c>
    </row>
    <row r="13994" spans="1:4" x14ac:dyDescent="0.2">
      <c r="A13994" t="str">
        <f>"13993"</f>
        <v>13993</v>
      </c>
      <c r="B13994" t="str">
        <f>"0.89"</f>
        <v>0.89</v>
      </c>
      <c r="C13994" t="str">
        <f>"19"</f>
        <v>19</v>
      </c>
      <c r="D13994" t="str">
        <f>"Marlone"</f>
        <v>Marlone</v>
      </c>
    </row>
    <row r="13995" spans="1:4" x14ac:dyDescent="0.2">
      <c r="A13995" t="str">
        <f>"13994"</f>
        <v>13994</v>
      </c>
      <c r="B13995" t="str">
        <f>"0.11"</f>
        <v>0.11</v>
      </c>
      <c r="C13995" t="str">
        <f>"19"</f>
        <v>19</v>
      </c>
      <c r="D13995" t="str">
        <f>"Rain Machine"</f>
        <v>Rain Machine</v>
      </c>
    </row>
    <row r="13996" spans="1:4" x14ac:dyDescent="0.2">
      <c r="A13996" t="str">
        <f>"13995"</f>
        <v>13995</v>
      </c>
      <c r="B13996" t="str">
        <f>"0.55"</f>
        <v>0.55</v>
      </c>
      <c r="C13996" t="str">
        <f>"23"</f>
        <v>23</v>
      </c>
      <c r="D13996" t="str">
        <f>"Central Market"</f>
        <v>Central Market</v>
      </c>
    </row>
    <row r="13997" spans="1:4" x14ac:dyDescent="0.2">
      <c r="A13997" t="str">
        <f>"13996"</f>
        <v>13996</v>
      </c>
      <c r="B13997" t="str">
        <f>"-0.03"</f>
        <v>-0.03</v>
      </c>
      <c r="C13997" t="str">
        <f>"20"</f>
        <v>20</v>
      </c>
      <c r="D13997" t="str">
        <f>"Two Sunsets"</f>
        <v>Two Sunsets</v>
      </c>
    </row>
    <row r="13998" spans="1:4" x14ac:dyDescent="0.2">
      <c r="A13998" t="str">
        <f>"13997"</f>
        <v>13997</v>
      </c>
      <c r="B13998" t="str">
        <f>"0.31"</f>
        <v>0.31</v>
      </c>
      <c r="C13998" t="str">
        <f>"29"</f>
        <v>29</v>
      </c>
      <c r="D13998" t="str">
        <f>"Crayon Angel: A Tribute to the Music of Judee Sill"</f>
        <v>Crayon Angel: A Tribute to the Music of Judee Sill</v>
      </c>
    </row>
    <row r="13999" spans="1:4" x14ac:dyDescent="0.2">
      <c r="A13999" t="str">
        <f>"13998"</f>
        <v>13998</v>
      </c>
      <c r="B13999" t="str">
        <f>"-0.01"</f>
        <v>-0.01</v>
      </c>
      <c r="C13999" t="str">
        <f>"18"</f>
        <v>18</v>
      </c>
      <c r="D13999" t="str">
        <f>"DIA"</f>
        <v>DIA</v>
      </c>
    </row>
    <row r="14000" spans="1:4" x14ac:dyDescent="0.2">
      <c r="A14000" t="str">
        <f>"13999"</f>
        <v>13999</v>
      </c>
      <c r="B14000" t="str">
        <f>"0.2"</f>
        <v>0.2</v>
      </c>
      <c r="C14000" t="str">
        <f>"52"</f>
        <v>52</v>
      </c>
      <c r="D14000" t="str">
        <f>"The Visitor"</f>
        <v>The Visitor</v>
      </c>
    </row>
    <row r="14001" spans="1:4" x14ac:dyDescent="0.2">
      <c r="A14001" t="str">
        <f>"14000"</f>
        <v>14000</v>
      </c>
      <c r="B14001" t="str">
        <f>"0.14"</f>
        <v>0.14</v>
      </c>
      <c r="C14001" t="str">
        <f>"41"</f>
        <v>41</v>
      </c>
      <c r="D14001" t="str">
        <f>"Kamaal the Abstract"</f>
        <v>Kamaal the Abstract</v>
      </c>
    </row>
    <row r="14002" spans="1:4" x14ac:dyDescent="0.2">
      <c r="A14002" t="str">
        <f>"14001"</f>
        <v>14001</v>
      </c>
      <c r="B14002" t="str">
        <f>"0.04"</f>
        <v>0.04</v>
      </c>
      <c r="C14002" t="str">
        <f>"25"</f>
        <v>25</v>
      </c>
      <c r="D14002" t="str">
        <f>"Time to Die"</f>
        <v>Time to Die</v>
      </c>
    </row>
    <row r="14003" spans="1:4" x14ac:dyDescent="0.2">
      <c r="A14003" t="str">
        <f>"14002"</f>
        <v>14002</v>
      </c>
      <c r="B14003" t="str">
        <f>"-0.12"</f>
        <v>-0.12</v>
      </c>
      <c r="C14003" t="str">
        <f>"38"</f>
        <v>38</v>
      </c>
      <c r="D14003" t="str">
        <f>"Keep an Eye on the Sky"</f>
        <v>Keep an Eye on the Sky</v>
      </c>
    </row>
    <row r="14004" spans="1:4" x14ac:dyDescent="0.2">
      <c r="A14004" t="str">
        <f>"14003"</f>
        <v>14003</v>
      </c>
      <c r="B14004" t="str">
        <f>"0.55"</f>
        <v>0.55</v>
      </c>
      <c r="C14004" t="str">
        <f>"16"</f>
        <v>16</v>
      </c>
      <c r="D14004" t="str">
        <f>"La Roux"</f>
        <v>La Roux</v>
      </c>
    </row>
    <row r="14005" spans="1:4" x14ac:dyDescent="0.2">
      <c r="A14005" t="str">
        <f>"14004"</f>
        <v>14004</v>
      </c>
      <c r="B14005" t="str">
        <f>"0.27"</f>
        <v>0.27</v>
      </c>
      <c r="C14005" t="str">
        <f>"38"</f>
        <v>38</v>
      </c>
      <c r="D14005" t="str">
        <f>"Only Built 4 Cuban Linx... Pt. II"</f>
        <v>Only Built 4 Cuban Linx... Pt. II</v>
      </c>
    </row>
    <row r="14006" spans="1:4" x14ac:dyDescent="0.2">
      <c r="A14006" t="str">
        <f>"14005"</f>
        <v>14005</v>
      </c>
      <c r="B14006" t="str">
        <f>"0.45"</f>
        <v>0.45</v>
      </c>
      <c r="C14006" t="str">
        <f>"26"</f>
        <v>26</v>
      </c>
      <c r="D14006" t="str">
        <f>"A Brief History of Love"</f>
        <v>A Brief History of Love</v>
      </c>
    </row>
    <row r="14007" spans="1:4" x14ac:dyDescent="0.2">
      <c r="A14007" t="str">
        <f>"14006"</f>
        <v>14006</v>
      </c>
      <c r="B14007" t="str">
        <f>"0.91"</f>
        <v>0.91</v>
      </c>
      <c r="C14007" t="str">
        <f>"42"</f>
        <v>42</v>
      </c>
      <c r="D14007" t="str">
        <f>"So Tough"</f>
        <v>So Tough</v>
      </c>
    </row>
    <row r="14008" spans="1:4" x14ac:dyDescent="0.2">
      <c r="A14008" t="str">
        <f>"14007"</f>
        <v>14007</v>
      </c>
      <c r="B14008" t="str">
        <f>"-0.06"</f>
        <v>-0.06</v>
      </c>
      <c r="C14008" t="str">
        <f>"27"</f>
        <v>27</v>
      </c>
      <c r="D14008" t="str">
        <f>"Brooklynati"</f>
        <v>Brooklynati</v>
      </c>
    </row>
    <row r="14009" spans="1:4" x14ac:dyDescent="0.2">
      <c r="A14009" t="str">
        <f>"14008"</f>
        <v>14008</v>
      </c>
      <c r="B14009" t="str">
        <f>"-1.05"</f>
        <v>-1.05</v>
      </c>
      <c r="C14009" t="str">
        <f>"28"</f>
        <v>28</v>
      </c>
      <c r="D14009" t="str">
        <f>"Black Telephone of Matter"</f>
        <v>Black Telephone of Matter</v>
      </c>
    </row>
    <row r="14010" spans="1:4" x14ac:dyDescent="0.2">
      <c r="A14010" t="str">
        <f>"14009"</f>
        <v>14009</v>
      </c>
      <c r="B14010" t="str">
        <f>"0.54"</f>
        <v>0.54</v>
      </c>
      <c r="C14010" t="str">
        <f>"35"</f>
        <v>35</v>
      </c>
      <c r="D14010" t="str">
        <f>"Tribute To"</f>
        <v>Tribute To</v>
      </c>
    </row>
    <row r="14011" spans="1:4" x14ac:dyDescent="0.2">
      <c r="A14011" t="str">
        <f>"14010"</f>
        <v>14010</v>
      </c>
      <c r="B14011" t="str">
        <f>"0.24"</f>
        <v>0.24</v>
      </c>
      <c r="C14011" t="str">
        <f>"33"</f>
        <v>33</v>
      </c>
      <c r="D14011" t="str">
        <f>"Life of Leisure EP"</f>
        <v>Life of Leisure EP</v>
      </c>
    </row>
    <row r="14012" spans="1:4" x14ac:dyDescent="0.2">
      <c r="A14012" t="str">
        <f>"14011"</f>
        <v>14011</v>
      </c>
      <c r="B14012" t="str">
        <f>"0.1"</f>
        <v>0.1</v>
      </c>
      <c r="C14012" t="str">
        <f>"45"</f>
        <v>45</v>
      </c>
      <c r="D14012" t="str">
        <f>"The Miseducation of Freddie Gibbs"</f>
        <v>The Miseducation of Freddie Gibbs</v>
      </c>
    </row>
    <row r="14013" spans="1:4" x14ac:dyDescent="0.2">
      <c r="A14013" t="str">
        <f>"14012"</f>
        <v>14012</v>
      </c>
      <c r="B14013" t="str">
        <f>"0.48"</f>
        <v>0.48</v>
      </c>
      <c r="C14013" t="str">
        <f>"32"</f>
        <v>32</v>
      </c>
      <c r="D14013" t="str">
        <f>"God Is Good"</f>
        <v>God Is Good</v>
      </c>
    </row>
    <row r="14014" spans="1:4" x14ac:dyDescent="0.2">
      <c r="A14014" t="str">
        <f>"14013"</f>
        <v>14013</v>
      </c>
      <c r="B14014" t="str">
        <f>"0.2"</f>
        <v>0.2</v>
      </c>
      <c r="C14014" t="str">
        <f>"26"</f>
        <v>26</v>
      </c>
      <c r="D14014" t="str">
        <f>"Inglourious Basterds OST"</f>
        <v>Inglourious Basterds OST</v>
      </c>
    </row>
    <row r="14015" spans="1:4" x14ac:dyDescent="0.2">
      <c r="A14015" t="str">
        <f>"14014"</f>
        <v>14014</v>
      </c>
      <c r="B14015" t="str">
        <f>"0"</f>
        <v>0</v>
      </c>
      <c r="C14015" t="str">
        <f>"37"</f>
        <v>37</v>
      </c>
      <c r="D14015" t="str">
        <f>"The Velvet Underground &amp; Nico"</f>
        <v>The Velvet Underground &amp; Nico</v>
      </c>
    </row>
    <row r="14016" spans="1:4" x14ac:dyDescent="0.2">
      <c r="A14016" t="str">
        <f>"14015"</f>
        <v>14015</v>
      </c>
      <c r="B14016" t="str">
        <f>"-0.14"</f>
        <v>-0.14</v>
      </c>
      <c r="C14016" t="str">
        <f>"38"</f>
        <v>38</v>
      </c>
      <c r="D14016" t="str">
        <f>"The Resistance"</f>
        <v>The Resistance</v>
      </c>
    </row>
    <row r="14017" spans="1:4" x14ac:dyDescent="0.2">
      <c r="A14017" t="str">
        <f>"14016"</f>
        <v>14016</v>
      </c>
      <c r="B14017" t="str">
        <f>"-0.47"</f>
        <v>-0.47</v>
      </c>
      <c r="C14017" t="str">
        <f>"21"</f>
        <v>21</v>
      </c>
      <c r="D14017" t="str">
        <f>"Ashes Grammar"</f>
        <v>Ashes Grammar</v>
      </c>
    </row>
    <row r="14018" spans="1:4" x14ac:dyDescent="0.2">
      <c r="A14018" t="str">
        <f>"14017"</f>
        <v>14017</v>
      </c>
      <c r="B14018" t="str">
        <f>"-1.26"</f>
        <v>-1.26</v>
      </c>
      <c r="C14018" t="str">
        <f>"24"</f>
        <v>24</v>
      </c>
      <c r="D14018" t="str">
        <f>"The Broad Street Bully"</f>
        <v>The Broad Street Bully</v>
      </c>
    </row>
    <row r="14019" spans="1:4" x14ac:dyDescent="0.2">
      <c r="A14019" t="str">
        <f>"14018"</f>
        <v>14018</v>
      </c>
      <c r="B14019" t="str">
        <f>"-0.15"</f>
        <v>-0.15</v>
      </c>
      <c r="C14019" t="str">
        <f>"17"</f>
        <v>17</v>
      </c>
      <c r="D14019" t="s">
        <v>435</v>
      </c>
    </row>
    <row r="14020" spans="1:4" x14ac:dyDescent="0.2">
      <c r="A14020" t="str">
        <f>"14019"</f>
        <v>14019</v>
      </c>
      <c r="B14020" t="str">
        <f>"0.11"</f>
        <v>0.11</v>
      </c>
      <c r="C14020" t="str">
        <f>"38"</f>
        <v>38</v>
      </c>
      <c r="D14020" t="str">
        <f>"The Blueprint 3"</f>
        <v>The Blueprint 3</v>
      </c>
    </row>
    <row r="14021" spans="1:4" x14ac:dyDescent="0.2">
      <c r="A14021" t="str">
        <f>"14020"</f>
        <v>14020</v>
      </c>
      <c r="B14021" t="str">
        <f>"-0.35"</f>
        <v>-0.35</v>
      </c>
      <c r="C14021" t="str">
        <f>"54"</f>
        <v>54</v>
      </c>
      <c r="D14021" t="str">
        <f>"Crazy Rhythms"</f>
        <v>Crazy Rhythms</v>
      </c>
    </row>
    <row r="14022" spans="1:4" x14ac:dyDescent="0.2">
      <c r="A14022" t="str">
        <f>"14021"</f>
        <v>14021</v>
      </c>
      <c r="B14022" t="str">
        <f>"-0.73"</f>
        <v>-0.73</v>
      </c>
      <c r="C14022" t="str">
        <f>"19"</f>
        <v>19</v>
      </c>
      <c r="D14022" t="str">
        <f>"The Almighty Defenders"</f>
        <v>The Almighty Defenders</v>
      </c>
    </row>
    <row r="14023" spans="1:4" x14ac:dyDescent="0.2">
      <c r="A14023" t="str">
        <f>"14022"</f>
        <v>14022</v>
      </c>
      <c r="B14023" t="str">
        <f>"1.18"</f>
        <v>1.18</v>
      </c>
      <c r="C14023" t="str">
        <f>"20"</f>
        <v>20</v>
      </c>
      <c r="D14023" t="str">
        <f>"Out Into the Snow"</f>
        <v>Out Into the Snow</v>
      </c>
    </row>
    <row r="14024" spans="1:4" x14ac:dyDescent="0.2">
      <c r="A14024" t="str">
        <f>"14023"</f>
        <v>14023</v>
      </c>
      <c r="B14024" t="str">
        <f>"0.42"</f>
        <v>0.42</v>
      </c>
      <c r="C14024" t="str">
        <f>"17"</f>
        <v>17</v>
      </c>
      <c r="D14024" t="str">
        <f>"Orange You Glad"</f>
        <v>Orange You Glad</v>
      </c>
    </row>
    <row r="14025" spans="1:4" x14ac:dyDescent="0.2">
      <c r="A14025" t="str">
        <f>"14024"</f>
        <v>14024</v>
      </c>
      <c r="B14025" t="str">
        <f>"0.23"</f>
        <v>0.23</v>
      </c>
      <c r="C14025" t="str">
        <f>"44"</f>
        <v>44</v>
      </c>
      <c r="D14025" t="str">
        <f>"The Stone Roses"</f>
        <v>The Stone Roses</v>
      </c>
    </row>
    <row r="14026" spans="1:4" x14ac:dyDescent="0.2">
      <c r="A14026" t="str">
        <f>"14025"</f>
        <v>14025</v>
      </c>
      <c r="B14026" t="str">
        <f>"-0.57"</f>
        <v>-0.57</v>
      </c>
      <c r="C14026" t="str">
        <f>"38"</f>
        <v>38</v>
      </c>
      <c r="D14026" t="str">
        <f>"Break Up"</f>
        <v>Break Up</v>
      </c>
    </row>
    <row r="14027" spans="1:4" x14ac:dyDescent="0.2">
      <c r="A14027" t="str">
        <f>"14026"</f>
        <v>14026</v>
      </c>
      <c r="B14027" t="str">
        <f>"0.44"</f>
        <v>0.44</v>
      </c>
      <c r="C14027" t="str">
        <f>"26"</f>
        <v>26</v>
      </c>
      <c r="D14027" t="str">
        <f>"Masters of the Burial"</f>
        <v>Masters of the Burial</v>
      </c>
    </row>
    <row r="14028" spans="1:4" x14ac:dyDescent="0.2">
      <c r="A14028" t="str">
        <f>"14027"</f>
        <v>14027</v>
      </c>
      <c r="B14028" t="str">
        <f>"0.99"</f>
        <v>0.99</v>
      </c>
      <c r="C14028" t="str">
        <f>"16"</f>
        <v>16</v>
      </c>
      <c r="D14028" t="str">
        <f>"Mister Pop"</f>
        <v>Mister Pop</v>
      </c>
    </row>
    <row r="14029" spans="1:4" x14ac:dyDescent="0.2">
      <c r="A14029" t="str">
        <f>"14028"</f>
        <v>14028</v>
      </c>
      <c r="B14029" t="str">
        <f>"1.01"</f>
        <v>1.01</v>
      </c>
      <c r="C14029" t="str">
        <f>"23"</f>
        <v>23</v>
      </c>
      <c r="D14029" t="str">
        <f>"Heartbeat Radio"</f>
        <v>Heartbeat Radio</v>
      </c>
    </row>
    <row r="14030" spans="1:4" x14ac:dyDescent="0.2">
      <c r="A14030" t="str">
        <f>"14029"</f>
        <v>14029</v>
      </c>
      <c r="B14030" t="str">
        <f>"0.34"</f>
        <v>0.34</v>
      </c>
      <c r="C14030" t="str">
        <f>"43"</f>
        <v>43</v>
      </c>
      <c r="D14030" t="str">
        <f>"The Beatles"</f>
        <v>The Beatles</v>
      </c>
    </row>
    <row r="14031" spans="1:4" x14ac:dyDescent="0.2">
      <c r="A14031" t="str">
        <f>"14030"</f>
        <v>14030</v>
      </c>
      <c r="B14031" t="str">
        <f>"1.36"</f>
        <v>1.36</v>
      </c>
      <c r="C14031" t="str">
        <f>"34"</f>
        <v>34</v>
      </c>
      <c r="D14031" t="str">
        <f>"Yellow Submarine"</f>
        <v>Yellow Submarine</v>
      </c>
    </row>
    <row r="14032" spans="1:4" x14ac:dyDescent="0.2">
      <c r="A14032" t="str">
        <f>"14031"</f>
        <v>14031</v>
      </c>
      <c r="B14032" t="str">
        <f>"1.61"</f>
        <v>1.61</v>
      </c>
      <c r="C14032" t="str">
        <f>"49"</f>
        <v>49</v>
      </c>
      <c r="D14032" t="str">
        <f>"Abbey Road"</f>
        <v>Abbey Road</v>
      </c>
    </row>
    <row r="14033" spans="1:4" x14ac:dyDescent="0.2">
      <c r="A14033" t="str">
        <f>"14032"</f>
        <v>14032</v>
      </c>
      <c r="B14033" t="str">
        <f>"-0.45"</f>
        <v>-0.45</v>
      </c>
      <c r="C14033" t="str">
        <f>"52"</f>
        <v>52</v>
      </c>
      <c r="D14033" t="str">
        <f>"Let It Be"</f>
        <v>Let It Be</v>
      </c>
    </row>
    <row r="14034" spans="1:4" x14ac:dyDescent="0.2">
      <c r="A14034" t="str">
        <f>"14033"</f>
        <v>14033</v>
      </c>
      <c r="B14034" t="str">
        <f>"0.31"</f>
        <v>0.31</v>
      </c>
      <c r="C14034" t="str">
        <f>"31"</f>
        <v>31</v>
      </c>
      <c r="D14034" t="str">
        <f>"Past Masters"</f>
        <v>Past Masters</v>
      </c>
    </row>
    <row r="14035" spans="1:4" x14ac:dyDescent="0.2">
      <c r="A14035" t="str">
        <f>"14034"</f>
        <v>14034</v>
      </c>
      <c r="B14035" t="str">
        <f>"0.73"</f>
        <v>0.73</v>
      </c>
      <c r="C14035" t="str">
        <f>"29"</f>
        <v>29</v>
      </c>
      <c r="D14035" t="str">
        <f>"Rubber Soul"</f>
        <v>Rubber Soul</v>
      </c>
    </row>
    <row r="14036" spans="1:4" x14ac:dyDescent="0.2">
      <c r="A14036" t="str">
        <f>"14035"</f>
        <v>14035</v>
      </c>
      <c r="B14036" t="str">
        <f>"0.7"</f>
        <v>0.7</v>
      </c>
      <c r="C14036" t="str">
        <f>"49"</f>
        <v>49</v>
      </c>
      <c r="D14036" t="str">
        <f>"Revolver"</f>
        <v>Revolver</v>
      </c>
    </row>
    <row r="14037" spans="1:4" x14ac:dyDescent="0.2">
      <c r="A14037" t="str">
        <f>"14036"</f>
        <v>14036</v>
      </c>
      <c r="B14037" t="str">
        <f>"0.72"</f>
        <v>0.72</v>
      </c>
      <c r="C14037" t="str">
        <f>"52"</f>
        <v>52</v>
      </c>
      <c r="D14037" t="str">
        <f>"Sgt. Pepper's Lonely Hearts Club Band"</f>
        <v>Sgt. Pepper's Lonely Hearts Club Band</v>
      </c>
    </row>
    <row r="14038" spans="1:4" x14ac:dyDescent="0.2">
      <c r="A14038" t="str">
        <f>"14037"</f>
        <v>14037</v>
      </c>
      <c r="B14038" t="str">
        <f>"0.68"</f>
        <v>0.68</v>
      </c>
      <c r="C14038" t="str">
        <f>"37"</f>
        <v>37</v>
      </c>
      <c r="D14038" t="str">
        <f>"Magical Mystery Tour"</f>
        <v>Magical Mystery Tour</v>
      </c>
    </row>
    <row r="14039" spans="1:4" x14ac:dyDescent="0.2">
      <c r="A14039" t="str">
        <f>"14038"</f>
        <v>14038</v>
      </c>
      <c r="B14039" t="str">
        <f>"1.07"</f>
        <v>1.07</v>
      </c>
      <c r="C14039" t="str">
        <f>"57"</f>
        <v>57</v>
      </c>
      <c r="D14039" t="str">
        <f>"Rock Band"</f>
        <v>Rock Band</v>
      </c>
    </row>
    <row r="14040" spans="1:4" x14ac:dyDescent="0.2">
      <c r="A14040" t="str">
        <f>"14039"</f>
        <v>14039</v>
      </c>
      <c r="B14040" t="str">
        <f>"0.54"</f>
        <v>0.54</v>
      </c>
      <c r="C14040" t="str">
        <f>"44"</f>
        <v>44</v>
      </c>
      <c r="D14040" t="str">
        <f>"Please Please Me"</f>
        <v>Please Please Me</v>
      </c>
    </row>
    <row r="14041" spans="1:4" x14ac:dyDescent="0.2">
      <c r="A14041" t="str">
        <f>"14040"</f>
        <v>14040</v>
      </c>
      <c r="B14041" t="str">
        <f>"1.09"</f>
        <v>1.09</v>
      </c>
      <c r="C14041" t="str">
        <f>"29"</f>
        <v>29</v>
      </c>
      <c r="D14041" t="str">
        <f>"With the Beatles"</f>
        <v>With the Beatles</v>
      </c>
    </row>
    <row r="14042" spans="1:4" x14ac:dyDescent="0.2">
      <c r="A14042" t="str">
        <f>"14041"</f>
        <v>14041</v>
      </c>
      <c r="B14042" t="str">
        <f>"0.67"</f>
        <v>0.67</v>
      </c>
      <c r="C14042" t="str">
        <f>"28"</f>
        <v>28</v>
      </c>
      <c r="D14042" t="str">
        <f>"A Hard Day's Night"</f>
        <v>A Hard Day's Night</v>
      </c>
    </row>
    <row r="14043" spans="1:4" x14ac:dyDescent="0.2">
      <c r="A14043" t="str">
        <f>"14042"</f>
        <v>14042</v>
      </c>
      <c r="B14043" t="str">
        <f>"-0.05"</f>
        <v>-0.05</v>
      </c>
      <c r="C14043" t="str">
        <f>"35"</f>
        <v>35</v>
      </c>
      <c r="D14043" t="str">
        <f>"Beatles For Sale"</f>
        <v>Beatles For Sale</v>
      </c>
    </row>
    <row r="14044" spans="1:4" x14ac:dyDescent="0.2">
      <c r="A14044" t="str">
        <f>"14043"</f>
        <v>14043</v>
      </c>
      <c r="B14044" t="str">
        <f>"-0.49"</f>
        <v>-0.49</v>
      </c>
      <c r="C14044" t="str">
        <f>"41"</f>
        <v>41</v>
      </c>
      <c r="D14044" t="str">
        <f>"Help!"</f>
        <v>Help!</v>
      </c>
    </row>
    <row r="14045" spans="1:4" x14ac:dyDescent="0.2">
      <c r="A14045" t="str">
        <f>"14044"</f>
        <v>14044</v>
      </c>
      <c r="B14045" t="str">
        <f>"0.99"</f>
        <v>0.99</v>
      </c>
      <c r="C14045" t="str">
        <f>"103"</f>
        <v>103</v>
      </c>
      <c r="D14045" t="str">
        <f>"Stereo Box"</f>
        <v>Stereo Box</v>
      </c>
    </row>
    <row r="14046" spans="1:4" x14ac:dyDescent="0.2">
      <c r="A14046" t="str">
        <f>"14045"</f>
        <v>14045</v>
      </c>
      <c r="B14046" t="str">
        <f>"0.46"</f>
        <v>0.46</v>
      </c>
      <c r="C14046" t="str">
        <f>"35"</f>
        <v>35</v>
      </c>
      <c r="D14046" t="str">
        <f>"East of Eden"</f>
        <v>East of Eden</v>
      </c>
    </row>
    <row r="14047" spans="1:4" x14ac:dyDescent="0.2">
      <c r="A14047" t="str">
        <f>"14046"</f>
        <v>14046</v>
      </c>
      <c r="B14047" t="str">
        <f>"1.07"</f>
        <v>1.07</v>
      </c>
      <c r="C14047" t="str">
        <f>"29"</f>
        <v>29</v>
      </c>
      <c r="D14047" t="str">
        <f>"Sidetracked"</f>
        <v>Sidetracked</v>
      </c>
    </row>
    <row r="14048" spans="1:4" x14ac:dyDescent="0.2">
      <c r="A14048" t="str">
        <f>"14047"</f>
        <v>14047</v>
      </c>
      <c r="B14048" t="str">
        <f>"-0.11"</f>
        <v>-0.11</v>
      </c>
      <c r="C14048" t="str">
        <f>"27"</f>
        <v>27</v>
      </c>
      <c r="D14048" t="str">
        <f>"No More Stories Are Told Today..."</f>
        <v>No More Stories Are Told Today...</v>
      </c>
    </row>
    <row r="14049" spans="1:4" x14ac:dyDescent="0.2">
      <c r="A14049" t="str">
        <f>"14048"</f>
        <v>14048</v>
      </c>
      <c r="B14049" t="str">
        <f>"1.32"</f>
        <v>1.32</v>
      </c>
      <c r="C14049" t="str">
        <f>"17"</f>
        <v>17</v>
      </c>
      <c r="D14049" t="str">
        <f>"The Sub Pop Years"</f>
        <v>The Sub Pop Years</v>
      </c>
    </row>
    <row r="14050" spans="1:4" x14ac:dyDescent="0.2">
      <c r="A14050" t="str">
        <f>"14049"</f>
        <v>14049</v>
      </c>
      <c r="B14050" t="str">
        <f>"-0.82"</f>
        <v>-0.82</v>
      </c>
      <c r="C14050" t="str">
        <f>"23"</f>
        <v>23</v>
      </c>
      <c r="D14050" t="str">
        <f>"The Entrance Band"</f>
        <v>The Entrance Band</v>
      </c>
    </row>
    <row r="14051" spans="1:4" x14ac:dyDescent="0.2">
      <c r="A14051" t="str">
        <f>"14050"</f>
        <v>14050</v>
      </c>
      <c r="B14051" t="str">
        <f>"0.31"</f>
        <v>0.31</v>
      </c>
      <c r="C14051" t="str">
        <f>"39"</f>
        <v>39</v>
      </c>
      <c r="D14051" t="str">
        <f>"Diary"</f>
        <v>Diary</v>
      </c>
    </row>
    <row r="14052" spans="1:4" x14ac:dyDescent="0.2">
      <c r="A14052" t="str">
        <f>"14051"</f>
        <v>14051</v>
      </c>
      <c r="B14052" t="str">
        <f>"0.53"</f>
        <v>0.53</v>
      </c>
      <c r="C14052" t="str">
        <f>"29"</f>
        <v>29</v>
      </c>
      <c r="D14052" t="str">
        <f>"Signal Morning"</f>
        <v>Signal Morning</v>
      </c>
    </row>
    <row r="14053" spans="1:4" x14ac:dyDescent="0.2">
      <c r="A14053" t="str">
        <f>"14052"</f>
        <v>14052</v>
      </c>
      <c r="B14053" t="str">
        <f>"0.22"</f>
        <v>0.22</v>
      </c>
      <c r="C14053" t="str">
        <f>"32"</f>
        <v>32</v>
      </c>
      <c r="D14053" t="str">
        <f>"Temporary Pleasure"</f>
        <v>Temporary Pleasure</v>
      </c>
    </row>
    <row r="14054" spans="1:4" x14ac:dyDescent="0.2">
      <c r="A14054" t="str">
        <f>"14053"</f>
        <v>14053</v>
      </c>
      <c r="B14054" t="str">
        <f>"0.68"</f>
        <v>0.68</v>
      </c>
      <c r="C14054" t="str">
        <f>"19"</f>
        <v>19</v>
      </c>
      <c r="D14054" t="str">
        <f>"Intuit"</f>
        <v>Intuit</v>
      </c>
    </row>
    <row r="14055" spans="1:4" x14ac:dyDescent="0.2">
      <c r="A14055" t="str">
        <f>"14054"</f>
        <v>14054</v>
      </c>
      <c r="B14055" t="str">
        <f>"0.51"</f>
        <v>0.51</v>
      </c>
      <c r="C14055" t="str">
        <f>"33"</f>
        <v>33</v>
      </c>
      <c r="D14055" t="str">
        <f>"After Robots"</f>
        <v>After Robots</v>
      </c>
    </row>
    <row r="14056" spans="1:4" x14ac:dyDescent="0.2">
      <c r="A14056" t="str">
        <f>"14055"</f>
        <v>14055</v>
      </c>
      <c r="B14056" t="str">
        <f>"0.59"</f>
        <v>0.59</v>
      </c>
      <c r="C14056" t="str">
        <f>"44"</f>
        <v>44</v>
      </c>
      <c r="D14056" t="str">
        <f>"Everything Goes Wrong"</f>
        <v>Everything Goes Wrong</v>
      </c>
    </row>
    <row r="14057" spans="1:4" x14ac:dyDescent="0.2">
      <c r="A14057" t="str">
        <f>"14056"</f>
        <v>14056</v>
      </c>
      <c r="B14057" t="str">
        <f>"0.16"</f>
        <v>0.16</v>
      </c>
      <c r="C14057" t="str">
        <f>"25"</f>
        <v>25</v>
      </c>
      <c r="D14057" t="str">
        <f>"Haih or Amortecedor"</f>
        <v>Haih or Amortecedor</v>
      </c>
    </row>
    <row r="14058" spans="1:4" x14ac:dyDescent="0.2">
      <c r="A14058" t="str">
        <f>"14057"</f>
        <v>14057</v>
      </c>
      <c r="B14058" t="str">
        <f>"0.72"</f>
        <v>0.72</v>
      </c>
      <c r="C14058" t="str">
        <f>"27"</f>
        <v>27</v>
      </c>
      <c r="D14058" t="str">
        <f>"As Good as Gone"</f>
        <v>As Good as Gone</v>
      </c>
    </row>
    <row r="14059" spans="1:4" x14ac:dyDescent="0.2">
      <c r="A14059" t="str">
        <f>"14058"</f>
        <v>14058</v>
      </c>
      <c r="B14059" t="str">
        <f>"0.66"</f>
        <v>0.66</v>
      </c>
      <c r="C14059" t="str">
        <f>"25"</f>
        <v>25</v>
      </c>
      <c r="D14059" t="str">
        <f>"Welcome Joy"</f>
        <v>Welcome Joy</v>
      </c>
    </row>
    <row r="14060" spans="1:4" x14ac:dyDescent="0.2">
      <c r="A14060" t="str">
        <f>"14059"</f>
        <v>14059</v>
      </c>
      <c r="B14060" t="str">
        <f>"0.86"</f>
        <v>0.86</v>
      </c>
      <c r="C14060" t="str">
        <f>"26"</f>
        <v>26</v>
      </c>
      <c r="D14060" t="str">
        <f>"Fervency"</f>
        <v>Fervency</v>
      </c>
    </row>
    <row r="14061" spans="1:4" x14ac:dyDescent="0.2">
      <c r="A14061" t="str">
        <f>"14060"</f>
        <v>14060</v>
      </c>
      <c r="B14061" t="str">
        <f>"0.11"</f>
        <v>0.11</v>
      </c>
      <c r="C14061" t="str">
        <f>"33"</f>
        <v>33</v>
      </c>
      <c r="D14061" t="str">
        <f>"Popular Songs"</f>
        <v>Popular Songs</v>
      </c>
    </row>
    <row r="14062" spans="1:4" x14ac:dyDescent="0.2">
      <c r="A14062" t="str">
        <f>"14061"</f>
        <v>14061</v>
      </c>
      <c r="B14062" t="str">
        <f>"0.77"</f>
        <v>0.77</v>
      </c>
      <c r="C14062" t="str">
        <f>"31"</f>
        <v>31</v>
      </c>
      <c r="D14062" t="str">
        <f>"In Prism"</f>
        <v>In Prism</v>
      </c>
    </row>
    <row r="14063" spans="1:4" x14ac:dyDescent="0.2">
      <c r="A14063" t="str">
        <f>"14062"</f>
        <v>14062</v>
      </c>
      <c r="B14063" t="str">
        <f>"-0.18"</f>
        <v>-0.18</v>
      </c>
      <c r="C14063" t="str">
        <f>"24"</f>
        <v>24</v>
      </c>
      <c r="D14063" t="str">
        <f>"Red"</f>
        <v>Red</v>
      </c>
    </row>
    <row r="14064" spans="1:4" x14ac:dyDescent="0.2">
      <c r="A14064" t="str">
        <f>"14063"</f>
        <v>14063</v>
      </c>
      <c r="B14064" t="str">
        <f>"0.33"</f>
        <v>0.33</v>
      </c>
      <c r="C14064" t="str">
        <f>"27"</f>
        <v>27</v>
      </c>
      <c r="D14064" t="str">
        <f>"Alice and Friends"</f>
        <v>Alice and Friends</v>
      </c>
    </row>
    <row r="14065" spans="1:4" x14ac:dyDescent="0.2">
      <c r="A14065" t="str">
        <f>"14064"</f>
        <v>14064</v>
      </c>
      <c r="B14065" t="str">
        <f>"0.85"</f>
        <v>0.85</v>
      </c>
      <c r="C14065" t="str">
        <f>"21"</f>
        <v>21</v>
      </c>
      <c r="D14065" t="str">
        <f>"Songs for the New Industrial State"</f>
        <v>Songs for the New Industrial State</v>
      </c>
    </row>
    <row r="14066" spans="1:4" x14ac:dyDescent="0.2">
      <c r="A14066" t="str">
        <f>"14065"</f>
        <v>14065</v>
      </c>
      <c r="B14066" t="str">
        <f>"-0.95"</f>
        <v>-0.95</v>
      </c>
      <c r="C14066" t="str">
        <f>"19"</f>
        <v>19</v>
      </c>
      <c r="D14066" t="str">
        <f>"Two Dancers"</f>
        <v>Two Dancers</v>
      </c>
    </row>
    <row r="14067" spans="1:4" x14ac:dyDescent="0.2">
      <c r="A14067" t="str">
        <f>"14066"</f>
        <v>14066</v>
      </c>
      <c r="B14067" t="str">
        <f>"0.05"</f>
        <v>0.05</v>
      </c>
      <c r="C14067" t="str">
        <f>"32"</f>
        <v>32</v>
      </c>
      <c r="D14067" t="str">
        <f>"The Fine Print (A Collection Of Oddities and Rarities 2003-2008)"</f>
        <v>The Fine Print (A Collection Of Oddities and Rarities 2003-2008)</v>
      </c>
    </row>
    <row r="14068" spans="1:4" x14ac:dyDescent="0.2">
      <c r="A14068" t="str">
        <f>"14067"</f>
        <v>14067</v>
      </c>
      <c r="B14068" t="str">
        <f>"-0.26"</f>
        <v>-0.26</v>
      </c>
      <c r="C14068" t="str">
        <f>"26"</f>
        <v>26</v>
      </c>
      <c r="D14068" t="str">
        <f>"Get Color"</f>
        <v>Get Color</v>
      </c>
    </row>
    <row r="14069" spans="1:4" x14ac:dyDescent="0.2">
      <c r="A14069" t="str">
        <f>"14068"</f>
        <v>14068</v>
      </c>
      <c r="B14069" t="str">
        <f>"-0.57"</f>
        <v>-0.57</v>
      </c>
      <c r="C14069" t="str">
        <f>"36"</f>
        <v>36</v>
      </c>
      <c r="D14069" t="str">
        <f>"Disconnected"</f>
        <v>Disconnected</v>
      </c>
    </row>
    <row r="14070" spans="1:4" x14ac:dyDescent="0.2">
      <c r="A14070" t="str">
        <f>"14069"</f>
        <v>14069</v>
      </c>
      <c r="B14070" t="str">
        <f>"-0.46"</f>
        <v>-0.46</v>
      </c>
      <c r="C14070" t="str">
        <f>"27"</f>
        <v>27</v>
      </c>
      <c r="D14070" t="str">
        <f>"One Foot Ahead of the Other"</f>
        <v>One Foot Ahead of the Other</v>
      </c>
    </row>
    <row r="14071" spans="1:4" x14ac:dyDescent="0.2">
      <c r="A14071" t="str">
        <f>"14070"</f>
        <v>14070</v>
      </c>
      <c r="B14071" t="str">
        <f>"0.98"</f>
        <v>0.98</v>
      </c>
      <c r="C14071" t="str">
        <f>"19"</f>
        <v>19</v>
      </c>
      <c r="D14071" t="str">
        <f>"#1 Hits Explosion"</f>
        <v>#1 Hits Explosion</v>
      </c>
    </row>
    <row r="14072" spans="1:4" x14ac:dyDescent="0.2">
      <c r="A14072" t="str">
        <f>"14071"</f>
        <v>14071</v>
      </c>
      <c r="B14072" t="str">
        <f>"0.46"</f>
        <v>0.46</v>
      </c>
      <c r="C14072" t="str">
        <f>"19"</f>
        <v>19</v>
      </c>
      <c r="D14072" t="str">
        <f>"City Limits Volume 1"</f>
        <v>City Limits Volume 1</v>
      </c>
    </row>
    <row r="14073" spans="1:4" x14ac:dyDescent="0.2">
      <c r="A14073" t="str">
        <f>"14072"</f>
        <v>14072</v>
      </c>
      <c r="B14073" t="str">
        <f>"0.74"</f>
        <v>0.74</v>
      </c>
      <c r="C14073" t="str">
        <f>"21"</f>
        <v>21</v>
      </c>
      <c r="D14073" t="str">
        <f>"A Slave's Commitment"</f>
        <v>A Slave's Commitment</v>
      </c>
    </row>
    <row r="14074" spans="1:4" x14ac:dyDescent="0.2">
      <c r="A14074" t="str">
        <f>"14073"</f>
        <v>14073</v>
      </c>
      <c r="B14074" t="str">
        <f>"-0.4"</f>
        <v>-0.4</v>
      </c>
      <c r="C14074" t="str">
        <f>"30"</f>
        <v>30</v>
      </c>
      <c r="D14074" t="str">
        <f>"Quest For Fire"</f>
        <v>Quest For Fire</v>
      </c>
    </row>
    <row r="14075" spans="1:4" x14ac:dyDescent="0.2">
      <c r="A14075" t="str">
        <f>"14074"</f>
        <v>14074</v>
      </c>
      <c r="B14075" t="str">
        <f>"0.33"</f>
        <v>0.33</v>
      </c>
      <c r="C14075" t="str">
        <f>"50"</f>
        <v>50</v>
      </c>
      <c r="D14075" t="str">
        <f>"Hail to the Thief: Special Collectors Edition"</f>
        <v>Hail to the Thief: Special Collectors Edition</v>
      </c>
    </row>
    <row r="14076" spans="1:4" x14ac:dyDescent="0.2">
      <c r="A14076" t="str">
        <f>"14075"</f>
        <v>14075</v>
      </c>
      <c r="B14076" t="str">
        <f>"0.4"</f>
        <v>0.4</v>
      </c>
      <c r="C14076" t="str">
        <f>"49"</f>
        <v>49</v>
      </c>
      <c r="D14076" t="str">
        <f>"My Guilty Pleasure"</f>
        <v>My Guilty Pleasure</v>
      </c>
    </row>
    <row r="14077" spans="1:4" x14ac:dyDescent="0.2">
      <c r="A14077" t="str">
        <f>"14076"</f>
        <v>14076</v>
      </c>
      <c r="B14077" t="str">
        <f>"1.18"</f>
        <v>1.18</v>
      </c>
      <c r="C14077" t="str">
        <f>"22"</f>
        <v>22</v>
      </c>
      <c r="D14077" t="str">
        <f>"To Swift Mars"</f>
        <v>To Swift Mars</v>
      </c>
    </row>
    <row r="14078" spans="1:4" x14ac:dyDescent="0.2">
      <c r="A14078" t="str">
        <f>"14077"</f>
        <v>14077</v>
      </c>
      <c r="B14078" t="str">
        <f>"-1.55"</f>
        <v>-1.55</v>
      </c>
      <c r="C14078" t="str">
        <f>"25"</f>
        <v>25</v>
      </c>
      <c r="D14078" t="str">
        <f>"L'Autopsie Phénoménale de Dieu"</f>
        <v>L'Autopsie Phénoménale de Dieu</v>
      </c>
    </row>
    <row r="14079" spans="1:4" x14ac:dyDescent="0.2">
      <c r="A14079" t="str">
        <f>"14078"</f>
        <v>14078</v>
      </c>
      <c r="B14079" t="str">
        <f>"-0.65"</f>
        <v>-0.65</v>
      </c>
      <c r="C14079" t="str">
        <f>"34"</f>
        <v>34</v>
      </c>
      <c r="D14079" t="str">
        <f>"Anti-Magic"</f>
        <v>Anti-Magic</v>
      </c>
    </row>
    <row r="14080" spans="1:4" x14ac:dyDescent="0.2">
      <c r="A14080" t="str">
        <f>"14079"</f>
        <v>14079</v>
      </c>
      <c r="B14080" t="str">
        <f>"-0.21"</f>
        <v>-0.21</v>
      </c>
      <c r="C14080" t="str">
        <f>"51"</f>
        <v>51</v>
      </c>
      <c r="D14080" t="str">
        <f>"Amnesiac: Special Collectors Edition"</f>
        <v>Amnesiac: Special Collectors Edition</v>
      </c>
    </row>
    <row r="14081" spans="1:4" x14ac:dyDescent="0.2">
      <c r="A14081" t="str">
        <f>"14080"</f>
        <v>14080</v>
      </c>
      <c r="B14081" t="str">
        <f>"0.32"</f>
        <v>0.32</v>
      </c>
      <c r="C14081" t="str">
        <f>"22"</f>
        <v>22</v>
      </c>
      <c r="D14081" t="str">
        <f>"Walking on a Wire: Richard Thompson (1968-2009)"</f>
        <v>Walking on a Wire: Richard Thompson (1968-2009)</v>
      </c>
    </row>
    <row r="14082" spans="1:4" x14ac:dyDescent="0.2">
      <c r="A14082" t="str">
        <f>"14081"</f>
        <v>14081</v>
      </c>
      <c r="B14082" t="str">
        <f>"-0.64"</f>
        <v>-0.64</v>
      </c>
      <c r="C14082" t="str">
        <f>"21"</f>
        <v>21</v>
      </c>
      <c r="D14082" t="str">
        <f>"Love Comes Close"</f>
        <v>Love Comes Close</v>
      </c>
    </row>
    <row r="14083" spans="1:4" x14ac:dyDescent="0.2">
      <c r="A14083" t="str">
        <f>"14082"</f>
        <v>14082</v>
      </c>
      <c r="B14083" t="str">
        <f>"-0.89"</f>
        <v>-0.89</v>
      </c>
      <c r="C14083" t="str">
        <f>"29"</f>
        <v>29</v>
      </c>
      <c r="D14083" t="str">
        <f>"Tummaa"</f>
        <v>Tummaa</v>
      </c>
    </row>
    <row r="14084" spans="1:4" x14ac:dyDescent="0.2">
      <c r="A14084" t="str">
        <f>"14083"</f>
        <v>14083</v>
      </c>
      <c r="B14084" t="str">
        <f>"0.16"</f>
        <v>0.16</v>
      </c>
      <c r="C14084" t="str">
        <f>"26"</f>
        <v>26</v>
      </c>
      <c r="D14084" t="str">
        <f>"Wave If You're Really There"</f>
        <v>Wave If You're Really There</v>
      </c>
    </row>
    <row r="14085" spans="1:4" x14ac:dyDescent="0.2">
      <c r="A14085" t="str">
        <f>"14084"</f>
        <v>14084</v>
      </c>
      <c r="B14085" t="str">
        <f>"-0.12"</f>
        <v>-0.12</v>
      </c>
      <c r="C14085" t="str">
        <f>"38"</f>
        <v>38</v>
      </c>
      <c r="D14085" t="str">
        <f>"Kid A: Special Collectors Edition"</f>
        <v>Kid A: Special Collectors Edition</v>
      </c>
    </row>
    <row r="14086" spans="1:4" x14ac:dyDescent="0.2">
      <c r="A14086" t="str">
        <f>"14085"</f>
        <v>14085</v>
      </c>
      <c r="B14086" t="str">
        <f>"0.5"</f>
        <v>0.5</v>
      </c>
      <c r="C14086" t="str">
        <f>"26"</f>
        <v>26</v>
      </c>
      <c r="D14086" t="str">
        <f>"Cartography"</f>
        <v>Cartography</v>
      </c>
    </row>
    <row r="14087" spans="1:4" x14ac:dyDescent="0.2">
      <c r="A14087" t="str">
        <f>"14086"</f>
        <v>14086</v>
      </c>
      <c r="B14087" t="str">
        <f>"0.92"</f>
        <v>0.92</v>
      </c>
      <c r="C14087" t="str">
        <f>"25"</f>
        <v>25</v>
      </c>
      <c r="D14087" t="str">
        <f>"Awe Owe"</f>
        <v>Awe Owe</v>
      </c>
    </row>
    <row r="14088" spans="1:4" x14ac:dyDescent="0.2">
      <c r="A14088" t="str">
        <f>"14087"</f>
        <v>14087</v>
      </c>
      <c r="B14088" t="str">
        <f>"-0.2"</f>
        <v>-0.2</v>
      </c>
      <c r="C14088" t="str">
        <f>"41"</f>
        <v>41</v>
      </c>
      <c r="D14088" t="str">
        <f>"Infidel"</f>
        <v>Infidel</v>
      </c>
    </row>
    <row r="14089" spans="1:4" x14ac:dyDescent="0.2">
      <c r="A14089" t="str">
        <f>"14088"</f>
        <v>14088</v>
      </c>
      <c r="B14089" t="str">
        <f>"0.47"</f>
        <v>0.47</v>
      </c>
      <c r="C14089" t="str">
        <f>"24"</f>
        <v>24</v>
      </c>
      <c r="D14089" t="str">
        <f>"Posthumous Success"</f>
        <v>Posthumous Success</v>
      </c>
    </row>
    <row r="14090" spans="1:4" x14ac:dyDescent="0.2">
      <c r="A14090" t="str">
        <f>"14089"</f>
        <v>14089</v>
      </c>
      <c r="B14090" t="str">
        <f>"-0.62"</f>
        <v>-0.62</v>
      </c>
      <c r="C14090" t="str">
        <f>"26"</f>
        <v>26</v>
      </c>
      <c r="D14090" t="str">
        <f>"Humbug"</f>
        <v>Humbug</v>
      </c>
    </row>
    <row r="14091" spans="1:4" x14ac:dyDescent="0.2">
      <c r="A14091" t="str">
        <f>"14090"</f>
        <v>14090</v>
      </c>
      <c r="B14091" t="str">
        <f>"0.27"</f>
        <v>0.27</v>
      </c>
      <c r="C14091" t="str">
        <f>"26"</f>
        <v>26</v>
      </c>
      <c r="D14091" t="str">
        <f>"Landscapes"</f>
        <v>Landscapes</v>
      </c>
    </row>
    <row r="14092" spans="1:4" x14ac:dyDescent="0.2">
      <c r="A14092" t="str">
        <f>"14091"</f>
        <v>14091</v>
      </c>
      <c r="B14092" t="str">
        <f>"-0.6"</f>
        <v>-0.6</v>
      </c>
      <c r="C14092" t="str">
        <f>"26"</f>
        <v>26</v>
      </c>
      <c r="D14092" t="str">
        <f>"Slaughterhouse"</f>
        <v>Slaughterhouse</v>
      </c>
    </row>
    <row r="14093" spans="1:4" x14ac:dyDescent="0.2">
      <c r="A14093" t="str">
        <f>"14092"</f>
        <v>14092</v>
      </c>
      <c r="B14093" t="str">
        <f>"0.56"</f>
        <v>0.56</v>
      </c>
      <c r="C14093" t="str">
        <f>"19"</f>
        <v>19</v>
      </c>
      <c r="D14093" t="str">
        <f>"If You Know What's Good for Ya!!"</f>
        <v>If You Know What's Good for Ya!!</v>
      </c>
    </row>
    <row r="14094" spans="1:4" x14ac:dyDescent="0.2">
      <c r="A14094" t="str">
        <f>"14093"</f>
        <v>14093</v>
      </c>
      <c r="B14094" t="str">
        <f>"-0.11"</f>
        <v>-0.11</v>
      </c>
      <c r="C14094" t="str">
        <f>"35"</f>
        <v>35</v>
      </c>
      <c r="D14094" t="str">
        <f>"Conditions"</f>
        <v>Conditions</v>
      </c>
    </row>
    <row r="14095" spans="1:4" x14ac:dyDescent="0.2">
      <c r="A14095" t="str">
        <f>"14094"</f>
        <v>14094</v>
      </c>
      <c r="B14095" t="str">
        <f>"0.22"</f>
        <v>0.22</v>
      </c>
      <c r="C14095" t="str">
        <f>"25"</f>
        <v>25</v>
      </c>
      <c r="D14095" t="str">
        <f>"Wind's Poem"</f>
        <v>Wind's Poem</v>
      </c>
    </row>
    <row r="14096" spans="1:4" x14ac:dyDescent="0.2">
      <c r="A14096" t="str">
        <f>"14095"</f>
        <v>14095</v>
      </c>
      <c r="B14096" t="str">
        <f>"-0.23"</f>
        <v>-0.23</v>
      </c>
      <c r="C14096" t="str">
        <f>"55"</f>
        <v>55</v>
      </c>
      <c r="D14096" t="str">
        <f>"Ze 30: Ze Records Story 1979-2009"</f>
        <v>Ze 30: Ze Records Story 1979-2009</v>
      </c>
    </row>
    <row r="14097" spans="1:4" x14ac:dyDescent="0.2">
      <c r="A14097" t="str">
        <f>"14096"</f>
        <v>14096</v>
      </c>
      <c r="B14097" t="str">
        <f>"0.81"</f>
        <v>0.81</v>
      </c>
      <c r="C14097" t="str">
        <f>"20"</f>
        <v>20</v>
      </c>
      <c r="D14097" t="str">
        <f>"Snow Blindness Is Crystal Antz"</f>
        <v>Snow Blindness Is Crystal Antz</v>
      </c>
    </row>
    <row r="14098" spans="1:4" x14ac:dyDescent="0.2">
      <c r="A14098" t="str">
        <f>"14097"</f>
        <v>14097</v>
      </c>
      <c r="B14098" t="str">
        <f>"-0.46"</f>
        <v>-0.46</v>
      </c>
      <c r="C14098" t="str">
        <f>"47"</f>
        <v>47</v>
      </c>
      <c r="D14098" t="s">
        <v>436</v>
      </c>
    </row>
    <row r="14099" spans="1:4" x14ac:dyDescent="0.2">
      <c r="A14099" t="str">
        <f>"14098"</f>
        <v>14098</v>
      </c>
      <c r="B14099" t="str">
        <f>"0.4"</f>
        <v>0.4</v>
      </c>
      <c r="C14099" t="str">
        <f>"29"</f>
        <v>29</v>
      </c>
      <c r="D14099" t="str">
        <f>"The Phenomenal Handclap Band"</f>
        <v>The Phenomenal Handclap Band</v>
      </c>
    </row>
    <row r="14100" spans="1:4" x14ac:dyDescent="0.2">
      <c r="A14100" t="str">
        <f>"14099"</f>
        <v>14099</v>
      </c>
      <c r="B14100" t="str">
        <f>"1.28"</f>
        <v>1.28</v>
      </c>
      <c r="C14100" t="str">
        <f>"36"</f>
        <v>36</v>
      </c>
      <c r="D14100" t="str">
        <f>"Total 10"</f>
        <v>Total 10</v>
      </c>
    </row>
    <row r="14101" spans="1:4" x14ac:dyDescent="0.2">
      <c r="A14101" t="str">
        <f>"14100"</f>
        <v>14100</v>
      </c>
      <c r="B14101" t="str">
        <f>"0.96"</f>
        <v>0.96</v>
      </c>
      <c r="C14101" t="str">
        <f>"18"</f>
        <v>18</v>
      </c>
      <c r="D14101" t="str">
        <f>"I Love You"</f>
        <v>I Love You</v>
      </c>
    </row>
    <row r="14102" spans="1:4" x14ac:dyDescent="0.2">
      <c r="A14102" t="str">
        <f>"14101"</f>
        <v>14101</v>
      </c>
      <c r="B14102" t="str">
        <f>"0.13"</f>
        <v>0.13</v>
      </c>
      <c r="C14102" t="str">
        <f>"22"</f>
        <v>22</v>
      </c>
      <c r="D14102" t="s">
        <v>437</v>
      </c>
    </row>
    <row r="14103" spans="1:4" x14ac:dyDescent="0.2">
      <c r="A14103" t="str">
        <f>"14102"</f>
        <v>14102</v>
      </c>
      <c r="B14103" t="str">
        <f>"-0.32"</f>
        <v>-0.32</v>
      </c>
      <c r="C14103" t="str">
        <f>"25"</f>
        <v>25</v>
      </c>
      <c r="D14103" t="str">
        <f>"Lungs"</f>
        <v>Lungs</v>
      </c>
    </row>
    <row r="14104" spans="1:4" x14ac:dyDescent="0.2">
      <c r="A14104" t="str">
        <f>"14103"</f>
        <v>14103</v>
      </c>
      <c r="B14104" t="str">
        <f>"0.53"</f>
        <v>0.53</v>
      </c>
      <c r="C14104" t="str">
        <f>"18"</f>
        <v>18</v>
      </c>
      <c r="D14104" t="str">
        <f>"Season Dreaming"</f>
        <v>Season Dreaming</v>
      </c>
    </row>
    <row r="14105" spans="1:4" x14ac:dyDescent="0.2">
      <c r="A14105" t="str">
        <f>"14104"</f>
        <v>14104</v>
      </c>
      <c r="B14105" t="str">
        <f>"0.31"</f>
        <v>0.31</v>
      </c>
      <c r="C14105" t="str">
        <f>"27"</f>
        <v>27</v>
      </c>
      <c r="D14105" t="str">
        <f>"Watch Me Fall"</f>
        <v>Watch Me Fall</v>
      </c>
    </row>
    <row r="14106" spans="1:4" x14ac:dyDescent="0.2">
      <c r="A14106" t="str">
        <f>"14105"</f>
        <v>14105</v>
      </c>
      <c r="B14106" t="str">
        <f>"0.79"</f>
        <v>0.79</v>
      </c>
      <c r="C14106" t="str">
        <f>"24"</f>
        <v>24</v>
      </c>
      <c r="D14106" t="str">
        <f>"Memoirs at the End of the World"</f>
        <v>Memoirs at the End of the World</v>
      </c>
    </row>
    <row r="14107" spans="1:4" x14ac:dyDescent="0.2">
      <c r="A14107" t="str">
        <f>"14106"</f>
        <v>14106</v>
      </c>
      <c r="B14107" t="str">
        <f>"-1.47"</f>
        <v>-1.47</v>
      </c>
      <c r="C14107" t="str">
        <f>"16"</f>
        <v>16</v>
      </c>
      <c r="D14107" t="str">
        <f>"Fear of Song"</f>
        <v>Fear of Song</v>
      </c>
    </row>
    <row r="14108" spans="1:4" x14ac:dyDescent="0.2">
      <c r="A14108" t="str">
        <f>"14107"</f>
        <v>14107</v>
      </c>
      <c r="B14108" t="str">
        <f>"0.27"</f>
        <v>0.27</v>
      </c>
      <c r="C14108" t="str">
        <f>"18"</f>
        <v>18</v>
      </c>
      <c r="D14108" t="str">
        <f>"Silk Flowers"</f>
        <v>Silk Flowers</v>
      </c>
    </row>
    <row r="14109" spans="1:4" x14ac:dyDescent="0.2">
      <c r="A14109" t="str">
        <f>"14108"</f>
        <v>14108</v>
      </c>
      <c r="B14109" t="str">
        <f>"-0.27"</f>
        <v>-0.27</v>
      </c>
      <c r="C14109" t="str">
        <f>"20"</f>
        <v>20</v>
      </c>
      <c r="D14109" t="str">
        <f>"Arrivals"</f>
        <v>Arrivals</v>
      </c>
    </row>
    <row r="14110" spans="1:4" x14ac:dyDescent="0.2">
      <c r="A14110" t="str">
        <f>"14109"</f>
        <v>14109</v>
      </c>
      <c r="B14110" t="str">
        <f>"-0.88"</f>
        <v>-0.88</v>
      </c>
      <c r="C14110" t="str">
        <f>"20"</f>
        <v>20</v>
      </c>
      <c r="D14110" t="str">
        <f>"Solo Electric Bass 1"</f>
        <v>Solo Electric Bass 1</v>
      </c>
    </row>
    <row r="14111" spans="1:4" x14ac:dyDescent="0.2">
      <c r="A14111" t="str">
        <f>"14110"</f>
        <v>14110</v>
      </c>
      <c r="B14111" t="str">
        <f>"-0.61"</f>
        <v>-0.61</v>
      </c>
      <c r="C14111" t="str">
        <f>"24"</f>
        <v>24</v>
      </c>
      <c r="D14111" t="s">
        <v>438</v>
      </c>
    </row>
    <row r="14112" spans="1:4" x14ac:dyDescent="0.2">
      <c r="A14112" t="str">
        <f>"14111"</f>
        <v>14111</v>
      </c>
      <c r="B14112" t="str">
        <f>"-0.09"</f>
        <v>-0.09</v>
      </c>
      <c r="C14112" t="str">
        <f>"40"</f>
        <v>40</v>
      </c>
      <c r="D14112" t="str">
        <f>"Creaturesque"</f>
        <v>Creaturesque</v>
      </c>
    </row>
    <row r="14113" spans="1:4" x14ac:dyDescent="0.2">
      <c r="A14113" t="str">
        <f>"14112"</f>
        <v>14112</v>
      </c>
      <c r="B14113" t="str">
        <f>"-0.07"</f>
        <v>-0.07</v>
      </c>
      <c r="C14113" t="str">
        <f>"39"</f>
        <v>39</v>
      </c>
      <c r="D14113" t="str">
        <f>"Clubroot"</f>
        <v>Clubroot</v>
      </c>
    </row>
    <row r="14114" spans="1:4" x14ac:dyDescent="0.2">
      <c r="A14114" t="str">
        <f>"14113"</f>
        <v>14113</v>
      </c>
      <c r="B14114" t="str">
        <f>"0.43"</f>
        <v>0.43</v>
      </c>
      <c r="C14114" t="str">
        <f>"25"</f>
        <v>25</v>
      </c>
      <c r="D14114" t="str">
        <f>"Destination Tokyo"</f>
        <v>Destination Tokyo</v>
      </c>
    </row>
    <row r="14115" spans="1:4" x14ac:dyDescent="0.2">
      <c r="A14115" t="str">
        <f>"14114"</f>
        <v>14114</v>
      </c>
      <c r="B14115" t="str">
        <f>"0.15"</f>
        <v>0.15</v>
      </c>
      <c r="C14115" t="str">
        <f>"39"</f>
        <v>39</v>
      </c>
      <c r="D14115" t="str">
        <f>"Bay of Pigs EP"</f>
        <v>Bay of Pigs EP</v>
      </c>
    </row>
    <row r="14116" spans="1:4" x14ac:dyDescent="0.2">
      <c r="A14116" t="str">
        <f>"14115"</f>
        <v>14115</v>
      </c>
      <c r="B14116" t="str">
        <f>"-0.55"</f>
        <v>-0.55</v>
      </c>
      <c r="C14116" t="str">
        <f>"24"</f>
        <v>24</v>
      </c>
      <c r="D14116" t="str">
        <f>"King of Jeans"</f>
        <v>King of Jeans</v>
      </c>
    </row>
    <row r="14117" spans="1:4" x14ac:dyDescent="0.2">
      <c r="A14117" t="str">
        <f>"14116"</f>
        <v>14116</v>
      </c>
      <c r="B14117" t="str">
        <f>"0.88"</f>
        <v>0.88</v>
      </c>
      <c r="C14117" t="str">
        <f>"20"</f>
        <v>20</v>
      </c>
      <c r="D14117" t="str">
        <f>"Luminous Night"</f>
        <v>Luminous Night</v>
      </c>
    </row>
    <row r="14118" spans="1:4" x14ac:dyDescent="0.2">
      <c r="A14118" t="str">
        <f>"14117"</f>
        <v>14117</v>
      </c>
      <c r="B14118" t="str">
        <f>"0.9"</f>
        <v>0.9</v>
      </c>
      <c r="C14118" t="str">
        <f>"20"</f>
        <v>20</v>
      </c>
      <c r="D14118" t="s">
        <v>439</v>
      </c>
    </row>
    <row r="14119" spans="1:4" x14ac:dyDescent="0.2">
      <c r="A14119" t="str">
        <f>"14118"</f>
        <v>14118</v>
      </c>
      <c r="B14119" t="str">
        <f>"0.33"</f>
        <v>0.33</v>
      </c>
      <c r="C14119" t="str">
        <f>"34"</f>
        <v>34</v>
      </c>
      <c r="D14119" t="str">
        <f>"Pop Psychology"</f>
        <v>Pop Psychology</v>
      </c>
    </row>
    <row r="14120" spans="1:4" x14ac:dyDescent="0.2">
      <c r="A14120" t="str">
        <f>"14119"</f>
        <v>14119</v>
      </c>
      <c r="B14120" t="str">
        <f>"0.49"</f>
        <v>0.49</v>
      </c>
      <c r="C14120" t="str">
        <f>"38"</f>
        <v>38</v>
      </c>
      <c r="D14120" t="str">
        <f>"Woodstock 40 Years On: Back to Yasgur's Farm"</f>
        <v>Woodstock 40 Years On: Back to Yasgur's Farm</v>
      </c>
    </row>
    <row r="14121" spans="1:4" x14ac:dyDescent="0.2">
      <c r="A14121" t="str">
        <f>"14120"</f>
        <v>14120</v>
      </c>
      <c r="B14121" t="str">
        <f>"0.95"</f>
        <v>0.95</v>
      </c>
      <c r="C14121" t="str">
        <f>"26"</f>
        <v>26</v>
      </c>
      <c r="D14121" t="str">
        <f>"The Smith Westerns"</f>
        <v>The Smith Westerns</v>
      </c>
    </row>
    <row r="14122" spans="1:4" x14ac:dyDescent="0.2">
      <c r="A14122" t="str">
        <f>"14121"</f>
        <v>14121</v>
      </c>
      <c r="B14122" t="str">
        <f>"0.93"</f>
        <v>0.93</v>
      </c>
      <c r="C14122" t="str">
        <f>"21"</f>
        <v>21</v>
      </c>
      <c r="D14122" t="str">
        <f>"Dark Rift"</f>
        <v>Dark Rift</v>
      </c>
    </row>
    <row r="14123" spans="1:4" x14ac:dyDescent="0.2">
      <c r="A14123" t="str">
        <f>"14122"</f>
        <v>14122</v>
      </c>
      <c r="B14123" t="str">
        <f>"-0.52"</f>
        <v>-0.52</v>
      </c>
      <c r="C14123" t="str">
        <f>"41"</f>
        <v>41</v>
      </c>
      <c r="D14123" t="str">
        <f>"Physical Changes"</f>
        <v>Physical Changes</v>
      </c>
    </row>
    <row r="14124" spans="1:4" x14ac:dyDescent="0.2">
      <c r="A14124" t="str">
        <f>"14123"</f>
        <v>14123</v>
      </c>
      <c r="B14124" t="str">
        <f>"-0.52"</f>
        <v>-0.52</v>
      </c>
      <c r="C14124" t="str">
        <f>"23"</f>
        <v>23</v>
      </c>
      <c r="D14124" t="str">
        <f>"The Future's Looking Grim"</f>
        <v>The Future's Looking Grim</v>
      </c>
    </row>
    <row r="14125" spans="1:4" x14ac:dyDescent="0.2">
      <c r="A14125" t="str">
        <f>"14124"</f>
        <v>14124</v>
      </c>
      <c r="B14125" t="str">
        <f>"0.38"</f>
        <v>0.38</v>
      </c>
      <c r="C14125" t="str">
        <f>"33"</f>
        <v>33</v>
      </c>
      <c r="D14125" t="str">
        <f>"Elephant Jokes"</f>
        <v>Elephant Jokes</v>
      </c>
    </row>
    <row r="14126" spans="1:4" x14ac:dyDescent="0.2">
      <c r="A14126" t="str">
        <f>"14125"</f>
        <v>14125</v>
      </c>
      <c r="B14126" t="str">
        <f>"-0.21"</f>
        <v>-0.21</v>
      </c>
      <c r="C14126" t="str">
        <f>"29"</f>
        <v>29</v>
      </c>
      <c r="D14126" t="str">
        <f>"Alien in a Garbage Dump"</f>
        <v>Alien in a Garbage Dump</v>
      </c>
    </row>
    <row r="14127" spans="1:4" x14ac:dyDescent="0.2">
      <c r="A14127" t="str">
        <f>"14126"</f>
        <v>14126</v>
      </c>
      <c r="B14127" t="str">
        <f>"-0.03"</f>
        <v>-0.03</v>
      </c>
      <c r="C14127" t="str">
        <f>"32"</f>
        <v>32</v>
      </c>
      <c r="D14127" t="str">
        <f>"Speech Therapy"</f>
        <v>Speech Therapy</v>
      </c>
    </row>
    <row r="14128" spans="1:4" x14ac:dyDescent="0.2">
      <c r="A14128" t="str">
        <f>"14127"</f>
        <v>14127</v>
      </c>
      <c r="B14128" t="str">
        <f>"0.93"</f>
        <v>0.93</v>
      </c>
      <c r="C14128" t="str">
        <f>"16"</f>
        <v>16</v>
      </c>
      <c r="D14128" t="s">
        <v>440</v>
      </c>
    </row>
    <row r="14129" spans="1:4" x14ac:dyDescent="0.2">
      <c r="A14129" t="str">
        <f>"14128"</f>
        <v>14128</v>
      </c>
      <c r="B14129" t="str">
        <f>"-0.2"</f>
        <v>-0.2</v>
      </c>
      <c r="C14129" t="str">
        <f>"42"</f>
        <v>42</v>
      </c>
      <c r="D14129" t="str">
        <f>"Psychic Maps"</f>
        <v>Psychic Maps</v>
      </c>
    </row>
    <row r="14130" spans="1:4" x14ac:dyDescent="0.2">
      <c r="A14130" t="str">
        <f>"14129"</f>
        <v>14129</v>
      </c>
      <c r="B14130" t="str">
        <f>"0.25"</f>
        <v>0.25</v>
      </c>
      <c r="C14130" t="str">
        <f>"25"</f>
        <v>25</v>
      </c>
      <c r="D14130" t="str">
        <f>"See Mystery Lights"</f>
        <v>See Mystery Lights</v>
      </c>
    </row>
    <row r="14131" spans="1:4" x14ac:dyDescent="0.2">
      <c r="A14131" t="str">
        <f>"14130"</f>
        <v>14130</v>
      </c>
      <c r="B14131" t="str">
        <f>"0.25"</f>
        <v>0.25</v>
      </c>
      <c r="C14131" t="str">
        <f>"48"</f>
        <v>48</v>
      </c>
      <c r="D14131" t="str">
        <f>"Last Night the Moon Came Dropping Its Clothes in the Street"</f>
        <v>Last Night the Moon Came Dropping Its Clothes in the Street</v>
      </c>
    </row>
    <row r="14132" spans="1:4" x14ac:dyDescent="0.2">
      <c r="A14132" t="str">
        <f>"14131"</f>
        <v>14131</v>
      </c>
      <c r="B14132" t="str">
        <f>"0.32"</f>
        <v>0.32</v>
      </c>
      <c r="C14132" t="str">
        <f>"37"</f>
        <v>37</v>
      </c>
      <c r="D14132" t="str">
        <f>"New Universe"</f>
        <v>New Universe</v>
      </c>
    </row>
    <row r="14133" spans="1:4" x14ac:dyDescent="0.2">
      <c r="A14133" t="str">
        <f>"14132"</f>
        <v>14132</v>
      </c>
      <c r="B14133" t="str">
        <f>"0.01"</f>
        <v>0.01</v>
      </c>
      <c r="C14133" t="str">
        <f>"25"</f>
        <v>25</v>
      </c>
      <c r="D14133" t="str">
        <f>"Braveface"</f>
        <v>Braveface</v>
      </c>
    </row>
    <row r="14134" spans="1:4" x14ac:dyDescent="0.2">
      <c r="A14134" t="str">
        <f>"14133"</f>
        <v>14133</v>
      </c>
      <c r="B14134" t="str">
        <f>"0.29"</f>
        <v>0.29</v>
      </c>
      <c r="C14134" t="str">
        <f>"12"</f>
        <v>12</v>
      </c>
      <c r="D14134" t="str">
        <f>"City Center"</f>
        <v>City Center</v>
      </c>
    </row>
    <row r="14135" spans="1:4" x14ac:dyDescent="0.2">
      <c r="A14135" t="str">
        <f>"14134"</f>
        <v>14134</v>
      </c>
      <c r="B14135" t="str">
        <f>"-0.14"</f>
        <v>-0.14</v>
      </c>
      <c r="C14135" t="str">
        <f>"33"</f>
        <v>33</v>
      </c>
      <c r="D14135" t="str">
        <f>"Hospice"</f>
        <v>Hospice</v>
      </c>
    </row>
    <row r="14136" spans="1:4" x14ac:dyDescent="0.2">
      <c r="A14136" t="str">
        <f>"14135"</f>
        <v>14135</v>
      </c>
      <c r="B14136" t="str">
        <f>"-0.31"</f>
        <v>-0.31</v>
      </c>
      <c r="C14136" t="str">
        <f>"18"</f>
        <v>18</v>
      </c>
      <c r="D14136" t="str">
        <f>"Infinite Light"</f>
        <v>Infinite Light</v>
      </c>
    </row>
    <row r="14137" spans="1:4" x14ac:dyDescent="0.2">
      <c r="A14137" t="str">
        <f>"14136"</f>
        <v>14136</v>
      </c>
      <c r="B14137" t="str">
        <f>"1.84"</f>
        <v>1.84</v>
      </c>
      <c r="C14137" t="str">
        <f>"23"</f>
        <v>23</v>
      </c>
      <c r="D14137" t="str">
        <f>"It Feels So Good When I Stop"</f>
        <v>It Feels So Good When I Stop</v>
      </c>
    </row>
    <row r="14138" spans="1:4" x14ac:dyDescent="0.2">
      <c r="A14138" t="str">
        <f>"14137"</f>
        <v>14137</v>
      </c>
      <c r="B14138" t="str">
        <f>"-0.4"</f>
        <v>-0.4</v>
      </c>
      <c r="C14138" t="str">
        <f>"19"</f>
        <v>19</v>
      </c>
      <c r="D14138" t="str">
        <f>"Kabukimono"</f>
        <v>Kabukimono</v>
      </c>
    </row>
    <row r="14139" spans="1:4" x14ac:dyDescent="0.2">
      <c r="A14139" t="str">
        <f>"14138"</f>
        <v>14138</v>
      </c>
      <c r="B14139" t="str">
        <f>"1.07"</f>
        <v>1.07</v>
      </c>
      <c r="C14139" t="str">
        <f>"22"</f>
        <v>22</v>
      </c>
      <c r="D14139" t="str">
        <f>"Apple's Acre"</f>
        <v>Apple's Acre</v>
      </c>
    </row>
    <row r="14140" spans="1:4" x14ac:dyDescent="0.2">
      <c r="A14140" t="str">
        <f>"14139"</f>
        <v>14139</v>
      </c>
      <c r="B14140" t="str">
        <f>"0.03"</f>
        <v>0.03</v>
      </c>
      <c r="C14140" t="str">
        <f>"38"</f>
        <v>38</v>
      </c>
      <c r="D14140" t="str">
        <f>"No One's First and You're Next"</f>
        <v>No One's First and You're Next</v>
      </c>
    </row>
    <row r="14141" spans="1:4" x14ac:dyDescent="0.2">
      <c r="A14141" t="str">
        <f>"14140"</f>
        <v>14140</v>
      </c>
      <c r="B14141" t="str">
        <f>"0.96"</f>
        <v>0.96</v>
      </c>
      <c r="C14141" t="str">
        <f>"20"</f>
        <v>20</v>
      </c>
      <c r="D14141" t="str">
        <f>"The Ruminant Band"</f>
        <v>The Ruminant Band</v>
      </c>
    </row>
    <row r="14142" spans="1:4" x14ac:dyDescent="0.2">
      <c r="A14142" t="str">
        <f>"14141"</f>
        <v>14141</v>
      </c>
      <c r="B14142" t="str">
        <f>"-0.03"</f>
        <v>-0.03</v>
      </c>
      <c r="C14142" t="str">
        <f>"25"</f>
        <v>25</v>
      </c>
      <c r="D14142" t="str">
        <f>"Love and Curses"</f>
        <v>Love and Curses</v>
      </c>
    </row>
    <row r="14143" spans="1:4" x14ac:dyDescent="0.2">
      <c r="A14143" t="str">
        <f>"14142"</f>
        <v>14142</v>
      </c>
      <c r="B14143" t="str">
        <f>"-0.14"</f>
        <v>-0.14</v>
      </c>
      <c r="C14143" t="str">
        <f>"22"</f>
        <v>22</v>
      </c>
      <c r="D14143" t="str">
        <f>"Music For Falling From Trees"</f>
        <v>Music For Falling From Trees</v>
      </c>
    </row>
    <row r="14144" spans="1:4" x14ac:dyDescent="0.2">
      <c r="A14144" t="str">
        <f>"14143"</f>
        <v>14143</v>
      </c>
      <c r="B14144" t="str">
        <f>"0.9"</f>
        <v>0.9</v>
      </c>
      <c r="C14144" t="str">
        <f>"24"</f>
        <v>24</v>
      </c>
      <c r="D14144" t="str">
        <f>"Kesämaan Lapset"</f>
        <v>Kesämaan Lapset</v>
      </c>
    </row>
    <row r="14145" spans="1:4" x14ac:dyDescent="0.2">
      <c r="A14145" t="str">
        <f>"14144"</f>
        <v>14144</v>
      </c>
      <c r="B14145" t="str">
        <f>"-0.45"</f>
        <v>-0.45</v>
      </c>
      <c r="C14145" t="str">
        <f>"23"</f>
        <v>23</v>
      </c>
      <c r="D14145" t="str">
        <f>"Julian Plenti Is... Skyscraper"</f>
        <v>Julian Plenti Is... Skyscraper</v>
      </c>
    </row>
    <row r="14146" spans="1:4" x14ac:dyDescent="0.2">
      <c r="A14146" t="str">
        <f>"14145"</f>
        <v>14145</v>
      </c>
      <c r="B14146" t="str">
        <f>"-0.55"</f>
        <v>-0.55</v>
      </c>
      <c r="C14146" t="str">
        <f>"50"</f>
        <v>50</v>
      </c>
      <c r="D14146" t="str">
        <f>"Hymn to the Immortal Wind"</f>
        <v>Hymn to the Immortal Wind</v>
      </c>
    </row>
    <row r="14147" spans="1:4" x14ac:dyDescent="0.2">
      <c r="A14147" t="str">
        <f>"14146"</f>
        <v>14146</v>
      </c>
      <c r="B14147" t="str">
        <f>"0.03"</f>
        <v>0.03</v>
      </c>
      <c r="C14147" t="str">
        <f>"18"</f>
        <v>18</v>
      </c>
      <c r="D14147" t="str">
        <f>"The Strange Boys and Girls Club"</f>
        <v>The Strange Boys and Girls Club</v>
      </c>
    </row>
    <row r="14148" spans="1:4" x14ac:dyDescent="0.2">
      <c r="A14148" t="str">
        <f>"14147"</f>
        <v>14147</v>
      </c>
      <c r="B14148" t="str">
        <f>"0.79"</f>
        <v>0.79</v>
      </c>
      <c r="C14148" t="str">
        <f>"24"</f>
        <v>24</v>
      </c>
      <c r="D14148" t="s">
        <v>441</v>
      </c>
    </row>
    <row r="14149" spans="1:4" x14ac:dyDescent="0.2">
      <c r="A14149" t="str">
        <f>"14148"</f>
        <v>14148</v>
      </c>
      <c r="B14149" t="str">
        <f>"-1.07"</f>
        <v>-1.07</v>
      </c>
      <c r="C14149" t="str">
        <f>"28"</f>
        <v>28</v>
      </c>
      <c r="D14149" t="str">
        <f>"History of the Units"</f>
        <v>History of the Units</v>
      </c>
    </row>
    <row r="14150" spans="1:4" x14ac:dyDescent="0.2">
      <c r="A14150" t="str">
        <f>"14149"</f>
        <v>14149</v>
      </c>
      <c r="B14150" t="str">
        <f>"-0.35"</f>
        <v>-0.35</v>
      </c>
      <c r="C14150" t="str">
        <f>"50"</f>
        <v>50</v>
      </c>
      <c r="D14150" t="str">
        <f>"Midlife: A Beginner's Guide to Blur"</f>
        <v>Midlife: A Beginner's Guide to Blur</v>
      </c>
    </row>
    <row r="14151" spans="1:4" x14ac:dyDescent="0.2">
      <c r="A14151" t="str">
        <f>"14150"</f>
        <v>14150</v>
      </c>
      <c r="B14151" t="str">
        <f>"-0.74"</f>
        <v>-0.74</v>
      </c>
      <c r="C14151" t="str">
        <f>"17"</f>
        <v>17</v>
      </c>
      <c r="D14151" t="str">
        <f>"Hard Islands"</f>
        <v>Hard Islands</v>
      </c>
    </row>
    <row r="14152" spans="1:4" x14ac:dyDescent="0.2">
      <c r="A14152" t="str">
        <f>"14151"</f>
        <v>14151</v>
      </c>
      <c r="B14152" t="str">
        <f>"-1.36"</f>
        <v>-1.36</v>
      </c>
      <c r="C14152" t="str">
        <f>"47"</f>
        <v>47</v>
      </c>
      <c r="D14152" t="str">
        <f>"Clean Hands Go Foul"</f>
        <v>Clean Hands Go Foul</v>
      </c>
    </row>
    <row r="14153" spans="1:4" x14ac:dyDescent="0.2">
      <c r="A14153" t="str">
        <f>"14152"</f>
        <v>14152</v>
      </c>
      <c r="B14153" t="str">
        <f>"0.01"</f>
        <v>0.01</v>
      </c>
      <c r="C14153" t="str">
        <f>"21"</f>
        <v>21</v>
      </c>
      <c r="D14153" t="str">
        <f>"Jamz n Jemz"</f>
        <v>Jamz n Jemz</v>
      </c>
    </row>
    <row r="14154" spans="1:4" x14ac:dyDescent="0.2">
      <c r="A14154" t="str">
        <f>"14153"</f>
        <v>14153</v>
      </c>
      <c r="B14154" t="str">
        <f>"1.14"</f>
        <v>1.14</v>
      </c>
      <c r="C14154" t="str">
        <f>"20"</f>
        <v>20</v>
      </c>
      <c r="D14154" t="str">
        <f>"Paint the Fence Invisible"</f>
        <v>Paint the Fence Invisible</v>
      </c>
    </row>
    <row r="14155" spans="1:4" x14ac:dyDescent="0.2">
      <c r="A14155" t="str">
        <f>"14154"</f>
        <v>14154</v>
      </c>
      <c r="B14155" t="str">
        <f>"1.43"</f>
        <v>1.43</v>
      </c>
      <c r="C14155" t="str">
        <f>"32"</f>
        <v>32</v>
      </c>
      <c r="D14155" t="str">
        <f>"The Magic Couple"</f>
        <v>The Magic Couple</v>
      </c>
    </row>
    <row r="14156" spans="1:4" x14ac:dyDescent="0.2">
      <c r="A14156" t="str">
        <f>"14155"</f>
        <v>14155</v>
      </c>
      <c r="B14156" t="str">
        <f>"0.94"</f>
        <v>0.94</v>
      </c>
      <c r="C14156" t="str">
        <f>"25"</f>
        <v>25</v>
      </c>
      <c r="D14156" t="str">
        <f>"My World"</f>
        <v>My World</v>
      </c>
    </row>
    <row r="14157" spans="1:4" x14ac:dyDescent="0.2">
      <c r="A14157" t="str">
        <f>"14156"</f>
        <v>14156</v>
      </c>
      <c r="B14157" t="str">
        <f>"0.54"</f>
        <v>0.54</v>
      </c>
      <c r="C14157" t="str">
        <f>"30"</f>
        <v>30</v>
      </c>
      <c r="D14157" t="str">
        <f>"Saskamodie"</f>
        <v>Saskamodie</v>
      </c>
    </row>
    <row r="14158" spans="1:4" x14ac:dyDescent="0.2">
      <c r="A14158" t="str">
        <f>"14157"</f>
        <v>14157</v>
      </c>
      <c r="B14158" t="str">
        <f>"1.27"</f>
        <v>1.27</v>
      </c>
      <c r="C14158" t="str">
        <f>"21"</f>
        <v>21</v>
      </c>
      <c r="D14158" t="str">
        <f>"Tuota Tuota"</f>
        <v>Tuota Tuota</v>
      </c>
    </row>
    <row r="14159" spans="1:4" x14ac:dyDescent="0.2">
      <c r="A14159" t="str">
        <f>"14158"</f>
        <v>14158</v>
      </c>
      <c r="B14159" t="str">
        <f>"-0.25"</f>
        <v>-0.25</v>
      </c>
      <c r="C14159" t="str">
        <f>"16"</f>
        <v>16</v>
      </c>
      <c r="D14159" t="str">
        <f>"Arecibo Message"</f>
        <v>Arecibo Message</v>
      </c>
    </row>
    <row r="14160" spans="1:4" x14ac:dyDescent="0.2">
      <c r="A14160" t="str">
        <f>"14159"</f>
        <v>14159</v>
      </c>
      <c r="B14160" t="str">
        <f>"0.83"</f>
        <v>0.83</v>
      </c>
      <c r="C14160" t="str">
        <f>"39"</f>
        <v>39</v>
      </c>
      <c r="D14160" t="str">
        <f>"Ayrton Senna EP"</f>
        <v>Ayrton Senna EP</v>
      </c>
    </row>
    <row r="14161" spans="1:4" x14ac:dyDescent="0.2">
      <c r="A14161" t="str">
        <f>"14160"</f>
        <v>14160</v>
      </c>
      <c r="B14161" t="str">
        <f>"0.09"</f>
        <v>0.09</v>
      </c>
      <c r="C14161" t="str">
        <f>"25"</f>
        <v>25</v>
      </c>
      <c r="D14161" t="str">
        <f>"Lovetune for Vacuum"</f>
        <v>Lovetune for Vacuum</v>
      </c>
    </row>
    <row r="14162" spans="1:4" x14ac:dyDescent="0.2">
      <c r="A14162" t="str">
        <f>"14161"</f>
        <v>14161</v>
      </c>
      <c r="B14162" t="str">
        <f>"-0.24"</f>
        <v>-0.24</v>
      </c>
      <c r="C14162" t="str">
        <f>"29"</f>
        <v>29</v>
      </c>
      <c r="D14162" t="str">
        <f>"Rewild"</f>
        <v>Rewild</v>
      </c>
    </row>
    <row r="14163" spans="1:4" x14ac:dyDescent="0.2">
      <c r="A14163" t="str">
        <f>"14162"</f>
        <v>14162</v>
      </c>
      <c r="B14163" t="str">
        <f>"-0.74"</f>
        <v>-0.74</v>
      </c>
      <c r="C14163" t="str">
        <f>"16"</f>
        <v>16</v>
      </c>
      <c r="D14163" t="s">
        <v>442</v>
      </c>
    </row>
    <row r="14164" spans="1:4" x14ac:dyDescent="0.2">
      <c r="A14164" t="str">
        <f>"14163"</f>
        <v>14163</v>
      </c>
      <c r="B14164" t="str">
        <f>"0.18"</f>
        <v>0.18</v>
      </c>
      <c r="C14164" t="str">
        <f>"19"</f>
        <v>19</v>
      </c>
      <c r="D14164" t="str">
        <f>"El Radio"</f>
        <v>El Radio</v>
      </c>
    </row>
    <row r="14165" spans="1:4" x14ac:dyDescent="0.2">
      <c r="A14165" t="str">
        <f>"14164"</f>
        <v>14164</v>
      </c>
      <c r="B14165" t="str">
        <f>"0.22"</f>
        <v>0.22</v>
      </c>
      <c r="C14165" t="str">
        <f>"37"</f>
        <v>37</v>
      </c>
      <c r="D14165" t="str">
        <f>"L.A. EP 3 X 3"</f>
        <v>L.A. EP 3 X 3</v>
      </c>
    </row>
    <row r="14166" spans="1:4" x14ac:dyDescent="0.2">
      <c r="A14166" t="str">
        <f>"14165"</f>
        <v>14165</v>
      </c>
      <c r="B14166" t="str">
        <f>"1.32"</f>
        <v>1.32</v>
      </c>
      <c r="C14166" t="str">
        <f>"35"</f>
        <v>35</v>
      </c>
      <c r="D14166" t="str">
        <f>"Blue Roses"</f>
        <v>Blue Roses</v>
      </c>
    </row>
    <row r="14167" spans="1:4" x14ac:dyDescent="0.2">
      <c r="A14167" t="str">
        <f>"14166"</f>
        <v>14166</v>
      </c>
      <c r="B14167" t="str">
        <f>"0.53"</f>
        <v>0.53</v>
      </c>
      <c r="C14167" t="str">
        <f>"17"</f>
        <v>17</v>
      </c>
      <c r="D14167" t="str">
        <f>"Seya"</f>
        <v>Seya</v>
      </c>
    </row>
    <row r="14168" spans="1:4" x14ac:dyDescent="0.2">
      <c r="A14168" t="str">
        <f>"14167"</f>
        <v>14167</v>
      </c>
      <c r="B14168" t="str">
        <f>"-0.64"</f>
        <v>-0.64</v>
      </c>
      <c r="C14168" t="str">
        <f>"31"</f>
        <v>31</v>
      </c>
      <c r="D14168" t="str">
        <f>"He Was King"</f>
        <v>He Was King</v>
      </c>
    </row>
    <row r="14169" spans="1:4" x14ac:dyDescent="0.2">
      <c r="A14169" t="str">
        <f>"14168"</f>
        <v>14168</v>
      </c>
      <c r="B14169" t="str">
        <f>"0.04"</f>
        <v>0.04</v>
      </c>
      <c r="C14169" t="str">
        <f>"26"</f>
        <v>26</v>
      </c>
      <c r="D14169" t="str">
        <f>"Winter Hill"</f>
        <v>Winter Hill</v>
      </c>
    </row>
    <row r="14170" spans="1:4" x14ac:dyDescent="0.2">
      <c r="A14170" t="str">
        <f>"14169"</f>
        <v>14169</v>
      </c>
      <c r="B14170" t="str">
        <f>"-0.05"</f>
        <v>-0.05</v>
      </c>
      <c r="C14170" t="str">
        <f>"27"</f>
        <v>27</v>
      </c>
      <c r="D14170" t="s">
        <v>443</v>
      </c>
    </row>
    <row r="14171" spans="1:4" x14ac:dyDescent="0.2">
      <c r="A14171" t="str">
        <f>"14170"</f>
        <v>14170</v>
      </c>
      <c r="B14171" t="str">
        <f>"0.41"</f>
        <v>0.41</v>
      </c>
      <c r="C14171" t="str">
        <f>"20"</f>
        <v>20</v>
      </c>
      <c r="D14171" t="s">
        <v>444</v>
      </c>
    </row>
    <row r="14172" spans="1:4" x14ac:dyDescent="0.2">
      <c r="A14172" t="str">
        <f>"14171"</f>
        <v>14171</v>
      </c>
      <c r="B14172" t="str">
        <f>"0.04"</f>
        <v>0.04</v>
      </c>
      <c r="C14172" t="str">
        <f>"46"</f>
        <v>46</v>
      </c>
      <c r="D14172" t="str">
        <f>"Confiote de Bits: A Remix Collection"</f>
        <v>Confiote de Bits: A Remix Collection</v>
      </c>
    </row>
    <row r="14173" spans="1:4" x14ac:dyDescent="0.2">
      <c r="A14173" t="str">
        <f>"14172"</f>
        <v>14172</v>
      </c>
      <c r="B14173" t="str">
        <f>"0.77"</f>
        <v>0.77</v>
      </c>
      <c r="C14173" t="str">
        <f>"21"</f>
        <v>21</v>
      </c>
      <c r="D14173" t="str">
        <f>"The Satanic Satanist"</f>
        <v>The Satanic Satanist</v>
      </c>
    </row>
    <row r="14174" spans="1:4" x14ac:dyDescent="0.2">
      <c r="A14174" t="str">
        <f>"14173"</f>
        <v>14173</v>
      </c>
      <c r="B14174" t="str">
        <f>"1.06"</f>
        <v>1.06</v>
      </c>
      <c r="C14174" t="str">
        <f>"18"</f>
        <v>18</v>
      </c>
      <c r="D14174" t="str">
        <f>"Local Flavor"</f>
        <v>Local Flavor</v>
      </c>
    </row>
    <row r="14175" spans="1:4" x14ac:dyDescent="0.2">
      <c r="A14175" t="str">
        <f>"14174"</f>
        <v>14174</v>
      </c>
      <c r="B14175" t="str">
        <f>"0.26"</f>
        <v>0.26</v>
      </c>
      <c r="C14175" t="str">
        <f>"26"</f>
        <v>26</v>
      </c>
      <c r="D14175" t="str">
        <f>"Person to Person"</f>
        <v>Person to Person</v>
      </c>
    </row>
    <row r="14176" spans="1:4" x14ac:dyDescent="0.2">
      <c r="A14176" t="str">
        <f>"14175"</f>
        <v>14175</v>
      </c>
      <c r="B14176" t="str">
        <f>"0.51"</f>
        <v>0.51</v>
      </c>
      <c r="C14176" t="str">
        <f>"29"</f>
        <v>29</v>
      </c>
      <c r="D14176" t="str">
        <f>"The Best B Sides Ever"</f>
        <v>The Best B Sides Ever</v>
      </c>
    </row>
    <row r="14177" spans="1:4" x14ac:dyDescent="0.2">
      <c r="A14177" t="str">
        <f>"14176"</f>
        <v>14176</v>
      </c>
      <c r="B14177" t="str">
        <f>"1.61"</f>
        <v>1.61</v>
      </c>
      <c r="C14177" t="str">
        <f>"19"</f>
        <v>19</v>
      </c>
      <c r="D14177" t="str">
        <f>"Radio Wars"</f>
        <v>Radio Wars</v>
      </c>
    </row>
    <row r="14178" spans="1:4" x14ac:dyDescent="0.2">
      <c r="A14178" t="str">
        <f>"14177"</f>
        <v>14177</v>
      </c>
      <c r="B14178" t="str">
        <f>"1"</f>
        <v>1</v>
      </c>
      <c r="C14178" t="str">
        <f>"22"</f>
        <v>22</v>
      </c>
      <c r="D14178" t="str">
        <f>"Of the Cathmawr Yards"</f>
        <v>Of the Cathmawr Yards</v>
      </c>
    </row>
    <row r="14179" spans="1:4" x14ac:dyDescent="0.2">
      <c r="A14179" t="str">
        <f>"14178"</f>
        <v>14178</v>
      </c>
      <c r="B14179" t="str">
        <f>"0.05"</f>
        <v>0.05</v>
      </c>
      <c r="C14179" t="str">
        <f>"17"</f>
        <v>17</v>
      </c>
      <c r="D14179" t="str">
        <f>"Eugene McGuinness"</f>
        <v>Eugene McGuinness</v>
      </c>
    </row>
    <row r="14180" spans="1:4" x14ac:dyDescent="0.2">
      <c r="A14180" t="str">
        <f>"14179"</f>
        <v>14179</v>
      </c>
      <c r="B14180" t="str">
        <f>"1.02"</f>
        <v>1.02</v>
      </c>
      <c r="C14180" t="str">
        <f>"30"</f>
        <v>30</v>
      </c>
      <c r="D14180" t="str">
        <f>"I'm Going Away"</f>
        <v>I'm Going Away</v>
      </c>
    </row>
    <row r="14181" spans="1:4" x14ac:dyDescent="0.2">
      <c r="A14181" t="str">
        <f>"14180"</f>
        <v>14180</v>
      </c>
      <c r="B14181" t="str">
        <f>"-0.08"</f>
        <v>-0.08</v>
      </c>
      <c r="C14181" t="str">
        <f>"20"</f>
        <v>20</v>
      </c>
      <c r="D14181" t="str">
        <f>"Mutually Arising"</f>
        <v>Mutually Arising</v>
      </c>
    </row>
    <row r="14182" spans="1:4" x14ac:dyDescent="0.2">
      <c r="A14182" t="str">
        <f>"14181"</f>
        <v>14181</v>
      </c>
      <c r="B14182" t="str">
        <f>"0.28"</f>
        <v>0.28</v>
      </c>
      <c r="C14182" t="str">
        <f>"22"</f>
        <v>22</v>
      </c>
      <c r="D14182" t="str">
        <f>"Georgiavania"</f>
        <v>Georgiavania</v>
      </c>
    </row>
    <row r="14183" spans="1:4" x14ac:dyDescent="0.2">
      <c r="A14183" t="str">
        <f>"14182"</f>
        <v>14182</v>
      </c>
      <c r="B14183" t="str">
        <f>"-1"</f>
        <v>-1</v>
      </c>
      <c r="C14183" t="str">
        <f>"24"</f>
        <v>24</v>
      </c>
      <c r="D14183" t="str">
        <f>"Lessons in the Woods or a City"</f>
        <v>Lessons in the Woods or a City</v>
      </c>
    </row>
    <row r="14184" spans="1:4" x14ac:dyDescent="0.2">
      <c r="A14184" t="str">
        <f>"14183"</f>
        <v>14183</v>
      </c>
      <c r="B14184" t="str">
        <f>"0.6"</f>
        <v>0.6</v>
      </c>
      <c r="C14184" t="str">
        <f>"25"</f>
        <v>25</v>
      </c>
      <c r="D14184" t="str">
        <f>"Sacred Psalms"</f>
        <v>Sacred Psalms</v>
      </c>
    </row>
    <row r="14185" spans="1:4" x14ac:dyDescent="0.2">
      <c r="A14185" t="str">
        <f>"14184"</f>
        <v>14184</v>
      </c>
      <c r="B14185" t="str">
        <f>"0.07"</f>
        <v>0.07</v>
      </c>
      <c r="C14185" t="str">
        <f>"29"</f>
        <v>29</v>
      </c>
      <c r="D14185" t="str">
        <f>"Josephine"</f>
        <v>Josephine</v>
      </c>
    </row>
    <row r="14186" spans="1:4" x14ac:dyDescent="0.2">
      <c r="A14186" t="str">
        <f>"14185"</f>
        <v>14185</v>
      </c>
      <c r="B14186" t="str">
        <f>"0.54"</f>
        <v>0.54</v>
      </c>
      <c r="C14186" t="str">
        <f>"26"</f>
        <v>26</v>
      </c>
      <c r="D14186" t="str">
        <f>"The Knot"</f>
        <v>The Knot</v>
      </c>
    </row>
    <row r="14187" spans="1:4" x14ac:dyDescent="0.2">
      <c r="A14187" t="str">
        <f>"14186"</f>
        <v>14186</v>
      </c>
      <c r="B14187" t="str">
        <f>"1.15"</f>
        <v>1.15</v>
      </c>
      <c r="C14187" t="str">
        <f>"33"</f>
        <v>33</v>
      </c>
      <c r="D14187" t="str">
        <f>"Rites"</f>
        <v>Rites</v>
      </c>
    </row>
    <row r="14188" spans="1:4" x14ac:dyDescent="0.2">
      <c r="A14188" t="str">
        <f>"14187"</f>
        <v>14187</v>
      </c>
      <c r="B14188" t="str">
        <f>"0.28"</f>
        <v>0.28</v>
      </c>
      <c r="C14188" t="str">
        <f>"23"</f>
        <v>23</v>
      </c>
      <c r="D14188" t="str">
        <f>"Dabke 2020: Folk and Pop Sounds of Syria"</f>
        <v>Dabke 2020: Folk and Pop Sounds of Syria</v>
      </c>
    </row>
    <row r="14189" spans="1:4" x14ac:dyDescent="0.2">
      <c r="A14189" t="str">
        <f>"14188"</f>
        <v>14188</v>
      </c>
      <c r="B14189" t="str">
        <f>"-0.13"</f>
        <v>-0.13</v>
      </c>
      <c r="C14189" t="str">
        <f>"29"</f>
        <v>29</v>
      </c>
      <c r="D14189" t="str">
        <f>"To Win or to Lose"</f>
        <v>To Win or to Lose</v>
      </c>
    </row>
    <row r="14190" spans="1:4" x14ac:dyDescent="0.2">
      <c r="A14190" t="str">
        <f>"14189"</f>
        <v>14189</v>
      </c>
      <c r="B14190" t="str">
        <f>"0.26"</f>
        <v>0.26</v>
      </c>
      <c r="C14190" t="str">
        <f>"25"</f>
        <v>25</v>
      </c>
      <c r="D14190" t="str">
        <f>"Riceboy Sleeps"</f>
        <v>Riceboy Sleeps</v>
      </c>
    </row>
    <row r="14191" spans="1:4" x14ac:dyDescent="0.2">
      <c r="A14191" t="str">
        <f>"14190"</f>
        <v>14190</v>
      </c>
      <c r="B14191" t="str">
        <f>"-0.1"</f>
        <v>-0.1</v>
      </c>
      <c r="C14191" t="str">
        <f>"43"</f>
        <v>43</v>
      </c>
      <c r="D14191" t="str">
        <f>"Totems Flare"</f>
        <v>Totems Flare</v>
      </c>
    </row>
    <row r="14192" spans="1:4" x14ac:dyDescent="0.2">
      <c r="A14192" t="str">
        <f>"14191"</f>
        <v>14191</v>
      </c>
      <c r="B14192" t="str">
        <f>"-1.72"</f>
        <v>-1.72</v>
      </c>
      <c r="C14192" t="str">
        <f>"31"</f>
        <v>31</v>
      </c>
      <c r="D14192" t="str">
        <f>"Always Wrong"</f>
        <v>Always Wrong</v>
      </c>
    </row>
    <row r="14193" spans="1:4" x14ac:dyDescent="0.2">
      <c r="A14193" t="str">
        <f>"14192"</f>
        <v>14192</v>
      </c>
      <c r="B14193" t="str">
        <f>"1.32"</f>
        <v>1.32</v>
      </c>
      <c r="C14193" t="str">
        <f>"19"</f>
        <v>19</v>
      </c>
      <c r="D14193" t="str">
        <f>"Change Remains"</f>
        <v>Change Remains</v>
      </c>
    </row>
    <row r="14194" spans="1:4" x14ac:dyDescent="0.2">
      <c r="A14194" t="str">
        <f>"14193"</f>
        <v>14193</v>
      </c>
      <c r="B14194" t="str">
        <f>"0.47"</f>
        <v>0.47</v>
      </c>
      <c r="C14194" t="str">
        <f>"45"</f>
        <v>45</v>
      </c>
      <c r="D14194" t="str">
        <f>"Blood Oath"</f>
        <v>Blood Oath</v>
      </c>
    </row>
    <row r="14195" spans="1:4" x14ac:dyDescent="0.2">
      <c r="A14195" t="str">
        <f>"14194"</f>
        <v>14194</v>
      </c>
      <c r="B14195" t="str">
        <f>"0.48"</f>
        <v>0.48</v>
      </c>
      <c r="C14195" t="str">
        <f>"28"</f>
        <v>28</v>
      </c>
      <c r="D14195" t="str">
        <f>"jj n° 2"</f>
        <v>jj n° 2</v>
      </c>
    </row>
    <row r="14196" spans="1:4" x14ac:dyDescent="0.2">
      <c r="A14196" t="str">
        <f>"14195"</f>
        <v>14195</v>
      </c>
      <c r="B14196" t="str">
        <f>"0.72"</f>
        <v>0.72</v>
      </c>
      <c r="C14196" t="str">
        <f>"21"</f>
        <v>21</v>
      </c>
      <c r="D14196" t="str">
        <f>"Ty Segall"</f>
        <v>Ty Segall</v>
      </c>
    </row>
    <row r="14197" spans="1:4" x14ac:dyDescent="0.2">
      <c r="A14197" t="str">
        <f>"14196"</f>
        <v>14196</v>
      </c>
      <c r="B14197" t="str">
        <f>"0.01"</f>
        <v>0.01</v>
      </c>
      <c r="C14197" t="str">
        <f>"28"</f>
        <v>28</v>
      </c>
      <c r="D14197" t="str">
        <f>"Chemical Warfare"</f>
        <v>Chemical Warfare</v>
      </c>
    </row>
    <row r="14198" spans="1:4" x14ac:dyDescent="0.2">
      <c r="A14198" t="str">
        <f>"14197"</f>
        <v>14197</v>
      </c>
      <c r="B14198" t="str">
        <f>"-1.53"</f>
        <v>-1.53</v>
      </c>
      <c r="C14198" t="str">
        <f>"42"</f>
        <v>42</v>
      </c>
      <c r="D14198" t="str">
        <f>"The Great Cessation"</f>
        <v>The Great Cessation</v>
      </c>
    </row>
    <row r="14199" spans="1:4" x14ac:dyDescent="0.2">
      <c r="A14199" t="str">
        <f>"14198"</f>
        <v>14198</v>
      </c>
      <c r="B14199" t="str">
        <f>"-1.5"</f>
        <v>-1.5</v>
      </c>
      <c r="C14199" t="str">
        <f>"28"</f>
        <v>28</v>
      </c>
      <c r="D14199" t="str">
        <f>"Until the Earth Begins to Part"</f>
        <v>Until the Earth Begins to Part</v>
      </c>
    </row>
    <row r="14200" spans="1:4" x14ac:dyDescent="0.2">
      <c r="A14200" t="str">
        <f>"14199"</f>
        <v>14199</v>
      </c>
      <c r="B14200" t="str">
        <f>"1.02"</f>
        <v>1.02</v>
      </c>
      <c r="C14200" t="str">
        <f>"34"</f>
        <v>34</v>
      </c>
      <c r="D14200" t="s">
        <v>445</v>
      </c>
    </row>
    <row r="14201" spans="1:4" x14ac:dyDescent="0.2">
      <c r="A14201" t="str">
        <f>"14200"</f>
        <v>14200</v>
      </c>
      <c r="B14201" t="str">
        <f>"0.25"</f>
        <v>0.25</v>
      </c>
      <c r="C14201" t="str">
        <f>"46"</f>
        <v>46</v>
      </c>
      <c r="D14201" t="str">
        <f>"Rated O"</f>
        <v>Rated O</v>
      </c>
    </row>
    <row r="14202" spans="1:4" x14ac:dyDescent="0.2">
      <c r="A14202" t="str">
        <f>"14201"</f>
        <v>14201</v>
      </c>
      <c r="B14202" t="str">
        <f>"-0.47"</f>
        <v>-0.47</v>
      </c>
      <c r="C14202" t="str">
        <f>"26"</f>
        <v>26</v>
      </c>
      <c r="D14202" t="str">
        <f>"Gorgeous Johnny"</f>
        <v>Gorgeous Johnny</v>
      </c>
    </row>
    <row r="14203" spans="1:4" x14ac:dyDescent="0.2">
      <c r="A14203" t="str">
        <f>"14202"</f>
        <v>14202</v>
      </c>
      <c r="B14203" t="str">
        <f>"0.54"</f>
        <v>0.54</v>
      </c>
      <c r="C14203" t="str">
        <f>"33"</f>
        <v>33</v>
      </c>
      <c r="D14203" t="str">
        <f>"Collaboratory"</f>
        <v>Collaboratory</v>
      </c>
    </row>
    <row r="14204" spans="1:4" x14ac:dyDescent="0.2">
      <c r="A14204" t="str">
        <f>"14203"</f>
        <v>14203</v>
      </c>
      <c r="B14204" t="str">
        <f>"-0.65"</f>
        <v>-0.65</v>
      </c>
      <c r="C14204" t="str">
        <f>"17"</f>
        <v>17</v>
      </c>
      <c r="D14204" t="str">
        <f>"Lord Cut-Glass"</f>
        <v>Lord Cut-Glass</v>
      </c>
    </row>
    <row r="14205" spans="1:4" x14ac:dyDescent="0.2">
      <c r="A14205" t="str">
        <f>"14204"</f>
        <v>14204</v>
      </c>
      <c r="B14205" t="str">
        <f>"0.87"</f>
        <v>0.87</v>
      </c>
      <c r="C14205" t="str">
        <f>"39"</f>
        <v>39</v>
      </c>
      <c r="D14205" t="str">
        <f>"Voltaic"</f>
        <v>Voltaic</v>
      </c>
    </row>
    <row r="14206" spans="1:4" x14ac:dyDescent="0.2">
      <c r="A14206" t="str">
        <f>"14205"</f>
        <v>14205</v>
      </c>
      <c r="B14206" t="str">
        <f>"-0.53"</f>
        <v>-0.53</v>
      </c>
      <c r="C14206" t="str">
        <f>"24"</f>
        <v>24</v>
      </c>
      <c r="D14206" t="str">
        <f>"VH1 Storytellers"</f>
        <v>VH1 Storytellers</v>
      </c>
    </row>
    <row r="14207" spans="1:4" x14ac:dyDescent="0.2">
      <c r="A14207" t="str">
        <f>"14206"</f>
        <v>14206</v>
      </c>
      <c r="B14207" t="str">
        <f>"1.05"</f>
        <v>1.05</v>
      </c>
      <c r="C14207" t="str">
        <f>"34"</f>
        <v>34</v>
      </c>
      <c r="D14207" t="str">
        <f>"Legends of Benin"</f>
        <v>Legends of Benin</v>
      </c>
    </row>
    <row r="14208" spans="1:4" x14ac:dyDescent="0.2">
      <c r="A14208" t="str">
        <f>"14207"</f>
        <v>14207</v>
      </c>
      <c r="B14208" t="str">
        <f>"0.06"</f>
        <v>0.06</v>
      </c>
      <c r="C14208" t="str">
        <f>"18"</f>
        <v>18</v>
      </c>
      <c r="D14208" t="str">
        <f>"Azar"</f>
        <v>Azar</v>
      </c>
    </row>
    <row r="14209" spans="1:4" x14ac:dyDescent="0.2">
      <c r="A14209" t="str">
        <f>"14208"</f>
        <v>14208</v>
      </c>
      <c r="B14209" t="str">
        <f>"0.49"</f>
        <v>0.49</v>
      </c>
      <c r="C14209" t="str">
        <f>"25"</f>
        <v>25</v>
      </c>
      <c r="D14209" t="str">
        <f>"A Lovely Sight"</f>
        <v>A Lovely Sight</v>
      </c>
    </row>
    <row r="14210" spans="1:4" x14ac:dyDescent="0.2">
      <c r="A14210" t="str">
        <f>"14209"</f>
        <v>14209</v>
      </c>
      <c r="B14210" t="str">
        <f>"0.96"</f>
        <v>0.96</v>
      </c>
      <c r="C14210" t="str">
        <f>"33"</f>
        <v>33</v>
      </c>
      <c r="D14210" t="str">
        <f>"Ill Communication [Deluxe Edition]"</f>
        <v>Ill Communication [Deluxe Edition]</v>
      </c>
    </row>
    <row r="14211" spans="1:4" x14ac:dyDescent="0.2">
      <c r="A14211" t="str">
        <f>"14210"</f>
        <v>14210</v>
      </c>
      <c r="B14211" t="str">
        <f>"-0.01"</f>
        <v>-0.01</v>
      </c>
      <c r="C14211" t="str">
        <f>"35"</f>
        <v>35</v>
      </c>
      <c r="D14211" t="str">
        <f>"...And the Ever Expanding Universe"</f>
        <v>...And the Ever Expanding Universe</v>
      </c>
    </row>
    <row r="14212" spans="1:4" x14ac:dyDescent="0.2">
      <c r="A14212" t="str">
        <f>"14211"</f>
        <v>14211</v>
      </c>
      <c r="B14212" t="str">
        <f>"0.37"</f>
        <v>0.37</v>
      </c>
      <c r="C14212" t="str">
        <f>"41"</f>
        <v>41</v>
      </c>
      <c r="D14212" t="str">
        <f>"Till Makabert Väsen"</f>
        <v>Till Makabert Väsen</v>
      </c>
    </row>
    <row r="14213" spans="1:4" x14ac:dyDescent="0.2">
      <c r="A14213" t="str">
        <f>"14212"</f>
        <v>14212</v>
      </c>
      <c r="B14213" t="str">
        <f>"-0.57"</f>
        <v>-0.57</v>
      </c>
      <c r="C14213" t="str">
        <f>"19"</f>
        <v>19</v>
      </c>
      <c r="D14213" t="str">
        <f>"Hustle Beach"</f>
        <v>Hustle Beach</v>
      </c>
    </row>
    <row r="14214" spans="1:4" x14ac:dyDescent="0.2">
      <c r="A14214" t="str">
        <f>"14213"</f>
        <v>14213</v>
      </c>
      <c r="B14214" t="str">
        <f>"0.14"</f>
        <v>0.14</v>
      </c>
      <c r="C14214" t="str">
        <f>"16"</f>
        <v>16</v>
      </c>
      <c r="D14214" t="str">
        <f>"The Stars Are Out"</f>
        <v>The Stars Are Out</v>
      </c>
    </row>
    <row r="14215" spans="1:4" x14ac:dyDescent="0.2">
      <c r="A14215" t="str">
        <f>"14214"</f>
        <v>14214</v>
      </c>
      <c r="B14215" t="str">
        <f>"-0.68"</f>
        <v>-0.68</v>
      </c>
      <c r="C14215" t="str">
        <f>"29"</f>
        <v>29</v>
      </c>
      <c r="D14215" t="str">
        <f>"Horehound"</f>
        <v>Horehound</v>
      </c>
    </row>
    <row r="14216" spans="1:4" x14ac:dyDescent="0.2">
      <c r="A14216" t="str">
        <f>"14215"</f>
        <v>14215</v>
      </c>
      <c r="B14216" t="str">
        <f>"1.31"</f>
        <v>1.31</v>
      </c>
      <c r="C14216" t="str">
        <f>"25"</f>
        <v>25</v>
      </c>
      <c r="D14216" t="str">
        <f>"Drums of Passion"</f>
        <v>Drums of Passion</v>
      </c>
    </row>
    <row r="14217" spans="1:4" x14ac:dyDescent="0.2">
      <c r="A14217" t="str">
        <f>"14216"</f>
        <v>14216</v>
      </c>
      <c r="B14217" t="str">
        <f>"0.11"</f>
        <v>0.11</v>
      </c>
      <c r="C14217" t="str">
        <f>"25"</f>
        <v>25</v>
      </c>
      <c r="D14217" t="str">
        <f>"Music From the North Country: The Jayhawks Anthology"</f>
        <v>Music From the North Country: The Jayhawks Anthology</v>
      </c>
    </row>
    <row r="14218" spans="1:4" x14ac:dyDescent="0.2">
      <c r="A14218" t="str">
        <f>"14217"</f>
        <v>14217</v>
      </c>
      <c r="B14218" t="str">
        <f>"1.26"</f>
        <v>1.26</v>
      </c>
      <c r="C14218" t="str">
        <f>"20"</f>
        <v>20</v>
      </c>
      <c r="D14218" t="str">
        <f>"Bandages for the Heart"</f>
        <v>Bandages for the Heart</v>
      </c>
    </row>
    <row r="14219" spans="1:4" x14ac:dyDescent="0.2">
      <c r="A14219" t="str">
        <f>"14218"</f>
        <v>14218</v>
      </c>
      <c r="B14219" t="str">
        <f>"-0.27"</f>
        <v>-0.27</v>
      </c>
      <c r="C14219" t="str">
        <f>"13"</f>
        <v>13</v>
      </c>
      <c r="D14219" t="str">
        <f>"Over and Over"</f>
        <v>Over and Over</v>
      </c>
    </row>
    <row r="14220" spans="1:4" x14ac:dyDescent="0.2">
      <c r="A14220" t="str">
        <f>"14219"</f>
        <v>14219</v>
      </c>
      <c r="B14220" t="str">
        <f>"0.39"</f>
        <v>0.39</v>
      </c>
      <c r="C14220" t="str">
        <f>"33"</f>
        <v>33</v>
      </c>
      <c r="D14220" t="str">
        <f>"Catacombs"</f>
        <v>Catacombs</v>
      </c>
    </row>
    <row r="14221" spans="1:4" x14ac:dyDescent="0.2">
      <c r="A14221" t="str">
        <f>"14220"</f>
        <v>14220</v>
      </c>
      <c r="B14221" t="str">
        <f>"0.38"</f>
        <v>0.38</v>
      </c>
      <c r="C14221" t="str">
        <f>"26"</f>
        <v>26</v>
      </c>
      <c r="D14221" t="str">
        <f>"BLACKsummers'night"</f>
        <v>BLACKsummers'night</v>
      </c>
    </row>
    <row r="14222" spans="1:4" x14ac:dyDescent="0.2">
      <c r="A14222" t="str">
        <f>"14221"</f>
        <v>14221</v>
      </c>
      <c r="B14222" t="str">
        <f>"1.75"</f>
        <v>1.75</v>
      </c>
      <c r="C14222" t="str">
        <f>"23"</f>
        <v>23</v>
      </c>
      <c r="D14222" t="str">
        <f>"Well Known Pleasures"</f>
        <v>Well Known Pleasures</v>
      </c>
    </row>
    <row r="14223" spans="1:4" x14ac:dyDescent="0.2">
      <c r="A14223" t="str">
        <f>"14222"</f>
        <v>14222</v>
      </c>
      <c r="B14223" t="str">
        <f>"-1.66"</f>
        <v>-1.66</v>
      </c>
      <c r="C14223" t="str">
        <f>"26"</f>
        <v>26</v>
      </c>
      <c r="D14223" t="str">
        <f>"Waxing Gibbous"</f>
        <v>Waxing Gibbous</v>
      </c>
    </row>
    <row r="14224" spans="1:4" x14ac:dyDescent="0.2">
      <c r="A14224" t="str">
        <f>"14223"</f>
        <v>14223</v>
      </c>
      <c r="B14224" t="str">
        <f>"-0.3"</f>
        <v>-0.3</v>
      </c>
      <c r="C14224" t="str">
        <f>"30"</f>
        <v>30</v>
      </c>
      <c r="D14224" t="str">
        <f>"Moondagger"</f>
        <v>Moondagger</v>
      </c>
    </row>
    <row r="14225" spans="1:4" x14ac:dyDescent="0.2">
      <c r="A14225" t="str">
        <f>"14224"</f>
        <v>14224</v>
      </c>
      <c r="B14225" t="str">
        <f>"-0.22"</f>
        <v>-0.22</v>
      </c>
      <c r="C14225" t="str">
        <f>"45"</f>
        <v>45</v>
      </c>
      <c r="D14225" t="str">
        <f>"LP"</f>
        <v>LP</v>
      </c>
    </row>
    <row r="14226" spans="1:4" x14ac:dyDescent="0.2">
      <c r="A14226" t="str">
        <f>"14225"</f>
        <v>14225</v>
      </c>
      <c r="B14226" t="str">
        <f>"-0.67"</f>
        <v>-0.67</v>
      </c>
      <c r="C14226" t="str">
        <f>"34"</f>
        <v>34</v>
      </c>
      <c r="D14226" t="str">
        <f>"War Angel"</f>
        <v>War Angel</v>
      </c>
    </row>
    <row r="14227" spans="1:4" x14ac:dyDescent="0.2">
      <c r="A14227" t="str">
        <f>"14226"</f>
        <v>14226</v>
      </c>
      <c r="B14227" t="str">
        <f>"0"</f>
        <v>0</v>
      </c>
      <c r="C14227" t="str">
        <f>"38"</f>
        <v>38</v>
      </c>
      <c r="D14227" t="str">
        <f>"Fox Bat Strategy: A Tribute to Dave Jaurequi"</f>
        <v>Fox Bat Strategy: A Tribute to Dave Jaurequi</v>
      </c>
    </row>
    <row r="14228" spans="1:4" x14ac:dyDescent="0.2">
      <c r="A14228" t="str">
        <f>"14227"</f>
        <v>14227</v>
      </c>
      <c r="B14228" t="str">
        <f>"0.35"</f>
        <v>0.35</v>
      </c>
      <c r="C14228" t="str">
        <f>"24"</f>
        <v>24</v>
      </c>
      <c r="D14228" t="str">
        <f>"Killingsworth"</f>
        <v>Killingsworth</v>
      </c>
    </row>
    <row r="14229" spans="1:4" x14ac:dyDescent="0.2">
      <c r="A14229" t="str">
        <f>"14228"</f>
        <v>14228</v>
      </c>
      <c r="B14229" t="str">
        <f>"-0.35"</f>
        <v>-0.35</v>
      </c>
      <c r="C14229" t="str">
        <f>"17"</f>
        <v>17</v>
      </c>
      <c r="D14229" t="str">
        <f>"My Son's Home"</f>
        <v>My Son's Home</v>
      </c>
    </row>
    <row r="14230" spans="1:4" x14ac:dyDescent="0.2">
      <c r="A14230" t="str">
        <f>"14229"</f>
        <v>14229</v>
      </c>
      <c r="B14230" t="str">
        <f>"-0.27"</f>
        <v>-0.27</v>
      </c>
      <c r="C14230" t="str">
        <f>"29"</f>
        <v>29</v>
      </c>
      <c r="D14230" t="str">
        <f>"Back to the Feature"</f>
        <v>Back to the Feature</v>
      </c>
    </row>
    <row r="14231" spans="1:4" x14ac:dyDescent="0.2">
      <c r="A14231" t="str">
        <f>"14230"</f>
        <v>14230</v>
      </c>
      <c r="B14231" t="str">
        <f>"0.37"</f>
        <v>0.37</v>
      </c>
      <c r="C14231" t="str">
        <f>"21"</f>
        <v>21</v>
      </c>
      <c r="D14231" t="str">
        <f>"Upper Air"</f>
        <v>Upper Air</v>
      </c>
    </row>
    <row r="14232" spans="1:4" x14ac:dyDescent="0.2">
      <c r="A14232" t="str">
        <f>"14231"</f>
        <v>14231</v>
      </c>
      <c r="B14232" t="str">
        <f>"-0.81"</f>
        <v>-0.81</v>
      </c>
      <c r="C14232" t="str">
        <f>"31"</f>
        <v>31</v>
      </c>
      <c r="D14232" t="str">
        <f>"Life on Earth"</f>
        <v>Life on Earth</v>
      </c>
    </row>
    <row r="14233" spans="1:4" x14ac:dyDescent="0.2">
      <c r="A14233" t="str">
        <f>"14232"</f>
        <v>14232</v>
      </c>
      <c r="B14233" t="str">
        <f>"0.24"</f>
        <v>0.24</v>
      </c>
      <c r="C14233" t="str">
        <f>"26"</f>
        <v>26</v>
      </c>
      <c r="D14233" t="str">
        <f>"Drift"</f>
        <v>Drift</v>
      </c>
    </row>
    <row r="14234" spans="1:4" x14ac:dyDescent="0.2">
      <c r="A14234" t="str">
        <f>"14233"</f>
        <v>14233</v>
      </c>
      <c r="B14234" t="str">
        <f>"-0.1"</f>
        <v>-0.1</v>
      </c>
      <c r="C14234" t="str">
        <f>"33"</f>
        <v>33</v>
      </c>
      <c r="D14234" t="str">
        <f>"Golden Oldies"</f>
        <v>Golden Oldies</v>
      </c>
    </row>
    <row r="14235" spans="1:4" x14ac:dyDescent="0.2">
      <c r="A14235" t="str">
        <f>"14234"</f>
        <v>14234</v>
      </c>
      <c r="B14235" t="str">
        <f>"0.57"</f>
        <v>0.57</v>
      </c>
      <c r="C14235" t="str">
        <f>"18"</f>
        <v>18</v>
      </c>
      <c r="D14235" t="str">
        <f>"Hometowns"</f>
        <v>Hometowns</v>
      </c>
    </row>
    <row r="14236" spans="1:4" x14ac:dyDescent="0.2">
      <c r="A14236" t="str">
        <f>"14235"</f>
        <v>14235</v>
      </c>
      <c r="B14236" t="str">
        <f>"1.06"</f>
        <v>1.06</v>
      </c>
      <c r="C14236" t="str">
        <f>"32"</f>
        <v>32</v>
      </c>
      <c r="D14236" t="str">
        <f>"The Sound of UK Funky"</f>
        <v>The Sound of UK Funky</v>
      </c>
    </row>
    <row r="14237" spans="1:4" x14ac:dyDescent="0.2">
      <c r="A14237" t="str">
        <f>"14236"</f>
        <v>14236</v>
      </c>
      <c r="B14237" t="str">
        <f>"0.23"</f>
        <v>0.23</v>
      </c>
      <c r="C14237" t="str">
        <f>"25"</f>
        <v>25</v>
      </c>
      <c r="D14237" t="str">
        <f>"Now I Am Champion"</f>
        <v>Now I Am Champion</v>
      </c>
    </row>
    <row r="14238" spans="1:4" x14ac:dyDescent="0.2">
      <c r="A14238" t="str">
        <f>"14237"</f>
        <v>14237</v>
      </c>
      <c r="B14238" t="str">
        <f>"-0.17"</f>
        <v>-0.17</v>
      </c>
      <c r="C14238" t="str">
        <f>"43"</f>
        <v>43</v>
      </c>
      <c r="D14238" t="str">
        <f>"Anok Pe: Aleph at Hallucinatory Mountain"</f>
        <v>Anok Pe: Aleph at Hallucinatory Mountain</v>
      </c>
    </row>
    <row r="14239" spans="1:4" x14ac:dyDescent="0.2">
      <c r="A14239" t="str">
        <f>"14238"</f>
        <v>14238</v>
      </c>
      <c r="B14239" t="str">
        <f>"0.38"</f>
        <v>0.38</v>
      </c>
      <c r="C14239" t="str">
        <f>"20"</f>
        <v>20</v>
      </c>
      <c r="D14239" t="str">
        <f>"Ye Gods (And Little Fishes)"</f>
        <v>Ye Gods (And Little Fishes)</v>
      </c>
    </row>
    <row r="14240" spans="1:4" x14ac:dyDescent="0.2">
      <c r="A14240" t="str">
        <f>"14239"</f>
        <v>14239</v>
      </c>
      <c r="B14240" t="str">
        <f>"0.18"</f>
        <v>0.18</v>
      </c>
      <c r="C14240" t="str">
        <f>"23"</f>
        <v>23</v>
      </c>
      <c r="D14240" t="str">
        <f>"Wait for Me"</f>
        <v>Wait for Me</v>
      </c>
    </row>
    <row r="14241" spans="1:4" x14ac:dyDescent="0.2">
      <c r="A14241" t="str">
        <f>"14240"</f>
        <v>14240</v>
      </c>
      <c r="B14241" t="str">
        <f>"0.04"</f>
        <v>0.04</v>
      </c>
      <c r="C14241" t="str">
        <f>"38"</f>
        <v>38</v>
      </c>
      <c r="D14241" t="str">
        <f>"Wu-Tang Chamber Music"</f>
        <v>Wu-Tang Chamber Music</v>
      </c>
    </row>
    <row r="14242" spans="1:4" x14ac:dyDescent="0.2">
      <c r="A14242" t="str">
        <f>"14241"</f>
        <v>14241</v>
      </c>
      <c r="B14242" t="str">
        <f>"-0.2"</f>
        <v>-0.2</v>
      </c>
      <c r="C14242" t="str">
        <f>"23"</f>
        <v>23</v>
      </c>
      <c r="D14242" t="str">
        <f>"American Central Dust"</f>
        <v>American Central Dust</v>
      </c>
    </row>
    <row r="14243" spans="1:4" x14ac:dyDescent="0.2">
      <c r="A14243" t="str">
        <f>"14242"</f>
        <v>14242</v>
      </c>
      <c r="B14243" t="str">
        <f>"-0.14"</f>
        <v>-0.14</v>
      </c>
      <c r="C14243" t="str">
        <f>"22"</f>
        <v>22</v>
      </c>
      <c r="D14243" t="str">
        <f>"These Four Walls"</f>
        <v>These Four Walls</v>
      </c>
    </row>
    <row r="14244" spans="1:4" x14ac:dyDescent="0.2">
      <c r="A14244" t="str">
        <f>"14243"</f>
        <v>14243</v>
      </c>
      <c r="B14244" t="str">
        <f>"-0.03"</f>
        <v>-0.03</v>
      </c>
      <c r="C14244" t="str">
        <f>"17"</f>
        <v>17</v>
      </c>
      <c r="D14244" t="str">
        <f>"Music From the Atom Smashers"</f>
        <v>Music From the Atom Smashers</v>
      </c>
    </row>
    <row r="14245" spans="1:4" x14ac:dyDescent="0.2">
      <c r="A14245" t="str">
        <f>"14244"</f>
        <v>14244</v>
      </c>
      <c r="B14245" t="str">
        <f>"1.12"</f>
        <v>1.12</v>
      </c>
      <c r="C14245" t="str">
        <f>"36"</f>
        <v>36</v>
      </c>
      <c r="D14245" t="str">
        <f>"Reckoning [Deluxe Edition]"</f>
        <v>Reckoning [Deluxe Edition]</v>
      </c>
    </row>
    <row r="14246" spans="1:4" x14ac:dyDescent="0.2">
      <c r="A14246" t="str">
        <f>"14245"</f>
        <v>14245</v>
      </c>
      <c r="B14246" t="str">
        <f>"-0.47"</f>
        <v>-0.47</v>
      </c>
      <c r="C14246" t="str">
        <f>"21"</f>
        <v>21</v>
      </c>
      <c r="D14246" t="str">
        <f>"Fits"</f>
        <v>Fits</v>
      </c>
    </row>
    <row r="14247" spans="1:4" x14ac:dyDescent="0.2">
      <c r="A14247" t="str">
        <f>"14246"</f>
        <v>14246</v>
      </c>
      <c r="B14247" t="str">
        <f>"-0.44"</f>
        <v>-0.44</v>
      </c>
      <c r="C14247" t="str">
        <f>"25"</f>
        <v>25</v>
      </c>
      <c r="D14247" t="str">
        <f>"Pulse of the People"</f>
        <v>Pulse of the People</v>
      </c>
    </row>
    <row r="14248" spans="1:4" x14ac:dyDescent="0.2">
      <c r="A14248" t="str">
        <f>"14247"</f>
        <v>14247</v>
      </c>
      <c r="B14248" t="str">
        <f>"0.91"</f>
        <v>0.91</v>
      </c>
      <c r="C14248" t="str">
        <f>"20"</f>
        <v>20</v>
      </c>
      <c r="D14248" t="str">
        <f>"The Guilty Office"</f>
        <v>The Guilty Office</v>
      </c>
    </row>
    <row r="14249" spans="1:4" x14ac:dyDescent="0.2">
      <c r="A14249" t="str">
        <f>"14248"</f>
        <v>14248</v>
      </c>
      <c r="B14249" t="str">
        <f>"0.98"</f>
        <v>0.98</v>
      </c>
      <c r="C14249" t="str">
        <f>"19"</f>
        <v>19</v>
      </c>
      <c r="D14249" t="str">
        <f>"Royal City"</f>
        <v>Royal City</v>
      </c>
    </row>
    <row r="14250" spans="1:4" x14ac:dyDescent="0.2">
      <c r="A14250" t="str">
        <f>"14249"</f>
        <v>14249</v>
      </c>
      <c r="B14250" t="str">
        <f>"0.45"</f>
        <v>0.45</v>
      </c>
      <c r="C14250" t="str">
        <f>"43"</f>
        <v>43</v>
      </c>
      <c r="D14250" t="str">
        <f>"Guns Don't Kill People-- Lazers Do"</f>
        <v>Guns Don't Kill People-- Lazers Do</v>
      </c>
    </row>
    <row r="14251" spans="1:4" x14ac:dyDescent="0.2">
      <c r="A14251" t="str">
        <f>"14250"</f>
        <v>14250</v>
      </c>
      <c r="B14251" t="str">
        <f>"-0.31"</f>
        <v>-0.31</v>
      </c>
      <c r="C14251" t="str">
        <f>"26"</f>
        <v>26</v>
      </c>
      <c r="D14251" t="str">
        <f>"Dillanthology 1: Dilla's Productions for Various Artists"</f>
        <v>Dillanthology 1: Dilla's Productions for Various Artists</v>
      </c>
    </row>
    <row r="14252" spans="1:4" x14ac:dyDescent="0.2">
      <c r="A14252" t="str">
        <f>"14251"</f>
        <v>14251</v>
      </c>
      <c r="B14252" t="str">
        <f>"0.08"</f>
        <v>0.08</v>
      </c>
      <c r="C14252" t="str">
        <f>"23"</f>
        <v>23</v>
      </c>
      <c r="D14252" t="str">
        <f>"Street Sweeper Social Club"</f>
        <v>Street Sweeper Social Club</v>
      </c>
    </row>
    <row r="14253" spans="1:4" x14ac:dyDescent="0.2">
      <c r="A14253" t="str">
        <f>"14252"</f>
        <v>14252</v>
      </c>
      <c r="B14253" t="str">
        <f>"-0.16"</f>
        <v>-0.16</v>
      </c>
      <c r="C14253" t="str">
        <f>"45"</f>
        <v>45</v>
      </c>
      <c r="D14253" t="str">
        <f>"Under and Under"</f>
        <v>Under and Under</v>
      </c>
    </row>
    <row r="14254" spans="1:4" x14ac:dyDescent="0.2">
      <c r="A14254" t="str">
        <f>"14253"</f>
        <v>14253</v>
      </c>
      <c r="B14254" t="str">
        <f>"0.34"</f>
        <v>0.34</v>
      </c>
      <c r="C14254" t="str">
        <f>"24"</f>
        <v>24</v>
      </c>
      <c r="D14254" t="str">
        <f>"UUVVWWZ"</f>
        <v>UUVVWWZ</v>
      </c>
    </row>
    <row r="14255" spans="1:4" x14ac:dyDescent="0.2">
      <c r="A14255" t="str">
        <f>"14254"</f>
        <v>14254</v>
      </c>
      <c r="B14255" t="str">
        <f>"-0.31"</f>
        <v>-0.31</v>
      </c>
      <c r="C14255" t="str">
        <f>"43"</f>
        <v>43</v>
      </c>
      <c r="D14255" t="str">
        <f>"Octahedron"</f>
        <v>Octahedron</v>
      </c>
    </row>
    <row r="14256" spans="1:4" x14ac:dyDescent="0.2">
      <c r="A14256" t="str">
        <f>"14255"</f>
        <v>14255</v>
      </c>
      <c r="B14256" t="str">
        <f>"-0.05"</f>
        <v>-0.05</v>
      </c>
      <c r="C14256" t="str">
        <f>"19"</f>
        <v>19</v>
      </c>
      <c r="D14256" t="str">
        <f>"Last Choice EP"</f>
        <v>Last Choice EP</v>
      </c>
    </row>
    <row r="14257" spans="1:4" x14ac:dyDescent="0.2">
      <c r="A14257" t="str">
        <f>"14256"</f>
        <v>14256</v>
      </c>
      <c r="B14257" t="str">
        <f>"-1.26"</f>
        <v>-1.26</v>
      </c>
      <c r="C14257" t="str">
        <f>"30"</f>
        <v>30</v>
      </c>
      <c r="D14257" t="str">
        <f>"Depart From Me"</f>
        <v>Depart From Me</v>
      </c>
    </row>
    <row r="14258" spans="1:4" x14ac:dyDescent="0.2">
      <c r="A14258" t="str">
        <f>"14257"</f>
        <v>14257</v>
      </c>
      <c r="B14258" t="str">
        <f>"0.5"</f>
        <v>0.5</v>
      </c>
      <c r="C14258" t="str">
        <f>"28"</f>
        <v>28</v>
      </c>
      <c r="D14258" t="s">
        <v>446</v>
      </c>
    </row>
    <row r="14259" spans="1:4" x14ac:dyDescent="0.2">
      <c r="A14259" t="str">
        <f>"14258"</f>
        <v>14258</v>
      </c>
      <c r="B14259" t="str">
        <f>"-0.7"</f>
        <v>-0.7</v>
      </c>
      <c r="C14259" t="str">
        <f>"28"</f>
        <v>28</v>
      </c>
      <c r="D14259" t="str">
        <f>"Super Animal Brothers III"</f>
        <v>Super Animal Brothers III</v>
      </c>
    </row>
    <row r="14260" spans="1:4" x14ac:dyDescent="0.2">
      <c r="A14260" t="str">
        <f>"14259"</f>
        <v>14259</v>
      </c>
      <c r="B14260" t="str">
        <f>"0.82"</f>
        <v>0.82</v>
      </c>
      <c r="C14260" t="str">
        <f>"23"</f>
        <v>23</v>
      </c>
      <c r="D14260" t="str">
        <f>"Wilco (The Album)"</f>
        <v>Wilco (The Album)</v>
      </c>
    </row>
    <row r="14261" spans="1:4" x14ac:dyDescent="0.2">
      <c r="A14261" t="str">
        <f>"14260"</f>
        <v>14260</v>
      </c>
      <c r="B14261" t="str">
        <f>"-0.97"</f>
        <v>-0.97</v>
      </c>
      <c r="C14261" t="str">
        <f>"37"</f>
        <v>37</v>
      </c>
      <c r="D14261" t="str">
        <f>"Hot Buttered Soul"</f>
        <v>Hot Buttered Soul</v>
      </c>
    </row>
    <row r="14262" spans="1:4" x14ac:dyDescent="0.2">
      <c r="A14262" t="str">
        <f>"14261"</f>
        <v>14261</v>
      </c>
      <c r="B14262" t="str">
        <f>"0.69"</f>
        <v>0.69</v>
      </c>
      <c r="C14262" t="str">
        <f>"29"</f>
        <v>29</v>
      </c>
      <c r="D14262" t="str">
        <f>"Magnificence in the Memory"</f>
        <v>Magnificence in the Memory</v>
      </c>
    </row>
    <row r="14263" spans="1:4" x14ac:dyDescent="0.2">
      <c r="A14263" t="str">
        <f>"14262"</f>
        <v>14262</v>
      </c>
      <c r="B14263" t="str">
        <f>"-0.45"</f>
        <v>-0.45</v>
      </c>
      <c r="C14263" t="str">
        <f>"49"</f>
        <v>49</v>
      </c>
      <c r="D14263" t="str">
        <f>"So Far Gone"</f>
        <v>So Far Gone</v>
      </c>
    </row>
    <row r="14264" spans="1:4" x14ac:dyDescent="0.2">
      <c r="A14264" t="str">
        <f>"14263"</f>
        <v>14263</v>
      </c>
      <c r="B14264" t="str">
        <f>"-0.82"</f>
        <v>-0.82</v>
      </c>
      <c r="C14264" t="str">
        <f>"34"</f>
        <v>34</v>
      </c>
      <c r="D14264" t="str">
        <f>"Music of the Modern White"</f>
        <v>Music of the Modern White</v>
      </c>
    </row>
    <row r="14265" spans="1:4" x14ac:dyDescent="0.2">
      <c r="A14265" t="str">
        <f>"14264"</f>
        <v>14264</v>
      </c>
      <c r="B14265" t="str">
        <f>"0.56"</f>
        <v>0.56</v>
      </c>
      <c r="C14265" t="str">
        <f>"37"</f>
        <v>37</v>
      </c>
      <c r="D14265" t="str">
        <f>"Ambivalence Avenue"</f>
        <v>Ambivalence Avenue</v>
      </c>
    </row>
    <row r="14266" spans="1:4" x14ac:dyDescent="0.2">
      <c r="A14266" t="str">
        <f>"14265"</f>
        <v>14265</v>
      </c>
      <c r="B14266" t="str">
        <f>"-0.92"</f>
        <v>-0.92</v>
      </c>
      <c r="C14266" t="str">
        <f>"23"</f>
        <v>23</v>
      </c>
      <c r="D14266" t="str">
        <f>"A Psychedelic Guide to Monsterism Island"</f>
        <v>A Psychedelic Guide to Monsterism Island</v>
      </c>
    </row>
    <row r="14267" spans="1:4" x14ac:dyDescent="0.2">
      <c r="A14267" t="str">
        <f>"14266"</f>
        <v>14266</v>
      </c>
      <c r="B14267" t="str">
        <f>"0.28"</f>
        <v>0.28</v>
      </c>
      <c r="C14267" t="str">
        <f>"25"</f>
        <v>25</v>
      </c>
      <c r="D14267" t="str">
        <f>"Ganglians"</f>
        <v>Ganglians</v>
      </c>
    </row>
    <row r="14268" spans="1:4" x14ac:dyDescent="0.2">
      <c r="A14268" t="str">
        <f>"14267"</f>
        <v>14267</v>
      </c>
      <c r="B14268" t="str">
        <f>"-0.72"</f>
        <v>-0.72</v>
      </c>
      <c r="C14268" t="str">
        <f>"31"</f>
        <v>31</v>
      </c>
      <c r="D14268" t="str">
        <f>"Bestia"</f>
        <v>Bestia</v>
      </c>
    </row>
    <row r="14269" spans="1:4" x14ac:dyDescent="0.2">
      <c r="A14269" t="str">
        <f>"14268"</f>
        <v>14268</v>
      </c>
      <c r="B14269" t="str">
        <f>"0.13"</f>
        <v>0.13</v>
      </c>
      <c r="C14269" t="str">
        <f>"22"</f>
        <v>22</v>
      </c>
      <c r="D14269" t="str">
        <f>"Against the Day"</f>
        <v>Against the Day</v>
      </c>
    </row>
    <row r="14270" spans="1:4" x14ac:dyDescent="0.2">
      <c r="A14270" t="str">
        <f>"14269"</f>
        <v>14269</v>
      </c>
      <c r="B14270" t="str">
        <f>"0.02"</f>
        <v>0.02</v>
      </c>
      <c r="C14270" t="str">
        <f>"36"</f>
        <v>36</v>
      </c>
      <c r="D14270" t="str">
        <f>"Beacons of Ancestorship"</f>
        <v>Beacons of Ancestorship</v>
      </c>
    </row>
    <row r="14271" spans="1:4" x14ac:dyDescent="0.2">
      <c r="A14271" t="str">
        <f>"14270"</f>
        <v>14270</v>
      </c>
      <c r="B14271" t="str">
        <f>"-0.27"</f>
        <v>-0.27</v>
      </c>
      <c r="C14271" t="str">
        <f>"26"</f>
        <v>26</v>
      </c>
      <c r="D14271" t="str">
        <f>"Varshons"</f>
        <v>Varshons</v>
      </c>
    </row>
    <row r="14272" spans="1:4" x14ac:dyDescent="0.2">
      <c r="A14272" t="str">
        <f>"14271"</f>
        <v>14271</v>
      </c>
      <c r="B14272" t="str">
        <f>"0.28"</f>
        <v>0.28</v>
      </c>
      <c r="C14272" t="str">
        <f>"31"</f>
        <v>31</v>
      </c>
      <c r="D14272" t="str">
        <f>"Spoils"</f>
        <v>Spoils</v>
      </c>
    </row>
    <row r="14273" spans="1:4" x14ac:dyDescent="0.2">
      <c r="A14273" t="str">
        <f>"14272"</f>
        <v>14272</v>
      </c>
      <c r="B14273" t="str">
        <f>"0.26"</f>
        <v>0.26</v>
      </c>
      <c r="C14273" t="str">
        <f>"31"</f>
        <v>31</v>
      </c>
      <c r="D14273" t="str">
        <f>"The Loud Wars"</f>
        <v>The Loud Wars</v>
      </c>
    </row>
    <row r="14274" spans="1:4" x14ac:dyDescent="0.2">
      <c r="A14274" t="str">
        <f>"14273"</f>
        <v>14273</v>
      </c>
      <c r="B14274" t="str">
        <f>"-0.56"</f>
        <v>-0.56</v>
      </c>
      <c r="C14274" t="str">
        <f>"19"</f>
        <v>19</v>
      </c>
      <c r="D14274" t="str">
        <f>"World I See"</f>
        <v>World I See</v>
      </c>
    </row>
    <row r="14275" spans="1:4" x14ac:dyDescent="0.2">
      <c r="A14275" t="str">
        <f>"14274"</f>
        <v>14274</v>
      </c>
      <c r="B14275" t="str">
        <f>"-0.13"</f>
        <v>-0.13</v>
      </c>
      <c r="C14275" t="str">
        <f>"40"</f>
        <v>40</v>
      </c>
      <c r="D14275" t="str">
        <f>"Dragonslayer"</f>
        <v>Dragonslayer</v>
      </c>
    </row>
    <row r="14276" spans="1:4" x14ac:dyDescent="0.2">
      <c r="A14276" t="str">
        <f>"14275"</f>
        <v>14275</v>
      </c>
      <c r="B14276" t="str">
        <f>"0.37"</f>
        <v>0.37</v>
      </c>
      <c r="C14276" t="str">
        <f>"26"</f>
        <v>26</v>
      </c>
      <c r="D14276" t="str">
        <f>"Music For Men"</f>
        <v>Music For Men</v>
      </c>
    </row>
    <row r="14277" spans="1:4" x14ac:dyDescent="0.2">
      <c r="A14277" t="str">
        <f>"14276"</f>
        <v>14276</v>
      </c>
      <c r="B14277" t="str">
        <f>"0"</f>
        <v>0</v>
      </c>
      <c r="C14277" t="str">
        <f>"29"</f>
        <v>29</v>
      </c>
      <c r="D14277" t="str">
        <f>"Spinnerette"</f>
        <v>Spinnerette</v>
      </c>
    </row>
    <row r="14278" spans="1:4" x14ac:dyDescent="0.2">
      <c r="A14278" t="str">
        <f>"14277"</f>
        <v>14277</v>
      </c>
      <c r="B14278" t="str">
        <f>"-0.87"</f>
        <v>-0.87</v>
      </c>
      <c r="C14278" t="str">
        <f>"22"</f>
        <v>22</v>
      </c>
      <c r="D14278" t="str">
        <f>"Travels With Myself and Another"</f>
        <v>Travels With Myself and Another</v>
      </c>
    </row>
    <row r="14279" spans="1:4" x14ac:dyDescent="0.2">
      <c r="A14279" t="str">
        <f>"14278"</f>
        <v>14278</v>
      </c>
      <c r="B14279" t="str">
        <f>"-0.53"</f>
        <v>-0.53</v>
      </c>
      <c r="C14279" t="str">
        <f>"24"</f>
        <v>24</v>
      </c>
      <c r="D14279" t="str">
        <f>"Someday This Could All Be Yours"</f>
        <v>Someday This Could All Be Yours</v>
      </c>
    </row>
    <row r="14280" spans="1:4" x14ac:dyDescent="0.2">
      <c r="A14280" t="str">
        <f>"14279"</f>
        <v>14279</v>
      </c>
      <c r="B14280" t="str">
        <f>"0.99"</f>
        <v>0.99</v>
      </c>
      <c r="C14280" t="str">
        <f>"62"</f>
        <v>62</v>
      </c>
      <c r="D14280" t="str">
        <f>"God Help the Girl"</f>
        <v>God Help the Girl</v>
      </c>
    </row>
    <row r="14281" spans="1:4" x14ac:dyDescent="0.2">
      <c r="A14281" t="str">
        <f>"14280"</f>
        <v>14280</v>
      </c>
      <c r="B14281" t="str">
        <f>"0.01"</f>
        <v>0.01</v>
      </c>
      <c r="C14281" t="str">
        <f>"18"</f>
        <v>18</v>
      </c>
      <c r="D14281" t="str">
        <f>"Far"</f>
        <v>Far</v>
      </c>
    </row>
    <row r="14282" spans="1:4" x14ac:dyDescent="0.2">
      <c r="A14282" t="str">
        <f>"14281"</f>
        <v>14281</v>
      </c>
      <c r="B14282" t="str">
        <f>"0.55"</f>
        <v>0.55</v>
      </c>
      <c r="C14282" t="str">
        <f>"35"</f>
        <v>35</v>
      </c>
      <c r="D14282" t="str">
        <f>"Liquor Store Mascot"</f>
        <v>Liquor Store Mascot</v>
      </c>
    </row>
    <row r="14283" spans="1:4" x14ac:dyDescent="0.2">
      <c r="A14283" t="str">
        <f>"14282"</f>
        <v>14282</v>
      </c>
      <c r="B14283" t="str">
        <f>"0.81"</f>
        <v>0.81</v>
      </c>
      <c r="C14283" t="str">
        <f>"24"</f>
        <v>24</v>
      </c>
      <c r="D14283" t="str">
        <f>"Wild Young Hearts"</f>
        <v>Wild Young Hearts</v>
      </c>
    </row>
    <row r="14284" spans="1:4" x14ac:dyDescent="0.2">
      <c r="A14284" t="str">
        <f>"14283"</f>
        <v>14283</v>
      </c>
      <c r="B14284" t="str">
        <f>"-0.16"</f>
        <v>-0.16</v>
      </c>
      <c r="C14284" t="str">
        <f>"23"</f>
        <v>23</v>
      </c>
      <c r="D14284" t="str">
        <f>"Larry Jon Wilson"</f>
        <v>Larry Jon Wilson</v>
      </c>
    </row>
    <row r="14285" spans="1:4" x14ac:dyDescent="0.2">
      <c r="A14285" t="str">
        <f>"14284"</f>
        <v>14284</v>
      </c>
      <c r="B14285" t="str">
        <f>"0.46"</f>
        <v>0.46</v>
      </c>
      <c r="C14285" t="str">
        <f>"30"</f>
        <v>30</v>
      </c>
      <c r="D14285" t="str">
        <f>"Farm"</f>
        <v>Farm</v>
      </c>
    </row>
    <row r="14286" spans="1:4" x14ac:dyDescent="0.2">
      <c r="A14286" t="str">
        <f>"14285"</f>
        <v>14285</v>
      </c>
      <c r="B14286" t="str">
        <f>"0.76"</f>
        <v>0.76</v>
      </c>
      <c r="C14286" t="str">
        <f>"29"</f>
        <v>29</v>
      </c>
      <c r="D14286" t="str">
        <f>"Murdering Oscar (and Other Love Songs)"</f>
        <v>Murdering Oscar (and Other Love Songs)</v>
      </c>
    </row>
    <row r="14287" spans="1:4" x14ac:dyDescent="0.2">
      <c r="A14287" t="str">
        <f>"14286"</f>
        <v>14286</v>
      </c>
      <c r="B14287" t="str">
        <f>"1.27"</f>
        <v>1.27</v>
      </c>
      <c r="C14287" t="str">
        <f>"17"</f>
        <v>17</v>
      </c>
      <c r="D14287" t="str">
        <f>"Because I Was in Love"</f>
        <v>Because I Was in Love</v>
      </c>
    </row>
    <row r="14288" spans="1:4" x14ac:dyDescent="0.2">
      <c r="A14288" t="str">
        <f>"14287"</f>
        <v>14287</v>
      </c>
      <c r="B14288" t="str">
        <f>"0.41"</f>
        <v>0.41</v>
      </c>
      <c r="C14288" t="str">
        <f>"18"</f>
        <v>18</v>
      </c>
      <c r="D14288" t="str">
        <f>"Born on Flag Day"</f>
        <v>Born on Flag Day</v>
      </c>
    </row>
    <row r="14289" spans="1:4" x14ac:dyDescent="0.2">
      <c r="A14289" t="str">
        <f>"14288"</f>
        <v>14288</v>
      </c>
      <c r="B14289" t="str">
        <f>"0.07"</f>
        <v>0.07</v>
      </c>
      <c r="C14289" t="str">
        <f>"23"</f>
        <v>23</v>
      </c>
      <c r="D14289" t="str">
        <f>"Sholi"</f>
        <v>Sholi</v>
      </c>
    </row>
    <row r="14290" spans="1:4" x14ac:dyDescent="0.2">
      <c r="A14290" t="str">
        <f>"14289"</f>
        <v>14289</v>
      </c>
      <c r="B14290" t="str">
        <f>"0.14"</f>
        <v>0.14</v>
      </c>
      <c r="C14290" t="str">
        <f>"52"</f>
        <v>52</v>
      </c>
      <c r="D14290" t="str">
        <f>"Foxbase Alpha"</f>
        <v>Foxbase Alpha</v>
      </c>
    </row>
    <row r="14291" spans="1:4" x14ac:dyDescent="0.2">
      <c r="A14291" t="str">
        <f>"14290"</f>
        <v>14290</v>
      </c>
      <c r="B14291" t="str">
        <f>"-0.59"</f>
        <v>-0.59</v>
      </c>
      <c r="C14291" t="str">
        <f>"25"</f>
        <v>25</v>
      </c>
      <c r="D14291" t="str">
        <f>"A Pipe Dream and a Promise"</f>
        <v>A Pipe Dream and a Promise</v>
      </c>
    </row>
    <row r="14292" spans="1:4" x14ac:dyDescent="0.2">
      <c r="A14292" t="str">
        <f>"14291"</f>
        <v>14291</v>
      </c>
      <c r="B14292" t="str">
        <f>"-0.62"</f>
        <v>-0.62</v>
      </c>
      <c r="C14292" t="str">
        <f>"35"</f>
        <v>35</v>
      </c>
      <c r="D14292" t="str">
        <f>"The Freak of Araby"</f>
        <v>The Freak of Araby</v>
      </c>
    </row>
    <row r="14293" spans="1:4" x14ac:dyDescent="0.2">
      <c r="A14293" t="str">
        <f>"14292"</f>
        <v>14292</v>
      </c>
      <c r="B14293" t="str">
        <f>"0.59"</f>
        <v>0.59</v>
      </c>
      <c r="C14293" t="str">
        <f>"29"</f>
        <v>29</v>
      </c>
      <c r="D14293" t="str">
        <f>"The Camel's Back"</f>
        <v>The Camel's Back</v>
      </c>
    </row>
    <row r="14294" spans="1:4" x14ac:dyDescent="0.2">
      <c r="A14294" t="str">
        <f>"14293"</f>
        <v>14293</v>
      </c>
      <c r="B14294" t="str">
        <f>"0.75"</f>
        <v>0.75</v>
      </c>
      <c r="C14294" t="str">
        <f>"19"</f>
        <v>19</v>
      </c>
      <c r="D14294" t="str">
        <f>"Some Sweet Relief"</f>
        <v>Some Sweet Relief</v>
      </c>
    </row>
    <row r="14295" spans="1:4" x14ac:dyDescent="0.2">
      <c r="A14295" t="str">
        <f>"14294"</f>
        <v>14294</v>
      </c>
      <c r="B14295" t="str">
        <f>"0.49"</f>
        <v>0.49</v>
      </c>
      <c r="C14295" t="str">
        <f>"39"</f>
        <v>39</v>
      </c>
      <c r="D14295" t="str">
        <f>"Hands"</f>
        <v>Hands</v>
      </c>
    </row>
    <row r="14296" spans="1:4" x14ac:dyDescent="0.2">
      <c r="A14296" t="str">
        <f>"14295"</f>
        <v>14295</v>
      </c>
      <c r="B14296" t="str">
        <f>"0.24"</f>
        <v>0.24</v>
      </c>
      <c r="C14296" t="str">
        <f>"40"</f>
        <v>40</v>
      </c>
      <c r="D14296" t="str">
        <f>"BlaQKout"</f>
        <v>BlaQKout</v>
      </c>
    </row>
    <row r="14297" spans="1:4" x14ac:dyDescent="0.2">
      <c r="A14297" t="str">
        <f>"14296"</f>
        <v>14296</v>
      </c>
      <c r="B14297" t="str">
        <f>"-0.34"</f>
        <v>-0.34</v>
      </c>
      <c r="C14297" t="str">
        <f>"78"</f>
        <v>78</v>
      </c>
      <c r="D14297" t="str">
        <f>"Black Meteoric Star"</f>
        <v>Black Meteoric Star</v>
      </c>
    </row>
    <row r="14298" spans="1:4" x14ac:dyDescent="0.2">
      <c r="A14298" t="str">
        <f>"14297"</f>
        <v>14297</v>
      </c>
      <c r="B14298" t="str">
        <f>"0.91"</f>
        <v>0.91</v>
      </c>
      <c r="C14298" t="str">
        <f>"24"</f>
        <v>24</v>
      </c>
      <c r="D14298" t="str">
        <f>"Adaptations #1 Mixtape"</f>
        <v>Adaptations #1 Mixtape</v>
      </c>
    </row>
    <row r="14299" spans="1:4" x14ac:dyDescent="0.2">
      <c r="A14299" t="str">
        <f>"14298"</f>
        <v>14298</v>
      </c>
      <c r="B14299" t="str">
        <f>"-1.78"</f>
        <v>-1.78</v>
      </c>
      <c r="C14299" t="str">
        <f>"13"</f>
        <v>13</v>
      </c>
      <c r="D14299" t="str">
        <f>"Passage"</f>
        <v>Passage</v>
      </c>
    </row>
    <row r="14300" spans="1:4" x14ac:dyDescent="0.2">
      <c r="A14300" t="str">
        <f>"14299"</f>
        <v>14299</v>
      </c>
      <c r="B14300" t="str">
        <f>"0.46"</f>
        <v>0.46</v>
      </c>
      <c r="C14300" t="str">
        <f>"66"</f>
        <v>66</v>
      </c>
      <c r="D14300" t="str">
        <f>"The Archives Vol. 1: 1963-1972"</f>
        <v>The Archives Vol. 1: 1963-1972</v>
      </c>
    </row>
    <row r="14301" spans="1:4" x14ac:dyDescent="0.2">
      <c r="A14301" t="str">
        <f>"14300"</f>
        <v>14300</v>
      </c>
      <c r="B14301" t="str">
        <f>"-0.18"</f>
        <v>-0.18</v>
      </c>
      <c r="C14301" t="str">
        <f>"26"</f>
        <v>26</v>
      </c>
      <c r="D14301" t="str">
        <f>"The Roots of El-B"</f>
        <v>The Roots of El-B</v>
      </c>
    </row>
    <row r="14302" spans="1:4" x14ac:dyDescent="0.2">
      <c r="A14302" t="str">
        <f>"14301"</f>
        <v>14301</v>
      </c>
      <c r="B14302" t="str">
        <f>"0.96"</f>
        <v>0.96</v>
      </c>
      <c r="C14302" t="str">
        <f>"27"</f>
        <v>27</v>
      </c>
      <c r="D14302" t="str">
        <f>"Over Air"</f>
        <v>Over Air</v>
      </c>
    </row>
    <row r="14303" spans="1:4" x14ac:dyDescent="0.2">
      <c r="A14303" t="str">
        <f>"14302"</f>
        <v>14302</v>
      </c>
      <c r="B14303" t="str">
        <f>"1.09"</f>
        <v>1.09</v>
      </c>
      <c r="C14303" t="str">
        <f>"23"</f>
        <v>23</v>
      </c>
      <c r="D14303" t="str">
        <f>"I Was a King"</f>
        <v>I Was a King</v>
      </c>
    </row>
    <row r="14304" spans="1:4" x14ac:dyDescent="0.2">
      <c r="A14304" t="str">
        <f>"14303"</f>
        <v>14303</v>
      </c>
      <c r="B14304" t="str">
        <f>"0.16"</f>
        <v>0.16</v>
      </c>
      <c r="C14304" t="str">
        <f>"25"</f>
        <v>25</v>
      </c>
      <c r="D14304" t="str">
        <f>"Skeletons"</f>
        <v>Skeletons</v>
      </c>
    </row>
    <row r="14305" spans="1:4" x14ac:dyDescent="0.2">
      <c r="A14305" t="str">
        <f>"14304"</f>
        <v>14304</v>
      </c>
      <c r="B14305" t="str">
        <f>"-0.29"</f>
        <v>-0.29</v>
      </c>
      <c r="C14305" t="str">
        <f>"38"</f>
        <v>38</v>
      </c>
      <c r="D14305" t="str">
        <f>"# 1 Record / Radio City"</f>
        <v># 1 Record / Radio City</v>
      </c>
    </row>
    <row r="14306" spans="1:4" x14ac:dyDescent="0.2">
      <c r="A14306" t="str">
        <f>"14305"</f>
        <v>14305</v>
      </c>
      <c r="B14306" t="str">
        <f>"1.47"</f>
        <v>1.47</v>
      </c>
      <c r="C14306" t="str">
        <f>"23"</f>
        <v>23</v>
      </c>
      <c r="D14306" t="str">
        <f>"Underwaterpeoples Records Showcase"</f>
        <v>Underwaterpeoples Records Showcase</v>
      </c>
    </row>
    <row r="14307" spans="1:4" x14ac:dyDescent="0.2">
      <c r="A14307" t="str">
        <f>"14306"</f>
        <v>14306</v>
      </c>
      <c r="B14307" t="str">
        <f>"0.56"</f>
        <v>0.56</v>
      </c>
      <c r="C14307" t="str">
        <f>"20"</f>
        <v>20</v>
      </c>
      <c r="D14307" t="str">
        <f>"Rhett Miller"</f>
        <v>Rhett Miller</v>
      </c>
    </row>
    <row r="14308" spans="1:4" x14ac:dyDescent="0.2">
      <c r="A14308" t="str">
        <f>"14307"</f>
        <v>14307</v>
      </c>
      <c r="B14308" t="str">
        <f>"0.03"</f>
        <v>0.03</v>
      </c>
      <c r="C14308" t="str">
        <f>"11"</f>
        <v>11</v>
      </c>
      <c r="D14308" t="str">
        <f>"Embrace"</f>
        <v>Embrace</v>
      </c>
    </row>
    <row r="14309" spans="1:4" x14ac:dyDescent="0.2">
      <c r="A14309" t="str">
        <f>"14308"</f>
        <v>14308</v>
      </c>
      <c r="B14309" t="str">
        <f>"0.01"</f>
        <v>0.01</v>
      </c>
      <c r="C14309" t="str">
        <f>"30"</f>
        <v>30</v>
      </c>
      <c r="D14309" t="str">
        <f>"Command"</f>
        <v>Command</v>
      </c>
    </row>
    <row r="14310" spans="1:4" x14ac:dyDescent="0.2">
      <c r="A14310" t="str">
        <f>"14309"</f>
        <v>14309</v>
      </c>
      <c r="B14310" t="str">
        <f>"0.4"</f>
        <v>0.4</v>
      </c>
      <c r="C14310" t="str">
        <f>"25"</f>
        <v>25</v>
      </c>
      <c r="D14310" t="str">
        <f>"A Bugged Out Mix"</f>
        <v>A Bugged Out Mix</v>
      </c>
    </row>
    <row r="14311" spans="1:4" x14ac:dyDescent="0.2">
      <c r="A14311" t="str">
        <f>"14310"</f>
        <v>14310</v>
      </c>
      <c r="B14311" t="str">
        <f>"0.6"</f>
        <v>0.6</v>
      </c>
      <c r="C14311" t="str">
        <f>"31"</f>
        <v>31</v>
      </c>
      <c r="D14311" t="str">
        <f>"So Cow"</f>
        <v>So Cow</v>
      </c>
    </row>
    <row r="14312" spans="1:4" x14ac:dyDescent="0.2">
      <c r="A14312" t="str">
        <f>"14311"</f>
        <v>14311</v>
      </c>
      <c r="B14312" t="str">
        <f>"-0.54"</f>
        <v>-0.54</v>
      </c>
      <c r="C14312" t="str">
        <f>"25"</f>
        <v>25</v>
      </c>
      <c r="D14312" t="str">
        <f>"Listening Tree"</f>
        <v>Listening Tree</v>
      </c>
    </row>
    <row r="14313" spans="1:4" x14ac:dyDescent="0.2">
      <c r="A14313" t="str">
        <f>"14312"</f>
        <v>14312</v>
      </c>
      <c r="B14313" t="str">
        <f>"0.25"</f>
        <v>0.25</v>
      </c>
      <c r="C14313" t="str">
        <f>"31"</f>
        <v>31</v>
      </c>
      <c r="D14313" t="str">
        <f>"Tape Chants"</f>
        <v>Tape Chants</v>
      </c>
    </row>
    <row r="14314" spans="1:4" x14ac:dyDescent="0.2">
      <c r="A14314" t="str">
        <f>"14313"</f>
        <v>14313</v>
      </c>
      <c r="B14314" t="str">
        <f>"0.41"</f>
        <v>0.41</v>
      </c>
      <c r="C14314" t="str">
        <f>"20"</f>
        <v>20</v>
      </c>
      <c r="D14314" t="str">
        <f>"En Hand I Himlen"</f>
        <v>En Hand I Himlen</v>
      </c>
    </row>
    <row r="14315" spans="1:4" x14ac:dyDescent="0.2">
      <c r="A14315" t="str">
        <f>"14314"</f>
        <v>14314</v>
      </c>
      <c r="B14315" t="str">
        <f>"0.26"</f>
        <v>0.26</v>
      </c>
      <c r="C14315" t="str">
        <f>"28"</f>
        <v>28</v>
      </c>
      <c r="D14315" t="str">
        <f>"Jhelli Beam"</f>
        <v>Jhelli Beam</v>
      </c>
    </row>
    <row r="14316" spans="1:4" x14ac:dyDescent="0.2">
      <c r="A14316" t="str">
        <f>"14315"</f>
        <v>14315</v>
      </c>
      <c r="B14316" t="str">
        <f>"0.98"</f>
        <v>0.98</v>
      </c>
      <c r="C14316" t="str">
        <f>"36"</f>
        <v>36</v>
      </c>
      <c r="D14316" t="str">
        <f>"Kitsuné Maison 7: The Lucky One"</f>
        <v>Kitsuné Maison 7: The Lucky One</v>
      </c>
    </row>
    <row r="14317" spans="1:4" x14ac:dyDescent="0.2">
      <c r="A14317" t="str">
        <f>"14316"</f>
        <v>14316</v>
      </c>
      <c r="B14317" t="str">
        <f>"-0.46"</f>
        <v>-0.46</v>
      </c>
      <c r="C14317" t="str">
        <f>"32"</f>
        <v>32</v>
      </c>
      <c r="D14317" t="str">
        <f>"Crossing the Rubicon"</f>
        <v>Crossing the Rubicon</v>
      </c>
    </row>
    <row r="14318" spans="1:4" x14ac:dyDescent="0.2">
      <c r="A14318" t="str">
        <f>"14317"</f>
        <v>14317</v>
      </c>
      <c r="B14318" t="str">
        <f>"0.93"</f>
        <v>0.93</v>
      </c>
      <c r="C14318" t="str">
        <f>"35"</f>
        <v>35</v>
      </c>
      <c r="D14318" t="str">
        <f>"Ciao!"</f>
        <v>Ciao!</v>
      </c>
    </row>
    <row r="14319" spans="1:4" x14ac:dyDescent="0.2">
      <c r="A14319" t="str">
        <f>"14318"</f>
        <v>14318</v>
      </c>
      <c r="B14319" t="str">
        <f>"0.08"</f>
        <v>0.08</v>
      </c>
      <c r="C14319" t="str">
        <f>"31"</f>
        <v>31</v>
      </c>
      <c r="D14319" t="str">
        <f>"Rotting Slowly"</f>
        <v>Rotting Slowly</v>
      </c>
    </row>
    <row r="14320" spans="1:4" x14ac:dyDescent="0.2">
      <c r="A14320" t="str">
        <f>"14319"</f>
        <v>14319</v>
      </c>
      <c r="B14320" t="str">
        <f>"-1.13"</f>
        <v>-1.13</v>
      </c>
      <c r="C14320" t="str">
        <f>"23"</f>
        <v>23</v>
      </c>
      <c r="D14320" t="str">
        <f>"The Bachelor"</f>
        <v>The Bachelor</v>
      </c>
    </row>
    <row r="14321" spans="1:4" x14ac:dyDescent="0.2">
      <c r="A14321" t="str">
        <f>"14320"</f>
        <v>14320</v>
      </c>
      <c r="B14321" t="str">
        <f>"-0.08"</f>
        <v>-0.08</v>
      </c>
      <c r="C14321" t="str">
        <f>"23"</f>
        <v>23</v>
      </c>
      <c r="D14321" t="str">
        <f>"Boys"</f>
        <v>Boys</v>
      </c>
    </row>
    <row r="14322" spans="1:4" x14ac:dyDescent="0.2">
      <c r="A14322" t="str">
        <f>"14321"</f>
        <v>14321</v>
      </c>
      <c r="B14322" t="str">
        <f>"-1.19"</f>
        <v>-1.19</v>
      </c>
      <c r="C14322" t="str">
        <f>"39"</f>
        <v>39</v>
      </c>
      <c r="D14322" t="str">
        <f>"All Reflections Drained"</f>
        <v>All Reflections Drained</v>
      </c>
    </row>
    <row r="14323" spans="1:4" x14ac:dyDescent="0.2">
      <c r="A14323" t="str">
        <f>"14322"</f>
        <v>14322</v>
      </c>
      <c r="B14323" t="str">
        <f>"-0.32"</f>
        <v>-0.32</v>
      </c>
      <c r="C14323" t="str">
        <f>"31"</f>
        <v>31</v>
      </c>
      <c r="D14323" t="str">
        <f>"Miike Snow"</f>
        <v>Miike Snow</v>
      </c>
    </row>
    <row r="14324" spans="1:4" x14ac:dyDescent="0.2">
      <c r="A14324" t="str">
        <f>"14323"</f>
        <v>14323</v>
      </c>
      <c r="B14324" t="str">
        <f>"-0.9"</f>
        <v>-0.9</v>
      </c>
      <c r="C14324" t="str">
        <f>"29"</f>
        <v>29</v>
      </c>
      <c r="D14324" t="str">
        <f>"The Mirror Explodes"</f>
        <v>The Mirror Explodes</v>
      </c>
    </row>
    <row r="14325" spans="1:4" x14ac:dyDescent="0.2">
      <c r="A14325" t="str">
        <f>"14324"</f>
        <v>14324</v>
      </c>
      <c r="B14325" t="str">
        <f>"-0.09"</f>
        <v>-0.09</v>
      </c>
      <c r="C14325" t="str">
        <f>"33"</f>
        <v>33</v>
      </c>
      <c r="D14325" t="str">
        <f>"The Ecstatic"</f>
        <v>The Ecstatic</v>
      </c>
    </row>
    <row r="14326" spans="1:4" x14ac:dyDescent="0.2">
      <c r="A14326" t="str">
        <f>"14325"</f>
        <v>14325</v>
      </c>
      <c r="B14326" t="str">
        <f>"0.45"</f>
        <v>0.45</v>
      </c>
      <c r="C14326" t="str">
        <f>"44"</f>
        <v>44</v>
      </c>
      <c r="D14326" t="str">
        <f>"Mingus Ah Um: Legacy Edition"</f>
        <v>Mingus Ah Um: Legacy Edition</v>
      </c>
    </row>
    <row r="14327" spans="1:4" x14ac:dyDescent="0.2">
      <c r="A14327" t="str">
        <f>"14326"</f>
        <v>14326</v>
      </c>
      <c r="B14327" t="str">
        <f>"-0.85"</f>
        <v>-0.85</v>
      </c>
      <c r="C14327" t="str">
        <f>"26"</f>
        <v>26</v>
      </c>
      <c r="D14327" t="str">
        <f>"Battle For the Sun"</f>
        <v>Battle For the Sun</v>
      </c>
    </row>
    <row r="14328" spans="1:4" x14ac:dyDescent="0.2">
      <c r="A14328" t="str">
        <f>"14327"</f>
        <v>14327</v>
      </c>
      <c r="B14328" t="str">
        <f>"-0.07"</f>
        <v>-0.07</v>
      </c>
      <c r="C14328" t="str">
        <f>"30"</f>
        <v>30</v>
      </c>
      <c r="D14328" t="str">
        <f>"My Electric Family"</f>
        <v>My Electric Family</v>
      </c>
    </row>
    <row r="14329" spans="1:4" x14ac:dyDescent="0.2">
      <c r="A14329" t="str">
        <f>"14328"</f>
        <v>14328</v>
      </c>
      <c r="B14329" t="str">
        <f>"-0.23"</f>
        <v>-0.23</v>
      </c>
      <c r="C14329" t="str">
        <f>"16"</f>
        <v>16</v>
      </c>
      <c r="D14329" t="s">
        <v>447</v>
      </c>
    </row>
    <row r="14330" spans="1:4" x14ac:dyDescent="0.2">
      <c r="A14330" t="str">
        <f>"14329"</f>
        <v>14329</v>
      </c>
      <c r="B14330" t="str">
        <f>"0.35"</f>
        <v>0.35</v>
      </c>
      <c r="C14330" t="str">
        <f>"42"</f>
        <v>42</v>
      </c>
      <c r="D14330" t="str">
        <f>"Bitte Orca"</f>
        <v>Bitte Orca</v>
      </c>
    </row>
    <row r="14331" spans="1:4" x14ac:dyDescent="0.2">
      <c r="A14331" t="str">
        <f>"14330"</f>
        <v>14330</v>
      </c>
      <c r="B14331" t="str">
        <f>"-0.05"</f>
        <v>-0.05</v>
      </c>
      <c r="C14331" t="str">
        <f>"36"</f>
        <v>36</v>
      </c>
      <c r="D14331" t="str">
        <f>"Man of Aran"</f>
        <v>Man of Aran</v>
      </c>
    </row>
    <row r="14332" spans="1:4" x14ac:dyDescent="0.2">
      <c r="A14332" t="str">
        <f>"14331"</f>
        <v>14331</v>
      </c>
      <c r="B14332" t="str">
        <f>"-0.65"</f>
        <v>-0.65</v>
      </c>
      <c r="C14332" t="str">
        <f>"39"</f>
        <v>39</v>
      </c>
      <c r="D14332" t="str">
        <f>"Absu"</f>
        <v>Absu</v>
      </c>
    </row>
    <row r="14333" spans="1:4" x14ac:dyDescent="0.2">
      <c r="A14333" t="str">
        <f>"14332"</f>
        <v>14332</v>
      </c>
      <c r="B14333" t="str">
        <f>"0.92"</f>
        <v>0.92</v>
      </c>
      <c r="C14333" t="str">
        <f>"25"</f>
        <v>25</v>
      </c>
      <c r="D14333" t="str">
        <f>"False Face Society"</f>
        <v>False Face Society</v>
      </c>
    </row>
    <row r="14334" spans="1:4" x14ac:dyDescent="0.2">
      <c r="A14334" t="str">
        <f>"14333"</f>
        <v>14333</v>
      </c>
      <c r="B14334" t="str">
        <f>"0.98"</f>
        <v>0.98</v>
      </c>
      <c r="C14334" t="str">
        <f>"25"</f>
        <v>25</v>
      </c>
      <c r="D14334" t="str">
        <f>"Clangour"</f>
        <v>Clangour</v>
      </c>
    </row>
    <row r="14335" spans="1:4" x14ac:dyDescent="0.2">
      <c r="A14335" t="str">
        <f>"14334"</f>
        <v>14334</v>
      </c>
      <c r="B14335" t="str">
        <f>"0.73"</f>
        <v>0.73</v>
      </c>
      <c r="C14335" t="str">
        <f>"26"</f>
        <v>26</v>
      </c>
      <c r="D14335" t="str">
        <f>"The Eternal"</f>
        <v>The Eternal</v>
      </c>
    </row>
    <row r="14336" spans="1:4" x14ac:dyDescent="0.2">
      <c r="A14336" t="str">
        <f>"14335"</f>
        <v>14335</v>
      </c>
      <c r="B14336" t="str">
        <f>"-0.56"</f>
        <v>-0.56</v>
      </c>
      <c r="C14336" t="str">
        <f>"22"</f>
        <v>22</v>
      </c>
      <c r="D14336" t="str">
        <f>"West Ryder Pauper Lunatic Asylum"</f>
        <v>West Ryder Pauper Lunatic Asylum</v>
      </c>
    </row>
    <row r="14337" spans="1:4" x14ac:dyDescent="0.2">
      <c r="A14337" t="str">
        <f>"14336"</f>
        <v>14336</v>
      </c>
      <c r="B14337" t="str">
        <f>"0.38"</f>
        <v>0.38</v>
      </c>
      <c r="C14337" t="str">
        <f>"23"</f>
        <v>23</v>
      </c>
      <c r="D14337" t="str">
        <f>"Vicious Circle"</f>
        <v>Vicious Circle</v>
      </c>
    </row>
    <row r="14338" spans="1:4" x14ac:dyDescent="0.2">
      <c r="A14338" t="str">
        <f>"14337"</f>
        <v>14337</v>
      </c>
      <c r="B14338" t="str">
        <f>"0.61"</f>
        <v>0.61</v>
      </c>
      <c r="C14338" t="str">
        <f>"26"</f>
        <v>26</v>
      </c>
      <c r="D14338" t="str">
        <f>"Survival Strategies in a Modern World"</f>
        <v>Survival Strategies in a Modern World</v>
      </c>
    </row>
    <row r="14339" spans="1:4" x14ac:dyDescent="0.2">
      <c r="A14339" t="str">
        <f>"14338"</f>
        <v>14338</v>
      </c>
      <c r="B14339" t="str">
        <f>"-0.25"</f>
        <v>-0.25</v>
      </c>
      <c r="C14339" t="str">
        <f>"42"</f>
        <v>42</v>
      </c>
      <c r="D14339" t="str">
        <f>"Philadelphia Freeway 2"</f>
        <v>Philadelphia Freeway 2</v>
      </c>
    </row>
    <row r="14340" spans="1:4" x14ac:dyDescent="0.2">
      <c r="A14340" t="str">
        <f>"14339"</f>
        <v>14339</v>
      </c>
      <c r="B14340" t="str">
        <f>"-0.42"</f>
        <v>-0.42</v>
      </c>
      <c r="C14340" t="str">
        <f>"28"</f>
        <v>28</v>
      </c>
      <c r="D14340" t="str">
        <f>"Hombre Lobo: 12 Songs of Desire"</f>
        <v>Hombre Lobo: 12 Songs of Desire</v>
      </c>
    </row>
    <row r="14341" spans="1:4" x14ac:dyDescent="0.2">
      <c r="A14341" t="str">
        <f>"14340"</f>
        <v>14340</v>
      </c>
      <c r="B14341" t="str">
        <f>"0.96"</f>
        <v>0.96</v>
      </c>
      <c r="C14341" t="str">
        <f>"39"</f>
        <v>39</v>
      </c>
      <c r="D14341" t="str">
        <f>"The Dreams We Have as Children"</f>
        <v>The Dreams We Have as Children</v>
      </c>
    </row>
    <row r="14342" spans="1:4" x14ac:dyDescent="0.2">
      <c r="A14342" t="str">
        <f>"14341"</f>
        <v>14341</v>
      </c>
      <c r="B14342" t="str">
        <f>"0.82"</f>
        <v>0.82</v>
      </c>
      <c r="C14342" t="str">
        <f>"57"</f>
        <v>57</v>
      </c>
      <c r="D14342" t="str">
        <f>"Sketches of Spain: Legacy Edition"</f>
        <v>Sketches of Spain: Legacy Edition</v>
      </c>
    </row>
    <row r="14343" spans="1:4" x14ac:dyDescent="0.2">
      <c r="A14343" t="str">
        <f>"14342"</f>
        <v>14342</v>
      </c>
      <c r="B14343" t="str">
        <f>"-0.31"</f>
        <v>-0.31</v>
      </c>
      <c r="C14343" t="str">
        <f>"30"</f>
        <v>30</v>
      </c>
      <c r="D14343" t="str">
        <f>"Gentlemania"</f>
        <v>Gentlemania</v>
      </c>
    </row>
    <row r="14344" spans="1:4" x14ac:dyDescent="0.2">
      <c r="A14344" t="str">
        <f>"14343"</f>
        <v>14343</v>
      </c>
      <c r="B14344" t="str">
        <f>"0.22"</f>
        <v>0.22</v>
      </c>
      <c r="C14344" t="str">
        <f>"37"</f>
        <v>37</v>
      </c>
      <c r="D14344" t="s">
        <v>448</v>
      </c>
    </row>
    <row r="14345" spans="1:4" x14ac:dyDescent="0.2">
      <c r="A14345" t="str">
        <f>"14344"</f>
        <v>14344</v>
      </c>
      <c r="B14345" t="str">
        <f>"-0.4"</f>
        <v>-0.4</v>
      </c>
      <c r="C14345" t="str">
        <f>"26"</f>
        <v>26</v>
      </c>
      <c r="D14345" t="str">
        <f>"Blood"</f>
        <v>Blood</v>
      </c>
    </row>
    <row r="14346" spans="1:4" x14ac:dyDescent="0.2">
      <c r="A14346" t="str">
        <f>"14345"</f>
        <v>14345</v>
      </c>
      <c r="B14346" t="str">
        <f>"-0.32"</f>
        <v>-0.32</v>
      </c>
      <c r="C14346" t="str">
        <f>"23"</f>
        <v>23</v>
      </c>
      <c r="D14346" t="s">
        <v>449</v>
      </c>
    </row>
    <row r="14347" spans="1:4" x14ac:dyDescent="0.2">
      <c r="A14347" t="str">
        <f>"14346"</f>
        <v>14346</v>
      </c>
      <c r="B14347" t="str">
        <f>"-0.94"</f>
        <v>-0.94</v>
      </c>
      <c r="C14347" t="str">
        <f>"28"</f>
        <v>28</v>
      </c>
      <c r="D14347" t="str">
        <f>"Tyvek"</f>
        <v>Tyvek</v>
      </c>
    </row>
    <row r="14348" spans="1:4" x14ac:dyDescent="0.2">
      <c r="A14348" t="str">
        <f>"14347"</f>
        <v>14347</v>
      </c>
      <c r="B14348" t="str">
        <f>"1.16"</f>
        <v>1.16</v>
      </c>
      <c r="C14348" t="str">
        <f>"33"</f>
        <v>33</v>
      </c>
      <c r="D14348" t="str">
        <f>"Two Fingers"</f>
        <v>Two Fingers</v>
      </c>
    </row>
    <row r="14349" spans="1:4" x14ac:dyDescent="0.2">
      <c r="A14349" t="str">
        <f>"14348"</f>
        <v>14348</v>
      </c>
      <c r="B14349" t="str">
        <f>"-0.56"</f>
        <v>-0.56</v>
      </c>
      <c r="C14349" t="str">
        <f>"29"</f>
        <v>29</v>
      </c>
      <c r="D14349" t="str">
        <f>"Spirit Animal"</f>
        <v>Spirit Animal</v>
      </c>
    </row>
    <row r="14350" spans="1:4" x14ac:dyDescent="0.2">
      <c r="A14350" t="str">
        <f>"14349"</f>
        <v>14349</v>
      </c>
      <c r="B14350" t="str">
        <f>"-0.64"</f>
        <v>-0.64</v>
      </c>
      <c r="C14350" t="str">
        <f>"37"</f>
        <v>37</v>
      </c>
      <c r="D14350" t="str">
        <f>"Grace Around the World"</f>
        <v>Grace Around the World</v>
      </c>
    </row>
    <row r="14351" spans="1:4" x14ac:dyDescent="0.2">
      <c r="A14351" t="str">
        <f>"14350"</f>
        <v>14350</v>
      </c>
      <c r="B14351" t="str">
        <f>"0.18"</f>
        <v>0.18</v>
      </c>
      <c r="C14351" t="str">
        <f>"26"</f>
        <v>26</v>
      </c>
      <c r="D14351" t="s">
        <v>450</v>
      </c>
    </row>
    <row r="14352" spans="1:4" x14ac:dyDescent="0.2">
      <c r="A14352" t="str">
        <f>"14351"</f>
        <v>14351</v>
      </c>
      <c r="B14352" t="str">
        <f>"-0.39"</f>
        <v>-0.39</v>
      </c>
      <c r="C14352" t="str">
        <f>"26"</f>
        <v>26</v>
      </c>
      <c r="D14352" t="str">
        <f>"Préliminaires"</f>
        <v>Préliminaires</v>
      </c>
    </row>
    <row r="14353" spans="1:4" x14ac:dyDescent="0.2">
      <c r="A14353" t="str">
        <f>"14352"</f>
        <v>14352</v>
      </c>
      <c r="B14353" t="str">
        <f>"-0.35"</f>
        <v>-0.35</v>
      </c>
      <c r="C14353" t="str">
        <f>"36"</f>
        <v>36</v>
      </c>
      <c r="D14353" t="str">
        <f>"Mind the Drift"</f>
        <v>Mind the Drift</v>
      </c>
    </row>
    <row r="14354" spans="1:4" x14ac:dyDescent="0.2">
      <c r="A14354" t="str">
        <f>"14353"</f>
        <v>14353</v>
      </c>
      <c r="B14354" t="str">
        <f>"1.8"</f>
        <v>1.8</v>
      </c>
      <c r="C14354" t="str">
        <f>"24"</f>
        <v>24</v>
      </c>
      <c r="D14354" t="str">
        <f>"Odo Sanbra"</f>
        <v>Odo Sanbra</v>
      </c>
    </row>
    <row r="14355" spans="1:4" x14ac:dyDescent="0.2">
      <c r="A14355" t="str">
        <f>"14354"</f>
        <v>14354</v>
      </c>
      <c r="B14355" t="str">
        <f>"-0.41"</f>
        <v>-0.41</v>
      </c>
      <c r="C14355" t="str">
        <f>"49"</f>
        <v>49</v>
      </c>
      <c r="D14355" t="str">
        <f>"Further Complications"</f>
        <v>Further Complications</v>
      </c>
    </row>
    <row r="14356" spans="1:4" x14ac:dyDescent="0.2">
      <c r="A14356" t="str">
        <f>"14355"</f>
        <v>14355</v>
      </c>
      <c r="B14356" t="str">
        <f>"-0.03"</f>
        <v>-0.03</v>
      </c>
      <c r="C14356" t="str">
        <f>"23"</f>
        <v>23</v>
      </c>
      <c r="D14356" t="str">
        <f>"Jay Stay Paid"</f>
        <v>Jay Stay Paid</v>
      </c>
    </row>
    <row r="14357" spans="1:4" x14ac:dyDescent="0.2">
      <c r="A14357" t="str">
        <f>"14356"</f>
        <v>14356</v>
      </c>
      <c r="B14357" t="str">
        <f>"0.36"</f>
        <v>0.36</v>
      </c>
      <c r="C14357" t="str">
        <f>"24"</f>
        <v>24</v>
      </c>
      <c r="D14357" t="str">
        <f>"Divisionals"</f>
        <v>Divisionals</v>
      </c>
    </row>
    <row r="14358" spans="1:4" x14ac:dyDescent="0.2">
      <c r="A14358" t="str">
        <f>"14357"</f>
        <v>14357</v>
      </c>
      <c r="B14358" t="str">
        <f>"0.38"</f>
        <v>0.38</v>
      </c>
      <c r="C14358" t="str">
        <f>"22"</f>
        <v>22</v>
      </c>
      <c r="D14358" t="str">
        <f>"Two"</f>
        <v>Two</v>
      </c>
    </row>
    <row r="14359" spans="1:4" x14ac:dyDescent="0.2">
      <c r="A14359" t="str">
        <f>"14358"</f>
        <v>14358</v>
      </c>
      <c r="B14359" t="str">
        <f>"0.51"</f>
        <v>0.51</v>
      </c>
      <c r="C14359" t="str">
        <f>"26"</f>
        <v>26</v>
      </c>
      <c r="D14359" t="str">
        <f>"Here Anonymous"</f>
        <v>Here Anonymous</v>
      </c>
    </row>
    <row r="14360" spans="1:4" x14ac:dyDescent="0.2">
      <c r="A14360" t="str">
        <f>"14359"</f>
        <v>14359</v>
      </c>
      <c r="B14360" t="str">
        <f>"0.18"</f>
        <v>0.18</v>
      </c>
      <c r="C14360" t="str">
        <f>"34"</f>
        <v>34</v>
      </c>
      <c r="D14360" t="str">
        <f>"LeftRightLeftRightLeft"</f>
        <v>LeftRightLeftRightLeft</v>
      </c>
    </row>
    <row r="14361" spans="1:4" x14ac:dyDescent="0.2">
      <c r="A14361" t="str">
        <f>"14360"</f>
        <v>14360</v>
      </c>
      <c r="B14361" t="str">
        <f>"1.37"</f>
        <v>1.37</v>
      </c>
      <c r="C14361" t="str">
        <f>"28"</f>
        <v>28</v>
      </c>
      <c r="D14361" t="str">
        <f>"II"</f>
        <v>II</v>
      </c>
    </row>
    <row r="14362" spans="1:4" x14ac:dyDescent="0.2">
      <c r="A14362" t="str">
        <f>"14361"</f>
        <v>14361</v>
      </c>
      <c r="B14362" t="str">
        <f>"-0.08"</f>
        <v>-0.08</v>
      </c>
      <c r="C14362" t="str">
        <f>"25"</f>
        <v>25</v>
      </c>
      <c r="D14362" t="s">
        <v>451</v>
      </c>
    </row>
    <row r="14363" spans="1:4" x14ac:dyDescent="0.2">
      <c r="A14363" t="str">
        <f>"14362"</f>
        <v>14362</v>
      </c>
      <c r="B14363" t="str">
        <f>"-0.23"</f>
        <v>-0.23</v>
      </c>
      <c r="C14363" t="str">
        <f>"35"</f>
        <v>35</v>
      </c>
      <c r="D14363" t="str">
        <f>"Journal For Plague Lovers"</f>
        <v>Journal For Plague Lovers</v>
      </c>
    </row>
    <row r="14364" spans="1:4" x14ac:dyDescent="0.2">
      <c r="A14364" t="str">
        <f>"14363"</f>
        <v>14363</v>
      </c>
      <c r="B14364" t="str">
        <f>"0.27"</f>
        <v>0.27</v>
      </c>
      <c r="C14364" t="str">
        <f>"26"</f>
        <v>26</v>
      </c>
      <c r="D14364" t="str">
        <f>"The Happiness Project"</f>
        <v>The Happiness Project</v>
      </c>
    </row>
    <row r="14365" spans="1:4" x14ac:dyDescent="0.2">
      <c r="A14365" t="str">
        <f>"14364"</f>
        <v>14364</v>
      </c>
      <c r="B14365" t="str">
        <f>"-0.63"</f>
        <v>-0.63</v>
      </c>
      <c r="C14365" t="str">
        <f>"47"</f>
        <v>47</v>
      </c>
      <c r="D14365" t="str">
        <f>"Monoliths &amp; Dimensions"</f>
        <v>Monoliths &amp; Dimensions</v>
      </c>
    </row>
    <row r="14366" spans="1:4" x14ac:dyDescent="0.2">
      <c r="A14366" t="str">
        <f>"14365"</f>
        <v>14365</v>
      </c>
      <c r="B14366" t="str">
        <f>"0.34"</f>
        <v>0.34</v>
      </c>
      <c r="C14366" t="str">
        <f>"21"</f>
        <v>21</v>
      </c>
      <c r="D14366" t="str">
        <f>"The Glass Bead Game"</f>
        <v>The Glass Bead Game</v>
      </c>
    </row>
    <row r="14367" spans="1:4" x14ac:dyDescent="0.2">
      <c r="A14367" t="str">
        <f>"14366"</f>
        <v>14366</v>
      </c>
      <c r="B14367" t="str">
        <f>"-1.07"</f>
        <v>-1.07</v>
      </c>
      <c r="C14367" t="str">
        <f>"24"</f>
        <v>24</v>
      </c>
      <c r="D14367" t="str">
        <f>"theFREEhoudini"</f>
        <v>theFREEhoudini</v>
      </c>
    </row>
    <row r="14368" spans="1:4" x14ac:dyDescent="0.2">
      <c r="A14368" t="str">
        <f>"14367"</f>
        <v>14367</v>
      </c>
      <c r="B14368" t="str">
        <f>"0.53"</f>
        <v>0.53</v>
      </c>
      <c r="C14368" t="str">
        <f>"18"</f>
        <v>18</v>
      </c>
      <c r="D14368" t="str">
        <f>"Psychic Psummer"</f>
        <v>Psychic Psummer</v>
      </c>
    </row>
    <row r="14369" spans="1:4" x14ac:dyDescent="0.2">
      <c r="A14369" t="str">
        <f>"14368"</f>
        <v>14368</v>
      </c>
      <c r="B14369" t="str">
        <f>"-0.09"</f>
        <v>-0.09</v>
      </c>
      <c r="C14369" t="str">
        <f>"41"</f>
        <v>41</v>
      </c>
      <c r="D14369" t="str">
        <f>"Amesoeurs"</f>
        <v>Amesoeurs</v>
      </c>
    </row>
    <row r="14370" spans="1:4" x14ac:dyDescent="0.2">
      <c r="A14370" t="str">
        <f>"14369"</f>
        <v>14369</v>
      </c>
      <c r="B14370" t="str">
        <f>"0.25"</f>
        <v>0.25</v>
      </c>
      <c r="C14370" t="str">
        <f>"40"</f>
        <v>40</v>
      </c>
      <c r="D14370" t="str">
        <f>"Yesterday &amp; Today"</f>
        <v>Yesterday &amp; Today</v>
      </c>
    </row>
    <row r="14371" spans="1:4" x14ac:dyDescent="0.2">
      <c r="A14371" t="str">
        <f>"14370"</f>
        <v>14370</v>
      </c>
      <c r="B14371" t="str">
        <f>"-0.55"</f>
        <v>-0.55</v>
      </c>
      <c r="C14371" t="str">
        <f>"38"</f>
        <v>38</v>
      </c>
      <c r="D14371" t="str">
        <f>"Gone Fishing"</f>
        <v>Gone Fishing</v>
      </c>
    </row>
    <row r="14372" spans="1:4" x14ac:dyDescent="0.2">
      <c r="A14372" t="str">
        <f>"14371"</f>
        <v>14371</v>
      </c>
      <c r="B14372" t="str">
        <f>"0.28"</f>
        <v>0.28</v>
      </c>
      <c r="C14372" t="str">
        <f>"24"</f>
        <v>24</v>
      </c>
      <c r="D14372" t="str">
        <f>"Polly Scattergood"</f>
        <v>Polly Scattergood</v>
      </c>
    </row>
    <row r="14373" spans="1:4" x14ac:dyDescent="0.2">
      <c r="A14373" t="str">
        <f>"14372"</f>
        <v>14372</v>
      </c>
      <c r="B14373" t="str">
        <f>"0.88"</f>
        <v>0.88</v>
      </c>
      <c r="C14373" t="str">
        <f>"17"</f>
        <v>17</v>
      </c>
      <c r="D14373" t="str">
        <f>"Untitled #23"</f>
        <v>Untitled #23</v>
      </c>
    </row>
    <row r="14374" spans="1:4" x14ac:dyDescent="0.2">
      <c r="A14374" t="str">
        <f>"14373"</f>
        <v>14373</v>
      </c>
      <c r="B14374" t="str">
        <f>"-0.58"</f>
        <v>-0.58</v>
      </c>
      <c r="C14374" t="str">
        <f>"20"</f>
        <v>20</v>
      </c>
      <c r="D14374" t="str">
        <f>"Dim the Aurora"</f>
        <v>Dim the Aurora</v>
      </c>
    </row>
    <row r="14375" spans="1:4" x14ac:dyDescent="0.2">
      <c r="A14375" t="str">
        <f>"14374"</f>
        <v>14374</v>
      </c>
      <c r="B14375" t="str">
        <f>"0.37"</f>
        <v>0.37</v>
      </c>
      <c r="C14375" t="str">
        <f>"63"</f>
        <v>63</v>
      </c>
      <c r="D14375" t="str">
        <f>"Wolfgang Amadeus Phoenix"</f>
        <v>Wolfgang Amadeus Phoenix</v>
      </c>
    </row>
    <row r="14376" spans="1:4" x14ac:dyDescent="0.2">
      <c r="A14376" t="str">
        <f>"14375"</f>
        <v>14375</v>
      </c>
      <c r="B14376" t="str">
        <f>"-0.58"</f>
        <v>-0.58</v>
      </c>
      <c r="C14376" t="str">
        <f>"49"</f>
        <v>49</v>
      </c>
      <c r="D14376" t="str">
        <f>"Dark Night of the Soul"</f>
        <v>Dark Night of the Soul</v>
      </c>
    </row>
    <row r="14377" spans="1:4" x14ac:dyDescent="0.2">
      <c r="A14377" t="str">
        <f>"14376"</f>
        <v>14376</v>
      </c>
      <c r="B14377" t="str">
        <f>"0.49"</f>
        <v>0.49</v>
      </c>
      <c r="C14377" t="str">
        <f>"27"</f>
        <v>27</v>
      </c>
      <c r="D14377" t="str">
        <f>"Ice Capped at Both Ends"</f>
        <v>Ice Capped at Both Ends</v>
      </c>
    </row>
    <row r="14378" spans="1:4" x14ac:dyDescent="0.2">
      <c r="A14378" t="str">
        <f>"14377"</f>
        <v>14377</v>
      </c>
      <c r="B14378" t="str">
        <f>"0.68"</f>
        <v>0.68</v>
      </c>
      <c r="C14378" t="str">
        <f>"24"</f>
        <v>24</v>
      </c>
      <c r="D14378" t="str">
        <f>"Rose City"</f>
        <v>Rose City</v>
      </c>
    </row>
    <row r="14379" spans="1:4" x14ac:dyDescent="0.2">
      <c r="A14379" t="str">
        <f>"14378"</f>
        <v>14378</v>
      </c>
      <c r="B14379" t="str">
        <f>"0.49"</f>
        <v>0.49</v>
      </c>
      <c r="C14379" t="str">
        <f>"21"</f>
        <v>21</v>
      </c>
      <c r="D14379" t="str">
        <f>"How to Get to Heaven From Scotland"</f>
        <v>How to Get to Heaven From Scotland</v>
      </c>
    </row>
    <row r="14380" spans="1:4" x14ac:dyDescent="0.2">
      <c r="A14380" t="str">
        <f>"14379"</f>
        <v>14379</v>
      </c>
      <c r="B14380" t="str">
        <f>"0.63"</f>
        <v>0.63</v>
      </c>
      <c r="C14380" t="str">
        <f>"54"</f>
        <v>54</v>
      </c>
      <c r="D14380" t="str">
        <f>"Veckatimest"</f>
        <v>Veckatimest</v>
      </c>
    </row>
    <row r="14381" spans="1:4" x14ac:dyDescent="0.2">
      <c r="A14381" t="str">
        <f>"14380"</f>
        <v>14380</v>
      </c>
      <c r="B14381" t="str">
        <f>"-0.97"</f>
        <v>-0.97</v>
      </c>
      <c r="C14381" t="str">
        <f>"31"</f>
        <v>31</v>
      </c>
      <c r="D14381" t="str">
        <f>"UGK 4 Life"</f>
        <v>UGK 4 Life</v>
      </c>
    </row>
    <row r="14382" spans="1:4" x14ac:dyDescent="0.2">
      <c r="A14382" t="str">
        <f>"14381"</f>
        <v>14381</v>
      </c>
      <c r="B14382" t="str">
        <f>"-0.17"</f>
        <v>-0.17</v>
      </c>
      <c r="C14382" t="str">
        <f>"28"</f>
        <v>28</v>
      </c>
      <c r="D14382" t="str">
        <f>"Eating Us"</f>
        <v>Eating Us</v>
      </c>
    </row>
    <row r="14383" spans="1:4" x14ac:dyDescent="0.2">
      <c r="A14383" t="str">
        <f>"14382"</f>
        <v>14382</v>
      </c>
      <c r="B14383" t="str">
        <f>"-1.51"</f>
        <v>-1.51</v>
      </c>
      <c r="C14383" t="str">
        <f>"22"</f>
        <v>22</v>
      </c>
      <c r="D14383" t="str">
        <f>"Cryptomnesia"</f>
        <v>Cryptomnesia</v>
      </c>
    </row>
    <row r="14384" spans="1:4" x14ac:dyDescent="0.2">
      <c r="A14384" t="str">
        <f>"14383"</f>
        <v>14383</v>
      </c>
      <c r="B14384" t="str">
        <f>"0.27"</f>
        <v>0.27</v>
      </c>
      <c r="C14384" t="str">
        <f>"24"</f>
        <v>24</v>
      </c>
      <c r="D14384" t="str">
        <f>"Wild and Inside"</f>
        <v>Wild and Inside</v>
      </c>
    </row>
    <row r="14385" spans="1:4" x14ac:dyDescent="0.2">
      <c r="A14385" t="str">
        <f>"14384"</f>
        <v>14384</v>
      </c>
      <c r="B14385" t="str">
        <f>"-0.62"</f>
        <v>-0.62</v>
      </c>
      <c r="C14385" t="str">
        <f>"53"</f>
        <v>53</v>
      </c>
      <c r="D14385" t="str">
        <f>"21st Century Breakdown"</f>
        <v>21st Century Breakdown</v>
      </c>
    </row>
    <row r="14386" spans="1:4" x14ac:dyDescent="0.2">
      <c r="A14386" t="str">
        <f>"14385"</f>
        <v>14385</v>
      </c>
      <c r="B14386" t="str">
        <f>"0.29"</f>
        <v>0.29</v>
      </c>
      <c r="C14386" t="str">
        <f>"25"</f>
        <v>25</v>
      </c>
      <c r="D14386" t="str">
        <f>"Manners"</f>
        <v>Manners</v>
      </c>
    </row>
    <row r="14387" spans="1:4" x14ac:dyDescent="0.2">
      <c r="A14387" t="str">
        <f>"14386"</f>
        <v>14386</v>
      </c>
      <c r="B14387" t="str">
        <f>"0.54"</f>
        <v>0.54</v>
      </c>
      <c r="C14387" t="str">
        <f>"21"</f>
        <v>21</v>
      </c>
      <c r="D14387" t="str">
        <f>"OK Bear"</f>
        <v>OK Bear</v>
      </c>
    </row>
    <row r="14388" spans="1:4" x14ac:dyDescent="0.2">
      <c r="A14388" t="str">
        <f>"14387"</f>
        <v>14387</v>
      </c>
      <c r="B14388" t="str">
        <f>"1.93"</f>
        <v>1.93</v>
      </c>
      <c r="C14388" t="str">
        <f>"26"</f>
        <v>26</v>
      </c>
      <c r="D14388" t="s">
        <v>452</v>
      </c>
    </row>
    <row r="14389" spans="1:4" x14ac:dyDescent="0.2">
      <c r="A14389" t="str">
        <f>"14388"</f>
        <v>14388</v>
      </c>
      <c r="B14389" t="str">
        <f>"1.66"</f>
        <v>1.66</v>
      </c>
      <c r="C14389" t="str">
        <f>"35"</f>
        <v>35</v>
      </c>
      <c r="D14389" t="str">
        <f>"La Llama"</f>
        <v>La Llama</v>
      </c>
    </row>
    <row r="14390" spans="1:4" x14ac:dyDescent="0.2">
      <c r="A14390" t="str">
        <f>"14389"</f>
        <v>14389</v>
      </c>
      <c r="B14390" t="str">
        <f>"-0.81"</f>
        <v>-0.81</v>
      </c>
      <c r="C14390" t="str">
        <f>"63"</f>
        <v>63</v>
      </c>
      <c r="D14390" t="str">
        <f>"Rainwater Cassette Exchange"</f>
        <v>Rainwater Cassette Exchange</v>
      </c>
    </row>
    <row r="14391" spans="1:4" x14ac:dyDescent="0.2">
      <c r="A14391" t="str">
        <f>"14390"</f>
        <v>14390</v>
      </c>
      <c r="B14391" t="str">
        <f>"0.22"</f>
        <v>0.22</v>
      </c>
      <c r="C14391" t="str">
        <f>"37"</f>
        <v>37</v>
      </c>
      <c r="D14391" t="s">
        <v>453</v>
      </c>
    </row>
    <row r="14392" spans="1:4" x14ac:dyDescent="0.2">
      <c r="A14392" t="str">
        <f>"14391"</f>
        <v>14391</v>
      </c>
      <c r="B14392" t="str">
        <f>"0.09"</f>
        <v>0.09</v>
      </c>
      <c r="C14392" t="str">
        <f>"38"</f>
        <v>38</v>
      </c>
      <c r="D14392" t="str">
        <f>"Fantasy Ride"</f>
        <v>Fantasy Ride</v>
      </c>
    </row>
    <row r="14393" spans="1:4" x14ac:dyDescent="0.2">
      <c r="A14393" t="str">
        <f>"14392"</f>
        <v>14392</v>
      </c>
      <c r="B14393" t="str">
        <f>"-0.04"</f>
        <v>-0.04</v>
      </c>
      <c r="C14393" t="str">
        <f>"17"</f>
        <v>17</v>
      </c>
      <c r="D14393" t="str">
        <f>"Magnolia"</f>
        <v>Magnolia</v>
      </c>
    </row>
    <row r="14394" spans="1:4" x14ac:dyDescent="0.2">
      <c r="A14394" t="str">
        <f>"14393"</f>
        <v>14393</v>
      </c>
      <c r="B14394" t="str">
        <f>"0.09"</f>
        <v>0.09</v>
      </c>
      <c r="C14394" t="str">
        <f>"38"</f>
        <v>38</v>
      </c>
      <c r="D14394" t="str">
        <f>"Malevolent Grain"</f>
        <v>Malevolent Grain</v>
      </c>
    </row>
    <row r="14395" spans="1:4" x14ac:dyDescent="0.2">
      <c r="A14395" t="str">
        <f>"14394"</f>
        <v>14394</v>
      </c>
      <c r="B14395" t="str">
        <f>"1.25"</f>
        <v>1.25</v>
      </c>
      <c r="C14395" t="str">
        <f>"33"</f>
        <v>33</v>
      </c>
      <c r="D14395" t="str">
        <f>"Around the Well"</f>
        <v>Around the Well</v>
      </c>
    </row>
    <row r="14396" spans="1:4" x14ac:dyDescent="0.2">
      <c r="A14396" t="str">
        <f>"14395"</f>
        <v>14395</v>
      </c>
      <c r="B14396" t="str">
        <f>"0.33"</f>
        <v>0.33</v>
      </c>
      <c r="C14396" t="str">
        <f>"33"</f>
        <v>33</v>
      </c>
      <c r="D14396" t="str">
        <f>"Eats Darkness"</f>
        <v>Eats Darkness</v>
      </c>
    </row>
    <row r="14397" spans="1:4" x14ac:dyDescent="0.2">
      <c r="A14397" t="str">
        <f>"14396"</f>
        <v>14396</v>
      </c>
      <c r="B14397" t="str">
        <f>"-0.08"</f>
        <v>-0.08</v>
      </c>
      <c r="C14397" t="str">
        <f>"19"</f>
        <v>19</v>
      </c>
      <c r="D14397" t="str">
        <f>"Lost Channels"</f>
        <v>Lost Channels</v>
      </c>
    </row>
    <row r="14398" spans="1:4" x14ac:dyDescent="0.2">
      <c r="A14398" t="str">
        <f>"14397"</f>
        <v>14397</v>
      </c>
      <c r="B14398" t="str">
        <f>"0.38"</f>
        <v>0.38</v>
      </c>
      <c r="C14398" t="str">
        <f>"22"</f>
        <v>22</v>
      </c>
      <c r="D14398" t="str">
        <f>"Clues"</f>
        <v>Clues</v>
      </c>
    </row>
    <row r="14399" spans="1:4" x14ac:dyDescent="0.2">
      <c r="A14399" t="str">
        <f>"14398"</f>
        <v>14398</v>
      </c>
      <c r="B14399" t="str">
        <f>"-0.57"</f>
        <v>-0.57</v>
      </c>
      <c r="C14399" t="str">
        <f>"27"</f>
        <v>27</v>
      </c>
      <c r="D14399" t="str">
        <f>"Kappe"</f>
        <v>Kappe</v>
      </c>
    </row>
    <row r="14400" spans="1:4" x14ac:dyDescent="0.2">
      <c r="A14400" t="str">
        <f>"14399"</f>
        <v>14399</v>
      </c>
      <c r="B14400" t="str">
        <f>"-1.07"</f>
        <v>-1.07</v>
      </c>
      <c r="C14400" t="str">
        <f>"47"</f>
        <v>47</v>
      </c>
      <c r="D14400" t="str">
        <f>"Relapse"</f>
        <v>Relapse</v>
      </c>
    </row>
    <row r="14401" spans="1:4" x14ac:dyDescent="0.2">
      <c r="A14401" t="str">
        <f>"14400"</f>
        <v>14400</v>
      </c>
      <c r="B14401" t="str">
        <f>"1.27"</f>
        <v>1.27</v>
      </c>
      <c r="C14401" t="str">
        <f>"19"</f>
        <v>19</v>
      </c>
      <c r="D14401" t="str">
        <f>"Romanian Names"</f>
        <v>Romanian Names</v>
      </c>
    </row>
    <row r="14402" spans="1:4" x14ac:dyDescent="0.2">
      <c r="A14402" t="str">
        <f>"14401"</f>
        <v>14401</v>
      </c>
      <c r="B14402" t="str">
        <f>"0.31"</f>
        <v>0.31</v>
      </c>
      <c r="C14402" t="str">
        <f>"31"</f>
        <v>31</v>
      </c>
      <c r="D14402" t="str">
        <f>"It's Frightening"</f>
        <v>It's Frightening</v>
      </c>
    </row>
    <row r="14403" spans="1:4" x14ac:dyDescent="0.2">
      <c r="A14403" t="str">
        <f>"14402"</f>
        <v>14402</v>
      </c>
      <c r="B14403" t="str">
        <f>"0.45"</f>
        <v>0.45</v>
      </c>
      <c r="C14403" t="str">
        <f>"21"</f>
        <v>21</v>
      </c>
      <c r="D14403" t="str">
        <f>"'Em Are I"</f>
        <v>'Em Are I</v>
      </c>
    </row>
    <row r="14404" spans="1:4" x14ac:dyDescent="0.2">
      <c r="A14404" t="str">
        <f>"14403"</f>
        <v>14403</v>
      </c>
      <c r="B14404" t="str">
        <f>"-0.09"</f>
        <v>-0.09</v>
      </c>
      <c r="C14404" t="str">
        <f>"22"</f>
        <v>22</v>
      </c>
      <c r="D14404" t="str">
        <f>"Death Control"</f>
        <v>Death Control</v>
      </c>
    </row>
    <row r="14405" spans="1:4" x14ac:dyDescent="0.2">
      <c r="A14405" t="str">
        <f>"14404"</f>
        <v>14404</v>
      </c>
      <c r="B14405" t="str">
        <f>"0.06"</f>
        <v>0.06</v>
      </c>
      <c r="C14405" t="str">
        <f>"39"</f>
        <v>39</v>
      </c>
      <c r="D14405" t="str">
        <f>"Animal Crack Box"</f>
        <v>Animal Crack Box</v>
      </c>
    </row>
    <row r="14406" spans="1:4" x14ac:dyDescent="0.2">
      <c r="A14406" t="str">
        <f>"14405"</f>
        <v>14405</v>
      </c>
      <c r="B14406" t="str">
        <f>"1.13"</f>
        <v>1.13</v>
      </c>
      <c r="C14406" t="str">
        <f>"20"</f>
        <v>20</v>
      </c>
      <c r="D14406" t="str">
        <f>"Kitsuné Tabloid"</f>
        <v>Kitsuné Tabloid</v>
      </c>
    </row>
    <row r="14407" spans="1:4" x14ac:dyDescent="0.2">
      <c r="A14407" t="str">
        <f>"14406"</f>
        <v>14406</v>
      </c>
      <c r="B14407" t="str">
        <f>"-0.01"</f>
        <v>-0.01</v>
      </c>
      <c r="C14407" t="str">
        <f>"48"</f>
        <v>48</v>
      </c>
      <c r="D14407" t="str">
        <f>"The Spinning Top"</f>
        <v>The Spinning Top</v>
      </c>
    </row>
    <row r="14408" spans="1:4" x14ac:dyDescent="0.2">
      <c r="A14408" t="str">
        <f>"14407"</f>
        <v>14407</v>
      </c>
      <c r="B14408" t="str">
        <f>"-0.1"</f>
        <v>-0.1</v>
      </c>
      <c r="C14408" t="str">
        <f>"19"</f>
        <v>19</v>
      </c>
      <c r="D14408" t="str">
        <f>"Sewn Together"</f>
        <v>Sewn Together</v>
      </c>
    </row>
    <row r="14409" spans="1:4" x14ac:dyDescent="0.2">
      <c r="A14409" t="str">
        <f>"14408"</f>
        <v>14408</v>
      </c>
      <c r="B14409" t="str">
        <f>"-1.08"</f>
        <v>-1.08</v>
      </c>
      <c r="C14409" t="str">
        <f>"13"</f>
        <v>13</v>
      </c>
      <c r="D14409" t="str">
        <f>"Fake Surfers"</f>
        <v>Fake Surfers</v>
      </c>
    </row>
    <row r="14410" spans="1:4" x14ac:dyDescent="0.2">
      <c r="A14410" t="str">
        <f>"14409"</f>
        <v>14409</v>
      </c>
      <c r="B14410" t="str">
        <f>"-1.57"</f>
        <v>-1.57</v>
      </c>
      <c r="C14410" t="str">
        <f>"28"</f>
        <v>28</v>
      </c>
      <c r="D14410" t="str">
        <f>"Crime Pays"</f>
        <v>Crime Pays</v>
      </c>
    </row>
    <row r="14411" spans="1:4" x14ac:dyDescent="0.2">
      <c r="A14411" t="str">
        <f>"14410"</f>
        <v>14410</v>
      </c>
      <c r="B14411" t="str">
        <f>"-0.71"</f>
        <v>-0.71</v>
      </c>
      <c r="C14411" t="str">
        <f>"34"</f>
        <v>34</v>
      </c>
      <c r="D14411" t="str">
        <f>"Funcrusher Plus"</f>
        <v>Funcrusher Plus</v>
      </c>
    </row>
    <row r="14412" spans="1:4" x14ac:dyDescent="0.2">
      <c r="A14412" t="str">
        <f>"14411"</f>
        <v>14411</v>
      </c>
      <c r="B14412" t="str">
        <f>"0.1"</f>
        <v>0.1</v>
      </c>
      <c r="C14412" t="str">
        <f>"46"</f>
        <v>46</v>
      </c>
      <c r="D14412" t="str">
        <f>"Ballads"</f>
        <v>Ballads</v>
      </c>
    </row>
    <row r="14413" spans="1:4" x14ac:dyDescent="0.2">
      <c r="A14413" t="str">
        <f>"14412"</f>
        <v>14412</v>
      </c>
      <c r="B14413" t="str">
        <f>"-0.05"</f>
        <v>-0.05</v>
      </c>
      <c r="C14413" t="str">
        <f>"22"</f>
        <v>22</v>
      </c>
      <c r="D14413" t="str">
        <f>"Free Drugs;-)"</f>
        <v>Free Drugs;-)</v>
      </c>
    </row>
    <row r="14414" spans="1:4" x14ac:dyDescent="0.2">
      <c r="A14414" t="str">
        <f>"14413"</f>
        <v>14413</v>
      </c>
      <c r="B14414" t="str">
        <f>"0.77"</f>
        <v>0.77</v>
      </c>
      <c r="C14414" t="str">
        <f>"27"</f>
        <v>27</v>
      </c>
      <c r="D14414" t="str">
        <f>"Tomorrow Today"</f>
        <v>Tomorrow Today</v>
      </c>
    </row>
    <row r="14415" spans="1:4" x14ac:dyDescent="0.2">
      <c r="A14415" t="str">
        <f>"14414"</f>
        <v>14414</v>
      </c>
      <c r="B14415" t="str">
        <f>"0.11"</f>
        <v>0.11</v>
      </c>
      <c r="C14415" t="str">
        <f>"30"</f>
        <v>30</v>
      </c>
      <c r="D14415" t="str">
        <f>"Wavering Radiant"</f>
        <v>Wavering Radiant</v>
      </c>
    </row>
    <row r="14416" spans="1:4" x14ac:dyDescent="0.2">
      <c r="A14416" t="str">
        <f>"14415"</f>
        <v>14415</v>
      </c>
      <c r="B14416" t="str">
        <f>"0.09"</f>
        <v>0.09</v>
      </c>
      <c r="C14416" t="str">
        <f>"28"</f>
        <v>28</v>
      </c>
      <c r="D14416" t="str">
        <f>"Intimacy Remixed"</f>
        <v>Intimacy Remixed</v>
      </c>
    </row>
    <row r="14417" spans="1:4" x14ac:dyDescent="0.2">
      <c r="A14417" t="str">
        <f>"14416"</f>
        <v>14416</v>
      </c>
      <c r="B14417" t="str">
        <f>"0.98"</f>
        <v>0.98</v>
      </c>
      <c r="C14417" t="str">
        <f>"44"</f>
        <v>44</v>
      </c>
      <c r="D14417" t="str">
        <f>"Maker"</f>
        <v>Maker</v>
      </c>
    </row>
    <row r="14418" spans="1:4" x14ac:dyDescent="0.2">
      <c r="A14418" t="str">
        <f>"14417"</f>
        <v>14417</v>
      </c>
      <c r="B14418" t="str">
        <f>"-0.17"</f>
        <v>-0.17</v>
      </c>
      <c r="C14418" t="str">
        <f>"38"</f>
        <v>38</v>
      </c>
      <c r="D14418" t="str">
        <f>"Hey Everyone!"</f>
        <v>Hey Everyone!</v>
      </c>
    </row>
    <row r="14419" spans="1:4" x14ac:dyDescent="0.2">
      <c r="A14419" t="str">
        <f>"14418"</f>
        <v>14418</v>
      </c>
      <c r="B14419" t="str">
        <f>"0.59"</f>
        <v>0.59</v>
      </c>
      <c r="C14419" t="str">
        <f>"25"</f>
        <v>25</v>
      </c>
      <c r="D14419" t="str">
        <f>"Modern Silence"</f>
        <v>Modern Silence</v>
      </c>
    </row>
    <row r="14420" spans="1:4" x14ac:dyDescent="0.2">
      <c r="A14420" t="str">
        <f>"14419"</f>
        <v>14419</v>
      </c>
      <c r="B14420" t="str">
        <f>"0.19"</f>
        <v>0.19</v>
      </c>
      <c r="C14420" t="str">
        <f>"31"</f>
        <v>31</v>
      </c>
      <c r="D14420" t="str">
        <f>"Quicken the Heart"</f>
        <v>Quicken the Heart</v>
      </c>
    </row>
    <row r="14421" spans="1:4" x14ac:dyDescent="0.2">
      <c r="A14421" t="str">
        <f>"14420"</f>
        <v>14420</v>
      </c>
      <c r="B14421" t="str">
        <f>"1.18"</f>
        <v>1.18</v>
      </c>
      <c r="C14421" t="str">
        <f>"16"</f>
        <v>16</v>
      </c>
      <c r="D14421" t="str">
        <f>"Délivrance"</f>
        <v>Délivrance</v>
      </c>
    </row>
    <row r="14422" spans="1:4" x14ac:dyDescent="0.2">
      <c r="A14422" t="str">
        <f>"14421"</f>
        <v>14421</v>
      </c>
      <c r="B14422" t="str">
        <f>"-0.4"</f>
        <v>-0.4</v>
      </c>
      <c r="C14422" t="str">
        <f>"21"</f>
        <v>21</v>
      </c>
      <c r="D14422" t="str">
        <f>"Black Square"</f>
        <v>Black Square</v>
      </c>
    </row>
    <row r="14423" spans="1:4" x14ac:dyDescent="0.2">
      <c r="A14423" t="str">
        <f>"14422"</f>
        <v>14422</v>
      </c>
      <c r="B14423" t="str">
        <f>"-0.45"</f>
        <v>-0.45</v>
      </c>
      <c r="C14423" t="str">
        <f>"26"</f>
        <v>26</v>
      </c>
      <c r="D14423" t="str">
        <f>"When I See the Sun Always Shines on TV"</f>
        <v>When I See the Sun Always Shines on TV</v>
      </c>
    </row>
    <row r="14424" spans="1:4" x14ac:dyDescent="0.2">
      <c r="A14424" t="str">
        <f>"14423"</f>
        <v>14423</v>
      </c>
      <c r="B14424" t="str">
        <f>"-0.47"</f>
        <v>-0.47</v>
      </c>
      <c r="C14424" t="str">
        <f>"25"</f>
        <v>25</v>
      </c>
      <c r="D14424" t="str">
        <f>"Wooden Arms"</f>
        <v>Wooden Arms</v>
      </c>
    </row>
    <row r="14425" spans="1:4" x14ac:dyDescent="0.2">
      <c r="A14425" t="str">
        <f>"14424"</f>
        <v>14424</v>
      </c>
      <c r="B14425" t="str">
        <f>"0.75"</f>
        <v>0.75</v>
      </c>
      <c r="C14425" t="str">
        <f>"23"</f>
        <v>23</v>
      </c>
      <c r="D14425" t="str">
        <f>"Lost Verses Live"</f>
        <v>Lost Verses Live</v>
      </c>
    </row>
    <row r="14426" spans="1:4" x14ac:dyDescent="0.2">
      <c r="A14426" t="str">
        <f>"14425"</f>
        <v>14425</v>
      </c>
      <c r="B14426" t="str">
        <f>"-0.75"</f>
        <v>-0.75</v>
      </c>
      <c r="C14426" t="str">
        <f>"42"</f>
        <v>42</v>
      </c>
      <c r="D14426" t="str">
        <f>"Townes"</f>
        <v>Townes</v>
      </c>
    </row>
    <row r="14427" spans="1:4" x14ac:dyDescent="0.2">
      <c r="A14427" t="str">
        <f>"14426"</f>
        <v>14426</v>
      </c>
      <c r="B14427" t="str">
        <f>"0.09"</f>
        <v>0.09</v>
      </c>
      <c r="C14427" t="str">
        <f>"25"</f>
        <v>25</v>
      </c>
      <c r="D14427" t="str">
        <f>"Blood From a Stone"</f>
        <v>Blood From a Stone</v>
      </c>
    </row>
    <row r="14428" spans="1:4" x14ac:dyDescent="0.2">
      <c r="A14428" t="str">
        <f>"14427"</f>
        <v>14427</v>
      </c>
      <c r="B14428" t="str">
        <f>"-0.82"</f>
        <v>-0.82</v>
      </c>
      <c r="C14428" t="str">
        <f>"22"</f>
        <v>22</v>
      </c>
      <c r="D14428" t="str">
        <f>"Desire Lines"</f>
        <v>Desire Lines</v>
      </c>
    </row>
    <row r="14429" spans="1:4" x14ac:dyDescent="0.2">
      <c r="A14429" t="str">
        <f>"14428"</f>
        <v>14428</v>
      </c>
      <c r="B14429" t="str">
        <f>"-0.41"</f>
        <v>-0.41</v>
      </c>
      <c r="C14429" t="str">
        <f>"16"</f>
        <v>16</v>
      </c>
      <c r="D14429" t="str">
        <f>"Down With Liberty... Up With Chains!"</f>
        <v>Down With Liberty... Up With Chains!</v>
      </c>
    </row>
    <row r="14430" spans="1:4" x14ac:dyDescent="0.2">
      <c r="A14430" t="str">
        <f>"14429"</f>
        <v>14429</v>
      </c>
      <c r="B14430" t="str">
        <f>"-0.41"</f>
        <v>-0.41</v>
      </c>
      <c r="C14430" t="str">
        <f>"28"</f>
        <v>28</v>
      </c>
      <c r="D14430" t="str">
        <f>"Are You In?"</f>
        <v>Are You In?</v>
      </c>
    </row>
    <row r="14431" spans="1:4" x14ac:dyDescent="0.2">
      <c r="A14431" t="str">
        <f>"14430"</f>
        <v>14430</v>
      </c>
      <c r="B14431" t="str">
        <f>"-1.26"</f>
        <v>-1.26</v>
      </c>
      <c r="C14431" t="str">
        <f>"32"</f>
        <v>32</v>
      </c>
      <c r="D14431" t="str">
        <f>"Vs. Children"</f>
        <v>Vs. Children</v>
      </c>
    </row>
    <row r="14432" spans="1:4" x14ac:dyDescent="0.2">
      <c r="A14432" t="str">
        <f>"14431"</f>
        <v>14431</v>
      </c>
      <c r="B14432" t="str">
        <f>"0.27"</f>
        <v>0.27</v>
      </c>
      <c r="C14432" t="str">
        <f>"17"</f>
        <v>17</v>
      </c>
      <c r="D14432" t="str">
        <f>"We Be Xuxa"</f>
        <v>We Be Xuxa</v>
      </c>
    </row>
    <row r="14433" spans="1:4" x14ac:dyDescent="0.2">
      <c r="A14433" t="str">
        <f>"14432"</f>
        <v>14432</v>
      </c>
      <c r="B14433" t="str">
        <f>"-0.22"</f>
        <v>-0.22</v>
      </c>
      <c r="C14433" t="str">
        <f>"23"</f>
        <v>23</v>
      </c>
      <c r="D14433" t="str">
        <f>"Enter the 37th Chamber"</f>
        <v>Enter the 37th Chamber</v>
      </c>
    </row>
    <row r="14434" spans="1:4" x14ac:dyDescent="0.2">
      <c r="A14434" t="str">
        <f>"14433"</f>
        <v>14433</v>
      </c>
      <c r="B14434" t="str">
        <f>"0.09"</f>
        <v>0.09</v>
      </c>
      <c r="C14434" t="str">
        <f>"29"</f>
        <v>29</v>
      </c>
      <c r="D14434" t="str">
        <f>"Checkmate Savage"</f>
        <v>Checkmate Savage</v>
      </c>
    </row>
    <row r="14435" spans="1:4" x14ac:dyDescent="0.2">
      <c r="A14435" t="str">
        <f>"14434"</f>
        <v>14434</v>
      </c>
      <c r="B14435" t="str">
        <f>"0.27"</f>
        <v>0.27</v>
      </c>
      <c r="C14435" t="str">
        <f>"37"</f>
        <v>37</v>
      </c>
      <c r="D14435" t="str">
        <f>"Arctic Monkeys at the Apollo"</f>
        <v>Arctic Monkeys at the Apollo</v>
      </c>
    </row>
    <row r="14436" spans="1:4" x14ac:dyDescent="0.2">
      <c r="A14436" t="str">
        <f>"14435"</f>
        <v>14435</v>
      </c>
      <c r="B14436" t="str">
        <f>"0.21"</f>
        <v>0.21</v>
      </c>
      <c r="C14436" t="str">
        <f>"37"</f>
        <v>37</v>
      </c>
      <c r="D14436" t="str">
        <f>"Entertainment"</f>
        <v>Entertainment</v>
      </c>
    </row>
    <row r="14437" spans="1:4" x14ac:dyDescent="0.2">
      <c r="A14437" t="str">
        <f>"14436"</f>
        <v>14436</v>
      </c>
      <c r="B14437" t="str">
        <f>"0.59"</f>
        <v>0.59</v>
      </c>
      <c r="C14437" t="str">
        <f>"26"</f>
        <v>26</v>
      </c>
      <c r="D14437" t="str">
        <f>"The Atlantic Ocean"</f>
        <v>The Atlantic Ocean</v>
      </c>
    </row>
    <row r="14438" spans="1:4" x14ac:dyDescent="0.2">
      <c r="A14438" t="str">
        <f>"14437"</f>
        <v>14437</v>
      </c>
      <c r="B14438" t="str">
        <f>"0.35"</f>
        <v>0.35</v>
      </c>
      <c r="C14438" t="str">
        <f>"36"</f>
        <v>36</v>
      </c>
      <c r="D14438" t="str">
        <f>"Ascenseur Ouvert!"</f>
        <v>Ascenseur Ouvert!</v>
      </c>
    </row>
    <row r="14439" spans="1:4" x14ac:dyDescent="0.2">
      <c r="A14439" t="str">
        <f>"14438"</f>
        <v>14438</v>
      </c>
      <c r="B14439" t="str">
        <f>"0.01"</f>
        <v>0.01</v>
      </c>
      <c r="C14439" t="str">
        <f>"21"</f>
        <v>21</v>
      </c>
      <c r="D14439" t="str">
        <f>"Mind Raft"</f>
        <v>Mind Raft</v>
      </c>
    </row>
    <row r="14440" spans="1:4" x14ac:dyDescent="0.2">
      <c r="A14440" t="str">
        <f>"14439"</f>
        <v>14439</v>
      </c>
      <c r="B14440" t="str">
        <f>"-0.71"</f>
        <v>-0.71</v>
      </c>
      <c r="C14440" t="str">
        <f>"22"</f>
        <v>22</v>
      </c>
      <c r="D14440" t="s">
        <v>454</v>
      </c>
    </row>
    <row r="14441" spans="1:4" x14ac:dyDescent="0.2">
      <c r="A14441" t="str">
        <f>"14440"</f>
        <v>14440</v>
      </c>
      <c r="B14441" t="str">
        <f>"-0.43"</f>
        <v>-0.43</v>
      </c>
      <c r="C14441" t="str">
        <f>"29"</f>
        <v>29</v>
      </c>
      <c r="D14441" t="str">
        <f>"Balf Quarry"</f>
        <v>Balf Quarry</v>
      </c>
    </row>
    <row r="14442" spans="1:4" x14ac:dyDescent="0.2">
      <c r="A14442" t="str">
        <f>"14441"</f>
        <v>14441</v>
      </c>
      <c r="B14442" t="str">
        <f>"-1.36"</f>
        <v>-1.36</v>
      </c>
      <c r="C14442" t="str">
        <f>"24"</f>
        <v>24</v>
      </c>
      <c r="D14442" t="str">
        <f>"Primary Colours"</f>
        <v>Primary Colours</v>
      </c>
    </row>
    <row r="14443" spans="1:4" x14ac:dyDescent="0.2">
      <c r="A14443" t="str">
        <f>"14442"</f>
        <v>14442</v>
      </c>
      <c r="B14443" t="str">
        <f>"1.05"</f>
        <v>1.05</v>
      </c>
      <c r="C14443" t="str">
        <f>"24"</f>
        <v>24</v>
      </c>
      <c r="D14443" t="str">
        <f>"T.I.M.E. Soundtrack"</f>
        <v>T.I.M.E. Soundtrack</v>
      </c>
    </row>
    <row r="14444" spans="1:4" x14ac:dyDescent="0.2">
      <c r="A14444" t="str">
        <f>"14443"</f>
        <v>14443</v>
      </c>
      <c r="B14444" t="str">
        <f>"0.49"</f>
        <v>0.49</v>
      </c>
      <c r="C14444" t="str">
        <f>"38"</f>
        <v>38</v>
      </c>
      <c r="D14444" t="str">
        <f>"Automat EP"</f>
        <v>Automat EP</v>
      </c>
    </row>
    <row r="14445" spans="1:4" x14ac:dyDescent="0.2">
      <c r="A14445" t="str">
        <f>"14444"</f>
        <v>14444</v>
      </c>
      <c r="B14445" t="str">
        <f>"-0.09"</f>
        <v>-0.09</v>
      </c>
      <c r="C14445" t="str">
        <f>"42"</f>
        <v>42</v>
      </c>
      <c r="D14445" t="str">
        <f>"From Her to Eternity"</f>
        <v>From Her to Eternity</v>
      </c>
    </row>
    <row r="14446" spans="1:4" x14ac:dyDescent="0.2">
      <c r="A14446" t="str">
        <f>"14445"</f>
        <v>14445</v>
      </c>
      <c r="B14446" t="str">
        <f>"0.36"</f>
        <v>0.36</v>
      </c>
      <c r="C14446" t="str">
        <f>"22"</f>
        <v>22</v>
      </c>
      <c r="D14446" t="str">
        <f>"Sun Gangs"</f>
        <v>Sun Gangs</v>
      </c>
    </row>
    <row r="14447" spans="1:4" x14ac:dyDescent="0.2">
      <c r="A14447" t="str">
        <f>"14446"</f>
        <v>14446</v>
      </c>
      <c r="B14447" t="str">
        <f>"-0.29"</f>
        <v>-0.29</v>
      </c>
      <c r="C14447" t="str">
        <f>"28"</f>
        <v>28</v>
      </c>
      <c r="D14447" t="str">
        <f>"I Feel Cream"</f>
        <v>I Feel Cream</v>
      </c>
    </row>
    <row r="14448" spans="1:4" x14ac:dyDescent="0.2">
      <c r="A14448" t="str">
        <f>"14447"</f>
        <v>14447</v>
      </c>
      <c r="B14448" t="str">
        <f>"1.58"</f>
        <v>1.58</v>
      </c>
      <c r="C14448" t="str">
        <f>"19"</f>
        <v>19</v>
      </c>
      <c r="D14448" t="str">
        <f>"A Ways Away"</f>
        <v>A Ways Away</v>
      </c>
    </row>
    <row r="14449" spans="1:4" x14ac:dyDescent="0.2">
      <c r="A14449" t="str">
        <f>"14448"</f>
        <v>14448</v>
      </c>
      <c r="B14449" t="str">
        <f>"-0.28"</f>
        <v>-0.28</v>
      </c>
      <c r="C14449" t="str">
        <f>"23"</f>
        <v>23</v>
      </c>
      <c r="D14449" t="str">
        <f>"Replica Sun Machine"</f>
        <v>Replica Sun Machine</v>
      </c>
    </row>
    <row r="14450" spans="1:4" x14ac:dyDescent="0.2">
      <c r="A14450" t="str">
        <f>"14449"</f>
        <v>14449</v>
      </c>
      <c r="B14450" t="str">
        <f>"-0.11"</f>
        <v>-0.11</v>
      </c>
      <c r="C14450" t="str">
        <f>"28"</f>
        <v>28</v>
      </c>
      <c r="D14450" t="str">
        <f>"Actor"</f>
        <v>Actor</v>
      </c>
    </row>
    <row r="14451" spans="1:4" x14ac:dyDescent="0.2">
      <c r="A14451" t="str">
        <f>"14450"</f>
        <v>14450</v>
      </c>
      <c r="B14451" t="str">
        <f>"0.68"</f>
        <v>0.68</v>
      </c>
      <c r="C14451" t="str">
        <f>"26"</f>
        <v>26</v>
      </c>
      <c r="D14451" t="str">
        <f>"Enter the Vaselines"</f>
        <v>Enter the Vaselines</v>
      </c>
    </row>
    <row r="14452" spans="1:4" x14ac:dyDescent="0.2">
      <c r="A14452" t="str">
        <f>"14451"</f>
        <v>14451</v>
      </c>
      <c r="B14452" t="str">
        <f>"0.52"</f>
        <v>0.52</v>
      </c>
      <c r="C14452" t="str">
        <f>"19"</f>
        <v>19</v>
      </c>
      <c r="D14452" t="str">
        <f>"The Snake"</f>
        <v>The Snake</v>
      </c>
    </row>
    <row r="14453" spans="1:4" x14ac:dyDescent="0.2">
      <c r="A14453" t="str">
        <f>"14452"</f>
        <v>14452</v>
      </c>
      <c r="B14453" t="str">
        <f>"0.02"</f>
        <v>0.02</v>
      </c>
      <c r="C14453" t="str">
        <f>"21"</f>
        <v>21</v>
      </c>
      <c r="D14453" t="str">
        <f>"Coming From Reality"</f>
        <v>Coming From Reality</v>
      </c>
    </row>
    <row r="14454" spans="1:4" x14ac:dyDescent="0.2">
      <c r="A14454" t="str">
        <f>"14453"</f>
        <v>14453</v>
      </c>
      <c r="B14454" t="str">
        <f>"-0.16"</f>
        <v>-0.16</v>
      </c>
      <c r="C14454" t="str">
        <f>"16"</f>
        <v>16</v>
      </c>
      <c r="D14454" t="str">
        <f>"Technicolor Health"</f>
        <v>Technicolor Health</v>
      </c>
    </row>
    <row r="14455" spans="1:4" x14ac:dyDescent="0.2">
      <c r="A14455" t="str">
        <f>"14454"</f>
        <v>14454</v>
      </c>
      <c r="B14455" t="str">
        <f>"0.38"</f>
        <v>0.38</v>
      </c>
      <c r="C14455" t="str">
        <f>"28"</f>
        <v>28</v>
      </c>
      <c r="D14455" t="str">
        <f>"Outer South"</f>
        <v>Outer South</v>
      </c>
    </row>
    <row r="14456" spans="1:4" x14ac:dyDescent="0.2">
      <c r="A14456" t="str">
        <f>"14455"</f>
        <v>14455</v>
      </c>
      <c r="B14456" t="str">
        <f>"0.14"</f>
        <v>0.14</v>
      </c>
      <c r="C14456" t="str">
        <f>"15"</f>
        <v>15</v>
      </c>
      <c r="D14456" t="str">
        <f>"Invisible Cities"</f>
        <v>Invisible Cities</v>
      </c>
    </row>
    <row r="14457" spans="1:4" x14ac:dyDescent="0.2">
      <c r="A14457" t="str">
        <f>"14456"</f>
        <v>14456</v>
      </c>
      <c r="B14457" t="str">
        <f>"0.81"</f>
        <v>0.81</v>
      </c>
      <c r="C14457" t="str">
        <f>"31"</f>
        <v>31</v>
      </c>
      <c r="D14457" t="str">
        <f>"Help"</f>
        <v>Help</v>
      </c>
    </row>
    <row r="14458" spans="1:4" x14ac:dyDescent="0.2">
      <c r="A14458" t="str">
        <f>"14457"</f>
        <v>14457</v>
      </c>
      <c r="B14458" t="str">
        <f>"0.64"</f>
        <v>0.64</v>
      </c>
      <c r="C14458" t="str">
        <f>"24"</f>
        <v>24</v>
      </c>
      <c r="D14458" t="str">
        <f>"Outside Love"</f>
        <v>Outside Love</v>
      </c>
    </row>
    <row r="14459" spans="1:4" x14ac:dyDescent="0.2">
      <c r="A14459" t="str">
        <f>"14458"</f>
        <v>14458</v>
      </c>
      <c r="B14459" t="str">
        <f>"0.89"</f>
        <v>0.89</v>
      </c>
      <c r="C14459" t="str">
        <f>"16"</f>
        <v>16</v>
      </c>
      <c r="D14459" t="str">
        <f>"More"</f>
        <v>More</v>
      </c>
    </row>
    <row r="14460" spans="1:4" x14ac:dyDescent="0.2">
      <c r="A14460" t="str">
        <f>"14459"</f>
        <v>14459</v>
      </c>
      <c r="B14460" t="str">
        <f>"-1.25"</f>
        <v>-1.25</v>
      </c>
      <c r="C14460" t="str">
        <f>"21"</f>
        <v>21</v>
      </c>
      <c r="D14460" t="str">
        <f>"Celebración de la Ciudad Natal"</f>
        <v>Celebración de la Ciudad Natal</v>
      </c>
    </row>
    <row r="14461" spans="1:4" x14ac:dyDescent="0.2">
      <c r="A14461" t="str">
        <f>"14460"</f>
        <v>14460</v>
      </c>
      <c r="B14461" t="str">
        <f>"0.67"</f>
        <v>0.67</v>
      </c>
      <c r="C14461" t="str">
        <f>"21"</f>
        <v>21</v>
      </c>
      <c r="D14461" t="str">
        <f>"Broken Record Prayers"</f>
        <v>Broken Record Prayers</v>
      </c>
    </row>
    <row r="14462" spans="1:4" x14ac:dyDescent="0.2">
      <c r="A14462" t="str">
        <f>"14461"</f>
        <v>14461</v>
      </c>
      <c r="B14462" t="str">
        <f>"-0.06"</f>
        <v>-0.06</v>
      </c>
      <c r="C14462" t="str">
        <f>"26"</f>
        <v>26</v>
      </c>
      <c r="D14462" t="str">
        <f>"Grandes Exitos"</f>
        <v>Grandes Exitos</v>
      </c>
    </row>
    <row r="14463" spans="1:4" x14ac:dyDescent="0.2">
      <c r="A14463" t="str">
        <f>"14462"</f>
        <v>14462</v>
      </c>
      <c r="B14463" t="str">
        <f>"1.42"</f>
        <v>1.42</v>
      </c>
      <c r="C14463" t="str">
        <f>"19"</f>
        <v>19</v>
      </c>
      <c r="D14463" t="str">
        <f>"Peri"</f>
        <v>Peri</v>
      </c>
    </row>
    <row r="14464" spans="1:4" x14ac:dyDescent="0.2">
      <c r="A14464" t="str">
        <f>"14463"</f>
        <v>14463</v>
      </c>
      <c r="B14464" t="str">
        <f>"1.16"</f>
        <v>1.16</v>
      </c>
      <c r="C14464" t="str">
        <f>"19"</f>
        <v>19</v>
      </c>
      <c r="D14464" t="str">
        <f>"Remind Me Where the Light Is"</f>
        <v>Remind Me Where the Light Is</v>
      </c>
    </row>
    <row r="14465" spans="1:4" x14ac:dyDescent="0.2">
      <c r="A14465" t="str">
        <f>"14464"</f>
        <v>14464</v>
      </c>
      <c r="B14465" t="str">
        <f>"1.46"</f>
        <v>1.46</v>
      </c>
      <c r="C14465" t="str">
        <f>"36"</f>
        <v>36</v>
      </c>
      <c r="D14465" t="str">
        <f>"Together Through Life"</f>
        <v>Together Through Life</v>
      </c>
    </row>
    <row r="14466" spans="1:4" x14ac:dyDescent="0.2">
      <c r="A14466" t="str">
        <f>"14465"</f>
        <v>14465</v>
      </c>
      <c r="B14466" t="str">
        <f>"-0.48"</f>
        <v>-0.48</v>
      </c>
      <c r="C14466" t="str">
        <f>"26"</f>
        <v>26</v>
      </c>
      <c r="D14466" t="str">
        <f>"The Sleeping Bag Sessions"</f>
        <v>The Sleeping Bag Sessions</v>
      </c>
    </row>
    <row r="14467" spans="1:4" x14ac:dyDescent="0.2">
      <c r="A14467" t="str">
        <f>"14466"</f>
        <v>14466</v>
      </c>
      <c r="B14467" t="str">
        <f>"0.38"</f>
        <v>0.38</v>
      </c>
      <c r="C14467" t="str">
        <f>"61"</f>
        <v>61</v>
      </c>
      <c r="D14467" t="s">
        <v>455</v>
      </c>
    </row>
    <row r="14468" spans="1:4" x14ac:dyDescent="0.2">
      <c r="A14468" t="str">
        <f>"14467"</f>
        <v>14467</v>
      </c>
      <c r="B14468" t="str">
        <f>"0.64"</f>
        <v>0.64</v>
      </c>
      <c r="C14468" t="str">
        <f>"16"</f>
        <v>16</v>
      </c>
      <c r="D14468" t="str">
        <f>"Tragic Boogie"</f>
        <v>Tragic Boogie</v>
      </c>
    </row>
    <row r="14469" spans="1:4" x14ac:dyDescent="0.2">
      <c r="A14469" t="str">
        <f>"14468"</f>
        <v>14468</v>
      </c>
      <c r="B14469" t="str">
        <f>"0.03"</f>
        <v>0.03</v>
      </c>
      <c r="C14469" t="str">
        <f>"20"</f>
        <v>20</v>
      </c>
      <c r="D14469" t="str">
        <f>"Summer of Hate"</f>
        <v>Summer of Hate</v>
      </c>
    </row>
    <row r="14470" spans="1:4" x14ac:dyDescent="0.2">
      <c r="A14470" t="str">
        <f>"14469"</f>
        <v>14469</v>
      </c>
      <c r="B14470" t="str">
        <f>"0.09"</f>
        <v>0.09</v>
      </c>
      <c r="C14470" t="str">
        <f>"44"</f>
        <v>44</v>
      </c>
      <c r="D14470" t="str">
        <f>"Fate to Fatal"</f>
        <v>Fate to Fatal</v>
      </c>
    </row>
    <row r="14471" spans="1:4" x14ac:dyDescent="0.2">
      <c r="A14471" t="str">
        <f>"14470"</f>
        <v>14470</v>
      </c>
      <c r="B14471" t="str">
        <f>"-0.27"</f>
        <v>-0.27</v>
      </c>
      <c r="C14471" t="str">
        <f>"47"</f>
        <v>47</v>
      </c>
      <c r="D14471" t="str">
        <f>"Tinted Windows"</f>
        <v>Tinted Windows</v>
      </c>
    </row>
    <row r="14472" spans="1:4" x14ac:dyDescent="0.2">
      <c r="A14472" t="str">
        <f>"14471"</f>
        <v>14471</v>
      </c>
      <c r="B14472" t="str">
        <f>"-1.49"</f>
        <v>-1.49</v>
      </c>
      <c r="C14472" t="str">
        <f>"24"</f>
        <v>24</v>
      </c>
      <c r="D14472" t="str">
        <f>"Shout at the Döner"</f>
        <v>Shout at the Döner</v>
      </c>
    </row>
    <row r="14473" spans="1:4" x14ac:dyDescent="0.2">
      <c r="A14473" t="str">
        <f>"14472"</f>
        <v>14472</v>
      </c>
      <c r="B14473" t="str">
        <f>"0.43"</f>
        <v>0.43</v>
      </c>
      <c r="C14473" t="str">
        <f>"18"</f>
        <v>18</v>
      </c>
      <c r="D14473" t="str">
        <f>"Colonia"</f>
        <v>Colonia</v>
      </c>
    </row>
    <row r="14474" spans="1:4" x14ac:dyDescent="0.2">
      <c r="A14474" t="str">
        <f>"14473"</f>
        <v>14473</v>
      </c>
      <c r="B14474" t="str">
        <f>"0.75"</f>
        <v>0.75</v>
      </c>
      <c r="C14474" t="str">
        <f>"26"</f>
        <v>26</v>
      </c>
      <c r="D14474" t="str">
        <f>"Ape School"</f>
        <v>Ape School</v>
      </c>
    </row>
    <row r="14475" spans="1:4" x14ac:dyDescent="0.2">
      <c r="A14475" t="str">
        <f>"14474"</f>
        <v>14474</v>
      </c>
      <c r="B14475" t="str">
        <f>"-0.15"</f>
        <v>-0.15</v>
      </c>
      <c r="C14475" t="str">
        <f>"49"</f>
        <v>49</v>
      </c>
      <c r="D14475" t="str">
        <f>"A Cabinet of Curiosities"</f>
        <v>A Cabinet of Curiosities</v>
      </c>
    </row>
    <row r="14476" spans="1:4" x14ac:dyDescent="0.2">
      <c r="A14476" t="str">
        <f>"14475"</f>
        <v>14475</v>
      </c>
      <c r="B14476" t="str">
        <f>"0.81"</f>
        <v>0.81</v>
      </c>
      <c r="C14476" t="str">
        <f>"18"</f>
        <v>18</v>
      </c>
      <c r="D14476" t="str">
        <f>"Touchdown"</f>
        <v>Touchdown</v>
      </c>
    </row>
    <row r="14477" spans="1:4" x14ac:dyDescent="0.2">
      <c r="A14477" t="str">
        <f>"14476"</f>
        <v>14476</v>
      </c>
      <c r="B14477" t="str">
        <f>"-0.13"</f>
        <v>-0.13</v>
      </c>
      <c r="C14477" t="str">
        <f>"28"</f>
        <v>28</v>
      </c>
      <c r="D14477" t="str">
        <f>"Purpleface"</f>
        <v>Purpleface</v>
      </c>
    </row>
    <row r="14478" spans="1:4" x14ac:dyDescent="0.2">
      <c r="A14478" t="str">
        <f>"14477"</f>
        <v>14477</v>
      </c>
      <c r="B14478" t="str">
        <f>"-0.3"</f>
        <v>-0.3</v>
      </c>
      <c r="C14478" t="str">
        <f>"19"</f>
        <v>19</v>
      </c>
      <c r="D14478" t="str">
        <f>"Thunderheist"</f>
        <v>Thunderheist</v>
      </c>
    </row>
    <row r="14479" spans="1:4" x14ac:dyDescent="0.2">
      <c r="A14479" t="str">
        <f>"14478"</f>
        <v>14478</v>
      </c>
      <c r="B14479" t="str">
        <f>"1.6"</f>
        <v>1.6</v>
      </c>
      <c r="C14479" t="str">
        <f>"24"</f>
        <v>24</v>
      </c>
      <c r="D14479" t="str">
        <f>"More Heart Than Brains"</f>
        <v>More Heart Than Brains</v>
      </c>
    </row>
    <row r="14480" spans="1:4" x14ac:dyDescent="0.2">
      <c r="A14480" t="str">
        <f>"14479"</f>
        <v>14479</v>
      </c>
      <c r="B14480" t="str">
        <f>"-0.45"</f>
        <v>-0.45</v>
      </c>
      <c r="C14480" t="str">
        <f>"39"</f>
        <v>39</v>
      </c>
      <c r="D14480" t="str">
        <f>"Post-Nothing"</f>
        <v>Post-Nothing</v>
      </c>
    </row>
    <row r="14481" spans="1:4" x14ac:dyDescent="0.2">
      <c r="A14481" t="str">
        <f>"14480"</f>
        <v>14480</v>
      </c>
      <c r="B14481" t="str">
        <f>"-0.36"</f>
        <v>-0.36</v>
      </c>
      <c r="C14481" t="str">
        <f>"21"</f>
        <v>21</v>
      </c>
      <c r="D14481" t="str">
        <f>"Everything She Touched Turned Ampexian"</f>
        <v>Everything She Touched Turned Ampexian</v>
      </c>
    </row>
    <row r="14482" spans="1:4" x14ac:dyDescent="0.2">
      <c r="A14482" t="str">
        <f>"14481"</f>
        <v>14481</v>
      </c>
      <c r="B14482" t="str">
        <f>"0.07"</f>
        <v>0.07</v>
      </c>
      <c r="C14482" t="str">
        <f>"34"</f>
        <v>34</v>
      </c>
      <c r="D14482" t="str">
        <f>"Moderat"</f>
        <v>Moderat</v>
      </c>
    </row>
    <row r="14483" spans="1:4" x14ac:dyDescent="0.2">
      <c r="A14483" t="str">
        <f>"14482"</f>
        <v>14482</v>
      </c>
      <c r="B14483" t="str">
        <f>"0.51"</f>
        <v>0.51</v>
      </c>
      <c r="C14483" t="str">
        <f>"22"</f>
        <v>22</v>
      </c>
      <c r="D14483" t="str">
        <f>"The Black Dirt Sessions"</f>
        <v>The Black Dirt Sessions</v>
      </c>
    </row>
    <row r="14484" spans="1:4" x14ac:dyDescent="0.2">
      <c r="A14484" t="str">
        <f>"14483"</f>
        <v>14483</v>
      </c>
      <c r="B14484" t="str">
        <f>"0.83"</f>
        <v>0.83</v>
      </c>
      <c r="C14484" t="str">
        <f>"27"</f>
        <v>27</v>
      </c>
      <c r="D14484" t="str">
        <f>"Honey Moon"</f>
        <v>Honey Moon</v>
      </c>
    </row>
    <row r="14485" spans="1:4" x14ac:dyDescent="0.2">
      <c r="A14485" t="str">
        <f>"14484"</f>
        <v>14484</v>
      </c>
      <c r="B14485" t="str">
        <f>"-0.24"</f>
        <v>-0.24</v>
      </c>
      <c r="C14485" t="str">
        <f>"22"</f>
        <v>22</v>
      </c>
      <c r="D14485" t="str">
        <f>"Songs of Shame"</f>
        <v>Songs of Shame</v>
      </c>
    </row>
    <row r="14486" spans="1:4" x14ac:dyDescent="0.2">
      <c r="A14486" t="str">
        <f>"14485"</f>
        <v>14485</v>
      </c>
      <c r="B14486" t="str">
        <f>"0.02"</f>
        <v>0.02</v>
      </c>
      <c r="C14486" t="str">
        <f>"40"</f>
        <v>40</v>
      </c>
      <c r="D14486" t="str">
        <f>"I Do Not Want What I Haven't Got [Limited Edition]"</f>
        <v>I Do Not Want What I Haven't Got [Limited Edition]</v>
      </c>
    </row>
    <row r="14487" spans="1:4" x14ac:dyDescent="0.2">
      <c r="A14487" t="str">
        <f>"14486"</f>
        <v>14486</v>
      </c>
      <c r="B14487" t="str">
        <f>"0.35"</f>
        <v>0.35</v>
      </c>
      <c r="C14487" t="str">
        <f>"20"</f>
        <v>20</v>
      </c>
      <c r="D14487" t="str">
        <f>"Constant Hitmaker"</f>
        <v>Constant Hitmaker</v>
      </c>
    </row>
    <row r="14488" spans="1:4" x14ac:dyDescent="0.2">
      <c r="A14488" t="str">
        <f>"14487"</f>
        <v>14487</v>
      </c>
      <c r="B14488" t="str">
        <f>"-0.89"</f>
        <v>-0.89</v>
      </c>
      <c r="C14488" t="str">
        <f>"34"</f>
        <v>34</v>
      </c>
      <c r="D14488" t="str">
        <f>"Wyllt"</f>
        <v>Wyllt</v>
      </c>
    </row>
    <row r="14489" spans="1:4" x14ac:dyDescent="0.2">
      <c r="A14489" t="str">
        <f>"14488"</f>
        <v>14488</v>
      </c>
      <c r="B14489" t="str">
        <f>"-0.45"</f>
        <v>-0.45</v>
      </c>
      <c r="C14489" t="str">
        <f>"21"</f>
        <v>21</v>
      </c>
      <c r="D14489" t="str">
        <f>"High on Jackson Hill"</f>
        <v>High on Jackson Hill</v>
      </c>
    </row>
    <row r="14490" spans="1:4" x14ac:dyDescent="0.2">
      <c r="A14490" t="str">
        <f>"14489"</f>
        <v>14489</v>
      </c>
      <c r="B14490" t="str">
        <f>"0.39"</f>
        <v>0.39</v>
      </c>
      <c r="C14490" t="str">
        <f>"40"</f>
        <v>40</v>
      </c>
      <c r="D14490" t="str">
        <f>"One Foot in the Grave"</f>
        <v>One Foot in the Grave</v>
      </c>
    </row>
    <row r="14491" spans="1:4" x14ac:dyDescent="0.2">
      <c r="A14491" t="str">
        <f>"14490"</f>
        <v>14490</v>
      </c>
      <c r="B14491" t="str">
        <f>"-0.35"</f>
        <v>-0.35</v>
      </c>
      <c r="C14491" t="str">
        <f>"23"</f>
        <v>23</v>
      </c>
      <c r="D14491" t="str">
        <f>"Yes"</f>
        <v>Yes</v>
      </c>
    </row>
    <row r="14492" spans="1:4" x14ac:dyDescent="0.2">
      <c r="A14492" t="str">
        <f>"14491"</f>
        <v>14491</v>
      </c>
      <c r="B14492" t="str">
        <f>"-0.28"</f>
        <v>-0.28</v>
      </c>
      <c r="C14492" t="str">
        <f>"28"</f>
        <v>28</v>
      </c>
      <c r="D14492" t="str">
        <f>"Mean Everything to Nothing"</f>
        <v>Mean Everything to Nothing</v>
      </c>
    </row>
    <row r="14493" spans="1:4" x14ac:dyDescent="0.2">
      <c r="A14493" t="str">
        <f>"14492"</f>
        <v>14492</v>
      </c>
      <c r="B14493" t="str">
        <f>"-0.07"</f>
        <v>-0.07</v>
      </c>
      <c r="C14493" t="str">
        <f>"19"</f>
        <v>19</v>
      </c>
      <c r="D14493" t="str">
        <f>"Mythomania"</f>
        <v>Mythomania</v>
      </c>
    </row>
    <row r="14494" spans="1:4" x14ac:dyDescent="0.2">
      <c r="A14494" t="str">
        <f>"14493"</f>
        <v>14493</v>
      </c>
      <c r="B14494" t="str">
        <f>"0.18"</f>
        <v>0.18</v>
      </c>
      <c r="C14494" t="str">
        <f>"19"</f>
        <v>19</v>
      </c>
      <c r="D14494" t="str">
        <f>"Are Men"</f>
        <v>Are Men</v>
      </c>
    </row>
    <row r="14495" spans="1:4" x14ac:dyDescent="0.2">
      <c r="A14495" t="str">
        <f>"14494"</f>
        <v>14494</v>
      </c>
      <c r="B14495" t="str">
        <f>"-0.44"</f>
        <v>-0.44</v>
      </c>
      <c r="C14495" t="str">
        <f>"30"</f>
        <v>30</v>
      </c>
      <c r="D14495" t="str">
        <f>"Sounds of the Universe"</f>
        <v>Sounds of the Universe</v>
      </c>
    </row>
    <row r="14496" spans="1:4" x14ac:dyDescent="0.2">
      <c r="A14496" t="str">
        <f>"14495"</f>
        <v>14495</v>
      </c>
      <c r="B14496" t="str">
        <f>"-0.15"</f>
        <v>-0.15</v>
      </c>
      <c r="C14496" t="str">
        <f>"39"</f>
        <v>39</v>
      </c>
      <c r="D14496" t="str">
        <f>"Asleep in the Bread Aisle"</f>
        <v>Asleep in the Bread Aisle</v>
      </c>
    </row>
    <row r="14497" spans="1:4" x14ac:dyDescent="0.2">
      <c r="A14497" t="str">
        <f>"14496"</f>
        <v>14496</v>
      </c>
      <c r="B14497" t="str">
        <f>"-0.99"</f>
        <v>-0.99</v>
      </c>
      <c r="C14497" t="str">
        <f>"22"</f>
        <v>22</v>
      </c>
      <c r="D14497" t="str">
        <f>"Winter Hours"</f>
        <v>Winter Hours</v>
      </c>
    </row>
    <row r="14498" spans="1:4" x14ac:dyDescent="0.2">
      <c r="A14498" t="str">
        <f>"14497"</f>
        <v>14497</v>
      </c>
      <c r="B14498" t="str">
        <f>"0.14"</f>
        <v>0.14</v>
      </c>
      <c r="C14498" t="str">
        <f>"27"</f>
        <v>27</v>
      </c>
      <c r="D14498" t="str">
        <f>"Never Gonna Touch the Ground"</f>
        <v>Never Gonna Touch the Ground</v>
      </c>
    </row>
    <row r="14499" spans="1:4" x14ac:dyDescent="0.2">
      <c r="A14499" t="str">
        <f>"14498"</f>
        <v>14498</v>
      </c>
      <c r="B14499" t="str">
        <f>"0.82"</f>
        <v>0.82</v>
      </c>
      <c r="C14499" t="str">
        <f>"20"</f>
        <v>20</v>
      </c>
      <c r="D14499" t="str">
        <f>"Kicks"</f>
        <v>Kicks</v>
      </c>
    </row>
    <row r="14500" spans="1:4" x14ac:dyDescent="0.2">
      <c r="A14500" t="str">
        <f>"14499"</f>
        <v>14499</v>
      </c>
      <c r="B14500" t="str">
        <f>"-0.23"</f>
        <v>-0.23</v>
      </c>
      <c r="C14500" t="str">
        <f>"44"</f>
        <v>44</v>
      </c>
      <c r="D14500" t="str">
        <f>"My Maudlin Career"</f>
        <v>My Maudlin Career</v>
      </c>
    </row>
    <row r="14501" spans="1:4" x14ac:dyDescent="0.2">
      <c r="A14501" t="str">
        <f>"14500"</f>
        <v>14500</v>
      </c>
      <c r="B14501" t="str">
        <f>"0.34"</f>
        <v>0.34</v>
      </c>
      <c r="C14501" t="str">
        <f>"54"</f>
        <v>54</v>
      </c>
      <c r="D14501" t="str">
        <f>"Art Brut vs. Satan"</f>
        <v>Art Brut vs. Satan</v>
      </c>
    </row>
    <row r="14502" spans="1:4" x14ac:dyDescent="0.2">
      <c r="A14502" t="str">
        <f>"14501"</f>
        <v>14501</v>
      </c>
      <c r="B14502" t="str">
        <f>"1.36"</f>
        <v>1.36</v>
      </c>
      <c r="C14502" t="str">
        <f>"34"</f>
        <v>34</v>
      </c>
      <c r="D14502" t="str">
        <f>"The Planets Are Blasted"</f>
        <v>The Planets Are Blasted</v>
      </c>
    </row>
    <row r="14503" spans="1:4" x14ac:dyDescent="0.2">
      <c r="A14503" t="str">
        <f>"14502"</f>
        <v>14502</v>
      </c>
      <c r="B14503" t="str">
        <f>"1.03"</f>
        <v>1.03</v>
      </c>
      <c r="C14503" t="str">
        <f>"17"</f>
        <v>17</v>
      </c>
      <c r="D14503" t="str">
        <f>"Suckers EP"</f>
        <v>Suckers EP</v>
      </c>
    </row>
    <row r="14504" spans="1:4" x14ac:dyDescent="0.2">
      <c r="A14504" t="str">
        <f>"14503"</f>
        <v>14503</v>
      </c>
      <c r="B14504" t="str">
        <f>"0.96"</f>
        <v>0.96</v>
      </c>
      <c r="C14504" t="str">
        <f>"17"</f>
        <v>17</v>
      </c>
      <c r="D14504" t="str">
        <f>"Worldwild"</f>
        <v>Worldwild</v>
      </c>
    </row>
    <row r="14505" spans="1:4" x14ac:dyDescent="0.2">
      <c r="A14505" t="str">
        <f>"14504"</f>
        <v>14504</v>
      </c>
      <c r="B14505" t="str">
        <f>"0.26"</f>
        <v>0.26</v>
      </c>
      <c r="C14505" t="str">
        <f>"46"</f>
        <v>46</v>
      </c>
      <c r="D14505" t="str">
        <f>"Dark Days/Light Years"</f>
        <v>Dark Days/Light Years</v>
      </c>
    </row>
    <row r="14506" spans="1:4" x14ac:dyDescent="0.2">
      <c r="A14506" t="str">
        <f>"14505"</f>
        <v>14505</v>
      </c>
      <c r="B14506" t="str">
        <f>"1.25"</f>
        <v>1.25</v>
      </c>
      <c r="C14506" t="str">
        <f>"21"</f>
        <v>21</v>
      </c>
      <c r="D14506" t="str">
        <f>"Infinity +1"</f>
        <v>Infinity +1</v>
      </c>
    </row>
    <row r="14507" spans="1:4" x14ac:dyDescent="0.2">
      <c r="A14507" t="str">
        <f>"14506"</f>
        <v>14506</v>
      </c>
      <c r="B14507" t="str">
        <f>"0"</f>
        <v>0</v>
      </c>
      <c r="C14507" t="str">
        <f>"50"</f>
        <v>50</v>
      </c>
      <c r="D14507" t="str">
        <f>"Black Monk Time"</f>
        <v>Black Monk Time</v>
      </c>
    </row>
    <row r="14508" spans="1:4" x14ac:dyDescent="0.2">
      <c r="A14508" t="str">
        <f>"14507"</f>
        <v>14507</v>
      </c>
      <c r="B14508" t="str">
        <f>"-0.13"</f>
        <v>-0.13</v>
      </c>
      <c r="C14508" t="str">
        <f>"21"</f>
        <v>21</v>
      </c>
      <c r="D14508" t="str">
        <f>"You Can Have What You Want"</f>
        <v>You Can Have What You Want</v>
      </c>
    </row>
    <row r="14509" spans="1:4" x14ac:dyDescent="0.2">
      <c r="A14509" t="str">
        <f>"14508"</f>
        <v>14508</v>
      </c>
      <c r="B14509" t="str">
        <f>"-0.83"</f>
        <v>-0.83</v>
      </c>
      <c r="C14509" t="str">
        <f>"27"</f>
        <v>27</v>
      </c>
      <c r="D14509" t="str">
        <f>"Mother of Curses"</f>
        <v>Mother of Curses</v>
      </c>
    </row>
    <row r="14510" spans="1:4" x14ac:dyDescent="0.2">
      <c r="A14510" t="str">
        <f>"14509"</f>
        <v>14509</v>
      </c>
      <c r="B14510" t="str">
        <f>"0.53"</f>
        <v>0.53</v>
      </c>
      <c r="C14510" t="str">
        <f>"42"</f>
        <v>42</v>
      </c>
      <c r="D14510" t="str">
        <f>"Sometimes I Wish We Were an Eagle"</f>
        <v>Sometimes I Wish We Were an Eagle</v>
      </c>
    </row>
    <row r="14511" spans="1:4" x14ac:dyDescent="0.2">
      <c r="A14511" t="str">
        <f>"14510"</f>
        <v>14510</v>
      </c>
      <c r="B14511" t="str">
        <f>"1.99"</f>
        <v>1.99</v>
      </c>
      <c r="C14511" t="str">
        <f>"31"</f>
        <v>31</v>
      </c>
      <c r="D14511" t="str">
        <f>"Let's Stay Together"</f>
        <v>Let's Stay Together</v>
      </c>
    </row>
    <row r="14512" spans="1:4" x14ac:dyDescent="0.2">
      <c r="A14512" t="str">
        <f>"14511"</f>
        <v>14511</v>
      </c>
      <c r="B14512" t="str">
        <f>"0.32"</f>
        <v>0.32</v>
      </c>
      <c r="C14512" t="str">
        <f>"30"</f>
        <v>30</v>
      </c>
      <c r="D14512" t="str">
        <f>"Dusk"</f>
        <v>Dusk</v>
      </c>
    </row>
    <row r="14513" spans="1:4" x14ac:dyDescent="0.2">
      <c r="A14513" t="str">
        <f>"14512"</f>
        <v>14512</v>
      </c>
      <c r="B14513" t="str">
        <f>"-1.18"</f>
        <v>-1.18</v>
      </c>
      <c r="C14513" t="str">
        <f>"38"</f>
        <v>38</v>
      </c>
      <c r="D14513" t="str">
        <f>"Agorapocalypse"</f>
        <v>Agorapocalypse</v>
      </c>
    </row>
    <row r="14514" spans="1:4" x14ac:dyDescent="0.2">
      <c r="A14514" t="str">
        <f>"14513"</f>
        <v>14513</v>
      </c>
      <c r="B14514" t="str">
        <f>"1.39"</f>
        <v>1.39</v>
      </c>
      <c r="C14514" t="str">
        <f>"17"</f>
        <v>17</v>
      </c>
      <c r="D14514" t="str">
        <f>"Old Stories"</f>
        <v>Old Stories</v>
      </c>
    </row>
    <row r="14515" spans="1:4" x14ac:dyDescent="0.2">
      <c r="A14515" t="str">
        <f>"14514"</f>
        <v>14514</v>
      </c>
      <c r="B14515" t="str">
        <f>"0.53"</f>
        <v>0.53</v>
      </c>
      <c r="C14515" t="str">
        <f>"64"</f>
        <v>64</v>
      </c>
      <c r="D14515" t="str">
        <f>"Pablo Honey: Collector's Edition"</f>
        <v>Pablo Honey: Collector's Edition</v>
      </c>
    </row>
    <row r="14516" spans="1:4" x14ac:dyDescent="0.2">
      <c r="A14516" t="str">
        <f>"14515"</f>
        <v>14515</v>
      </c>
      <c r="B14516" t="str">
        <f>"-0.01"</f>
        <v>-0.01</v>
      </c>
      <c r="C14516" t="str">
        <f>"18"</f>
        <v>18</v>
      </c>
      <c r="D14516" t="str">
        <f>"I Heard It Today"</f>
        <v>I Heard It Today</v>
      </c>
    </row>
    <row r="14517" spans="1:4" x14ac:dyDescent="0.2">
      <c r="A14517" t="str">
        <f>"14516"</f>
        <v>14516</v>
      </c>
      <c r="B14517" t="str">
        <f>"0.58"</f>
        <v>0.58</v>
      </c>
      <c r="C14517" t="str">
        <f>"28"</f>
        <v>28</v>
      </c>
      <c r="D14517" t="str">
        <f>"Early Works for Me If It Works For You II"</f>
        <v>Early Works for Me If It Works For You II</v>
      </c>
    </row>
    <row r="14518" spans="1:4" x14ac:dyDescent="0.2">
      <c r="A14518" t="str">
        <f>"14517"</f>
        <v>14517</v>
      </c>
      <c r="B14518" t="str">
        <f>"0.67"</f>
        <v>0.67</v>
      </c>
      <c r="C14518" t="str">
        <f>"22"</f>
        <v>22</v>
      </c>
      <c r="D14518" t="str">
        <f>"Dos"</f>
        <v>Dos</v>
      </c>
    </row>
    <row r="14519" spans="1:4" x14ac:dyDescent="0.2">
      <c r="A14519" t="str">
        <f>"14518"</f>
        <v>14518</v>
      </c>
      <c r="B14519" t="str">
        <f>"-0.39"</f>
        <v>-0.39</v>
      </c>
      <c r="C14519" t="str">
        <f>"40"</f>
        <v>40</v>
      </c>
      <c r="D14519" t="str">
        <f>"Dance Mother"</f>
        <v>Dance Mother</v>
      </c>
    </row>
    <row r="14520" spans="1:4" x14ac:dyDescent="0.2">
      <c r="A14520" t="str">
        <f>"14519"</f>
        <v>14519</v>
      </c>
      <c r="B14520" t="str">
        <f>"-0.75"</f>
        <v>-0.75</v>
      </c>
      <c r="C14520" t="str">
        <f>"16"</f>
        <v>16</v>
      </c>
      <c r="D14520" t="str">
        <f>"Kingdom of Rust"</f>
        <v>Kingdom of Rust</v>
      </c>
    </row>
    <row r="14521" spans="1:4" x14ac:dyDescent="0.2">
      <c r="A14521" t="str">
        <f>"14520"</f>
        <v>14520</v>
      </c>
      <c r="B14521" t="str">
        <f>"0.31"</f>
        <v>0.31</v>
      </c>
      <c r="C14521" t="str">
        <f>"28"</f>
        <v>28</v>
      </c>
      <c r="D14521" t="str">
        <f>"Jewellery"</f>
        <v>Jewellery</v>
      </c>
    </row>
    <row r="14522" spans="1:4" x14ac:dyDescent="0.2">
      <c r="A14522" t="str">
        <f>"14521"</f>
        <v>14521</v>
      </c>
      <c r="B14522" t="str">
        <f>"-0.93"</f>
        <v>-0.93</v>
      </c>
      <c r="C14522" t="str">
        <f>"25"</f>
        <v>25</v>
      </c>
      <c r="D14522" t="str">
        <f>"Jigsaw"</f>
        <v>Jigsaw</v>
      </c>
    </row>
    <row r="14523" spans="1:4" x14ac:dyDescent="0.2">
      <c r="A14523" t="str">
        <f>"14522"</f>
        <v>14522</v>
      </c>
      <c r="B14523" t="str">
        <f>"-0.46"</f>
        <v>-0.46</v>
      </c>
      <c r="C14523" t="str">
        <f>"29"</f>
        <v>29</v>
      </c>
      <c r="D14523" t="str">
        <f>"The Last Kiss"</f>
        <v>The Last Kiss</v>
      </c>
    </row>
    <row r="14524" spans="1:4" x14ac:dyDescent="0.2">
      <c r="A14524" t="str">
        <f>"14523"</f>
        <v>14523</v>
      </c>
      <c r="B14524" t="str">
        <f>"-0.47"</f>
        <v>-0.47</v>
      </c>
      <c r="C14524" t="str">
        <f>"26"</f>
        <v>26</v>
      </c>
      <c r="D14524" t="str">
        <f>"When Sweet Sleep Returned"</f>
        <v>When Sweet Sleep Returned</v>
      </c>
    </row>
    <row r="14525" spans="1:4" x14ac:dyDescent="0.2">
      <c r="A14525" t="str">
        <f>"14524"</f>
        <v>14524</v>
      </c>
      <c r="B14525" t="str">
        <f>"-0.44"</f>
        <v>-0.44</v>
      </c>
      <c r="C14525" t="str">
        <f>"29"</f>
        <v>29</v>
      </c>
      <c r="D14525" t="str">
        <f>"Check Your Head: Deluxe Edition"</f>
        <v>Check Your Head: Deluxe Edition</v>
      </c>
    </row>
    <row r="14526" spans="1:4" x14ac:dyDescent="0.2">
      <c r="A14526" t="str">
        <f>"14525"</f>
        <v>14525</v>
      </c>
      <c r="B14526" t="str">
        <f>"0.22"</f>
        <v>0.22</v>
      </c>
      <c r="C14526" t="str">
        <f>"47"</f>
        <v>47</v>
      </c>
      <c r="D14526" t="str">
        <f>"Great Lengths"</f>
        <v>Great Lengths</v>
      </c>
    </row>
    <row r="14527" spans="1:4" x14ac:dyDescent="0.2">
      <c r="A14527" t="str">
        <f>"14526"</f>
        <v>14526</v>
      </c>
      <c r="B14527" t="str">
        <f>"-0.34"</f>
        <v>-0.34</v>
      </c>
      <c r="C14527" t="str">
        <f>"17"</f>
        <v>17</v>
      </c>
      <c r="D14527" t="str">
        <f>"Swoon"</f>
        <v>Swoon</v>
      </c>
    </row>
    <row r="14528" spans="1:4" x14ac:dyDescent="0.2">
      <c r="A14528" t="str">
        <f>"14527"</f>
        <v>14527</v>
      </c>
      <c r="B14528" t="str">
        <f>"-0.27"</f>
        <v>-0.27</v>
      </c>
      <c r="C14528" t="str">
        <f>"31"</f>
        <v>31</v>
      </c>
      <c r="D14528" t="str">
        <f>"Life and Times"</f>
        <v>Life and Times</v>
      </c>
    </row>
    <row r="14529" spans="1:4" x14ac:dyDescent="0.2">
      <c r="A14529" t="str">
        <f>"14528"</f>
        <v>14528</v>
      </c>
      <c r="B14529" t="str">
        <f>"0.36"</f>
        <v>0.36</v>
      </c>
      <c r="C14529" t="str">
        <f>"22"</f>
        <v>22</v>
      </c>
      <c r="D14529" t="str">
        <f>"Good Evening"</f>
        <v>Good Evening</v>
      </c>
    </row>
    <row r="14530" spans="1:4" x14ac:dyDescent="0.2">
      <c r="A14530" t="str">
        <f>"14529"</f>
        <v>14529</v>
      </c>
      <c r="B14530" t="str">
        <f>"-0.15"</f>
        <v>-0.15</v>
      </c>
      <c r="C14530" t="str">
        <f>"48"</f>
        <v>48</v>
      </c>
      <c r="D14530" t="str">
        <f>"Lotusflow3r"</f>
        <v>Lotusflow3r</v>
      </c>
    </row>
    <row r="14531" spans="1:4" x14ac:dyDescent="0.2">
      <c r="A14531" t="str">
        <f>"14530"</f>
        <v>14530</v>
      </c>
      <c r="B14531" t="str">
        <f>"0.82"</f>
        <v>0.82</v>
      </c>
      <c r="C14531" t="str">
        <f>"14"</f>
        <v>14</v>
      </c>
      <c r="D14531" t="str">
        <f>"Fantasies"</f>
        <v>Fantasies</v>
      </c>
    </row>
    <row r="14532" spans="1:4" x14ac:dyDescent="0.2">
      <c r="A14532" t="str">
        <f>"14531"</f>
        <v>14531</v>
      </c>
      <c r="B14532" t="str">
        <f>"-0.8"</f>
        <v>-0.8</v>
      </c>
      <c r="C14532" t="str">
        <f>"31"</f>
        <v>31</v>
      </c>
      <c r="D14532" t="str">
        <f>"Total Pop! Deluxe Box"</f>
        <v>Total Pop! Deluxe Box</v>
      </c>
    </row>
    <row r="14533" spans="1:4" x14ac:dyDescent="0.2">
      <c r="A14533" t="str">
        <f>"14532"</f>
        <v>14532</v>
      </c>
      <c r="B14533" t="str">
        <f>"0.06"</f>
        <v>0.06</v>
      </c>
      <c r="C14533" t="str">
        <f>"26"</f>
        <v>26</v>
      </c>
      <c r="D14533" t="str">
        <f>"Space Programs"</f>
        <v>Space Programs</v>
      </c>
    </row>
    <row r="14534" spans="1:4" x14ac:dyDescent="0.2">
      <c r="A14534" t="str">
        <f>"14533"</f>
        <v>14533</v>
      </c>
      <c r="B14534" t="str">
        <f>"0.26"</f>
        <v>0.26</v>
      </c>
      <c r="C14534" t="str">
        <f>"19"</f>
        <v>19</v>
      </c>
      <c r="D14534" t="str">
        <f>"Oohs &amp; Aahs"</f>
        <v>Oohs &amp; Aahs</v>
      </c>
    </row>
    <row r="14535" spans="1:4" x14ac:dyDescent="0.2">
      <c r="A14535" t="str">
        <f>"14534"</f>
        <v>14534</v>
      </c>
      <c r="B14535" t="str">
        <f>"0.08"</f>
        <v>0.08</v>
      </c>
      <c r="C14535" t="str">
        <f>"25"</f>
        <v>25</v>
      </c>
      <c r="D14535" t="str">
        <f>"Two Suns"</f>
        <v>Two Suns</v>
      </c>
    </row>
    <row r="14536" spans="1:4" x14ac:dyDescent="0.2">
      <c r="A14536" t="str">
        <f>"14535"</f>
        <v>14535</v>
      </c>
      <c r="B14536" t="str">
        <f>"0.6"</f>
        <v>0.6</v>
      </c>
      <c r="C14536" t="str">
        <f>"20"</f>
        <v>20</v>
      </c>
      <c r="D14536" t="str">
        <f>"Leaves in the Gutter"</f>
        <v>Leaves in the Gutter</v>
      </c>
    </row>
    <row r="14537" spans="1:4" x14ac:dyDescent="0.2">
      <c r="A14537" t="str">
        <f>"14536"</f>
        <v>14536</v>
      </c>
      <c r="B14537" t="str">
        <f>"0.63"</f>
        <v>0.63</v>
      </c>
      <c r="C14537" t="str">
        <f>"17"</f>
        <v>17</v>
      </c>
      <c r="D14537" t="str">
        <f>"The Love Language"</f>
        <v>The Love Language</v>
      </c>
    </row>
    <row r="14538" spans="1:4" x14ac:dyDescent="0.2">
      <c r="A14538" t="str">
        <f>"14537"</f>
        <v>14537</v>
      </c>
      <c r="B14538" t="str">
        <f>"0.67"</f>
        <v>0.67</v>
      </c>
      <c r="C14538" t="str">
        <f>"23"</f>
        <v>23</v>
      </c>
      <c r="D14538" t="str">
        <f>"Play Music"</f>
        <v>Play Music</v>
      </c>
    </row>
    <row r="14539" spans="1:4" x14ac:dyDescent="0.2">
      <c r="A14539" t="str">
        <f>"14538"</f>
        <v>14538</v>
      </c>
      <c r="B14539" t="str">
        <f>"0.4"</f>
        <v>0.4</v>
      </c>
      <c r="C14539" t="str">
        <f>"21"</f>
        <v>21</v>
      </c>
      <c r="D14539" t="str">
        <f>"O+S"</f>
        <v>O+S</v>
      </c>
    </row>
    <row r="14540" spans="1:4" x14ac:dyDescent="0.2">
      <c r="A14540" t="str">
        <f>"14539"</f>
        <v>14539</v>
      </c>
      <c r="B14540" t="str">
        <f>"0.15"</f>
        <v>0.15</v>
      </c>
      <c r="C14540" t="str">
        <f>"35"</f>
        <v>35</v>
      </c>
      <c r="D14540" t="str">
        <f>"Score! Twenty Years of Merge Records: The Covers"</f>
        <v>Score! Twenty Years of Merge Records: The Covers</v>
      </c>
    </row>
    <row r="14541" spans="1:4" x14ac:dyDescent="0.2">
      <c r="A14541" t="str">
        <f>"14540"</f>
        <v>14540</v>
      </c>
      <c r="B14541" t="str">
        <f>"-0.61"</f>
        <v>-0.61</v>
      </c>
      <c r="C14541" t="str">
        <f>"17"</f>
        <v>17</v>
      </c>
      <c r="D14541" t="str">
        <f>"Repo"</f>
        <v>Repo</v>
      </c>
    </row>
    <row r="14542" spans="1:4" x14ac:dyDescent="0.2">
      <c r="A14542" t="str">
        <f>"14541"</f>
        <v>14541</v>
      </c>
      <c r="B14542" t="str">
        <f>"1.22"</f>
        <v>1.22</v>
      </c>
      <c r="C14542" t="str">
        <f>"20"</f>
        <v>20</v>
      </c>
      <c r="D14542" t="str">
        <f>"Jet Black"</f>
        <v>Jet Black</v>
      </c>
    </row>
    <row r="14543" spans="1:4" x14ac:dyDescent="0.2">
      <c r="A14543" t="str">
        <f>"14542"</f>
        <v>14542</v>
      </c>
      <c r="B14543" t="str">
        <f>"0.35"</f>
        <v>0.35</v>
      </c>
      <c r="C14543" t="str">
        <f>"24"</f>
        <v>24</v>
      </c>
      <c r="D14543" t="str">
        <f>"Songs About Dancing and Drugs"</f>
        <v>Songs About Dancing and Drugs</v>
      </c>
    </row>
    <row r="14544" spans="1:4" x14ac:dyDescent="0.2">
      <c r="A14544" t="str">
        <f>"14543"</f>
        <v>14543</v>
      </c>
      <c r="B14544" t="str">
        <f>"-0.04"</f>
        <v>-0.04</v>
      </c>
      <c r="C14544" t="str">
        <f>"26"</f>
        <v>26</v>
      </c>
      <c r="D14544" t="str">
        <f>"A Fool For Everyone"</f>
        <v>A Fool For Everyone</v>
      </c>
    </row>
    <row r="14545" spans="1:4" x14ac:dyDescent="0.2">
      <c r="A14545" t="str">
        <f>"14544"</f>
        <v>14544</v>
      </c>
      <c r="B14545" t="str">
        <f>"-0.04"</f>
        <v>-0.04</v>
      </c>
      <c r="C14545" t="str">
        <f>"35"</f>
        <v>35</v>
      </c>
      <c r="D14545" t="str">
        <f>"Begone Dull Care"</f>
        <v>Begone Dull Care</v>
      </c>
    </row>
    <row r="14546" spans="1:4" x14ac:dyDescent="0.2">
      <c r="A14546" t="str">
        <f>"14545"</f>
        <v>14545</v>
      </c>
      <c r="B14546" t="str">
        <f>"-0.9"</f>
        <v>-0.9</v>
      </c>
      <c r="C14546" t="str">
        <f>"35"</f>
        <v>35</v>
      </c>
      <c r="D14546" t="str">
        <f>"The Last Laugh"</f>
        <v>The Last Laugh</v>
      </c>
    </row>
    <row r="14547" spans="1:4" x14ac:dyDescent="0.2">
      <c r="A14547" t="str">
        <f>"14546"</f>
        <v>14546</v>
      </c>
      <c r="B14547" t="str">
        <f>"-0.23"</f>
        <v>-0.23</v>
      </c>
      <c r="C14547" t="str">
        <f>"23"</f>
        <v>23</v>
      </c>
      <c r="D14547" t="str">
        <f>"Baby Charles"</f>
        <v>Baby Charles</v>
      </c>
    </row>
    <row r="14548" spans="1:4" x14ac:dyDescent="0.2">
      <c r="A14548" t="str">
        <f>"14547"</f>
        <v>14547</v>
      </c>
      <c r="B14548" t="str">
        <f>"2.19"</f>
        <v>2.19</v>
      </c>
      <c r="C14548" t="str">
        <f>"18"</f>
        <v>18</v>
      </c>
      <c r="D14548" t="str">
        <f>"Telekinesis!"</f>
        <v>Telekinesis!</v>
      </c>
    </row>
    <row r="14549" spans="1:4" x14ac:dyDescent="0.2">
      <c r="A14549" t="str">
        <f>"14548"</f>
        <v>14548</v>
      </c>
      <c r="B14549" t="str">
        <f>"-0.43"</f>
        <v>-0.43</v>
      </c>
      <c r="C14549" t="str">
        <f>"18"</f>
        <v>18</v>
      </c>
      <c r="D14549" t="str">
        <f>"Fear Draws Misfortune"</f>
        <v>Fear Draws Misfortune</v>
      </c>
    </row>
    <row r="14550" spans="1:4" x14ac:dyDescent="0.2">
      <c r="A14550" t="str">
        <f>"14549"</f>
        <v>14549</v>
      </c>
      <c r="B14550" t="str">
        <f>"0.43"</f>
        <v>0.43</v>
      </c>
      <c r="C14550" t="str">
        <f>"34"</f>
        <v>34</v>
      </c>
      <c r="D14550" t="str">
        <f>"A Positive Rage"</f>
        <v>A Positive Rage</v>
      </c>
    </row>
    <row r="14551" spans="1:4" x14ac:dyDescent="0.2">
      <c r="A14551" t="str">
        <f>"14550"</f>
        <v>14550</v>
      </c>
      <c r="B14551" t="str">
        <f>"0.65"</f>
        <v>0.65</v>
      </c>
      <c r="C14551" t="str">
        <f>"28"</f>
        <v>28</v>
      </c>
      <c r="D14551" t="str">
        <f>"Trailer Park: Legacy Edition"</f>
        <v>Trailer Park: Legacy Edition</v>
      </c>
    </row>
    <row r="14552" spans="1:4" x14ac:dyDescent="0.2">
      <c r="A14552" t="str">
        <f>"14551"</f>
        <v>14551</v>
      </c>
      <c r="B14552" t="str">
        <f>"-0.39"</f>
        <v>-0.39</v>
      </c>
      <c r="C14552" t="str">
        <f>"39"</f>
        <v>39</v>
      </c>
      <c r="D14552" t="str">
        <f>"Watersports"</f>
        <v>Watersports</v>
      </c>
    </row>
    <row r="14553" spans="1:4" x14ac:dyDescent="0.2">
      <c r="A14553" t="str">
        <f>"14552"</f>
        <v>14552</v>
      </c>
      <c r="B14553" t="str">
        <f>"-0.29"</f>
        <v>-0.29</v>
      </c>
      <c r="C14553" t="str">
        <f>"35"</f>
        <v>35</v>
      </c>
      <c r="D14553" t="str">
        <f>"Ritual and Education"</f>
        <v>Ritual and Education</v>
      </c>
    </row>
    <row r="14554" spans="1:4" x14ac:dyDescent="0.2">
      <c r="A14554" t="str">
        <f>"14553"</f>
        <v>14553</v>
      </c>
      <c r="B14554" t="str">
        <f>"-0.23"</f>
        <v>-0.23</v>
      </c>
      <c r="C14554" t="str">
        <f>"30"</f>
        <v>30</v>
      </c>
      <c r="D14554" t="str">
        <f>"Join the Q"</f>
        <v>Join the Q</v>
      </c>
    </row>
    <row r="14555" spans="1:4" x14ac:dyDescent="0.2">
      <c r="A14555" t="str">
        <f>"14554"</f>
        <v>14554</v>
      </c>
      <c r="B14555" t="str">
        <f>"-0.64"</f>
        <v>-0.64</v>
      </c>
      <c r="C14555" t="str">
        <f>"27"</f>
        <v>27</v>
      </c>
      <c r="D14555" t="str">
        <f>"Tentacles"</f>
        <v>Tentacles</v>
      </c>
    </row>
    <row r="14556" spans="1:4" x14ac:dyDescent="0.2">
      <c r="A14556" t="str">
        <f>"14555"</f>
        <v>14555</v>
      </c>
      <c r="B14556" t="str">
        <f>"-0.87"</f>
        <v>-0.87</v>
      </c>
      <c r="C14556" t="str">
        <f>"36"</f>
        <v>36</v>
      </c>
      <c r="D14556" t="str">
        <f>"Born Like This"</f>
        <v>Born Like This</v>
      </c>
    </row>
    <row r="14557" spans="1:4" x14ac:dyDescent="0.2">
      <c r="A14557" t="str">
        <f>"14556"</f>
        <v>14556</v>
      </c>
      <c r="B14557" t="str">
        <f>"-0.12"</f>
        <v>-0.12</v>
      </c>
      <c r="C14557" t="str">
        <f>"24"</f>
        <v>24</v>
      </c>
      <c r="D14557" t="str">
        <f>"Local Customs: Downriver Revival"</f>
        <v>Local Customs: Downriver Revival</v>
      </c>
    </row>
    <row r="14558" spans="1:4" x14ac:dyDescent="0.2">
      <c r="A14558" t="str">
        <f>"14557"</f>
        <v>14557</v>
      </c>
      <c r="B14558" t="str">
        <f>"-0.6"</f>
        <v>-0.6</v>
      </c>
      <c r="C14558" t="str">
        <f>"24"</f>
        <v>24</v>
      </c>
      <c r="D14558" t="str">
        <f>"Scramble"</f>
        <v>Scramble</v>
      </c>
    </row>
    <row r="14559" spans="1:4" x14ac:dyDescent="0.2">
      <c r="A14559" t="str">
        <f>"14558"</f>
        <v>14558</v>
      </c>
      <c r="B14559" t="str">
        <f>"-0.27"</f>
        <v>-0.27</v>
      </c>
      <c r="C14559" t="str">
        <f>"20"</f>
        <v>20</v>
      </c>
      <c r="D14559" t="str">
        <f>"Inside Your Guitar"</f>
        <v>Inside Your Guitar</v>
      </c>
    </row>
    <row r="14560" spans="1:4" x14ac:dyDescent="0.2">
      <c r="A14560" t="str">
        <f>"14559"</f>
        <v>14559</v>
      </c>
      <c r="B14560" t="str">
        <f>"-0.28"</f>
        <v>-0.28</v>
      </c>
      <c r="C14560" t="str">
        <f>"39"</f>
        <v>39</v>
      </c>
      <c r="D14560" t="str">
        <f>"Ten: Deluxe Edition"</f>
        <v>Ten: Deluxe Edition</v>
      </c>
    </row>
    <row r="14561" spans="1:4" x14ac:dyDescent="0.2">
      <c r="A14561" t="str">
        <f>"14560"</f>
        <v>14560</v>
      </c>
      <c r="B14561" t="str">
        <f>"1.38"</f>
        <v>1.38</v>
      </c>
      <c r="C14561" t="str">
        <f>"25"</f>
        <v>25</v>
      </c>
      <c r="D14561" t="str">
        <f>"Nigeria 70: The Definitive Story of 1970’s Funky Lagos"</f>
        <v>Nigeria 70: The Definitive Story of 1970’s Funky Lagos</v>
      </c>
    </row>
    <row r="14562" spans="1:4" x14ac:dyDescent="0.2">
      <c r="A14562" t="str">
        <f>"14561"</f>
        <v>14561</v>
      </c>
      <c r="B14562" t="str">
        <f>"-0.34"</f>
        <v>-0.34</v>
      </c>
      <c r="C14562" t="str">
        <f>"26"</f>
        <v>26</v>
      </c>
      <c r="D14562" t="str">
        <f>"One"</f>
        <v>One</v>
      </c>
    </row>
    <row r="14563" spans="1:4" x14ac:dyDescent="0.2">
      <c r="A14563" t="str">
        <f>"14562"</f>
        <v>14562</v>
      </c>
      <c r="B14563" t="str">
        <f>"0.12"</f>
        <v>0.12</v>
      </c>
      <c r="C14563" t="str">
        <f>"45"</f>
        <v>45</v>
      </c>
      <c r="D14563" t="str">
        <f>"BiRd-BrAiNs"</f>
        <v>BiRd-BrAiNs</v>
      </c>
    </row>
    <row r="14564" spans="1:4" x14ac:dyDescent="0.2">
      <c r="A14564" t="str">
        <f>"14563"</f>
        <v>14563</v>
      </c>
      <c r="B14564" t="str">
        <f>"1.13"</f>
        <v>1.13</v>
      </c>
      <c r="C14564" t="str">
        <f>"19"</f>
        <v>19</v>
      </c>
      <c r="D14564" t="str">
        <f>"DJ Skee Presents: The Best of the Hamiltonization Process"</f>
        <v>DJ Skee Presents: The Best of the Hamiltonization Process</v>
      </c>
    </row>
    <row r="14565" spans="1:4" x14ac:dyDescent="0.2">
      <c r="A14565" t="str">
        <f>"14564"</f>
        <v>14564</v>
      </c>
      <c r="B14565" t="str">
        <f>"-0.2"</f>
        <v>-0.2</v>
      </c>
      <c r="C14565" t="str">
        <f>"48"</f>
        <v>48</v>
      </c>
      <c r="D14565" t="str">
        <f>"25 O'Clock"</f>
        <v>25 O'Clock</v>
      </c>
    </row>
    <row r="14566" spans="1:4" x14ac:dyDescent="0.2">
      <c r="A14566" t="str">
        <f>"14565"</f>
        <v>14565</v>
      </c>
      <c r="B14566" t="str">
        <f>"0.33"</f>
        <v>0.33</v>
      </c>
      <c r="C14566" t="str">
        <f>"37"</f>
        <v>37</v>
      </c>
      <c r="D14566" t="str">
        <f>"Raise"</f>
        <v>Raise</v>
      </c>
    </row>
    <row r="14567" spans="1:4" x14ac:dyDescent="0.2">
      <c r="A14567" t="str">
        <f>"14566"</f>
        <v>14566</v>
      </c>
      <c r="B14567" t="str">
        <f>"1.25"</f>
        <v>1.25</v>
      </c>
      <c r="C14567" t="str">
        <f>"16"</f>
        <v>16</v>
      </c>
      <c r="D14567" t="str">
        <f>"Laughing Boy"</f>
        <v>Laughing Boy</v>
      </c>
    </row>
    <row r="14568" spans="1:4" x14ac:dyDescent="0.2">
      <c r="A14568" t="str">
        <f>"14567"</f>
        <v>14567</v>
      </c>
      <c r="B14568" t="str">
        <f>"0.99"</f>
        <v>0.99</v>
      </c>
      <c r="C14568" t="str">
        <f>"31"</f>
        <v>31</v>
      </c>
      <c r="D14568" t="str">
        <f>"Pop Ambient 2009"</f>
        <v>Pop Ambient 2009</v>
      </c>
    </row>
    <row r="14569" spans="1:4" x14ac:dyDescent="0.2">
      <c r="A14569" t="str">
        <f>"14568"</f>
        <v>14568</v>
      </c>
      <c r="B14569" t="str">
        <f>"0.13"</f>
        <v>0.13</v>
      </c>
      <c r="C14569" t="str">
        <f>"21"</f>
        <v>21</v>
      </c>
      <c r="D14569" t="str">
        <f>"Capades"</f>
        <v>Capades</v>
      </c>
    </row>
    <row r="14570" spans="1:4" x14ac:dyDescent="0.2">
      <c r="A14570" t="str">
        <f>"14569"</f>
        <v>14569</v>
      </c>
      <c r="B14570" t="str">
        <f>"-0.28"</f>
        <v>-0.28</v>
      </c>
      <c r="C14570" t="str">
        <f>"42"</f>
        <v>42</v>
      </c>
      <c r="D14570" t="str">
        <f>"Crack the Skye"</f>
        <v>Crack the Skye</v>
      </c>
    </row>
    <row r="14571" spans="1:4" x14ac:dyDescent="0.2">
      <c r="A14571" t="str">
        <f>"14570"</f>
        <v>14570</v>
      </c>
      <c r="B14571" t="str">
        <f>"0.14"</f>
        <v>0.14</v>
      </c>
      <c r="C14571" t="str">
        <f>"18"</f>
        <v>18</v>
      </c>
      <c r="D14571" t="str">
        <f>"Rules"</f>
        <v>Rules</v>
      </c>
    </row>
    <row r="14572" spans="1:4" x14ac:dyDescent="0.2">
      <c r="A14572" t="str">
        <f>"14571"</f>
        <v>14571</v>
      </c>
      <c r="B14572" t="str">
        <f>"0.28"</f>
        <v>0.28</v>
      </c>
      <c r="C14572" t="str">
        <f>"25"</f>
        <v>25</v>
      </c>
      <c r="D14572" t="str">
        <f>"Beauties Never Die"</f>
        <v>Beauties Never Die</v>
      </c>
    </row>
    <row r="14573" spans="1:4" x14ac:dyDescent="0.2">
      <c r="A14573" t="str">
        <f>"14572"</f>
        <v>14572</v>
      </c>
      <c r="B14573" t="str">
        <f>"0.01"</f>
        <v>0.01</v>
      </c>
      <c r="C14573" t="str">
        <f>"26"</f>
        <v>26</v>
      </c>
      <c r="D14573" t="str">
        <f>"Dirty Bomb"</f>
        <v>Dirty Bomb</v>
      </c>
    </row>
    <row r="14574" spans="1:4" x14ac:dyDescent="0.2">
      <c r="A14574" t="str">
        <f>"14573"</f>
        <v>14573</v>
      </c>
      <c r="B14574" t="str">
        <f>"0.38"</f>
        <v>0.38</v>
      </c>
      <c r="C14574" t="str">
        <f>"21"</f>
        <v>21</v>
      </c>
      <c r="D14574" t="str">
        <f>"Baby"</f>
        <v>Baby</v>
      </c>
    </row>
    <row r="14575" spans="1:4" x14ac:dyDescent="0.2">
      <c r="A14575" t="str">
        <f>"14574"</f>
        <v>14574</v>
      </c>
      <c r="B14575" t="str">
        <f>"-0.16"</f>
        <v>-0.16</v>
      </c>
      <c r="C14575" t="str">
        <f>"26"</f>
        <v>26</v>
      </c>
      <c r="D14575" t="str">
        <f>"Living Thing"</f>
        <v>Living Thing</v>
      </c>
    </row>
    <row r="14576" spans="1:4" x14ac:dyDescent="0.2">
      <c r="A14576" t="str">
        <f>"14575"</f>
        <v>14575</v>
      </c>
      <c r="B14576" t="str">
        <f>"-0.17"</f>
        <v>-0.17</v>
      </c>
      <c r="C14576" t="str">
        <f>"17"</f>
        <v>17</v>
      </c>
      <c r="D14576" t="str">
        <f>"Now We Can See"</f>
        <v>Now We Can See</v>
      </c>
    </row>
    <row r="14577" spans="1:4" x14ac:dyDescent="0.2">
      <c r="A14577" t="str">
        <f>"14576"</f>
        <v>14576</v>
      </c>
      <c r="B14577" t="str">
        <f>"0"</f>
        <v>0</v>
      </c>
      <c r="C14577" t="str">
        <f>"21"</f>
        <v>21</v>
      </c>
      <c r="D14577" t="str">
        <f>"Soundboy's Gravestone Gets Desecrated By Vandals"</f>
        <v>Soundboy's Gravestone Gets Desecrated By Vandals</v>
      </c>
    </row>
    <row r="14578" spans="1:4" x14ac:dyDescent="0.2">
      <c r="A14578" t="str">
        <f>"14577"</f>
        <v>14577</v>
      </c>
      <c r="B14578" t="str">
        <f>"0.82"</f>
        <v>0.82</v>
      </c>
      <c r="C14578" t="str">
        <f>"22"</f>
        <v>22</v>
      </c>
      <c r="D14578" t="str">
        <f>"A New Tide"</f>
        <v>A New Tide</v>
      </c>
    </row>
    <row r="14579" spans="1:4" x14ac:dyDescent="0.2">
      <c r="A14579" t="str">
        <f>"14578"</f>
        <v>14578</v>
      </c>
      <c r="B14579" t="str">
        <f>"0.67"</f>
        <v>0.67</v>
      </c>
      <c r="C14579" t="str">
        <f>"29"</f>
        <v>29</v>
      </c>
      <c r="D14579" t="str">
        <f>"Black Boy White Boy"</f>
        <v>Black Boy White Boy</v>
      </c>
    </row>
    <row r="14580" spans="1:4" x14ac:dyDescent="0.2">
      <c r="A14580" t="str">
        <f>"14579"</f>
        <v>14579</v>
      </c>
      <c r="B14580" t="str">
        <f>"0.12"</f>
        <v>0.12</v>
      </c>
      <c r="C14580" t="str">
        <f>"30"</f>
        <v>30</v>
      </c>
      <c r="D14580" t="str">
        <f>"A Woman a Man Walked By"</f>
        <v>A Woman a Man Walked By</v>
      </c>
    </row>
    <row r="14581" spans="1:4" x14ac:dyDescent="0.2">
      <c r="A14581" t="str">
        <f>"14580"</f>
        <v>14580</v>
      </c>
      <c r="B14581" t="str">
        <f>"0.25"</f>
        <v>0.25</v>
      </c>
      <c r="C14581" t="str">
        <f>"53"</f>
        <v>53</v>
      </c>
      <c r="D14581" t="str">
        <f>"Bunny Gets Paid [Deluxe Edition]"</f>
        <v>Bunny Gets Paid [Deluxe Edition]</v>
      </c>
    </row>
    <row r="14582" spans="1:4" x14ac:dyDescent="0.2">
      <c r="A14582" t="str">
        <f>"14581"</f>
        <v>14581</v>
      </c>
      <c r="B14582" t="str">
        <f>"0.02"</f>
        <v>0.02</v>
      </c>
      <c r="C14582" t="str">
        <f>"53"</f>
        <v>53</v>
      </c>
      <c r="D14582" t="str">
        <f>"Bloomed"</f>
        <v>Bloomed</v>
      </c>
    </row>
    <row r="14583" spans="1:4" x14ac:dyDescent="0.2">
      <c r="A14583" t="str">
        <f>"14582"</f>
        <v>14582</v>
      </c>
      <c r="B14583" t="str">
        <f>"0.1"</f>
        <v>0.1</v>
      </c>
      <c r="C14583" t="str">
        <f>"32"</f>
        <v>32</v>
      </c>
      <c r="D14583" t="str">
        <f>"Vignetting the Compost"</f>
        <v>Vignetting the Compost</v>
      </c>
    </row>
    <row r="14584" spans="1:4" x14ac:dyDescent="0.2">
      <c r="A14584" t="str">
        <f>"14583"</f>
        <v>14583</v>
      </c>
      <c r="B14584" t="str">
        <f>"-0.23"</f>
        <v>-0.23</v>
      </c>
      <c r="C14584" t="str">
        <f>"24"</f>
        <v>24</v>
      </c>
      <c r="D14584" t="str">
        <f>"Dirtbox EP"</f>
        <v>Dirtbox EP</v>
      </c>
    </row>
    <row r="14585" spans="1:4" x14ac:dyDescent="0.2">
      <c r="A14585" t="str">
        <f>"14584"</f>
        <v>14584</v>
      </c>
      <c r="B14585" t="str">
        <f>"-0.5"</f>
        <v>-0.5</v>
      </c>
      <c r="C14585" t="str">
        <f>"36"</f>
        <v>36</v>
      </c>
      <c r="D14585" t="str">
        <f>"Beware"</f>
        <v>Beware</v>
      </c>
    </row>
    <row r="14586" spans="1:4" x14ac:dyDescent="0.2">
      <c r="A14586" t="str">
        <f>"14585"</f>
        <v>14585</v>
      </c>
      <c r="B14586" t="str">
        <f>"0.29"</f>
        <v>0.29</v>
      </c>
      <c r="C14586" t="str">
        <f>"32"</f>
        <v>32</v>
      </c>
      <c r="D14586" t="str">
        <f>"The Future Will Come"</f>
        <v>The Future Will Come</v>
      </c>
    </row>
    <row r="14587" spans="1:4" x14ac:dyDescent="0.2">
      <c r="A14587" t="str">
        <f>"14586"</f>
        <v>14586</v>
      </c>
      <c r="B14587" t="str">
        <f>"-0.05"</f>
        <v>-0.05</v>
      </c>
      <c r="C14587" t="str">
        <f>"24"</f>
        <v>24</v>
      </c>
      <c r="D14587" t="str">
        <f>"Matter and Light"</f>
        <v>Matter and Light</v>
      </c>
    </row>
    <row r="14588" spans="1:4" x14ac:dyDescent="0.2">
      <c r="A14588" t="str">
        <f>"14587"</f>
        <v>14587</v>
      </c>
      <c r="B14588" t="str">
        <f>"0.15"</f>
        <v>0.15</v>
      </c>
      <c r="C14588" t="str">
        <f>"26"</f>
        <v>26</v>
      </c>
      <c r="D14588" t="str">
        <f>"Rearrange Beds"</f>
        <v>Rearrange Beds</v>
      </c>
    </row>
    <row r="14589" spans="1:4" x14ac:dyDescent="0.2">
      <c r="A14589" t="str">
        <f>"14588"</f>
        <v>14588</v>
      </c>
      <c r="B14589" t="str">
        <f>"0.3"</f>
        <v>0.3</v>
      </c>
      <c r="C14589" t="str">
        <f>"16"</f>
        <v>16</v>
      </c>
      <c r="D14589" t="str">
        <f>"Walk on Thin Air"</f>
        <v>Walk on Thin Air</v>
      </c>
    </row>
    <row r="14590" spans="1:4" x14ac:dyDescent="0.2">
      <c r="A14590" t="str">
        <f>"14589"</f>
        <v>14589</v>
      </c>
      <c r="B14590" t="str">
        <f>"0.07"</f>
        <v>0.07</v>
      </c>
      <c r="C14590" t="str">
        <f>"23"</f>
        <v>23</v>
      </c>
      <c r="D14590" t="str">
        <f>"It's Blitz!"</f>
        <v>It's Blitz!</v>
      </c>
    </row>
    <row r="14591" spans="1:4" x14ac:dyDescent="0.2">
      <c r="A14591" t="str">
        <f>"14590"</f>
        <v>14590</v>
      </c>
      <c r="B14591" t="str">
        <f>"0"</f>
        <v>0</v>
      </c>
      <c r="C14591" t="str">
        <f>"40"</f>
        <v>40</v>
      </c>
      <c r="D14591" t="str">
        <f>"Histoire de Melody Nelson"</f>
        <v>Histoire de Melody Nelson</v>
      </c>
    </row>
    <row r="14592" spans="1:4" x14ac:dyDescent="0.2">
      <c r="A14592" t="str">
        <f>"14591"</f>
        <v>14591</v>
      </c>
      <c r="B14592" t="str">
        <f>"1.12"</f>
        <v>1.12</v>
      </c>
      <c r="C14592" t="str">
        <f>"17"</f>
        <v>17</v>
      </c>
      <c r="D14592" t="str">
        <f>"Rockwell"</f>
        <v>Rockwell</v>
      </c>
    </row>
    <row r="14593" spans="1:4" x14ac:dyDescent="0.2">
      <c r="A14593" t="str">
        <f>"14592"</f>
        <v>14592</v>
      </c>
      <c r="B14593" t="str">
        <f>"-1.1"</f>
        <v>-1.1</v>
      </c>
      <c r="C14593" t="str">
        <f>"37"</f>
        <v>37</v>
      </c>
      <c r="D14593" t="str">
        <f>"Real Recognize Real"</f>
        <v>Real Recognize Real</v>
      </c>
    </row>
    <row r="14594" spans="1:4" x14ac:dyDescent="0.2">
      <c r="A14594" t="str">
        <f>"14593"</f>
        <v>14593</v>
      </c>
      <c r="B14594" t="str">
        <f>"-0.9"</f>
        <v>-0.9</v>
      </c>
      <c r="C14594" t="str">
        <f>"28"</f>
        <v>28</v>
      </c>
      <c r="D14594" t="str">
        <f>"Winter Hours"</f>
        <v>Winter Hours</v>
      </c>
    </row>
    <row r="14595" spans="1:4" x14ac:dyDescent="0.2">
      <c r="A14595" t="str">
        <f>"14594"</f>
        <v>14594</v>
      </c>
      <c r="B14595" t="str">
        <f>"0.6"</f>
        <v>0.6</v>
      </c>
      <c r="C14595" t="str">
        <f>"20"</f>
        <v>20</v>
      </c>
      <c r="D14595" t="str">
        <f>"Junior"</f>
        <v>Junior</v>
      </c>
    </row>
    <row r="14596" spans="1:4" x14ac:dyDescent="0.2">
      <c r="A14596" t="str">
        <f>"14595"</f>
        <v>14595</v>
      </c>
      <c r="B14596" t="str">
        <f>"-0.23"</f>
        <v>-0.23</v>
      </c>
      <c r="C14596" t="str">
        <f>"38"</f>
        <v>38</v>
      </c>
      <c r="D14596" t="str">
        <f>"Slow Dance"</f>
        <v>Slow Dance</v>
      </c>
    </row>
    <row r="14597" spans="1:4" x14ac:dyDescent="0.2">
      <c r="A14597" t="str">
        <f>"14596"</f>
        <v>14596</v>
      </c>
      <c r="B14597" t="str">
        <f>"0.62"</f>
        <v>0.62</v>
      </c>
      <c r="C14597" t="str">
        <f>"24"</f>
        <v>24</v>
      </c>
      <c r="D14597" t="str">
        <f>"Caught in the Trees"</f>
        <v>Caught in the Trees</v>
      </c>
    </row>
    <row r="14598" spans="1:4" x14ac:dyDescent="0.2">
      <c r="A14598" t="str">
        <f>"14597"</f>
        <v>14597</v>
      </c>
      <c r="B14598" t="str">
        <f>"-0.61"</f>
        <v>-0.61</v>
      </c>
      <c r="C14598" t="str">
        <f>"39"</f>
        <v>39</v>
      </c>
      <c r="D14598" t="str">
        <f>"The Invisible Lodger"</f>
        <v>The Invisible Lodger</v>
      </c>
    </row>
    <row r="14599" spans="1:4" x14ac:dyDescent="0.2">
      <c r="A14599" t="str">
        <f>"14598"</f>
        <v>14598</v>
      </c>
      <c r="B14599" t="str">
        <f>"-0.03"</f>
        <v>-0.03</v>
      </c>
      <c r="C14599" t="str">
        <f>"18"</f>
        <v>18</v>
      </c>
      <c r="D14599" t="str">
        <f>"Mt. St. Helens Vietnam Band"</f>
        <v>Mt. St. Helens Vietnam Band</v>
      </c>
    </row>
    <row r="14600" spans="1:4" x14ac:dyDescent="0.2">
      <c r="A14600" t="str">
        <f>"14599"</f>
        <v>14599</v>
      </c>
      <c r="B14600" t="str">
        <f>"0.65"</f>
        <v>0.65</v>
      </c>
      <c r="C14600" t="str">
        <f>"23"</f>
        <v>23</v>
      </c>
      <c r="D14600" t="str">
        <f>"Grace/Wastelands"</f>
        <v>Grace/Wastelands</v>
      </c>
    </row>
    <row r="14601" spans="1:4" x14ac:dyDescent="0.2">
      <c r="A14601" t="str">
        <f>"14600"</f>
        <v>14600</v>
      </c>
      <c r="B14601" t="str">
        <f>"0.95"</f>
        <v>0.95</v>
      </c>
      <c r="C14601" t="str">
        <f>"16"</f>
        <v>16</v>
      </c>
      <c r="D14601" t="str">
        <f>"Early Output: 1996-1998"</f>
        <v>Early Output: 1996-1998</v>
      </c>
    </row>
    <row r="14602" spans="1:4" x14ac:dyDescent="0.2">
      <c r="A14602" t="str">
        <f>"14601"</f>
        <v>14601</v>
      </c>
      <c r="B14602" t="str">
        <f>"-1.49"</f>
        <v>-1.49</v>
      </c>
      <c r="C14602" t="str">
        <f>"25"</f>
        <v>25</v>
      </c>
      <c r="D14602" t="str">
        <f>"Havilah"</f>
        <v>Havilah</v>
      </c>
    </row>
    <row r="14603" spans="1:4" x14ac:dyDescent="0.2">
      <c r="A14603" t="str">
        <f>"14602"</f>
        <v>14602</v>
      </c>
      <c r="B14603" t="str">
        <f>"-0.83"</f>
        <v>-0.83</v>
      </c>
      <c r="C14603" t="str">
        <f>"29"</f>
        <v>29</v>
      </c>
      <c r="D14603" t="str">
        <f>"Money"</f>
        <v>Money</v>
      </c>
    </row>
    <row r="14604" spans="1:4" x14ac:dyDescent="0.2">
      <c r="A14604" t="str">
        <f>"14603"</f>
        <v>14603</v>
      </c>
      <c r="B14604" t="str">
        <f>"1.44"</f>
        <v>1.44</v>
      </c>
      <c r="C14604" t="str">
        <f>"26"</f>
        <v>26</v>
      </c>
      <c r="D14604" t="str">
        <f>"Elvis Perkins in Dearland"</f>
        <v>Elvis Perkins in Dearland</v>
      </c>
    </row>
    <row r="14605" spans="1:4" x14ac:dyDescent="0.2">
      <c r="A14605" t="str">
        <f>"14604"</f>
        <v>14604</v>
      </c>
      <c r="B14605" t="str">
        <f>"0.36"</f>
        <v>0.36</v>
      </c>
      <c r="C14605" t="str">
        <f>"47"</f>
        <v>47</v>
      </c>
      <c r="D14605" t="str">
        <f>"The Hazards of Love"</f>
        <v>The Hazards of Love</v>
      </c>
    </row>
    <row r="14606" spans="1:4" x14ac:dyDescent="0.2">
      <c r="A14606" t="str">
        <f>"14605"</f>
        <v>14605</v>
      </c>
      <c r="B14606" t="str">
        <f>"-1.34"</f>
        <v>-1.34</v>
      </c>
      <c r="C14606" t="str">
        <f>"30"</f>
        <v>30</v>
      </c>
      <c r="D14606" t="str">
        <f>"The Proper Sex"</f>
        <v>The Proper Sex</v>
      </c>
    </row>
    <row r="14607" spans="1:4" x14ac:dyDescent="0.2">
      <c r="A14607" t="str">
        <f>"14606"</f>
        <v>14606</v>
      </c>
      <c r="B14607" t="str">
        <f>"0.28"</f>
        <v>0.28</v>
      </c>
      <c r="C14607" t="str">
        <f>"50"</f>
        <v>50</v>
      </c>
      <c r="D14607" t="str">
        <f>"Static Tensions"</f>
        <v>Static Tensions</v>
      </c>
    </row>
    <row r="14608" spans="1:4" x14ac:dyDescent="0.2">
      <c r="A14608" t="str">
        <f>"14607"</f>
        <v>14607</v>
      </c>
      <c r="B14608" t="str">
        <f>"0.05"</f>
        <v>0.05</v>
      </c>
      <c r="C14608" t="str">
        <f>"31"</f>
        <v>31</v>
      </c>
      <c r="D14608" t="str">
        <f>"White Bird Release"</f>
        <v>White Bird Release</v>
      </c>
    </row>
    <row r="14609" spans="1:4" x14ac:dyDescent="0.2">
      <c r="A14609" t="str">
        <f>"14608"</f>
        <v>14608</v>
      </c>
      <c r="B14609" t="str">
        <f>"-0.9"</f>
        <v>-0.9</v>
      </c>
      <c r="C14609" t="str">
        <f>"19"</f>
        <v>19</v>
      </c>
      <c r="D14609" t="str">
        <f>"Advance Base Battery Life"</f>
        <v>Advance Base Battery Life</v>
      </c>
    </row>
    <row r="14610" spans="1:4" x14ac:dyDescent="0.2">
      <c r="A14610" t="str">
        <f>"14609"</f>
        <v>14609</v>
      </c>
      <c r="B14610" t="str">
        <f>"-0.35"</f>
        <v>-0.35</v>
      </c>
      <c r="C14610" t="str">
        <f>"30"</f>
        <v>30</v>
      </c>
      <c r="D14610" t="str">
        <f>"Fever Ray"</f>
        <v>Fever Ray</v>
      </c>
    </row>
    <row r="14611" spans="1:4" x14ac:dyDescent="0.2">
      <c r="A14611" t="str">
        <f>"14610"</f>
        <v>14610</v>
      </c>
      <c r="B14611" t="str">
        <f>"-0.28"</f>
        <v>-0.28</v>
      </c>
      <c r="C14611" t="str">
        <f>"27"</f>
        <v>27</v>
      </c>
      <c r="D14611" t="str">
        <f>"The Floodlight Collective"</f>
        <v>The Floodlight Collective</v>
      </c>
    </row>
    <row r="14612" spans="1:4" x14ac:dyDescent="0.2">
      <c r="A14612" t="str">
        <f>"14611"</f>
        <v>14611</v>
      </c>
      <c r="B14612" t="str">
        <f>"-0.03"</f>
        <v>-0.03</v>
      </c>
      <c r="C14612" t="str">
        <f>"23"</f>
        <v>23</v>
      </c>
      <c r="D14612" t="str">
        <f>"Born Radical"</f>
        <v>Born Radical</v>
      </c>
    </row>
    <row r="14613" spans="1:4" x14ac:dyDescent="0.2">
      <c r="A14613" t="str">
        <f>"14612"</f>
        <v>14612</v>
      </c>
      <c r="B14613" t="str">
        <f>"-0.69"</f>
        <v>-0.69</v>
      </c>
      <c r="C14613" t="str">
        <f>"24"</f>
        <v>24</v>
      </c>
      <c r="D14613" t="str">
        <f>"Pierced"</f>
        <v>Pierced</v>
      </c>
    </row>
    <row r="14614" spans="1:4" x14ac:dyDescent="0.2">
      <c r="A14614" t="str">
        <f>"14613"</f>
        <v>14613</v>
      </c>
      <c r="B14614" t="str">
        <f>"-1.58"</f>
        <v>-1.58</v>
      </c>
      <c r="C14614" t="str">
        <f>"24"</f>
        <v>24</v>
      </c>
      <c r="D14614" t="str">
        <f>"Lamb's Anger"</f>
        <v>Lamb's Anger</v>
      </c>
    </row>
    <row r="14615" spans="1:4" x14ac:dyDescent="0.2">
      <c r="A14615" t="str">
        <f>"14614"</f>
        <v>14614</v>
      </c>
      <c r="B14615" t="str">
        <f>"0.41"</f>
        <v>0.41</v>
      </c>
      <c r="C14615" t="str">
        <f>"30"</f>
        <v>30</v>
      </c>
      <c r="D14615" t="str">
        <f>"Enemy Mine"</f>
        <v>Enemy Mine</v>
      </c>
    </row>
    <row r="14616" spans="1:4" x14ac:dyDescent="0.2">
      <c r="A14616" t="str">
        <f>"14615"</f>
        <v>14615</v>
      </c>
      <c r="B14616" t="str">
        <f>"0.68"</f>
        <v>0.68</v>
      </c>
      <c r="C14616" t="str">
        <f>"37"</f>
        <v>37</v>
      </c>
      <c r="D14616" t="str">
        <f>"Take My Breath Away"</f>
        <v>Take My Breath Away</v>
      </c>
    </row>
    <row r="14617" spans="1:4" x14ac:dyDescent="0.2">
      <c r="A14617" t="str">
        <f>"14616"</f>
        <v>14616</v>
      </c>
      <c r="B14617" t="str">
        <f>"0.37"</f>
        <v>0.37</v>
      </c>
      <c r="C14617" t="str">
        <f>"28"</f>
        <v>28</v>
      </c>
      <c r="D14617" t="str">
        <f>"Calypsoul 70: Caribbean Soul &amp; Calypso Crossover 1969-1979"</f>
        <v>Calypsoul 70: Caribbean Soul &amp; Calypso Crossover 1969-1979</v>
      </c>
    </row>
    <row r="14618" spans="1:4" x14ac:dyDescent="0.2">
      <c r="A14618" t="str">
        <f>"14617"</f>
        <v>14617</v>
      </c>
      <c r="B14618" t="str">
        <f>"-0.34"</f>
        <v>-0.34</v>
      </c>
      <c r="C14618" t="str">
        <f>"35"</f>
        <v>35</v>
      </c>
      <c r="D14618" t="str">
        <f>"Fabric 45"</f>
        <v>Fabric 45</v>
      </c>
    </row>
    <row r="14619" spans="1:4" x14ac:dyDescent="0.2">
      <c r="A14619" t="str">
        <f>"14618"</f>
        <v>14618</v>
      </c>
      <c r="B14619" t="str">
        <f>"1.19"</f>
        <v>1.19</v>
      </c>
      <c r="C14619" t="str">
        <f>"26"</f>
        <v>26</v>
      </c>
      <c r="D14619" t="str">
        <f>"White Light Strobing"</f>
        <v>White Light Strobing</v>
      </c>
    </row>
    <row r="14620" spans="1:4" x14ac:dyDescent="0.2">
      <c r="A14620" t="str">
        <f>"14619"</f>
        <v>14619</v>
      </c>
      <c r="B14620" t="str">
        <f>"0.4"</f>
        <v>0.4</v>
      </c>
      <c r="C14620" t="str">
        <f>"31"</f>
        <v>31</v>
      </c>
      <c r="D14620" t="str">
        <f>"Bromst"</f>
        <v>Bromst</v>
      </c>
    </row>
    <row r="14621" spans="1:4" x14ac:dyDescent="0.2">
      <c r="A14621" t="str">
        <f>"14620"</f>
        <v>14620</v>
      </c>
      <c r="B14621" t="str">
        <f>"1.48"</f>
        <v>1.48</v>
      </c>
      <c r="C14621" t="str">
        <f>"22"</f>
        <v>22</v>
      </c>
      <c r="D14621" t="str">
        <f>"Quiet Please...The New Best of Nick Lowe"</f>
        <v>Quiet Please...The New Best of Nick Lowe</v>
      </c>
    </row>
    <row r="14622" spans="1:4" x14ac:dyDescent="0.2">
      <c r="A14622" t="str">
        <f>"14621"</f>
        <v>14621</v>
      </c>
      <c r="B14622" t="str">
        <f>"-1.13"</f>
        <v>-1.13</v>
      </c>
      <c r="C14622" t="str">
        <f>"23"</f>
        <v>23</v>
      </c>
      <c r="D14622" t="str">
        <f>"Flood Bank"</f>
        <v>Flood Bank</v>
      </c>
    </row>
    <row r="14623" spans="1:4" x14ac:dyDescent="0.2">
      <c r="A14623" t="str">
        <f>"14622"</f>
        <v>14622</v>
      </c>
      <c r="B14623" t="str">
        <f>"-0.31"</f>
        <v>-0.31</v>
      </c>
      <c r="C14623" t="str">
        <f>"24"</f>
        <v>24</v>
      </c>
      <c r="D14623" t="str">
        <f>"L'Entredeux"</f>
        <v>L'Entredeux</v>
      </c>
    </row>
    <row r="14624" spans="1:4" x14ac:dyDescent="0.2">
      <c r="A14624" t="str">
        <f>"14623"</f>
        <v>14623</v>
      </c>
      <c r="B14624" t="str">
        <f>"0.84"</f>
        <v>0.84</v>
      </c>
      <c r="C14624" t="str">
        <f>"20"</f>
        <v>20</v>
      </c>
      <c r="D14624" t="str">
        <f>"The Wolf Also Shall Dwell With the Lamb"</f>
        <v>The Wolf Also Shall Dwell With the Lamb</v>
      </c>
    </row>
    <row r="14625" spans="1:4" x14ac:dyDescent="0.2">
      <c r="A14625" t="str">
        <f>"14624"</f>
        <v>14624</v>
      </c>
      <c r="B14625" t="str">
        <f>"-0.68"</f>
        <v>-0.68</v>
      </c>
      <c r="C14625" t="str">
        <f>"28"</f>
        <v>28</v>
      </c>
      <c r="D14625" t="str">
        <f>"Fist of God"</f>
        <v>Fist of God</v>
      </c>
    </row>
    <row r="14626" spans="1:4" x14ac:dyDescent="0.2">
      <c r="A14626" t="str">
        <f>"14625"</f>
        <v>14625</v>
      </c>
      <c r="B14626" t="str">
        <f>"0.21"</f>
        <v>0.21</v>
      </c>
      <c r="C14626" t="str">
        <f>"30"</f>
        <v>30</v>
      </c>
      <c r="D14626" t="str">
        <f>"The Tiffany Transcriptions"</f>
        <v>The Tiffany Transcriptions</v>
      </c>
    </row>
    <row r="14627" spans="1:4" x14ac:dyDescent="0.2">
      <c r="A14627" t="str">
        <f>"14626"</f>
        <v>14626</v>
      </c>
      <c r="B14627" t="str">
        <f>"-0.1"</f>
        <v>-0.1</v>
      </c>
      <c r="C14627" t="str">
        <f>"28"</f>
        <v>28</v>
      </c>
      <c r="D14627" t="str">
        <f>"Heavy Ghost"</f>
        <v>Heavy Ghost</v>
      </c>
    </row>
    <row r="14628" spans="1:4" x14ac:dyDescent="0.2">
      <c r="A14628" t="str">
        <f>"14627"</f>
        <v>14627</v>
      </c>
      <c r="B14628" t="str">
        <f>"0.56"</f>
        <v>0.56</v>
      </c>
      <c r="C14628" t="str">
        <f>"30"</f>
        <v>30</v>
      </c>
      <c r="D14628" t="str">
        <f>"Beasts of Seasons"</f>
        <v>Beasts of Seasons</v>
      </c>
    </row>
    <row r="14629" spans="1:4" x14ac:dyDescent="0.2">
      <c r="A14629" t="str">
        <f>"14628"</f>
        <v>14628</v>
      </c>
      <c r="B14629" t="str">
        <f>"-0.4"</f>
        <v>-0.4</v>
      </c>
      <c r="C14629" t="str">
        <f>"26"</f>
        <v>26</v>
      </c>
      <c r="D14629" t="str">
        <f>"All Aboard Future"</f>
        <v>All Aboard Future</v>
      </c>
    </row>
    <row r="14630" spans="1:4" x14ac:dyDescent="0.2">
      <c r="A14630" t="str">
        <f>"14629"</f>
        <v>14629</v>
      </c>
      <c r="B14630" t="str">
        <f>"-0.02"</f>
        <v>-0.02</v>
      </c>
      <c r="C14630" t="str">
        <f>"26"</f>
        <v>26</v>
      </c>
      <c r="D14630" t="str">
        <f>"Why There Are Mountains"</f>
        <v>Why There Are Mountains</v>
      </c>
    </row>
    <row r="14631" spans="1:4" x14ac:dyDescent="0.2">
      <c r="A14631" t="str">
        <f>"14630"</f>
        <v>14630</v>
      </c>
      <c r="B14631" t="str">
        <f>"0.25"</f>
        <v>0.25</v>
      </c>
      <c r="C14631" t="str">
        <f>"19"</f>
        <v>19</v>
      </c>
      <c r="D14631" t="str">
        <f>"I Blame You"</f>
        <v>I Blame You</v>
      </c>
    </row>
    <row r="14632" spans="1:4" x14ac:dyDescent="0.2">
      <c r="A14632" t="str">
        <f>"14631"</f>
        <v>14631</v>
      </c>
      <c r="B14632" t="str">
        <f>"0.26"</f>
        <v>0.26</v>
      </c>
      <c r="C14632" t="str">
        <f>"30"</f>
        <v>30</v>
      </c>
      <c r="D14632" t="str">
        <f>"Coward"</f>
        <v>Coward</v>
      </c>
    </row>
    <row r="14633" spans="1:4" x14ac:dyDescent="0.2">
      <c r="A14633" t="str">
        <f>"14632"</f>
        <v>14632</v>
      </c>
      <c r="B14633" t="str">
        <f>"-0.42"</f>
        <v>-0.42</v>
      </c>
      <c r="C14633" t="str">
        <f>"29"</f>
        <v>29</v>
      </c>
      <c r="D14633" t="str">
        <f>"To Lose My Life..."</f>
        <v>To Lose My Life...</v>
      </c>
    </row>
    <row r="14634" spans="1:4" x14ac:dyDescent="0.2">
      <c r="A14634" t="str">
        <f>"14633"</f>
        <v>14633</v>
      </c>
      <c r="B14634" t="str">
        <f>"0.47"</f>
        <v>0.47</v>
      </c>
      <c r="C14634" t="str">
        <f>"22"</f>
        <v>22</v>
      </c>
      <c r="D14634" t="s">
        <v>456</v>
      </c>
    </row>
    <row r="14635" spans="1:4" x14ac:dyDescent="0.2">
      <c r="A14635" t="str">
        <f>"14634"</f>
        <v>14634</v>
      </c>
      <c r="B14635" t="str">
        <f>"-0.26"</f>
        <v>-0.26</v>
      </c>
      <c r="C14635" t="str">
        <f>"35"</f>
        <v>35</v>
      </c>
      <c r="D14635" t="str">
        <f>"Grrr..."</f>
        <v>Grrr...</v>
      </c>
    </row>
    <row r="14636" spans="1:4" x14ac:dyDescent="0.2">
      <c r="A14636" t="str">
        <f>"14635"</f>
        <v>14635</v>
      </c>
      <c r="B14636" t="str">
        <f>"-0.45"</f>
        <v>-0.45</v>
      </c>
      <c r="C14636" t="str">
        <f>"27"</f>
        <v>27</v>
      </c>
      <c r="D14636" t="str">
        <f>"Troubadour"</f>
        <v>Troubadour</v>
      </c>
    </row>
    <row r="14637" spans="1:4" x14ac:dyDescent="0.2">
      <c r="A14637" t="str">
        <f>"14636"</f>
        <v>14636</v>
      </c>
      <c r="B14637" t="str">
        <f>"0.71"</f>
        <v>0.71</v>
      </c>
      <c r="C14637" t="str">
        <f>"25"</f>
        <v>25</v>
      </c>
      <c r="D14637" t="str">
        <f>"Birdseed Shirt"</f>
        <v>Birdseed Shirt</v>
      </c>
    </row>
    <row r="14638" spans="1:4" x14ac:dyDescent="0.2">
      <c r="A14638" t="str">
        <f>"14637"</f>
        <v>14637</v>
      </c>
      <c r="B14638" t="str">
        <f>"1.52"</f>
        <v>1.52</v>
      </c>
      <c r="C14638" t="str">
        <f>"34"</f>
        <v>34</v>
      </c>
      <c r="D14638" t="str">
        <f>"Love's Recurring Dream"</f>
        <v>Love's Recurring Dream</v>
      </c>
    </row>
    <row r="14639" spans="1:4" x14ac:dyDescent="0.2">
      <c r="A14639" t="str">
        <f>"14638"</f>
        <v>14638</v>
      </c>
      <c r="B14639" t="str">
        <f>"-0.26"</f>
        <v>-0.26</v>
      </c>
      <c r="C14639" t="str">
        <f>"35"</f>
        <v>35</v>
      </c>
      <c r="D14639" t="str">
        <f>"The Otha Side of the Trap..."</f>
        <v>The Otha Side of the Trap...</v>
      </c>
    </row>
    <row r="14640" spans="1:4" x14ac:dyDescent="0.2">
      <c r="A14640" t="str">
        <f>"14639"</f>
        <v>14639</v>
      </c>
      <c r="B14640" t="str">
        <f>"0.67"</f>
        <v>0.67</v>
      </c>
      <c r="C14640" t="str">
        <f>"30"</f>
        <v>30</v>
      </c>
      <c r="D14640" t="str">
        <f>"Face Control"</f>
        <v>Face Control</v>
      </c>
    </row>
    <row r="14641" spans="1:4" x14ac:dyDescent="0.2">
      <c r="A14641" t="str">
        <f>"14640"</f>
        <v>14640</v>
      </c>
      <c r="B14641" t="str">
        <f>"-0.07"</f>
        <v>-0.07</v>
      </c>
      <c r="C14641" t="str">
        <f>"41"</f>
        <v>41</v>
      </c>
      <c r="D14641" t="str">
        <f>"Just Like Heaven: A Tribute to the Cure"</f>
        <v>Just Like Heaven: A Tribute to the Cure</v>
      </c>
    </row>
    <row r="14642" spans="1:4" x14ac:dyDescent="0.2">
      <c r="A14642" t="str">
        <f>"14641"</f>
        <v>14641</v>
      </c>
      <c r="B14642" t="str">
        <f>"-0.09"</f>
        <v>-0.09</v>
      </c>
      <c r="C14642" t="str">
        <f>"26"</f>
        <v>26</v>
      </c>
      <c r="D14642" t="str">
        <f>"Kaleidoscopic"</f>
        <v>Kaleidoscopic</v>
      </c>
    </row>
    <row r="14643" spans="1:4" x14ac:dyDescent="0.2">
      <c r="A14643" t="str">
        <f>"14642"</f>
        <v>14642</v>
      </c>
      <c r="B14643" t="str">
        <f>"-0.08"</f>
        <v>-0.08</v>
      </c>
      <c r="C14643" t="str">
        <f>"24"</f>
        <v>24</v>
      </c>
      <c r="D14643" t="str">
        <f>"Angst Is Not a Weltanschauung!"</f>
        <v>Angst Is Not a Weltanschauung!</v>
      </c>
    </row>
    <row r="14644" spans="1:4" x14ac:dyDescent="0.2">
      <c r="A14644" t="str">
        <f>"14643"</f>
        <v>14643</v>
      </c>
      <c r="B14644" t="str">
        <f>"-0.15"</f>
        <v>-0.15</v>
      </c>
      <c r="C14644" t="str">
        <f>"26"</f>
        <v>26</v>
      </c>
      <c r="D14644" t="str">
        <f>"Reincarnations: The Remix Chapter 2001-2009"</f>
        <v>Reincarnations: The Remix Chapter 2001-2009</v>
      </c>
    </row>
    <row r="14645" spans="1:4" x14ac:dyDescent="0.2">
      <c r="A14645" t="str">
        <f>"14644"</f>
        <v>14644</v>
      </c>
      <c r="B14645" t="str">
        <f>"0.6"</f>
        <v>0.6</v>
      </c>
      <c r="C14645" t="str">
        <f>"31"</f>
        <v>31</v>
      </c>
      <c r="D14645" t="str">
        <f>"Fuckbook"</f>
        <v>Fuckbook</v>
      </c>
    </row>
    <row r="14646" spans="1:4" x14ac:dyDescent="0.2">
      <c r="A14646" t="str">
        <f>"14645"</f>
        <v>14645</v>
      </c>
      <c r="B14646" t="str">
        <f>"1.17"</f>
        <v>1.17</v>
      </c>
      <c r="C14646" t="str">
        <f>"25"</f>
        <v>25</v>
      </c>
      <c r="D14646" t="str">
        <f>"As Seen Through Windows"</f>
        <v>As Seen Through Windows</v>
      </c>
    </row>
    <row r="14647" spans="1:4" x14ac:dyDescent="0.2">
      <c r="A14647" t="str">
        <f>"14646"</f>
        <v>14646</v>
      </c>
      <c r="B14647" t="str">
        <f>"-0.47"</f>
        <v>-0.47</v>
      </c>
      <c r="C14647" t="str">
        <f>"39"</f>
        <v>39</v>
      </c>
      <c r="D14647" t="str">
        <f>"The B.C. Era"</f>
        <v>The B.C. Era</v>
      </c>
    </row>
    <row r="14648" spans="1:4" x14ac:dyDescent="0.2">
      <c r="A14648" t="str">
        <f>"14647"</f>
        <v>14647</v>
      </c>
      <c r="B14648" t="str">
        <f>"0.46"</f>
        <v>0.46</v>
      </c>
      <c r="C14648" t="str">
        <f>"22"</f>
        <v>22</v>
      </c>
      <c r="D14648" t="str">
        <f>"Communion"</f>
        <v>Communion</v>
      </c>
    </row>
    <row r="14649" spans="1:4" x14ac:dyDescent="0.2">
      <c r="A14649" t="str">
        <f>"14648"</f>
        <v>14648</v>
      </c>
      <c r="B14649" t="str">
        <f>"-0.45"</f>
        <v>-0.45</v>
      </c>
      <c r="C14649" t="str">
        <f>"17"</f>
        <v>17</v>
      </c>
      <c r="D14649" t="str">
        <f>"Drone Trailer"</f>
        <v>Drone Trailer</v>
      </c>
    </row>
    <row r="14650" spans="1:4" x14ac:dyDescent="0.2">
      <c r="A14650" t="str">
        <f>"14649"</f>
        <v>14649</v>
      </c>
      <c r="B14650" t="str">
        <f>"0.35"</f>
        <v>0.35</v>
      </c>
      <c r="C14650" t="str">
        <f>"27"</f>
        <v>27</v>
      </c>
      <c r="D14650" t="str">
        <f>"Little Hells"</f>
        <v>Little Hells</v>
      </c>
    </row>
    <row r="14651" spans="1:4" x14ac:dyDescent="0.2">
      <c r="A14651" t="str">
        <f>"14650"</f>
        <v>14650</v>
      </c>
      <c r="B14651" t="str">
        <f>"0.55"</f>
        <v>0.55</v>
      </c>
      <c r="C14651" t="str">
        <f>"18"</f>
        <v>18</v>
      </c>
      <c r="D14651" t="str">
        <f>"(a)spera"</f>
        <v>(a)spera</v>
      </c>
    </row>
    <row r="14652" spans="1:4" x14ac:dyDescent="0.2">
      <c r="A14652" t="str">
        <f>"14651"</f>
        <v>14651</v>
      </c>
      <c r="B14652" t="str">
        <f>"0.55"</f>
        <v>0.55</v>
      </c>
      <c r="C14652" t="str">
        <f>"23"</f>
        <v>23</v>
      </c>
      <c r="D14652" t="s">
        <v>457</v>
      </c>
    </row>
    <row r="14653" spans="1:4" x14ac:dyDescent="0.2">
      <c r="A14653" t="str">
        <f>"14652"</f>
        <v>14652</v>
      </c>
      <c r="B14653" t="str">
        <f>"0.06"</f>
        <v>0.06</v>
      </c>
      <c r="C14653" t="str">
        <f>"21"</f>
        <v>21</v>
      </c>
      <c r="D14653" t="str">
        <f>"Thank You Very Quickly"</f>
        <v>Thank You Very Quickly</v>
      </c>
    </row>
    <row r="14654" spans="1:4" x14ac:dyDescent="0.2">
      <c r="A14654" t="str">
        <f>"14653"</f>
        <v>14653</v>
      </c>
      <c r="B14654" t="str">
        <f>"-0.16"</f>
        <v>-0.16</v>
      </c>
      <c r="C14654" t="str">
        <f>"13"</f>
        <v>13</v>
      </c>
      <c r="D14654" t="str">
        <f>"Assemble"</f>
        <v>Assemble</v>
      </c>
    </row>
    <row r="14655" spans="1:4" x14ac:dyDescent="0.2">
      <c r="A14655" t="str">
        <f>"14654"</f>
        <v>14654</v>
      </c>
      <c r="B14655" t="str">
        <f>"0.22"</f>
        <v>0.22</v>
      </c>
      <c r="C14655" t="str">
        <f>"26"</f>
        <v>26</v>
      </c>
      <c r="D14655" t="s">
        <v>458</v>
      </c>
    </row>
    <row r="14656" spans="1:4" x14ac:dyDescent="0.2">
      <c r="A14656" t="str">
        <f>"14655"</f>
        <v>14655</v>
      </c>
      <c r="B14656" t="str">
        <f>"0.1"</f>
        <v>0.1</v>
      </c>
      <c r="C14656" t="str">
        <f>"20"</f>
        <v>20</v>
      </c>
      <c r="D14656" t="str">
        <f>"The Truth Is Here"</f>
        <v>The Truth Is Here</v>
      </c>
    </row>
    <row r="14657" spans="1:4" x14ac:dyDescent="0.2">
      <c r="A14657" t="str">
        <f>"14656"</f>
        <v>14656</v>
      </c>
      <c r="B14657" t="str">
        <f>"0.51"</f>
        <v>0.51</v>
      </c>
      <c r="C14657" t="str">
        <f>"26"</f>
        <v>26</v>
      </c>
      <c r="D14657" t="s">
        <v>459</v>
      </c>
    </row>
    <row r="14658" spans="1:4" x14ac:dyDescent="0.2">
      <c r="A14658" t="str">
        <f>"14657"</f>
        <v>14657</v>
      </c>
      <c r="B14658" t="str">
        <f>"0.57"</f>
        <v>0.57</v>
      </c>
      <c r="C14658" t="str">
        <f>"30"</f>
        <v>30</v>
      </c>
      <c r="D14658" t="str">
        <f>"FabricLive 43"</f>
        <v>FabricLive 43</v>
      </c>
    </row>
    <row r="14659" spans="1:4" x14ac:dyDescent="0.2">
      <c r="A14659" t="str">
        <f>"14658"</f>
        <v>14658</v>
      </c>
      <c r="B14659" t="str">
        <f>"-0.29"</f>
        <v>-0.29</v>
      </c>
      <c r="C14659" t="str">
        <f>"35"</f>
        <v>35</v>
      </c>
      <c r="D14659" t="str">
        <f>"Song of the Pearl"</f>
        <v>Song of the Pearl</v>
      </c>
    </row>
    <row r="14660" spans="1:4" x14ac:dyDescent="0.2">
      <c r="A14660" t="str">
        <f>"14659"</f>
        <v>14659</v>
      </c>
      <c r="B14660" t="str">
        <f>"0.2"</f>
        <v>0.2</v>
      </c>
      <c r="C14660" t="str">
        <f>"24"</f>
        <v>24</v>
      </c>
      <c r="D14660" t="str">
        <f>"Beat Konducta Vol. 5-6"</f>
        <v>Beat Konducta Vol. 5-6</v>
      </c>
    </row>
    <row r="14661" spans="1:4" x14ac:dyDescent="0.2">
      <c r="A14661" t="str">
        <f>"14660"</f>
        <v>14660</v>
      </c>
      <c r="B14661" t="str">
        <f>"0.51"</f>
        <v>0.51</v>
      </c>
      <c r="C14661" t="str">
        <f>"35"</f>
        <v>35</v>
      </c>
      <c r="D14661" t="str">
        <f>"Money Will Ruin Everything: The Second Edition"</f>
        <v>Money Will Ruin Everything: The Second Edition</v>
      </c>
    </row>
    <row r="14662" spans="1:4" x14ac:dyDescent="0.2">
      <c r="A14662" t="str">
        <f>"14661"</f>
        <v>14661</v>
      </c>
      <c r="B14662" t="str">
        <f>"-0.04"</f>
        <v>-0.04</v>
      </c>
      <c r="C14662" t="str">
        <f>"19"</f>
        <v>19</v>
      </c>
      <c r="D14662" t="str">
        <f>"Carboniferous"</f>
        <v>Carboniferous</v>
      </c>
    </row>
    <row r="14663" spans="1:4" x14ac:dyDescent="0.2">
      <c r="A14663" t="str">
        <f>"14662"</f>
        <v>14662</v>
      </c>
      <c r="B14663" t="str">
        <f>"0.35"</f>
        <v>0.35</v>
      </c>
      <c r="C14663" t="str">
        <f>"20"</f>
        <v>20</v>
      </c>
      <c r="D14663" t="str">
        <f>"May a Lightning Bolt Caress You EP"</f>
        <v>May a Lightning Bolt Caress You EP</v>
      </c>
    </row>
    <row r="14664" spans="1:4" x14ac:dyDescent="0.2">
      <c r="A14664" t="str">
        <f>"14663"</f>
        <v>14663</v>
      </c>
      <c r="B14664" t="str">
        <f>"0.47"</f>
        <v>0.47</v>
      </c>
      <c r="C14664" t="str">
        <f>"24"</f>
        <v>24</v>
      </c>
      <c r="D14664" t="str">
        <f>"Ye Viols!"</f>
        <v>Ye Viols!</v>
      </c>
    </row>
    <row r="14665" spans="1:4" x14ac:dyDescent="0.2">
      <c r="A14665" t="str">
        <f>"14664"</f>
        <v>14664</v>
      </c>
      <c r="B14665" t="str">
        <f>"-0.59"</f>
        <v>-0.59</v>
      </c>
      <c r="C14665" t="str">
        <f>"27"</f>
        <v>27</v>
      </c>
      <c r="D14665" t="str">
        <f>"Frontier"</f>
        <v>Frontier</v>
      </c>
    </row>
    <row r="14666" spans="1:4" x14ac:dyDescent="0.2">
      <c r="A14666" t="str">
        <f>"14665"</f>
        <v>14665</v>
      </c>
      <c r="B14666" t="str">
        <f>"-0.29"</f>
        <v>-0.29</v>
      </c>
      <c r="C14666" t="str">
        <f>"34"</f>
        <v>34</v>
      </c>
      <c r="D14666" t="str">
        <f>"The Law of the Playground"</f>
        <v>The Law of the Playground</v>
      </c>
    </row>
    <row r="14667" spans="1:4" x14ac:dyDescent="0.2">
      <c r="A14667" t="str">
        <f>"14666"</f>
        <v>14666</v>
      </c>
      <c r="B14667" t="str">
        <f>"0.08"</f>
        <v>0.08</v>
      </c>
      <c r="C14667" t="str">
        <f>"26"</f>
        <v>26</v>
      </c>
      <c r="D14667" t="str">
        <f>"Glider"</f>
        <v>Glider</v>
      </c>
    </row>
    <row r="14668" spans="1:4" x14ac:dyDescent="0.2">
      <c r="A14668" t="str">
        <f>"14667"</f>
        <v>14667</v>
      </c>
      <c r="B14668" t="str">
        <f>"0.4"</f>
        <v>0.4</v>
      </c>
      <c r="C14668" t="str">
        <f>"39"</f>
        <v>39</v>
      </c>
      <c r="D14668" t="str">
        <f>"Selected + Collected: An eMusic Selects Compilation"</f>
        <v>Selected + Collected: An eMusic Selects Compilation</v>
      </c>
    </row>
    <row r="14669" spans="1:4" x14ac:dyDescent="0.2">
      <c r="A14669" t="str">
        <f>"14668"</f>
        <v>14668</v>
      </c>
      <c r="B14669" t="str">
        <f>"0.87"</f>
        <v>0.87</v>
      </c>
      <c r="C14669" t="str">
        <f>"20"</f>
        <v>20</v>
      </c>
      <c r="D14669" t="str">
        <f>"Songbook"</f>
        <v>Songbook</v>
      </c>
    </row>
    <row r="14670" spans="1:4" x14ac:dyDescent="0.2">
      <c r="A14670" t="str">
        <f>"14669"</f>
        <v>14669</v>
      </c>
      <c r="B14670" t="str">
        <f>"-0.63"</f>
        <v>-0.63</v>
      </c>
      <c r="C14670" t="str">
        <f>"25"</f>
        <v>25</v>
      </c>
      <c r="D14670" t="str">
        <f>"Wavvves"</f>
        <v>Wavvves</v>
      </c>
    </row>
    <row r="14671" spans="1:4" x14ac:dyDescent="0.2">
      <c r="A14671" t="str">
        <f>"14670"</f>
        <v>14670</v>
      </c>
      <c r="B14671" t="str">
        <f>"-0.91"</f>
        <v>-0.91</v>
      </c>
      <c r="C14671" t="str">
        <f>"33"</f>
        <v>33</v>
      </c>
      <c r="D14671" t="str">
        <f>"SpaceShipp"</f>
        <v>SpaceShipp</v>
      </c>
    </row>
    <row r="14672" spans="1:4" x14ac:dyDescent="0.2">
      <c r="A14672" t="str">
        <f>"14671"</f>
        <v>14671</v>
      </c>
      <c r="B14672" t="str">
        <f>"0.3"</f>
        <v>0.3</v>
      </c>
      <c r="C14672" t="str">
        <f>"45"</f>
        <v>45</v>
      </c>
      <c r="D14672" t="str">
        <f>"Black Moses"</f>
        <v>Black Moses</v>
      </c>
    </row>
    <row r="14673" spans="1:4" x14ac:dyDescent="0.2">
      <c r="A14673" t="str">
        <f>"14672"</f>
        <v>14672</v>
      </c>
      <c r="B14673" t="str">
        <f>"1.04"</f>
        <v>1.04</v>
      </c>
      <c r="C14673" t="str">
        <f>"18"</f>
        <v>18</v>
      </c>
      <c r="D14673" t="str">
        <f>"Surf City EP"</f>
        <v>Surf City EP</v>
      </c>
    </row>
    <row r="14674" spans="1:4" x14ac:dyDescent="0.2">
      <c r="A14674" t="str">
        <f>"14673"</f>
        <v>14673</v>
      </c>
      <c r="B14674" t="str">
        <f>"-0.33"</f>
        <v>-0.33</v>
      </c>
      <c r="C14674" t="str">
        <f>"27"</f>
        <v>27</v>
      </c>
      <c r="D14674" t="str">
        <f>"All Y'All"</f>
        <v>All Y'All</v>
      </c>
    </row>
    <row r="14675" spans="1:4" x14ac:dyDescent="0.2">
      <c r="A14675" t="str">
        <f>"14674"</f>
        <v>14674</v>
      </c>
      <c r="B14675" t="str">
        <f>"-0.24"</f>
        <v>-0.24</v>
      </c>
      <c r="C14675" t="str">
        <f>"37"</f>
        <v>37</v>
      </c>
      <c r="D14675" t="str">
        <f>"Middle Cyclone"</f>
        <v>Middle Cyclone</v>
      </c>
    </row>
    <row r="14676" spans="1:4" x14ac:dyDescent="0.2">
      <c r="A14676" t="str">
        <f>"14675"</f>
        <v>14675</v>
      </c>
      <c r="B14676" t="str">
        <f>"0.58"</f>
        <v>0.58</v>
      </c>
      <c r="C14676" t="str">
        <f>"40"</f>
        <v>40</v>
      </c>
      <c r="D14676" t="str">
        <f>"Reviver EP"</f>
        <v>Reviver EP</v>
      </c>
    </row>
    <row r="14677" spans="1:4" x14ac:dyDescent="0.2">
      <c r="A14677" t="str">
        <f>"14676"</f>
        <v>14676</v>
      </c>
      <c r="B14677" t="str">
        <f>"0.18"</f>
        <v>0.18</v>
      </c>
      <c r="C14677" t="str">
        <f>"27"</f>
        <v>27</v>
      </c>
      <c r="D14677" t="str">
        <f>"Shrag"</f>
        <v>Shrag</v>
      </c>
    </row>
    <row r="14678" spans="1:4" x14ac:dyDescent="0.2">
      <c r="A14678" t="str">
        <f>"14677"</f>
        <v>14677</v>
      </c>
      <c r="B14678" t="str">
        <f>"0.16"</f>
        <v>0.16</v>
      </c>
      <c r="C14678" t="str">
        <f>"26"</f>
        <v>26</v>
      </c>
      <c r="D14678" t="str">
        <f>"The Good Feeling Music of Dent May and His Magnificent Ukulele"</f>
        <v>The Good Feeling Music of Dent May and His Magnificent Ukulele</v>
      </c>
    </row>
    <row r="14679" spans="1:4" x14ac:dyDescent="0.2">
      <c r="A14679" t="str">
        <f>"14678"</f>
        <v>14678</v>
      </c>
      <c r="B14679" t="str">
        <f>"-1.26"</f>
        <v>-1.26</v>
      </c>
      <c r="C14679" t="str">
        <f>"24"</f>
        <v>24</v>
      </c>
      <c r="D14679" t="str">
        <f>"Secrets Are Sinister"</f>
        <v>Secrets Are Sinister</v>
      </c>
    </row>
    <row r="14680" spans="1:4" x14ac:dyDescent="0.2">
      <c r="A14680" t="str">
        <f>"14679"</f>
        <v>14679</v>
      </c>
      <c r="B14680" t="str">
        <f>"-0.54"</f>
        <v>-0.54</v>
      </c>
      <c r="C14680" t="str">
        <f>"47"</f>
        <v>47</v>
      </c>
      <c r="D14680" t="str">
        <f>"No Line on the Horizon"</f>
        <v>No Line on the Horizon</v>
      </c>
    </row>
    <row r="14681" spans="1:4" x14ac:dyDescent="0.2">
      <c r="A14681" t="str">
        <f>"14680"</f>
        <v>14680</v>
      </c>
      <c r="B14681" t="str">
        <f>"0.75"</f>
        <v>0.75</v>
      </c>
      <c r="C14681" t="str">
        <f>"18"</f>
        <v>18</v>
      </c>
      <c r="D14681" t="str">
        <f>"Labyrinthes"</f>
        <v>Labyrinthes</v>
      </c>
    </row>
    <row r="14682" spans="1:4" x14ac:dyDescent="0.2">
      <c r="A14682" t="str">
        <f>"14681"</f>
        <v>14681</v>
      </c>
      <c r="B14682" t="str">
        <f>"0.4"</f>
        <v>0.4</v>
      </c>
      <c r="C14682" t="str">
        <f>"21"</f>
        <v>21</v>
      </c>
      <c r="D14682" t="str">
        <f>"Here We Go Magic"</f>
        <v>Here We Go Magic</v>
      </c>
    </row>
    <row r="14683" spans="1:4" x14ac:dyDescent="0.2">
      <c r="A14683" t="str">
        <f>"14682"</f>
        <v>14682</v>
      </c>
      <c r="B14683" t="str">
        <f>"0.43"</f>
        <v>0.43</v>
      </c>
      <c r="C14683" t="str">
        <f>"26"</f>
        <v>26</v>
      </c>
      <c r="D14683" t="str">
        <f>"My DNA"</f>
        <v>My DNA</v>
      </c>
    </row>
    <row r="14684" spans="1:4" x14ac:dyDescent="0.2">
      <c r="A14684" t="str">
        <f>"14683"</f>
        <v>14683</v>
      </c>
      <c r="B14684" t="str">
        <f>"-0.4"</f>
        <v>-0.4</v>
      </c>
      <c r="C14684" t="str">
        <f>"24"</f>
        <v>24</v>
      </c>
      <c r="D14684" t="str">
        <f>"The Bridge: Concept of a Culture"</f>
        <v>The Bridge: Concept of a Culture</v>
      </c>
    </row>
    <row r="14685" spans="1:4" x14ac:dyDescent="0.2">
      <c r="A14685" t="str">
        <f>"14684"</f>
        <v>14684</v>
      </c>
      <c r="B14685" t="str">
        <f>"-0.02"</f>
        <v>-0.02</v>
      </c>
      <c r="C14685" t="str">
        <f>"36"</f>
        <v>36</v>
      </c>
      <c r="D14685" t="str">
        <f>"Super Roots 10"</f>
        <v>Super Roots 10</v>
      </c>
    </row>
    <row r="14686" spans="1:4" x14ac:dyDescent="0.2">
      <c r="A14686" t="str">
        <f>"14685"</f>
        <v>14685</v>
      </c>
      <c r="B14686" t="str">
        <f>"0.35"</f>
        <v>0.35</v>
      </c>
      <c r="C14686" t="str">
        <f>"33"</f>
        <v>33</v>
      </c>
      <c r="D14686" t="str">
        <f>"War Child Presents Heroes"</f>
        <v>War Child Presents Heroes</v>
      </c>
    </row>
    <row r="14687" spans="1:4" x14ac:dyDescent="0.2">
      <c r="A14687" t="str">
        <f>"14686"</f>
        <v>14686</v>
      </c>
      <c r="B14687" t="str">
        <f>"1.68"</f>
        <v>1.68</v>
      </c>
      <c r="C14687" t="str">
        <f>"35"</f>
        <v>35</v>
      </c>
      <c r="D14687" t="str">
        <f>"Tchamantché"</f>
        <v>Tchamantché</v>
      </c>
    </row>
    <row r="14688" spans="1:4" x14ac:dyDescent="0.2">
      <c r="A14688" t="str">
        <f>"14687"</f>
        <v>14687</v>
      </c>
      <c r="B14688" t="str">
        <f>"-0.11"</f>
        <v>-0.11</v>
      </c>
      <c r="C14688" t="str">
        <f>"16"</f>
        <v>16</v>
      </c>
      <c r="D14688" t="str">
        <f>"Haven't Slept All Year"</f>
        <v>Haven't Slept All Year</v>
      </c>
    </row>
    <row r="14689" spans="1:4" x14ac:dyDescent="0.2">
      <c r="A14689" t="str">
        <f>"14688"</f>
        <v>14688</v>
      </c>
      <c r="B14689" t="str">
        <f>"-0.03"</f>
        <v>-0.03</v>
      </c>
      <c r="C14689" t="str">
        <f>"20"</f>
        <v>20</v>
      </c>
      <c r="D14689" t="str">
        <f>"Holler and Stomp"</f>
        <v>Holler and Stomp</v>
      </c>
    </row>
    <row r="14690" spans="1:4" x14ac:dyDescent="0.2">
      <c r="A14690" t="str">
        <f>"14689"</f>
        <v>14689</v>
      </c>
      <c r="B14690" t="str">
        <f>"0.63"</f>
        <v>0.63</v>
      </c>
      <c r="C14690" t="str">
        <f>"41"</f>
        <v>41</v>
      </c>
      <c r="D14690" t="str">
        <f>"Dark Was the Night"</f>
        <v>Dark Was the Night</v>
      </c>
    </row>
    <row r="14691" spans="1:4" x14ac:dyDescent="0.2">
      <c r="A14691" t="str">
        <f>"14690"</f>
        <v>14690</v>
      </c>
      <c r="B14691" t="str">
        <f>"0.74"</f>
        <v>0.74</v>
      </c>
      <c r="C14691" t="str">
        <f>"29"</f>
        <v>29</v>
      </c>
      <c r="D14691" t="str">
        <f>"To Be Still"</f>
        <v>To Be Still</v>
      </c>
    </row>
    <row r="14692" spans="1:4" x14ac:dyDescent="0.2">
      <c r="A14692" t="str">
        <f>"14691"</f>
        <v>14691</v>
      </c>
      <c r="B14692" t="str">
        <f>"0.19"</f>
        <v>0.19</v>
      </c>
      <c r="C14692" t="str">
        <f>"28"</f>
        <v>28</v>
      </c>
      <c r="D14692" t="str">
        <f>"I Want to Go Where Things Are Beautiful"</f>
        <v>I Want to Go Where Things Are Beautiful</v>
      </c>
    </row>
    <row r="14693" spans="1:4" x14ac:dyDescent="0.2">
      <c r="A14693" t="str">
        <f>"14692"</f>
        <v>14692</v>
      </c>
      <c r="B14693" t="str">
        <f>"0.84"</f>
        <v>0.84</v>
      </c>
      <c r="C14693" t="str">
        <f>"19"</f>
        <v>19</v>
      </c>
      <c r="D14693" t="str">
        <f>"The Blue Depths"</f>
        <v>The Blue Depths</v>
      </c>
    </row>
    <row r="14694" spans="1:4" x14ac:dyDescent="0.2">
      <c r="A14694" t="str">
        <f>"14693"</f>
        <v>14693</v>
      </c>
      <c r="B14694" t="str">
        <f>"0.74"</f>
        <v>0.74</v>
      </c>
      <c r="C14694" t="str">
        <f>"29"</f>
        <v>29</v>
      </c>
      <c r="D14694" t="str">
        <f>"Two Nice Catholic Boys"</f>
        <v>Two Nice Catholic Boys</v>
      </c>
    </row>
    <row r="14695" spans="1:4" x14ac:dyDescent="0.2">
      <c r="A14695" t="str">
        <f>"14694"</f>
        <v>14694</v>
      </c>
      <c r="B14695" t="str">
        <f>"0.44"</f>
        <v>0.44</v>
      </c>
      <c r="C14695" t="str">
        <f>"28"</f>
        <v>28</v>
      </c>
      <c r="D14695" t="str">
        <f>"Invaders Must Die"</f>
        <v>Invaders Must Die</v>
      </c>
    </row>
    <row r="14696" spans="1:4" x14ac:dyDescent="0.2">
      <c r="A14696" t="str">
        <f>"14695"</f>
        <v>14695</v>
      </c>
      <c r="B14696" t="str">
        <f>"0.63"</f>
        <v>0.63</v>
      </c>
      <c r="C14696" t="str">
        <f>"26"</f>
        <v>26</v>
      </c>
      <c r="D14696" t="str">
        <f>"An Imaginary Country"</f>
        <v>An Imaginary Country</v>
      </c>
    </row>
    <row r="14697" spans="1:4" x14ac:dyDescent="0.2">
      <c r="A14697" t="str">
        <f>"14696"</f>
        <v>14696</v>
      </c>
      <c r="B14697" t="str">
        <f>"0.62"</f>
        <v>0.62</v>
      </c>
      <c r="C14697" t="str">
        <f>"29"</f>
        <v>29</v>
      </c>
      <c r="D14697" t="str">
        <f>"Choral"</f>
        <v>Choral</v>
      </c>
    </row>
    <row r="14698" spans="1:4" x14ac:dyDescent="0.2">
      <c r="A14698" t="str">
        <f>"14697"</f>
        <v>14697</v>
      </c>
      <c r="B14698" t="str">
        <f>"0.07"</f>
        <v>0.07</v>
      </c>
      <c r="C14698" t="str">
        <f>"23"</f>
        <v>23</v>
      </c>
      <c r="D14698" t="str">
        <f>"Fabric 42"</f>
        <v>Fabric 42</v>
      </c>
    </row>
    <row r="14699" spans="1:4" x14ac:dyDescent="0.2">
      <c r="A14699" t="str">
        <f>"14698"</f>
        <v>14698</v>
      </c>
      <c r="B14699" t="str">
        <f>"0.77"</f>
        <v>0.77</v>
      </c>
      <c r="C14699" t="str">
        <f>"43"</f>
        <v>43</v>
      </c>
      <c r="D14699" t="str">
        <f>"Recovery"</f>
        <v>Recovery</v>
      </c>
    </row>
    <row r="14700" spans="1:4" x14ac:dyDescent="0.2">
      <c r="A14700" t="str">
        <f>"14699"</f>
        <v>14699</v>
      </c>
      <c r="B14700" t="str">
        <f>"-0.02"</f>
        <v>-0.02</v>
      </c>
      <c r="C14700" t="str">
        <f>"22"</f>
        <v>22</v>
      </c>
      <c r="D14700" t="str">
        <f>"The Century of Self"</f>
        <v>The Century of Self</v>
      </c>
    </row>
    <row r="14701" spans="1:4" x14ac:dyDescent="0.2">
      <c r="A14701" t="str">
        <f>"14700"</f>
        <v>14700</v>
      </c>
      <c r="B14701" t="str">
        <f>"0.16"</f>
        <v>0.16</v>
      </c>
      <c r="C14701" t="str">
        <f>"33"</f>
        <v>33</v>
      </c>
      <c r="D14701" t="str">
        <f>"Hungry Bird"</f>
        <v>Hungry Bird</v>
      </c>
    </row>
    <row r="14702" spans="1:4" x14ac:dyDescent="0.2">
      <c r="A14702" t="str">
        <f>"14701"</f>
        <v>14701</v>
      </c>
      <c r="B14702" t="str">
        <f>"1.58"</f>
        <v>1.58</v>
      </c>
      <c r="C14702" t="str">
        <f>"15"</f>
        <v>15</v>
      </c>
      <c r="D14702" t="str">
        <f>"U"</f>
        <v>U</v>
      </c>
    </row>
    <row r="14703" spans="1:4" x14ac:dyDescent="0.2">
      <c r="A14703" t="str">
        <f>"14702"</f>
        <v>14702</v>
      </c>
      <c r="B14703" t="str">
        <f>"-0.15"</f>
        <v>-0.15</v>
      </c>
      <c r="C14703" t="str">
        <f>"27"</f>
        <v>27</v>
      </c>
      <c r="D14703" t="str">
        <f>"Recordings 1969-1988"</f>
        <v>Recordings 1969-1988</v>
      </c>
    </row>
    <row r="14704" spans="1:4" x14ac:dyDescent="0.2">
      <c r="A14704" t="str">
        <f>"14703"</f>
        <v>14703</v>
      </c>
      <c r="B14704" t="str">
        <f>"-0.07"</f>
        <v>-0.07</v>
      </c>
      <c r="C14704" t="str">
        <f>"31"</f>
        <v>31</v>
      </c>
      <c r="D14704" t="str">
        <f>"Jean on Jean"</f>
        <v>Jean on Jean</v>
      </c>
    </row>
    <row r="14705" spans="1:4" x14ac:dyDescent="0.2">
      <c r="A14705" t="str">
        <f>"14704"</f>
        <v>14704</v>
      </c>
      <c r="B14705" t="str">
        <f>"0"</f>
        <v>0</v>
      </c>
      <c r="C14705" t="str">
        <f>"22"</f>
        <v>22</v>
      </c>
      <c r="D14705" t="str">
        <f>"200 Million Thousand"</f>
        <v>200 Million Thousand</v>
      </c>
    </row>
    <row r="14706" spans="1:4" x14ac:dyDescent="0.2">
      <c r="A14706" t="str">
        <f>"14705"</f>
        <v>14705</v>
      </c>
      <c r="B14706" t="str">
        <f>"-0.61"</f>
        <v>-0.61</v>
      </c>
      <c r="C14706" t="str">
        <f>"38"</f>
        <v>38</v>
      </c>
      <c r="D14706" t="str">
        <f>"The Ultimate Peter Tosh Experience"</f>
        <v>The Ultimate Peter Tosh Experience</v>
      </c>
    </row>
    <row r="14707" spans="1:4" x14ac:dyDescent="0.2">
      <c r="A14707" t="str">
        <f>"14706"</f>
        <v>14706</v>
      </c>
      <c r="B14707" t="str">
        <f>"0.09"</f>
        <v>0.09</v>
      </c>
      <c r="C14707" t="str">
        <f>"25"</f>
        <v>25</v>
      </c>
      <c r="D14707" t="str">
        <f>"The Mountain"</f>
        <v>The Mountain</v>
      </c>
    </row>
    <row r="14708" spans="1:4" x14ac:dyDescent="0.2">
      <c r="A14708" t="str">
        <f>"14707"</f>
        <v>14707</v>
      </c>
      <c r="B14708" t="str">
        <f>"0.91"</f>
        <v>0.91</v>
      </c>
      <c r="C14708" t="str">
        <f>"21"</f>
        <v>21</v>
      </c>
      <c r="D14708" t="str">
        <f>"Feel. Love. Thinking. Of."</f>
        <v>Feel. Love. Thinking. Of.</v>
      </c>
    </row>
    <row r="14709" spans="1:4" x14ac:dyDescent="0.2">
      <c r="A14709" t="str">
        <f>"14708"</f>
        <v>14708</v>
      </c>
      <c r="B14709" t="str">
        <f>"1"</f>
        <v>1</v>
      </c>
      <c r="C14709" t="str">
        <f>"18"</f>
        <v>18</v>
      </c>
      <c r="D14709" t="str">
        <f>"How Will You?"</f>
        <v>How Will You?</v>
      </c>
    </row>
    <row r="14710" spans="1:4" x14ac:dyDescent="0.2">
      <c r="A14710" t="str">
        <f>"14709"</f>
        <v>14709</v>
      </c>
      <c r="B14710" t="str">
        <f>"1.13"</f>
        <v>1.13</v>
      </c>
      <c r="C14710" t="str">
        <f>"24"</f>
        <v>24</v>
      </c>
      <c r="D14710" t="str">
        <f>"March of the Zapotec / Holland"</f>
        <v>March of the Zapotec / Holland</v>
      </c>
    </row>
    <row r="14711" spans="1:4" x14ac:dyDescent="0.2">
      <c r="A14711" t="str">
        <f>"14710"</f>
        <v>14710</v>
      </c>
      <c r="B14711" t="str">
        <f>"-1.73"</f>
        <v>-1.73</v>
      </c>
      <c r="C14711" t="str">
        <f>"31"</f>
        <v>31</v>
      </c>
      <c r="D14711" t="str">
        <f>"God Loves Ugly"</f>
        <v>God Loves Ugly</v>
      </c>
    </row>
    <row r="14712" spans="1:4" x14ac:dyDescent="0.2">
      <c r="A14712" t="str">
        <f>"14711"</f>
        <v>14711</v>
      </c>
      <c r="B14712" t="str">
        <f>"0.38"</f>
        <v>0.38</v>
      </c>
      <c r="C14712" t="str">
        <f>"64"</f>
        <v>64</v>
      </c>
      <c r="D14712" t="str">
        <f>"Astral Weeks Live at the Hollywood Bowl"</f>
        <v>Astral Weeks Live at the Hollywood Bowl</v>
      </c>
    </row>
    <row r="14713" spans="1:4" x14ac:dyDescent="0.2">
      <c r="A14713" t="str">
        <f>"14712"</f>
        <v>14712</v>
      </c>
      <c r="B14713" t="str">
        <f>"0.71"</f>
        <v>0.71</v>
      </c>
      <c r="C14713" t="str">
        <f>"17"</f>
        <v>17</v>
      </c>
      <c r="D14713" t="str">
        <f>"I Don't Know Where I'm Going But I'm on My Way"</f>
        <v>I Don't Know Where I'm Going But I'm on My Way</v>
      </c>
    </row>
    <row r="14714" spans="1:4" x14ac:dyDescent="0.2">
      <c r="A14714" t="str">
        <f>"14713"</f>
        <v>14713</v>
      </c>
      <c r="B14714" t="str">
        <f>"-0.13"</f>
        <v>-0.13</v>
      </c>
      <c r="C14714" t="str">
        <f>"22"</f>
        <v>22</v>
      </c>
      <c r="D14714" t="str">
        <f>"Wrecking Ball"</f>
        <v>Wrecking Ball</v>
      </c>
    </row>
    <row r="14715" spans="1:4" x14ac:dyDescent="0.2">
      <c r="A14715" t="str">
        <f>"14714"</f>
        <v>14714</v>
      </c>
      <c r="B14715" t="str">
        <f>"0.21"</f>
        <v>0.21</v>
      </c>
      <c r="C14715" t="str">
        <f>"37"</f>
        <v>37</v>
      </c>
      <c r="D14715" t="str">
        <f>"Incredibad"</f>
        <v>Incredibad</v>
      </c>
    </row>
    <row r="14716" spans="1:4" x14ac:dyDescent="0.2">
      <c r="A14716" t="str">
        <f>"14715"</f>
        <v>14715</v>
      </c>
      <c r="B14716" t="str">
        <f>"0.17"</f>
        <v>0.17</v>
      </c>
      <c r="C14716" t="str">
        <f>"30"</f>
        <v>30</v>
      </c>
      <c r="D14716" t="str">
        <f>"Extra Cheese EP"</f>
        <v>Extra Cheese EP</v>
      </c>
    </row>
    <row r="14717" spans="1:4" x14ac:dyDescent="0.2">
      <c r="A14717" t="str">
        <f>"14716"</f>
        <v>14716</v>
      </c>
      <c r="B14717" t="str">
        <f>"-0.09"</f>
        <v>-0.09</v>
      </c>
      <c r="C14717" t="str">
        <f>"25"</f>
        <v>25</v>
      </c>
      <c r="D14717" t="str">
        <f>"Cinematic Shades (The Slow Songs)"</f>
        <v>Cinematic Shades (The Slow Songs)</v>
      </c>
    </row>
    <row r="14718" spans="1:4" x14ac:dyDescent="0.2">
      <c r="A14718" t="str">
        <f>"14717"</f>
        <v>14717</v>
      </c>
      <c r="B14718" t="str">
        <f>"0.21"</f>
        <v>0.21</v>
      </c>
      <c r="C14718" t="str">
        <f>"25"</f>
        <v>25</v>
      </c>
      <c r="D14718" t="str">
        <f>"Davy"</f>
        <v>Davy</v>
      </c>
    </row>
    <row r="14719" spans="1:4" x14ac:dyDescent="0.2">
      <c r="A14719" t="str">
        <f>"14718"</f>
        <v>14718</v>
      </c>
      <c r="B14719" t="str">
        <f>"-0.19"</f>
        <v>-0.19</v>
      </c>
      <c r="C14719" t="str">
        <f>"24"</f>
        <v>24</v>
      </c>
      <c r="D14719" t="str">
        <f>"Exodus"</f>
        <v>Exodus</v>
      </c>
    </row>
    <row r="14720" spans="1:4" x14ac:dyDescent="0.2">
      <c r="A14720" t="str">
        <f>"14719"</f>
        <v>14719</v>
      </c>
      <c r="B14720" t="str">
        <f>"-0.15"</f>
        <v>-0.15</v>
      </c>
      <c r="C14720" t="str">
        <f>"45"</f>
        <v>45</v>
      </c>
      <c r="D14720" t="str">
        <f>"The Spirit of Apollo"</f>
        <v>The Spirit of Apollo</v>
      </c>
    </row>
    <row r="14721" spans="1:4" x14ac:dyDescent="0.2">
      <c r="A14721" t="str">
        <f>"14720"</f>
        <v>14720</v>
      </c>
      <c r="B14721" t="str">
        <f>"-0.11"</f>
        <v>-0.11</v>
      </c>
      <c r="C14721" t="str">
        <f>"27"</f>
        <v>27</v>
      </c>
      <c r="D14721" t="str">
        <f>"Jason Isbell and the 400 Unit"</f>
        <v>Jason Isbell and the 400 Unit</v>
      </c>
    </row>
    <row r="14722" spans="1:4" x14ac:dyDescent="0.2">
      <c r="A14722" t="str">
        <f>"14721"</f>
        <v>14721</v>
      </c>
      <c r="B14722" t="str">
        <f>"0.53"</f>
        <v>0.53</v>
      </c>
      <c r="C14722" t="str">
        <f>"20"</f>
        <v>20</v>
      </c>
      <c r="D14722" t="str">
        <f>"Studio 1"</f>
        <v>Studio 1</v>
      </c>
    </row>
    <row r="14723" spans="1:4" x14ac:dyDescent="0.2">
      <c r="A14723" t="str">
        <f>"14722"</f>
        <v>14722</v>
      </c>
      <c r="B14723" t="str">
        <f>"-0.11"</f>
        <v>-0.11</v>
      </c>
      <c r="C14723" t="str">
        <f>"15"</f>
        <v>15</v>
      </c>
      <c r="D14723" t="str">
        <f>"...For the Whole World to See"</f>
        <v>...For the Whole World to See</v>
      </c>
    </row>
    <row r="14724" spans="1:4" x14ac:dyDescent="0.2">
      <c r="A14724" t="str">
        <f>"14723"</f>
        <v>14723</v>
      </c>
      <c r="B14724" t="str">
        <f>"0.67"</f>
        <v>0.67</v>
      </c>
      <c r="C14724" t="str">
        <f>"20"</f>
        <v>20</v>
      </c>
      <c r="D14724" t="str">
        <f>"sBach"</f>
        <v>sBach</v>
      </c>
    </row>
    <row r="14725" spans="1:4" x14ac:dyDescent="0.2">
      <c r="A14725" t="str">
        <f>"14724"</f>
        <v>14724</v>
      </c>
      <c r="B14725" t="str">
        <f>"0.15"</f>
        <v>0.15</v>
      </c>
      <c r="C14725" t="str">
        <f>"38"</f>
        <v>38</v>
      </c>
      <c r="D14725" t="str">
        <f>"Hold Time"</f>
        <v>Hold Time</v>
      </c>
    </row>
    <row r="14726" spans="1:4" x14ac:dyDescent="0.2">
      <c r="A14726" t="str">
        <f>"14725"</f>
        <v>14725</v>
      </c>
      <c r="B14726" t="str">
        <f>"0.37"</f>
        <v>0.37</v>
      </c>
      <c r="C14726" t="str">
        <f>"25"</f>
        <v>25</v>
      </c>
      <c r="D14726" t="str">
        <f>"Hush"</f>
        <v>Hush</v>
      </c>
    </row>
    <row r="14727" spans="1:4" x14ac:dyDescent="0.2">
      <c r="A14727" t="str">
        <f>"14726"</f>
        <v>14726</v>
      </c>
      <c r="B14727" t="str">
        <f>"1.4"</f>
        <v>1.4</v>
      </c>
      <c r="C14727" t="str">
        <f>"18"</f>
        <v>18</v>
      </c>
      <c r="D14727" t="str">
        <f>"Tight Knit"</f>
        <v>Tight Knit</v>
      </c>
    </row>
    <row r="14728" spans="1:4" x14ac:dyDescent="0.2">
      <c r="A14728" t="str">
        <f>"14727"</f>
        <v>14727</v>
      </c>
      <c r="B14728" t="str">
        <f>"0.75"</f>
        <v>0.75</v>
      </c>
      <c r="C14728" t="str">
        <f>"18"</f>
        <v>18</v>
      </c>
      <c r="D14728" t="str">
        <f>"Black Forest (Tra La La)"</f>
        <v>Black Forest (Tra La La)</v>
      </c>
    </row>
    <row r="14729" spans="1:4" x14ac:dyDescent="0.2">
      <c r="A14729" t="str">
        <f>"14728"</f>
        <v>14728</v>
      </c>
      <c r="B14729" t="str">
        <f>"0.06"</f>
        <v>0.06</v>
      </c>
      <c r="C14729" t="str">
        <f>"18"</f>
        <v>18</v>
      </c>
      <c r="D14729" t="str">
        <f>"Emerald Eyes"</f>
        <v>Emerald Eyes</v>
      </c>
    </row>
    <row r="14730" spans="1:4" x14ac:dyDescent="0.2">
      <c r="A14730" t="str">
        <f>"14729"</f>
        <v>14729</v>
      </c>
      <c r="B14730" t="str">
        <f>"-0.03"</f>
        <v>-0.03</v>
      </c>
      <c r="C14730" t="str">
        <f>"46"</f>
        <v>46</v>
      </c>
      <c r="D14730" t="str">
        <f>"Paul's Boutique"</f>
        <v>Paul's Boutique</v>
      </c>
    </row>
    <row r="14731" spans="1:4" x14ac:dyDescent="0.2">
      <c r="A14731" t="str">
        <f>"14730"</f>
        <v>14730</v>
      </c>
      <c r="B14731" t="str">
        <f>"0.51"</f>
        <v>0.51</v>
      </c>
      <c r="C14731" t="str">
        <f>"23"</f>
        <v>23</v>
      </c>
      <c r="D14731" t="str">
        <f>"Goodnight Oslo"</f>
        <v>Goodnight Oslo</v>
      </c>
    </row>
    <row r="14732" spans="1:4" x14ac:dyDescent="0.2">
      <c r="A14732" t="str">
        <f>"14731"</f>
        <v>14731</v>
      </c>
      <c r="B14732" t="str">
        <f>"0.8"</f>
        <v>0.8</v>
      </c>
      <c r="C14732" t="str">
        <f>"24"</f>
        <v>24</v>
      </c>
      <c r="D14732" t="str">
        <f>"The Bright Orange Years"</f>
        <v>The Bright Orange Years</v>
      </c>
    </row>
    <row r="14733" spans="1:4" x14ac:dyDescent="0.2">
      <c r="A14733" t="str">
        <f>"14732"</f>
        <v>14732</v>
      </c>
      <c r="B14733" t="str">
        <f>"0.53"</f>
        <v>0.53</v>
      </c>
      <c r="C14733" t="str">
        <f>"22"</f>
        <v>22</v>
      </c>
      <c r="D14733" t="str">
        <f>"Recitement"</f>
        <v>Recitement</v>
      </c>
    </row>
    <row r="14734" spans="1:4" x14ac:dyDescent="0.2">
      <c r="A14734" t="str">
        <f>"14733"</f>
        <v>14733</v>
      </c>
      <c r="B14734" t="str">
        <f>"0"</f>
        <v>0</v>
      </c>
      <c r="C14734" t="str">
        <f>"27"</f>
        <v>27</v>
      </c>
      <c r="D14734" t="str">
        <f>"Anthology 1997-98"</f>
        <v>Anthology 1997-98</v>
      </c>
    </row>
    <row r="14735" spans="1:4" x14ac:dyDescent="0.2">
      <c r="A14735" t="str">
        <f>"14734"</f>
        <v>14734</v>
      </c>
      <c r="B14735" t="str">
        <f>"-1.02"</f>
        <v>-1.02</v>
      </c>
      <c r="C14735" t="str">
        <f>"26"</f>
        <v>26</v>
      </c>
      <c r="D14735" t="str">
        <f>"Keep It Hid"</f>
        <v>Keep It Hid</v>
      </c>
    </row>
    <row r="14736" spans="1:4" x14ac:dyDescent="0.2">
      <c r="A14736" t="str">
        <f>"14735"</f>
        <v>14735</v>
      </c>
      <c r="B14736" t="str">
        <f>"-0.15"</f>
        <v>-0.15</v>
      </c>
      <c r="C14736" t="str">
        <f>"27"</f>
        <v>27</v>
      </c>
      <c r="D14736" t="str">
        <f>"Major General"</f>
        <v>Major General</v>
      </c>
    </row>
    <row r="14737" spans="1:4" x14ac:dyDescent="0.2">
      <c r="A14737" t="str">
        <f>"14736"</f>
        <v>14736</v>
      </c>
      <c r="B14737" t="str">
        <f>"0.43"</f>
        <v>0.43</v>
      </c>
      <c r="C14737" t="str">
        <f>"29"</f>
        <v>29</v>
      </c>
      <c r="D14737" t="str">
        <f>"Coastlines"</f>
        <v>Coastlines</v>
      </c>
    </row>
    <row r="14738" spans="1:4" x14ac:dyDescent="0.2">
      <c r="A14738" t="str">
        <f>"14737"</f>
        <v>14737</v>
      </c>
      <c r="B14738" t="str">
        <f>"0.36"</f>
        <v>0.36</v>
      </c>
      <c r="C14738" t="str">
        <f>"28"</f>
        <v>28</v>
      </c>
      <c r="D14738" t="str">
        <f>"Interoceans"</f>
        <v>Interoceans</v>
      </c>
    </row>
    <row r="14739" spans="1:4" x14ac:dyDescent="0.2">
      <c r="A14739" t="str">
        <f>"14738"</f>
        <v>14738</v>
      </c>
      <c r="B14739" t="str">
        <f>"0.43"</f>
        <v>0.43</v>
      </c>
      <c r="C14739" t="str">
        <f>"20"</f>
        <v>20</v>
      </c>
      <c r="D14739" t="str">
        <f>"In the House of Mirrors"</f>
        <v>In the House of Mirrors</v>
      </c>
    </row>
    <row r="14740" spans="1:4" x14ac:dyDescent="0.2">
      <c r="A14740" t="str">
        <f>"14739"</f>
        <v>14739</v>
      </c>
      <c r="B14740" t="str">
        <f>"-0.76"</f>
        <v>-0.76</v>
      </c>
      <c r="C14740" t="str">
        <f>"52"</f>
        <v>52</v>
      </c>
      <c r="D14740" t="s">
        <v>460</v>
      </c>
    </row>
    <row r="14741" spans="1:4" x14ac:dyDescent="0.2">
      <c r="A14741" t="str">
        <f>"14740"</f>
        <v>14740</v>
      </c>
      <c r="B14741" t="str">
        <f>"0.01"</f>
        <v>0.01</v>
      </c>
      <c r="C14741" t="str">
        <f>"33"</f>
        <v>33</v>
      </c>
      <c r="D14741" t="str">
        <f>"Odessa"</f>
        <v>Odessa</v>
      </c>
    </row>
    <row r="14742" spans="1:4" x14ac:dyDescent="0.2">
      <c r="A14742" t="str">
        <f>"14741"</f>
        <v>14741</v>
      </c>
      <c r="B14742" t="str">
        <f>"-0.34"</f>
        <v>-0.34</v>
      </c>
      <c r="C14742" t="str">
        <f>"24"</f>
        <v>24</v>
      </c>
      <c r="D14742" t="str">
        <f>"Dissolver"</f>
        <v>Dissolver</v>
      </c>
    </row>
    <row r="14743" spans="1:4" x14ac:dyDescent="0.2">
      <c r="A14743" t="str">
        <f>"14742"</f>
        <v>14742</v>
      </c>
      <c r="B14743" t="str">
        <f>"-0.35"</f>
        <v>-0.35</v>
      </c>
      <c r="C14743" t="str">
        <f>"26"</f>
        <v>26</v>
      </c>
      <c r="D14743" t="str">
        <f>"The Singles"</f>
        <v>The Singles</v>
      </c>
    </row>
    <row r="14744" spans="1:4" x14ac:dyDescent="0.2">
      <c r="A14744" t="str">
        <f>"14743"</f>
        <v>14743</v>
      </c>
      <c r="B14744" t="str">
        <f>"-0.26"</f>
        <v>-0.26</v>
      </c>
      <c r="C14744" t="str">
        <f>"19"</f>
        <v>19</v>
      </c>
      <c r="D14744" t="str">
        <f>"All of Us In Our Night"</f>
        <v>All of Us In Our Night</v>
      </c>
    </row>
    <row r="14745" spans="1:4" x14ac:dyDescent="0.2">
      <c r="A14745" t="str">
        <f>"14744"</f>
        <v>14744</v>
      </c>
      <c r="B14745" t="str">
        <f>"0.21"</f>
        <v>0.21</v>
      </c>
      <c r="C14745" t="str">
        <f>"35"</f>
        <v>35</v>
      </c>
      <c r="D14745" t="str">
        <f>"Factory Records: Communications 1978-92"</f>
        <v>Factory Records: Communications 1978-92</v>
      </c>
    </row>
    <row r="14746" spans="1:4" x14ac:dyDescent="0.2">
      <c r="A14746" t="str">
        <f>"14745"</f>
        <v>14745</v>
      </c>
      <c r="B14746" t="str">
        <f>"0.23"</f>
        <v>0.23</v>
      </c>
      <c r="C14746" t="str">
        <f>"24"</f>
        <v>24</v>
      </c>
      <c r="D14746" t="str">
        <f>"To Willie"</f>
        <v>To Willie</v>
      </c>
    </row>
    <row r="14747" spans="1:4" x14ac:dyDescent="0.2">
      <c r="A14747" t="str">
        <f>"14746"</f>
        <v>14746</v>
      </c>
      <c r="B14747" t="str">
        <f>"-0.76"</f>
        <v>-0.76</v>
      </c>
      <c r="C14747" t="str">
        <f>"37"</f>
        <v>37</v>
      </c>
      <c r="D14747" t="s">
        <v>461</v>
      </c>
    </row>
    <row r="14748" spans="1:4" x14ac:dyDescent="0.2">
      <c r="A14748" t="str">
        <f>"14747"</f>
        <v>14747</v>
      </c>
      <c r="B14748" t="str">
        <f>"0.32"</f>
        <v>0.32</v>
      </c>
      <c r="C14748" t="str">
        <f>"28"</f>
        <v>28</v>
      </c>
      <c r="D14748" t="str">
        <f>"7 Trx + Intermission"</f>
        <v>7 Trx + Intermission</v>
      </c>
    </row>
    <row r="14749" spans="1:4" x14ac:dyDescent="0.2">
      <c r="A14749" t="str">
        <f>"14748"</f>
        <v>14748</v>
      </c>
      <c r="B14749" t="str">
        <f>"-0.87"</f>
        <v>-0.87</v>
      </c>
      <c r="C14749" t="str">
        <f>"25"</f>
        <v>25</v>
      </c>
      <c r="D14749" t="str">
        <f>"Come With Me If You Want to Live"</f>
        <v>Come With Me If You Want to Live</v>
      </c>
    </row>
    <row r="14750" spans="1:4" x14ac:dyDescent="0.2">
      <c r="A14750" t="str">
        <f>"14749"</f>
        <v>14749</v>
      </c>
      <c r="B14750" t="str">
        <f>"0.06"</f>
        <v>0.06</v>
      </c>
      <c r="C14750" t="str">
        <f>"27"</f>
        <v>27</v>
      </c>
      <c r="D14750" t="str">
        <f>"Afro Samurai Resurrection"</f>
        <v>Afro Samurai Resurrection</v>
      </c>
    </row>
    <row r="14751" spans="1:4" x14ac:dyDescent="0.2">
      <c r="A14751" t="str">
        <f>"14750"</f>
        <v>14750</v>
      </c>
      <c r="B14751" t="str">
        <f>"-1.42"</f>
        <v>-1.42</v>
      </c>
      <c r="C14751" t="str">
        <f>"36"</f>
        <v>36</v>
      </c>
      <c r="D14751" t="str">
        <f>"Patches"</f>
        <v>Patches</v>
      </c>
    </row>
    <row r="14752" spans="1:4" x14ac:dyDescent="0.2">
      <c r="A14752" t="str">
        <f>"14751"</f>
        <v>14751</v>
      </c>
      <c r="B14752" t="str">
        <f>"-0.63"</f>
        <v>-0.63</v>
      </c>
      <c r="C14752" t="str">
        <f>"36"</f>
        <v>36</v>
      </c>
      <c r="D14752" t="str">
        <f>"Pantheon of the Lesser"</f>
        <v>Pantheon of the Lesser</v>
      </c>
    </row>
    <row r="14753" spans="1:4" x14ac:dyDescent="0.2">
      <c r="A14753" t="str">
        <f>"14752"</f>
        <v>14752</v>
      </c>
      <c r="B14753" t="str">
        <f>"0.42"</f>
        <v>0.42</v>
      </c>
      <c r="C14753" t="str">
        <f>"21"</f>
        <v>21</v>
      </c>
      <c r="D14753" t="str">
        <f>"Water EP"</f>
        <v>Water EP</v>
      </c>
    </row>
    <row r="14754" spans="1:4" x14ac:dyDescent="0.2">
      <c r="A14754" t="str">
        <f>"14753"</f>
        <v>14753</v>
      </c>
      <c r="B14754" t="str">
        <f>"-0.65"</f>
        <v>-0.65</v>
      </c>
      <c r="C14754" t="str">
        <f>"24"</f>
        <v>24</v>
      </c>
      <c r="D14754" t="str">
        <f>"In the City"</f>
        <v>In the City</v>
      </c>
    </row>
    <row r="14755" spans="1:4" x14ac:dyDescent="0.2">
      <c r="A14755" t="str">
        <f>"14754"</f>
        <v>14754</v>
      </c>
      <c r="B14755" t="str">
        <f>"-0.3"</f>
        <v>-0.3</v>
      </c>
      <c r="C14755" t="str">
        <f>"27"</f>
        <v>27</v>
      </c>
      <c r="D14755" t="str">
        <f>"The Pains of Being Pure at Heart"</f>
        <v>The Pains of Being Pure at Heart</v>
      </c>
    </row>
    <row r="14756" spans="1:4" x14ac:dyDescent="0.2">
      <c r="A14756" t="str">
        <f>"14755"</f>
        <v>14755</v>
      </c>
      <c r="B14756" t="str">
        <f>"-0.73"</f>
        <v>-0.73</v>
      </c>
      <c r="C14756" t="str">
        <f>"38"</f>
        <v>38</v>
      </c>
      <c r="D14756" t="str">
        <f>"The Crawling Distance"</f>
        <v>The Crawling Distance</v>
      </c>
    </row>
    <row r="14757" spans="1:4" x14ac:dyDescent="0.2">
      <c r="A14757" t="str">
        <f>"14756"</f>
        <v>14756</v>
      </c>
      <c r="B14757" t="str">
        <f>"1.21"</f>
        <v>1.21</v>
      </c>
      <c r="C14757" t="str">
        <f>"35"</f>
        <v>35</v>
      </c>
      <c r="D14757" t="str">
        <f>"Volume One: The Vodoun Effect (Funk &amp; Sato from Benin's Obscure Labels 1973-1975)"</f>
        <v>Volume One: The Vodoun Effect (Funk &amp; Sato from Benin's Obscure Labels 1973-1975)</v>
      </c>
    </row>
    <row r="14758" spans="1:4" x14ac:dyDescent="0.2">
      <c r="A14758" t="str">
        <f>"14757"</f>
        <v>14757</v>
      </c>
      <c r="B14758" t="str">
        <f>"0.23"</f>
        <v>0.23</v>
      </c>
      <c r="C14758" t="str">
        <f>"26"</f>
        <v>26</v>
      </c>
      <c r="D14758" t="str">
        <f>"Month of Madness"</f>
        <v>Month of Madness</v>
      </c>
    </row>
    <row r="14759" spans="1:4" x14ac:dyDescent="0.2">
      <c r="A14759" t="str">
        <f>"14758"</f>
        <v>14758</v>
      </c>
      <c r="B14759" t="str">
        <f>"-0.87"</f>
        <v>-0.87</v>
      </c>
      <c r="C14759" t="str">
        <f>"22"</f>
        <v>22</v>
      </c>
      <c r="D14759" t="str">
        <f>"Mirror Eye"</f>
        <v>Mirror Eye</v>
      </c>
    </row>
    <row r="14760" spans="1:4" x14ac:dyDescent="0.2">
      <c r="A14760" t="str">
        <f>"14759"</f>
        <v>14759</v>
      </c>
      <c r="B14760" t="str">
        <f>"0.27"</f>
        <v>0.27</v>
      </c>
      <c r="C14760" t="str">
        <f>"30"</f>
        <v>30</v>
      </c>
      <c r="D14760" t="str">
        <f>"Live Session EP"</f>
        <v>Live Session EP</v>
      </c>
    </row>
    <row r="14761" spans="1:4" x14ac:dyDescent="0.2">
      <c r="A14761" t="str">
        <f>"14760"</f>
        <v>14760</v>
      </c>
      <c r="B14761" t="str">
        <f>"0.6"</f>
        <v>0.6</v>
      </c>
      <c r="C14761" t="str">
        <f>"50"</f>
        <v>50</v>
      </c>
      <c r="D14761" t="str">
        <f>"The Memorial Collection"</f>
        <v>The Memorial Collection</v>
      </c>
    </row>
    <row r="14762" spans="1:4" x14ac:dyDescent="0.2">
      <c r="A14762" t="str">
        <f>"14761"</f>
        <v>14761</v>
      </c>
      <c r="B14762" t="str">
        <f>"-0.04"</f>
        <v>-0.04</v>
      </c>
      <c r="C14762" t="str">
        <f>"35"</f>
        <v>35</v>
      </c>
      <c r="D14762" t="str">
        <f>"Leave It All Behind"</f>
        <v>Leave It All Behind</v>
      </c>
    </row>
    <row r="14763" spans="1:4" x14ac:dyDescent="0.2">
      <c r="A14763" t="str">
        <f>"14762"</f>
        <v>14762</v>
      </c>
      <c r="B14763" t="str">
        <f>"0.14"</f>
        <v>0.14</v>
      </c>
      <c r="C14763" t="str">
        <f>"19"</f>
        <v>19</v>
      </c>
      <c r="D14763" t="s">
        <v>462</v>
      </c>
    </row>
    <row r="14764" spans="1:4" x14ac:dyDescent="0.2">
      <c r="A14764" t="str">
        <f>"14763"</f>
        <v>14763</v>
      </c>
      <c r="B14764" t="str">
        <f>"0.91"</f>
        <v>0.91</v>
      </c>
      <c r="C14764" t="str">
        <f>"16"</f>
        <v>16</v>
      </c>
      <c r="D14764" t="str">
        <f>"Changing Horses"</f>
        <v>Changing Horses</v>
      </c>
    </row>
    <row r="14765" spans="1:4" x14ac:dyDescent="0.2">
      <c r="A14765" t="str">
        <f>"14764"</f>
        <v>14764</v>
      </c>
      <c r="B14765" t="str">
        <f>"-0.52"</f>
        <v>-0.52</v>
      </c>
      <c r="C14765" t="str">
        <f>"25"</f>
        <v>25</v>
      </c>
      <c r="D14765" t="str">
        <f>"The Time of the Assassins"</f>
        <v>The Time of the Assassins</v>
      </c>
    </row>
    <row r="14766" spans="1:4" x14ac:dyDescent="0.2">
      <c r="A14766" t="str">
        <f>"14765"</f>
        <v>14765</v>
      </c>
      <c r="B14766" t="str">
        <f>"-0.66"</f>
        <v>-0.66</v>
      </c>
      <c r="C14766" t="str">
        <f>"27"</f>
        <v>27</v>
      </c>
      <c r="D14766" t="str">
        <f>"Never Better"</f>
        <v>Never Better</v>
      </c>
    </row>
    <row r="14767" spans="1:4" x14ac:dyDescent="0.2">
      <c r="A14767" t="str">
        <f>"14766"</f>
        <v>14766</v>
      </c>
      <c r="B14767" t="str">
        <f>"0.15"</f>
        <v>0.15</v>
      </c>
      <c r="C14767" t="str">
        <f>"21"</f>
        <v>21</v>
      </c>
      <c r="D14767" t="str">
        <f>"RTZ"</f>
        <v>RTZ</v>
      </c>
    </row>
    <row r="14768" spans="1:4" x14ac:dyDescent="0.2">
      <c r="A14768" t="str">
        <f>"14767"</f>
        <v>14767</v>
      </c>
      <c r="B14768" t="str">
        <f>"-0.85"</f>
        <v>-0.85</v>
      </c>
      <c r="C14768" t="str">
        <f>"19"</f>
        <v>19</v>
      </c>
      <c r="D14768" t="str">
        <f>"Civil War"</f>
        <v>Civil War</v>
      </c>
    </row>
    <row r="14769" spans="1:4" x14ac:dyDescent="0.2">
      <c r="A14769" t="str">
        <f>"14768"</f>
        <v>14768</v>
      </c>
      <c r="B14769" t="str">
        <f>"-0.06"</f>
        <v>-0.06</v>
      </c>
      <c r="C14769" t="str">
        <f>"23"</f>
        <v>23</v>
      </c>
      <c r="D14769" t="str">
        <f>"Devastator"</f>
        <v>Devastator</v>
      </c>
    </row>
    <row r="14770" spans="1:4" x14ac:dyDescent="0.2">
      <c r="A14770" t="str">
        <f>"14769"</f>
        <v>14769</v>
      </c>
      <c r="B14770" t="str">
        <f>"0.02"</f>
        <v>0.02</v>
      </c>
      <c r="C14770" t="str">
        <f>"35"</f>
        <v>35</v>
      </c>
      <c r="D14770" t="str">
        <f>"Years of Refusal"</f>
        <v>Years of Refusal</v>
      </c>
    </row>
    <row r="14771" spans="1:4" x14ac:dyDescent="0.2">
      <c r="A14771" t="str">
        <f>"14770"</f>
        <v>14770</v>
      </c>
      <c r="B14771" t="str">
        <f>"0.46"</f>
        <v>0.46</v>
      </c>
      <c r="C14771" t="str">
        <f>"28"</f>
        <v>28</v>
      </c>
      <c r="D14771" t="str">
        <f>"Decent Work for Decent Pay"</f>
        <v>Decent Work for Decent Pay</v>
      </c>
    </row>
    <row r="14772" spans="1:4" x14ac:dyDescent="0.2">
      <c r="A14772" t="str">
        <f>"14771"</f>
        <v>14771</v>
      </c>
      <c r="B14772" t="str">
        <f>"-0.99"</f>
        <v>-0.99</v>
      </c>
      <c r="C14772" t="str">
        <f>"28"</f>
        <v>28</v>
      </c>
      <c r="D14772" t="s">
        <v>463</v>
      </c>
    </row>
    <row r="14773" spans="1:4" x14ac:dyDescent="0.2">
      <c r="A14773" t="str">
        <f>"14772"</f>
        <v>14772</v>
      </c>
      <c r="B14773" t="str">
        <f>"1.72"</f>
        <v>1.72</v>
      </c>
      <c r="C14773" t="str">
        <f>"25"</f>
        <v>25</v>
      </c>
      <c r="D14773" t="str">
        <f>"Eine Kleine Nacht Musik"</f>
        <v>Eine Kleine Nacht Musik</v>
      </c>
    </row>
    <row r="14774" spans="1:4" x14ac:dyDescent="0.2">
      <c r="A14774" t="str">
        <f>"14773"</f>
        <v>14773</v>
      </c>
      <c r="B14774" t="str">
        <f>"-0.38"</f>
        <v>-0.38</v>
      </c>
      <c r="C14774" t="str">
        <f>"22"</f>
        <v>22</v>
      </c>
      <c r="D14774" t="str">
        <f>"Clomeim"</f>
        <v>Clomeim</v>
      </c>
    </row>
    <row r="14775" spans="1:4" x14ac:dyDescent="0.2">
      <c r="A14775" t="str">
        <f>"14774"</f>
        <v>14774</v>
      </c>
      <c r="B14775" t="str">
        <f>"-0.14"</f>
        <v>-0.14</v>
      </c>
      <c r="C14775" t="str">
        <f>"34"</f>
        <v>34</v>
      </c>
      <c r="D14775" t="str">
        <f>"I Think We're Gonna Need a Bigger Boat"</f>
        <v>I Think We're Gonna Need a Bigger Boat</v>
      </c>
    </row>
    <row r="14776" spans="1:4" x14ac:dyDescent="0.2">
      <c r="A14776" t="str">
        <f>"14775"</f>
        <v>14775</v>
      </c>
      <c r="B14776" t="str">
        <f>"0.37"</f>
        <v>0.37</v>
      </c>
      <c r="C14776" t="str">
        <f>"25"</f>
        <v>25</v>
      </c>
      <c r="D14776" t="str">
        <f>"Boombox"</f>
        <v>Boombox</v>
      </c>
    </row>
    <row r="14777" spans="1:4" x14ac:dyDescent="0.2">
      <c r="A14777" t="str">
        <f>"14776"</f>
        <v>14776</v>
      </c>
      <c r="B14777" t="str">
        <f>"0"</f>
        <v>0</v>
      </c>
      <c r="C14777" t="str">
        <f>"24"</f>
        <v>24</v>
      </c>
      <c r="D14777" t="str">
        <f>"Paranoid Cocoon"</f>
        <v>Paranoid Cocoon</v>
      </c>
    </row>
    <row r="14778" spans="1:4" x14ac:dyDescent="0.2">
      <c r="A14778" t="str">
        <f>"14777"</f>
        <v>14777</v>
      </c>
      <c r="B14778" t="str">
        <f>"0.51"</f>
        <v>0.51</v>
      </c>
      <c r="C14778" t="str">
        <f>"20"</f>
        <v>20</v>
      </c>
      <c r="D14778" t="str">
        <f>"Immolate Yourself"</f>
        <v>Immolate Yourself</v>
      </c>
    </row>
    <row r="14779" spans="1:4" x14ac:dyDescent="0.2">
      <c r="A14779" t="str">
        <f>"14778"</f>
        <v>14778</v>
      </c>
      <c r="B14779" t="str">
        <f>"-0.67"</f>
        <v>-0.67</v>
      </c>
      <c r="C14779" t="str">
        <f>"24"</f>
        <v>24</v>
      </c>
      <c r="D14779" t="str">
        <f>"Parplar"</f>
        <v>Parplar</v>
      </c>
    </row>
    <row r="14780" spans="1:4" x14ac:dyDescent="0.2">
      <c r="A14780" t="str">
        <f>"14779"</f>
        <v>14779</v>
      </c>
      <c r="B14780" t="str">
        <f>"-0.57"</f>
        <v>-0.57</v>
      </c>
      <c r="C14780" t="str">
        <f>"30"</f>
        <v>30</v>
      </c>
      <c r="D14780" t="str">
        <f>"Stay Awake EP"</f>
        <v>Stay Awake EP</v>
      </c>
    </row>
    <row r="14781" spans="1:4" x14ac:dyDescent="0.2">
      <c r="A14781" t="str">
        <f>"14780"</f>
        <v>14780</v>
      </c>
      <c r="B14781" t="str">
        <f>"0.37"</f>
        <v>0.37</v>
      </c>
      <c r="C14781" t="str">
        <f>"19"</f>
        <v>19</v>
      </c>
      <c r="D14781" t="str">
        <f>"A.M."</f>
        <v>A.M.</v>
      </c>
    </row>
    <row r="14782" spans="1:4" x14ac:dyDescent="0.2">
      <c r="A14782" t="str">
        <f>"14781"</f>
        <v>14781</v>
      </c>
      <c r="B14782" t="str">
        <f>"0.04"</f>
        <v>0.04</v>
      </c>
      <c r="C14782" t="str">
        <f>"25"</f>
        <v>25</v>
      </c>
      <c r="D14782" t="str">
        <f>"You and I"</f>
        <v>You and I</v>
      </c>
    </row>
    <row r="14783" spans="1:4" x14ac:dyDescent="0.2">
      <c r="A14783" t="str">
        <f>"14782"</f>
        <v>14782</v>
      </c>
      <c r="B14783" t="str">
        <f>"-0.4"</f>
        <v>-0.4</v>
      </c>
      <c r="C14783" t="str">
        <f>"28"</f>
        <v>28</v>
      </c>
      <c r="D14783" t="str">
        <f>"Sparklace"</f>
        <v>Sparklace</v>
      </c>
    </row>
    <row r="14784" spans="1:4" x14ac:dyDescent="0.2">
      <c r="A14784" t="str">
        <f>"14783"</f>
        <v>14783</v>
      </c>
      <c r="B14784" t="str">
        <f>"0.37"</f>
        <v>0.37</v>
      </c>
      <c r="C14784" t="str">
        <f>"33"</f>
        <v>33</v>
      </c>
      <c r="D14784" t="str">
        <f>"Ray Guns Are Not Just the Future"</f>
        <v>Ray Guns Are Not Just the Future</v>
      </c>
    </row>
    <row r="14785" spans="1:4" x14ac:dyDescent="0.2">
      <c r="A14785" t="str">
        <f>"14784"</f>
        <v>14784</v>
      </c>
      <c r="B14785" t="str">
        <f>"-0.25"</f>
        <v>-0.25</v>
      </c>
      <c r="C14785" t="str">
        <f>"69"</f>
        <v>69</v>
      </c>
      <c r="D14785" t="str">
        <f>"Mx6: Twitch's 60 Minutes of Fear"</f>
        <v>Mx6: Twitch's 60 Minutes of Fear</v>
      </c>
    </row>
    <row r="14786" spans="1:4" x14ac:dyDescent="0.2">
      <c r="A14786" t="str">
        <f>"14785"</f>
        <v>14785</v>
      </c>
      <c r="B14786" t="str">
        <f>"-0.47"</f>
        <v>-0.47</v>
      </c>
      <c r="C14786" t="str">
        <f>"41"</f>
        <v>41</v>
      </c>
      <c r="D14786" t="str">
        <f>"Sur La Bouche: Live in Montreal 1993"</f>
        <v>Sur La Bouche: Live in Montreal 1993</v>
      </c>
    </row>
    <row r="14787" spans="1:4" x14ac:dyDescent="0.2">
      <c r="A14787" t="str">
        <f>"14786"</f>
        <v>14786</v>
      </c>
      <c r="B14787" t="str">
        <f>"0.62"</f>
        <v>0.62</v>
      </c>
      <c r="C14787" t="str">
        <f>"19"</f>
        <v>19</v>
      </c>
      <c r="D14787" t="str">
        <f>"Dear John"</f>
        <v>Dear John</v>
      </c>
    </row>
    <row r="14788" spans="1:4" x14ac:dyDescent="0.2">
      <c r="A14788" t="str">
        <f>"14787"</f>
        <v>14787</v>
      </c>
      <c r="B14788" t="str">
        <f>"0.84"</f>
        <v>0.84</v>
      </c>
      <c r="C14788" t="str">
        <f>"30"</f>
        <v>30</v>
      </c>
      <c r="D14788" t="str">
        <f>"Dream Island Laughing Language"</f>
        <v>Dream Island Laughing Language</v>
      </c>
    </row>
    <row r="14789" spans="1:4" x14ac:dyDescent="0.2">
      <c r="A14789" t="str">
        <f>"14788"</f>
        <v>14788</v>
      </c>
      <c r="B14789" t="str">
        <f>"0.16"</f>
        <v>0.16</v>
      </c>
      <c r="C14789" t="str">
        <f>"27"</f>
        <v>27</v>
      </c>
      <c r="D14789" t="str">
        <f>"Take Me to the Sea"</f>
        <v>Take Me to the Sea</v>
      </c>
    </row>
    <row r="14790" spans="1:4" x14ac:dyDescent="0.2">
      <c r="A14790" t="str">
        <f>"14789"</f>
        <v>14789</v>
      </c>
      <c r="B14790" t="str">
        <f>"1.45"</f>
        <v>1.45</v>
      </c>
      <c r="C14790" t="str">
        <f>"32"</f>
        <v>32</v>
      </c>
      <c r="D14790" t="str">
        <f>"Hot Chip with Robert Wyatt and Geese"</f>
        <v>Hot Chip with Robert Wyatt and Geese</v>
      </c>
    </row>
    <row r="14791" spans="1:4" x14ac:dyDescent="0.2">
      <c r="A14791" t="str">
        <f>"14790"</f>
        <v>14790</v>
      </c>
      <c r="B14791" t="str">
        <f>"-0.45"</f>
        <v>-0.45</v>
      </c>
      <c r="C14791" t="str">
        <f>"22"</f>
        <v>22</v>
      </c>
      <c r="D14791" t="str">
        <f>"Skin of Evil"</f>
        <v>Skin of Evil</v>
      </c>
    </row>
    <row r="14792" spans="1:4" x14ac:dyDescent="0.2">
      <c r="A14792" t="str">
        <f>"14791"</f>
        <v>14791</v>
      </c>
      <c r="B14792" t="str">
        <f>"0.62"</f>
        <v>0.62</v>
      </c>
      <c r="C14792" t="str">
        <f>"22"</f>
        <v>22</v>
      </c>
      <c r="D14792" t="str">
        <f>"Deep Gems"</f>
        <v>Deep Gems</v>
      </c>
    </row>
    <row r="14793" spans="1:4" x14ac:dyDescent="0.2">
      <c r="A14793" t="str">
        <f>"14792"</f>
        <v>14792</v>
      </c>
      <c r="B14793" t="str">
        <f>"-0.87"</f>
        <v>-0.87</v>
      </c>
      <c r="C14793" t="str">
        <f>"46"</f>
        <v>46</v>
      </c>
      <c r="D14793" t="str">
        <f>"Traitors"</f>
        <v>Traitors</v>
      </c>
    </row>
    <row r="14794" spans="1:4" x14ac:dyDescent="0.2">
      <c r="A14794" t="str">
        <f>"14793"</f>
        <v>14793</v>
      </c>
      <c r="B14794" t="str">
        <f>"-0.43"</f>
        <v>-0.43</v>
      </c>
      <c r="C14794" t="str">
        <f>"27"</f>
        <v>27</v>
      </c>
      <c r="D14794" t="str">
        <f>"How Little Will It Take"</f>
        <v>How Little Will It Take</v>
      </c>
    </row>
    <row r="14795" spans="1:4" x14ac:dyDescent="0.2">
      <c r="A14795" t="str">
        <f>"14794"</f>
        <v>14794</v>
      </c>
      <c r="B14795" t="str">
        <f>"-0.11"</f>
        <v>-0.11</v>
      </c>
      <c r="C14795" t="str">
        <f>"32"</f>
        <v>32</v>
      </c>
      <c r="D14795" t="str">
        <f>"Working on a Dream"</f>
        <v>Working on a Dream</v>
      </c>
    </row>
    <row r="14796" spans="1:4" x14ac:dyDescent="0.2">
      <c r="A14796" t="str">
        <f>"14795"</f>
        <v>14795</v>
      </c>
      <c r="B14796" t="str">
        <f>"-0.6"</f>
        <v>-0.6</v>
      </c>
      <c r="C14796" t="str">
        <f>"25"</f>
        <v>25</v>
      </c>
      <c r="D14796" t="str">
        <f>"Gutter Tactics"</f>
        <v>Gutter Tactics</v>
      </c>
    </row>
    <row r="14797" spans="1:4" x14ac:dyDescent="0.2">
      <c r="A14797" t="str">
        <f>"14796"</f>
        <v>14796</v>
      </c>
      <c r="B14797" t="str">
        <f>"0.91"</f>
        <v>0.91</v>
      </c>
      <c r="C14797" t="str">
        <f>"17"</f>
        <v>17</v>
      </c>
      <c r="D14797" t="str">
        <f>"Artifacts"</f>
        <v>Artifacts</v>
      </c>
    </row>
    <row r="14798" spans="1:4" x14ac:dyDescent="0.2">
      <c r="A14798" t="str">
        <f>"14797"</f>
        <v>14797</v>
      </c>
      <c r="B14798" t="str">
        <f>"0.75"</f>
        <v>0.75</v>
      </c>
      <c r="C14798" t="str">
        <f>"11"</f>
        <v>11</v>
      </c>
      <c r="D14798" t="str">
        <f>"The Thrush"</f>
        <v>The Thrush</v>
      </c>
    </row>
    <row r="14799" spans="1:4" x14ac:dyDescent="0.2">
      <c r="A14799" t="str">
        <f>"14798"</f>
        <v>14798</v>
      </c>
      <c r="B14799" t="str">
        <f>"0.16"</f>
        <v>0.16</v>
      </c>
      <c r="C14799" t="str">
        <f>"34"</f>
        <v>34</v>
      </c>
      <c r="D14799" t="str">
        <f>"Flower of Evil"</f>
        <v>Flower of Evil</v>
      </c>
    </row>
    <row r="14800" spans="1:4" x14ac:dyDescent="0.2">
      <c r="A14800" t="str">
        <f>"14799"</f>
        <v>14799</v>
      </c>
      <c r="B14800" t="str">
        <f>"0.13"</f>
        <v>0.13</v>
      </c>
      <c r="C14800" t="str">
        <f>"22"</f>
        <v>22</v>
      </c>
      <c r="D14800" t="str">
        <f>"Tonight"</f>
        <v>Tonight</v>
      </c>
    </row>
    <row r="14801" spans="1:4" x14ac:dyDescent="0.2">
      <c r="A14801" t="str">
        <f>"14800"</f>
        <v>14800</v>
      </c>
      <c r="B14801" t="str">
        <f>"0.57"</f>
        <v>0.57</v>
      </c>
      <c r="C14801" t="str">
        <f>"32"</f>
        <v>32</v>
      </c>
      <c r="D14801" t="str">
        <f>"Jon Brion Remix EP"</f>
        <v>Jon Brion Remix EP</v>
      </c>
    </row>
    <row r="14802" spans="1:4" x14ac:dyDescent="0.2">
      <c r="A14802" t="str">
        <f>"14801"</f>
        <v>14801</v>
      </c>
      <c r="B14802" t="str">
        <f>"0.52"</f>
        <v>0.52</v>
      </c>
      <c r="C14802" t="str">
        <f>"20"</f>
        <v>20</v>
      </c>
      <c r="D14802" t="str">
        <f>"Johnson&amp;Jonson"</f>
        <v>Johnson&amp;Jonson</v>
      </c>
    </row>
    <row r="14803" spans="1:4" x14ac:dyDescent="0.2">
      <c r="A14803" t="str">
        <f>"14802"</f>
        <v>14802</v>
      </c>
      <c r="B14803" t="str">
        <f>"0.46"</f>
        <v>0.46</v>
      </c>
      <c r="C14803" t="str">
        <f>"31"</f>
        <v>31</v>
      </c>
      <c r="D14803" t="s">
        <v>464</v>
      </c>
    </row>
    <row r="14804" spans="1:4" x14ac:dyDescent="0.2">
      <c r="A14804" t="str">
        <f>"14803"</f>
        <v>14803</v>
      </c>
      <c r="B14804" t="str">
        <f>"1.02"</f>
        <v>1.02</v>
      </c>
      <c r="C14804" t="str">
        <f>"24"</f>
        <v>24</v>
      </c>
      <c r="D14804" t="str">
        <f>"Dragon Chinese Cocktail Horoscope"</f>
        <v>Dragon Chinese Cocktail Horoscope</v>
      </c>
    </row>
    <row r="14805" spans="1:4" x14ac:dyDescent="0.2">
      <c r="A14805" t="str">
        <f>"14804"</f>
        <v>14804</v>
      </c>
      <c r="B14805" t="str">
        <f>"0.55"</f>
        <v>0.55</v>
      </c>
      <c r="C14805" t="str">
        <f>"44"</f>
        <v>44</v>
      </c>
      <c r="D14805" t="str">
        <f>"The Eraser Rmxs"</f>
        <v>The Eraser Rmxs</v>
      </c>
    </row>
    <row r="14806" spans="1:4" x14ac:dyDescent="0.2">
      <c r="A14806" t="str">
        <f>"14805"</f>
        <v>14805</v>
      </c>
      <c r="B14806" t="str">
        <f>"-0.15"</f>
        <v>-0.15</v>
      </c>
      <c r="C14806" t="str">
        <f>"26"</f>
        <v>26</v>
      </c>
      <c r="D14806" t="str">
        <f>"Vacilando Territory Blues"</f>
        <v>Vacilando Territory Blues</v>
      </c>
    </row>
    <row r="14807" spans="1:4" x14ac:dyDescent="0.2">
      <c r="A14807" t="str">
        <f>"14806"</f>
        <v>14806</v>
      </c>
      <c r="B14807" t="str">
        <f>"1.65"</f>
        <v>1.65</v>
      </c>
      <c r="C14807" t="str">
        <f>"16"</f>
        <v>16</v>
      </c>
      <c r="D14807" t="str">
        <f>"Silent City"</f>
        <v>Silent City</v>
      </c>
    </row>
    <row r="14808" spans="1:4" x14ac:dyDescent="0.2">
      <c r="A14808" t="str">
        <f>"14807"</f>
        <v>14807</v>
      </c>
      <c r="B14808" t="str">
        <f>"0.58"</f>
        <v>0.58</v>
      </c>
      <c r="C14808" t="str">
        <f>"30"</f>
        <v>30</v>
      </c>
      <c r="D14808" t="str">
        <f>"An Invitation"</f>
        <v>An Invitation</v>
      </c>
    </row>
    <row r="14809" spans="1:4" x14ac:dyDescent="0.2">
      <c r="A14809" t="str">
        <f>"14808"</f>
        <v>14808</v>
      </c>
      <c r="B14809" t="str">
        <f>"-0.68"</f>
        <v>-0.68</v>
      </c>
      <c r="C14809" t="str">
        <f>"17"</f>
        <v>17</v>
      </c>
      <c r="D14809" t="str">
        <f>"Swimmer"</f>
        <v>Swimmer</v>
      </c>
    </row>
    <row r="14810" spans="1:4" x14ac:dyDescent="0.2">
      <c r="A14810" t="str">
        <f>"14809"</f>
        <v>14809</v>
      </c>
      <c r="B14810" t="str">
        <f>"0.07"</f>
        <v>0.07</v>
      </c>
      <c r="C14810" t="str">
        <f>"29"</f>
        <v>29</v>
      </c>
      <c r="D14810" t="str">
        <f>"Noble Beast"</f>
        <v>Noble Beast</v>
      </c>
    </row>
    <row r="14811" spans="1:4" x14ac:dyDescent="0.2">
      <c r="A14811" t="str">
        <f>"14810"</f>
        <v>14810</v>
      </c>
      <c r="B14811" t="str">
        <f>"0.27"</f>
        <v>0.27</v>
      </c>
      <c r="C14811" t="str">
        <f>"20"</f>
        <v>20</v>
      </c>
      <c r="D14811" t="str">
        <f>"Numbers Lucent EP"</f>
        <v>Numbers Lucent EP</v>
      </c>
    </row>
    <row r="14812" spans="1:4" x14ac:dyDescent="0.2">
      <c r="A14812" t="str">
        <f>"14811"</f>
        <v>14811</v>
      </c>
      <c r="B14812" t="str">
        <f>"0.12"</f>
        <v>0.12</v>
      </c>
      <c r="C14812" t="str">
        <f>"39"</f>
        <v>39</v>
      </c>
      <c r="D14812" t="str">
        <f>"Luniculaire EP"</f>
        <v>Luniculaire EP</v>
      </c>
    </row>
    <row r="14813" spans="1:4" x14ac:dyDescent="0.2">
      <c r="A14813" t="str">
        <f>"14812"</f>
        <v>14812</v>
      </c>
      <c r="B14813" t="str">
        <f>"0.35"</f>
        <v>0.35</v>
      </c>
      <c r="C14813" t="str">
        <f>"18"</f>
        <v>18</v>
      </c>
      <c r="D14813" t="str">
        <f>"Hold This Ghost"</f>
        <v>Hold This Ghost</v>
      </c>
    </row>
    <row r="14814" spans="1:4" x14ac:dyDescent="0.2">
      <c r="A14814" t="str">
        <f>"14813"</f>
        <v>14813</v>
      </c>
      <c r="B14814" t="str">
        <f>"0.3"</f>
        <v>0.3</v>
      </c>
      <c r="C14814" t="str">
        <f>"23"</f>
        <v>23</v>
      </c>
      <c r="D14814" t="str">
        <f>"Night Shot"</f>
        <v>Night Shot</v>
      </c>
    </row>
    <row r="14815" spans="1:4" x14ac:dyDescent="0.2">
      <c r="A14815" t="str">
        <f>"14814"</f>
        <v>14814</v>
      </c>
      <c r="B14815" t="str">
        <f>"0.55"</f>
        <v>0.55</v>
      </c>
      <c r="C14815" t="str">
        <f>"24"</f>
        <v>24</v>
      </c>
      <c r="D14815" t="str">
        <f>"Get Guilty"</f>
        <v>Get Guilty</v>
      </c>
    </row>
    <row r="14816" spans="1:4" x14ac:dyDescent="0.2">
      <c r="A14816" t="str">
        <f>"14815"</f>
        <v>14815</v>
      </c>
      <c r="B14816" t="str">
        <f>"0.3"</f>
        <v>0.3</v>
      </c>
      <c r="C14816" t="str">
        <f>"21"</f>
        <v>21</v>
      </c>
      <c r="D14816" t="str">
        <f>"Grand"</f>
        <v>Grand</v>
      </c>
    </row>
    <row r="14817" spans="1:4" x14ac:dyDescent="0.2">
      <c r="A14817" t="str">
        <f>"14816"</f>
        <v>14816</v>
      </c>
      <c r="B14817" t="str">
        <f>"0.08"</f>
        <v>0.08</v>
      </c>
      <c r="C14817" t="str">
        <f>"16"</f>
        <v>16</v>
      </c>
      <c r="D14817" t="str">
        <f>"The An Albatross Family Album"</f>
        <v>The An Albatross Family Album</v>
      </c>
    </row>
    <row r="14818" spans="1:4" x14ac:dyDescent="0.2">
      <c r="A14818" t="str">
        <f>"14817"</f>
        <v>14817</v>
      </c>
      <c r="B14818" t="str">
        <f>"-0.07"</f>
        <v>-0.07</v>
      </c>
      <c r="C14818" t="str">
        <f>"26"</f>
        <v>26</v>
      </c>
      <c r="D14818" t="str">
        <f>"Get Young"</f>
        <v>Get Young</v>
      </c>
    </row>
    <row r="14819" spans="1:4" x14ac:dyDescent="0.2">
      <c r="A14819" t="str">
        <f>"14818"</f>
        <v>14818</v>
      </c>
      <c r="B14819" t="str">
        <f>"0.1"</f>
        <v>0.1</v>
      </c>
      <c r="C14819" t="str">
        <f>"18"</f>
        <v>18</v>
      </c>
      <c r="D14819" t="str">
        <f>"Free Your Mind and Win a Pony"</f>
        <v>Free Your Mind and Win a Pony</v>
      </c>
    </row>
    <row r="14820" spans="1:4" x14ac:dyDescent="0.2">
      <c r="A14820" t="str">
        <f>"14819"</f>
        <v>14819</v>
      </c>
      <c r="B14820" t="str">
        <f>"-0.88"</f>
        <v>-0.88</v>
      </c>
      <c r="C14820" t="str">
        <f>"21"</f>
        <v>21</v>
      </c>
      <c r="D14820" t="str">
        <f>"Blood Bank EP"</f>
        <v>Blood Bank EP</v>
      </c>
    </row>
    <row r="14821" spans="1:4" x14ac:dyDescent="0.2">
      <c r="A14821" t="str">
        <f>"14820"</f>
        <v>14820</v>
      </c>
      <c r="B14821" t="str">
        <f>"-0.47"</f>
        <v>-0.47</v>
      </c>
      <c r="C14821" t="str">
        <f>"42"</f>
        <v>42</v>
      </c>
      <c r="D14821" t="str">
        <f>"Johnny Cash Remixed"</f>
        <v>Johnny Cash Remixed</v>
      </c>
    </row>
    <row r="14822" spans="1:4" x14ac:dyDescent="0.2">
      <c r="A14822" t="str">
        <f>"14821"</f>
        <v>14821</v>
      </c>
      <c r="B14822" t="str">
        <f>"0.14"</f>
        <v>0.14</v>
      </c>
      <c r="C14822" t="str">
        <f>"19"</f>
        <v>19</v>
      </c>
      <c r="D14822" t="str">
        <f>"Black Diamond"</f>
        <v>Black Diamond</v>
      </c>
    </row>
    <row r="14823" spans="1:4" x14ac:dyDescent="0.2">
      <c r="A14823" t="str">
        <f>"14822"</f>
        <v>14822</v>
      </c>
      <c r="B14823" t="str">
        <f>"0.13"</f>
        <v>0.13</v>
      </c>
      <c r="C14823" t="str">
        <f>"24"</f>
        <v>24</v>
      </c>
      <c r="D14823" t="str">
        <f>"How Shadows Chase the Balance"</f>
        <v>How Shadows Chase the Balance</v>
      </c>
    </row>
    <row r="14824" spans="1:4" x14ac:dyDescent="0.2">
      <c r="A14824" t="str">
        <f>"14823"</f>
        <v>14823</v>
      </c>
      <c r="B14824" t="str">
        <f>"0.79"</f>
        <v>0.79</v>
      </c>
      <c r="C14824" t="str">
        <f>"19"</f>
        <v>19</v>
      </c>
      <c r="D14824" t="str">
        <f>"Stray Age"</f>
        <v>Stray Age</v>
      </c>
    </row>
    <row r="14825" spans="1:4" x14ac:dyDescent="0.2">
      <c r="A14825" t="str">
        <f>"14824"</f>
        <v>14824</v>
      </c>
      <c r="B14825" t="str">
        <f>"0.09"</f>
        <v>0.09</v>
      </c>
      <c r="C14825" t="str">
        <f>"42"</f>
        <v>42</v>
      </c>
      <c r="D14825" t="str">
        <f>"The Crying Light"</f>
        <v>The Crying Light</v>
      </c>
    </row>
    <row r="14826" spans="1:4" x14ac:dyDescent="0.2">
      <c r="A14826" t="str">
        <f>"14825"</f>
        <v>14825</v>
      </c>
      <c r="B14826" t="str">
        <f>"0.5"</f>
        <v>0.5</v>
      </c>
      <c r="C14826" t="str">
        <f>"26"</f>
        <v>26</v>
      </c>
      <c r="D14826" t="str">
        <f>"Radio Retaliation"</f>
        <v>Radio Retaliation</v>
      </c>
    </row>
    <row r="14827" spans="1:4" x14ac:dyDescent="0.2">
      <c r="A14827" t="str">
        <f>"14826"</f>
        <v>14826</v>
      </c>
      <c r="B14827" t="str">
        <f>"0.78"</f>
        <v>0.78</v>
      </c>
      <c r="C14827" t="str">
        <f>"21"</f>
        <v>21</v>
      </c>
      <c r="D14827" t="str">
        <f>"1-2-3/Apple Tree EP"</f>
        <v>1-2-3/Apple Tree EP</v>
      </c>
    </row>
    <row r="14828" spans="1:4" x14ac:dyDescent="0.2">
      <c r="A14828" t="str">
        <f>"14827"</f>
        <v>14827</v>
      </c>
      <c r="B14828" t="str">
        <f>"-0.22"</f>
        <v>-0.22</v>
      </c>
      <c r="C14828" t="str">
        <f>"19"</f>
        <v>19</v>
      </c>
      <c r="D14828" t="str">
        <f>"Tail Swallower &amp; Dove"</f>
        <v>Tail Swallower &amp; Dove</v>
      </c>
    </row>
    <row r="14829" spans="1:4" x14ac:dyDescent="0.2">
      <c r="A14829" t="str">
        <f>"14828"</f>
        <v>14828</v>
      </c>
      <c r="B14829" t="str">
        <f>"0.14"</f>
        <v>0.14</v>
      </c>
      <c r="C14829" t="str">
        <f>"25"</f>
        <v>25</v>
      </c>
      <c r="D14829" t="str">
        <f>"Exotic Creatures of the Deep"</f>
        <v>Exotic Creatures of the Deep</v>
      </c>
    </row>
    <row r="14830" spans="1:4" x14ac:dyDescent="0.2">
      <c r="A14830" t="str">
        <f>"14829"</f>
        <v>14829</v>
      </c>
      <c r="B14830" t="str">
        <f>"1.4"</f>
        <v>1.4</v>
      </c>
      <c r="C14830" t="str">
        <f>"26"</f>
        <v>26</v>
      </c>
      <c r="D14830" t="str">
        <f>"Live from Las Vegas at the Palms"</f>
        <v>Live from Las Vegas at the Palms</v>
      </c>
    </row>
    <row r="14831" spans="1:4" x14ac:dyDescent="0.2">
      <c r="A14831" t="str">
        <f>"14830"</f>
        <v>14830</v>
      </c>
      <c r="B14831" t="str">
        <f>"0.7"</f>
        <v>0.7</v>
      </c>
      <c r="C14831" t="str">
        <f>"24"</f>
        <v>24</v>
      </c>
      <c r="D14831" t="str">
        <f>"We Mean Business"</f>
        <v>We Mean Business</v>
      </c>
    </row>
    <row r="14832" spans="1:4" x14ac:dyDescent="0.2">
      <c r="A14832" t="str">
        <f>"14831"</f>
        <v>14831</v>
      </c>
      <c r="B14832" t="str">
        <f>"-0.53"</f>
        <v>-0.53</v>
      </c>
      <c r="C14832" t="str">
        <f>"29"</f>
        <v>29</v>
      </c>
      <c r="D14832" t="str">
        <f>"We Ate the Machine"</f>
        <v>We Ate the Machine</v>
      </c>
    </row>
    <row r="14833" spans="1:4" x14ac:dyDescent="0.2">
      <c r="A14833" t="str">
        <f>"14832"</f>
        <v>14832</v>
      </c>
      <c r="B14833" t="str">
        <f>"1.23"</f>
        <v>1.23</v>
      </c>
      <c r="C14833" t="str">
        <f>"30"</f>
        <v>30</v>
      </c>
      <c r="D14833" t="str">
        <f>"Haymaker!"</f>
        <v>Haymaker!</v>
      </c>
    </row>
    <row r="14834" spans="1:4" x14ac:dyDescent="0.2">
      <c r="A14834" t="str">
        <f>"14833"</f>
        <v>14833</v>
      </c>
      <c r="B14834" t="str">
        <f>"0.84"</f>
        <v>0.84</v>
      </c>
      <c r="C14834" t="str">
        <f>"18"</f>
        <v>18</v>
      </c>
      <c r="D14834" t="str">
        <f>"Cranes"</f>
        <v>Cranes</v>
      </c>
    </row>
    <row r="14835" spans="1:4" x14ac:dyDescent="0.2">
      <c r="A14835" t="str">
        <f>"14834"</f>
        <v>14834</v>
      </c>
      <c r="B14835" t="str">
        <f>"0.5"</f>
        <v>0.5</v>
      </c>
      <c r="C14835" t="str">
        <f>"29"</f>
        <v>29</v>
      </c>
      <c r="D14835" t="str">
        <f>"Glasvegas"</f>
        <v>Glasvegas</v>
      </c>
    </row>
    <row r="14836" spans="1:4" x14ac:dyDescent="0.2">
      <c r="A14836" t="str">
        <f>"14835"</f>
        <v>14835</v>
      </c>
      <c r="B14836" t="str">
        <f>"0.17"</f>
        <v>0.17</v>
      </c>
      <c r="C14836" t="str">
        <f>"27"</f>
        <v>27</v>
      </c>
      <c r="D14836" t="str">
        <f>"Nodzzz"</f>
        <v>Nodzzz</v>
      </c>
    </row>
    <row r="14837" spans="1:4" x14ac:dyDescent="0.2">
      <c r="A14837" t="str">
        <f>"14836"</f>
        <v>14836</v>
      </c>
      <c r="B14837" t="str">
        <f>"0.94"</f>
        <v>0.94</v>
      </c>
      <c r="C14837" t="str">
        <f>"40"</f>
        <v>40</v>
      </c>
      <c r="D14837" t="str">
        <f>"Titan: It's All Pop!"</f>
        <v>Titan: It's All Pop!</v>
      </c>
    </row>
    <row r="14838" spans="1:4" x14ac:dyDescent="0.2">
      <c r="A14838" t="str">
        <f>"14837"</f>
        <v>14837</v>
      </c>
      <c r="B14838" t="str">
        <f>"0.57"</f>
        <v>0.57</v>
      </c>
      <c r="C14838" t="str">
        <f>"20"</f>
        <v>20</v>
      </c>
      <c r="D14838" t="str">
        <f>"A Town Called Addis"</f>
        <v>A Town Called Addis</v>
      </c>
    </row>
    <row r="14839" spans="1:4" x14ac:dyDescent="0.2">
      <c r="A14839" t="str">
        <f>"14838"</f>
        <v>14838</v>
      </c>
      <c r="B14839" t="str">
        <f>"0.35"</f>
        <v>0.35</v>
      </c>
      <c r="C14839" t="str">
        <f>"31"</f>
        <v>31</v>
      </c>
      <c r="D14839" t="str">
        <f>"Fun DMC"</f>
        <v>Fun DMC</v>
      </c>
    </row>
    <row r="14840" spans="1:4" x14ac:dyDescent="0.2">
      <c r="A14840" t="str">
        <f>"14839"</f>
        <v>14839</v>
      </c>
      <c r="B14840" t="str">
        <f>"0.12"</f>
        <v>0.12</v>
      </c>
      <c r="C14840" t="str">
        <f>"23"</f>
        <v>23</v>
      </c>
      <c r="D14840" t="str">
        <f>"Where Were U in 92?"</f>
        <v>Where Were U in 92?</v>
      </c>
    </row>
    <row r="14841" spans="1:4" x14ac:dyDescent="0.2">
      <c r="A14841" t="str">
        <f>"14840"</f>
        <v>14840</v>
      </c>
      <c r="B14841" t="str">
        <f>"-0.19"</f>
        <v>-0.19</v>
      </c>
      <c r="C14841" t="str">
        <f>"22"</f>
        <v>22</v>
      </c>
      <c r="D14841" t="str">
        <f>"Fantasy Black Channel"</f>
        <v>Fantasy Black Channel</v>
      </c>
    </row>
    <row r="14842" spans="1:4" x14ac:dyDescent="0.2">
      <c r="A14842" t="str">
        <f>"14841"</f>
        <v>14841</v>
      </c>
      <c r="B14842" t="str">
        <f>"-0.42"</f>
        <v>-0.42</v>
      </c>
      <c r="C14842" t="str">
        <f>"35"</f>
        <v>35</v>
      </c>
      <c r="D14842" t="str">
        <f>"Emeritus"</f>
        <v>Emeritus</v>
      </c>
    </row>
    <row r="14843" spans="1:4" x14ac:dyDescent="0.2">
      <c r="A14843" t="str">
        <f>"14842"</f>
        <v>14842</v>
      </c>
      <c r="B14843" t="str">
        <f>"-0.07"</f>
        <v>-0.07</v>
      </c>
      <c r="C14843" t="str">
        <f>"23"</f>
        <v>23</v>
      </c>
      <c r="D14843" t="str">
        <f>"Jewels"</f>
        <v>Jewels</v>
      </c>
    </row>
    <row r="14844" spans="1:4" x14ac:dyDescent="0.2">
      <c r="A14844" t="str">
        <f>"14843"</f>
        <v>14843</v>
      </c>
      <c r="B14844" t="str">
        <f>"-0.1"</f>
        <v>-0.1</v>
      </c>
      <c r="C14844" t="str">
        <f>"19"</f>
        <v>19</v>
      </c>
      <c r="D14844" t="str">
        <f>"Olly Oxen Free"</f>
        <v>Olly Oxen Free</v>
      </c>
    </row>
    <row r="14845" spans="1:4" x14ac:dyDescent="0.2">
      <c r="A14845" t="str">
        <f>"14844"</f>
        <v>14844</v>
      </c>
      <c r="B14845" t="str">
        <f>"0.17"</f>
        <v>0.17</v>
      </c>
      <c r="C14845" t="str">
        <f>"59"</f>
        <v>59</v>
      </c>
      <c r="D14845" t="str">
        <f>"Picture Book"</f>
        <v>Picture Book</v>
      </c>
    </row>
    <row r="14846" spans="1:4" x14ac:dyDescent="0.2">
      <c r="A14846" t="str">
        <f>"14845"</f>
        <v>14845</v>
      </c>
      <c r="B14846" t="str">
        <f>"0.75"</f>
        <v>0.75</v>
      </c>
      <c r="C14846" t="str">
        <f>"29"</f>
        <v>29</v>
      </c>
      <c r="D14846" t="str">
        <f>"Black Secret Technology"</f>
        <v>Black Secret Technology</v>
      </c>
    </row>
    <row r="14847" spans="1:4" x14ac:dyDescent="0.2">
      <c r="A14847" t="str">
        <f>"14846"</f>
        <v>14846</v>
      </c>
      <c r="B14847" t="str">
        <f>"-0.3"</f>
        <v>-0.3</v>
      </c>
      <c r="C14847" t="str">
        <f>"35"</f>
        <v>35</v>
      </c>
      <c r="D14847" t="str">
        <f>"Steps to Heaven"</f>
        <v>Steps to Heaven</v>
      </c>
    </row>
    <row r="14848" spans="1:4" x14ac:dyDescent="0.2">
      <c r="A14848" t="str">
        <f>"14847"</f>
        <v>14847</v>
      </c>
      <c r="B14848" t="str">
        <f>"0.45"</f>
        <v>0.45</v>
      </c>
      <c r="C14848" t="str">
        <f>"30"</f>
        <v>30</v>
      </c>
      <c r="D14848" t="str">
        <f>"Oh! Mighty Engine"</f>
        <v>Oh! Mighty Engine</v>
      </c>
    </row>
    <row r="14849" spans="1:4" x14ac:dyDescent="0.2">
      <c r="A14849" t="str">
        <f>"14848"</f>
        <v>14848</v>
      </c>
      <c r="B14849" t="str">
        <f>"1.63"</f>
        <v>1.63</v>
      </c>
      <c r="C14849" t="str">
        <f>"23"</f>
        <v>23</v>
      </c>
      <c r="D14849" t="str">
        <f>"Army Navy"</f>
        <v>Army Navy</v>
      </c>
    </row>
    <row r="14850" spans="1:4" x14ac:dyDescent="0.2">
      <c r="A14850" t="str">
        <f>"14849"</f>
        <v>14849</v>
      </c>
      <c r="B14850" t="str">
        <f>"0.71"</f>
        <v>0.71</v>
      </c>
      <c r="C14850" t="str">
        <f>"31"</f>
        <v>31</v>
      </c>
      <c r="D14850" t="str">
        <f>"Live at Park Avenue EP"</f>
        <v>Live at Park Avenue EP</v>
      </c>
    </row>
    <row r="14851" spans="1:4" x14ac:dyDescent="0.2">
      <c r="A14851" t="str">
        <f>"14850"</f>
        <v>14850</v>
      </c>
      <c r="B14851" t="str">
        <f>"-0.13"</f>
        <v>-0.13</v>
      </c>
      <c r="C14851" t="str">
        <f>"26"</f>
        <v>26</v>
      </c>
      <c r="D14851" t="str">
        <f>"Fabric 43"</f>
        <v>Fabric 43</v>
      </c>
    </row>
    <row r="14852" spans="1:4" x14ac:dyDescent="0.2">
      <c r="A14852" t="str">
        <f>"14851"</f>
        <v>14851</v>
      </c>
      <c r="B14852" t="str">
        <f>"0.9"</f>
        <v>0.9</v>
      </c>
      <c r="C14852" t="str">
        <f>"33"</f>
        <v>33</v>
      </c>
      <c r="D14852" t="s">
        <v>465</v>
      </c>
    </row>
    <row r="14853" spans="1:4" x14ac:dyDescent="0.2">
      <c r="A14853" t="str">
        <f>"14852"</f>
        <v>14852</v>
      </c>
      <c r="B14853" t="str">
        <f>"1.38"</f>
        <v>1.38</v>
      </c>
      <c r="C14853" t="str">
        <f>"22"</f>
        <v>22</v>
      </c>
      <c r="D14853" t="str">
        <f>"Songs from the Beehive"</f>
        <v>Songs from the Beehive</v>
      </c>
    </row>
    <row r="14854" spans="1:4" x14ac:dyDescent="0.2">
      <c r="A14854" t="str">
        <f>"14853"</f>
        <v>14853</v>
      </c>
      <c r="B14854" t="str">
        <f>"0.47"</f>
        <v>0.47</v>
      </c>
      <c r="C14854" t="str">
        <f>"30"</f>
        <v>30</v>
      </c>
      <c r="D14854" t="str">
        <f>"My Magic City"</f>
        <v>My Magic City</v>
      </c>
    </row>
    <row r="14855" spans="1:4" x14ac:dyDescent="0.2">
      <c r="A14855" t="str">
        <f>"14854"</f>
        <v>14854</v>
      </c>
      <c r="B14855" t="str">
        <f>"-0.14"</f>
        <v>-0.14</v>
      </c>
      <c r="C14855" t="str">
        <f>"36"</f>
        <v>36</v>
      </c>
      <c r="D14855" t="str">
        <f>"No Pussyfooting"</f>
        <v>No Pussyfooting</v>
      </c>
    </row>
    <row r="14856" spans="1:4" x14ac:dyDescent="0.2">
      <c r="A14856" t="str">
        <f>"14855"</f>
        <v>14855</v>
      </c>
      <c r="B14856" t="str">
        <f>"0.17"</f>
        <v>0.17</v>
      </c>
      <c r="C14856" t="str">
        <f>"19"</f>
        <v>19</v>
      </c>
      <c r="D14856" t="str">
        <f>"Lemonade"</f>
        <v>Lemonade</v>
      </c>
    </row>
    <row r="14857" spans="1:4" x14ac:dyDescent="0.2">
      <c r="A14857" t="str">
        <f>"14856"</f>
        <v>14856</v>
      </c>
      <c r="B14857" t="str">
        <f>"-0.82"</f>
        <v>-0.82</v>
      </c>
      <c r="C14857" t="str">
        <f>"22"</f>
        <v>22</v>
      </c>
      <c r="D14857" t="str">
        <f>"The Lilac Time"</f>
        <v>The Lilac Time</v>
      </c>
    </row>
    <row r="14858" spans="1:4" x14ac:dyDescent="0.2">
      <c r="A14858" t="str">
        <f>"14857"</f>
        <v>14857</v>
      </c>
      <c r="B14858" t="str">
        <f>"-0.93"</f>
        <v>-0.93</v>
      </c>
      <c r="C14858" t="str">
        <f>"22"</f>
        <v>22</v>
      </c>
      <c r="D14858" t="s">
        <v>466</v>
      </c>
    </row>
    <row r="14859" spans="1:4" x14ac:dyDescent="0.2">
      <c r="A14859" t="str">
        <f>"14858"</f>
        <v>14858</v>
      </c>
      <c r="B14859" t="str">
        <f>"-0.6"</f>
        <v>-0.6</v>
      </c>
      <c r="C14859" t="str">
        <f>"24"</f>
        <v>24</v>
      </c>
      <c r="D14859" t="str">
        <f>"Reverse Migration"</f>
        <v>Reverse Migration</v>
      </c>
    </row>
    <row r="14860" spans="1:4" x14ac:dyDescent="0.2">
      <c r="A14860" t="str">
        <f>"14859"</f>
        <v>14859</v>
      </c>
      <c r="B14860" t="str">
        <f>"0.23"</f>
        <v>0.23</v>
      </c>
      <c r="C14860" t="str">
        <f>"41"</f>
        <v>41</v>
      </c>
      <c r="D14860" t="str">
        <f>"The 4-Track Era Bundle"</f>
        <v>The 4-Track Era Bundle</v>
      </c>
    </row>
    <row r="14861" spans="1:4" x14ac:dyDescent="0.2">
      <c r="A14861" t="str">
        <f>"14860"</f>
        <v>14860</v>
      </c>
      <c r="B14861" t="str">
        <f>"-0.22"</f>
        <v>-0.22</v>
      </c>
      <c r="C14861" t="str">
        <f>"37"</f>
        <v>37</v>
      </c>
      <c r="D14861" t="str">
        <f>"Easy Come Easy Go"</f>
        <v>Easy Come Easy Go</v>
      </c>
    </row>
    <row r="14862" spans="1:4" x14ac:dyDescent="0.2">
      <c r="A14862" t="str">
        <f>"14861"</f>
        <v>14861</v>
      </c>
      <c r="B14862" t="str">
        <f>"1.22"</f>
        <v>1.22</v>
      </c>
      <c r="C14862" t="str">
        <f>"26"</f>
        <v>26</v>
      </c>
      <c r="D14862" t="str">
        <f>"Akh Issudar"</f>
        <v>Akh Issudar</v>
      </c>
    </row>
    <row r="14863" spans="1:4" x14ac:dyDescent="0.2">
      <c r="A14863" t="str">
        <f>"14862"</f>
        <v>14862</v>
      </c>
      <c r="B14863" t="str">
        <f>"0.38"</f>
        <v>0.38</v>
      </c>
      <c r="C14863" t="str">
        <f>"25"</f>
        <v>25</v>
      </c>
      <c r="D14863" t="str">
        <f>"Miniatures"</f>
        <v>Miniatures</v>
      </c>
    </row>
    <row r="14864" spans="1:4" x14ac:dyDescent="0.2">
      <c r="A14864" t="str">
        <f>"14863"</f>
        <v>14863</v>
      </c>
      <c r="B14864" t="str">
        <f>"-0.3"</f>
        <v>-0.3</v>
      </c>
      <c r="C14864" t="str">
        <f>"21"</f>
        <v>21</v>
      </c>
      <c r="D14864" t="str">
        <f>"Moenie and Kitchi"</f>
        <v>Moenie and Kitchi</v>
      </c>
    </row>
    <row r="14865" spans="1:4" x14ac:dyDescent="0.2">
      <c r="A14865" t="str">
        <f>"14864"</f>
        <v>14864</v>
      </c>
      <c r="B14865" t="str">
        <f>"0.18"</f>
        <v>0.18</v>
      </c>
      <c r="C14865" t="str">
        <f>"37"</f>
        <v>37</v>
      </c>
      <c r="D14865" t="str">
        <f>"Diplo &amp; Benzi Present: Fear &amp; Loathing in Hunts Vegas"</f>
        <v>Diplo &amp; Benzi Present: Fear &amp; Loathing in Hunts Vegas</v>
      </c>
    </row>
    <row r="14866" spans="1:4" x14ac:dyDescent="0.2">
      <c r="A14866" t="str">
        <f>"14865"</f>
        <v>14865</v>
      </c>
      <c r="B14866" t="str">
        <f>"0.46"</f>
        <v>0.46</v>
      </c>
      <c r="C14866" t="str">
        <f>"19"</f>
        <v>19</v>
      </c>
      <c r="D14866" t="str">
        <f>"Slumdog Millionaire OST"</f>
        <v>Slumdog Millionaire OST</v>
      </c>
    </row>
    <row r="14867" spans="1:4" x14ac:dyDescent="0.2">
      <c r="A14867" t="str">
        <f>"14866"</f>
        <v>14866</v>
      </c>
      <c r="B14867" t="str">
        <f>"-0.39"</f>
        <v>-0.39</v>
      </c>
      <c r="C14867" t="str">
        <f>"22"</f>
        <v>22</v>
      </c>
      <c r="D14867" t="str">
        <f>"Wreckless Eric &amp; Amy Rigby"</f>
        <v>Wreckless Eric &amp; Amy Rigby</v>
      </c>
    </row>
    <row r="14868" spans="1:4" x14ac:dyDescent="0.2">
      <c r="A14868" t="str">
        <f>"14867"</f>
        <v>14867</v>
      </c>
      <c r="B14868" t="str">
        <f>"-1.11"</f>
        <v>-1.11</v>
      </c>
      <c r="C14868" t="str">
        <f>"14"</f>
        <v>14</v>
      </c>
      <c r="D14868" t="str">
        <f>"Fire on Corridor X"</f>
        <v>Fire on Corridor X</v>
      </c>
    </row>
    <row r="14869" spans="1:4" x14ac:dyDescent="0.2">
      <c r="A14869" t="str">
        <f>"14868"</f>
        <v>14868</v>
      </c>
      <c r="B14869" t="str">
        <f>"-0.83"</f>
        <v>-0.83</v>
      </c>
      <c r="C14869" t="str">
        <f>"35"</f>
        <v>35</v>
      </c>
      <c r="D14869" t="str">
        <f>"Punkgasm"</f>
        <v>Punkgasm</v>
      </c>
    </row>
    <row r="14870" spans="1:4" x14ac:dyDescent="0.2">
      <c r="A14870" t="str">
        <f>"14869"</f>
        <v>14869</v>
      </c>
      <c r="B14870" t="str">
        <f>"0.83"</f>
        <v>0.83</v>
      </c>
      <c r="C14870" t="str">
        <f>"24"</f>
        <v>24</v>
      </c>
      <c r="D14870" t="str">
        <f>"GhostDeini the Great"</f>
        <v>GhostDeini the Great</v>
      </c>
    </row>
    <row r="14871" spans="1:4" x14ac:dyDescent="0.2">
      <c r="A14871" t="str">
        <f>"14870"</f>
        <v>14870</v>
      </c>
      <c r="B14871" t="str">
        <f>"-0.28"</f>
        <v>-0.28</v>
      </c>
      <c r="C14871" t="str">
        <f>"25"</f>
        <v>25</v>
      </c>
      <c r="D14871" t="str">
        <f>"The Effects of 333"</f>
        <v>The Effects of 333</v>
      </c>
    </row>
    <row r="14872" spans="1:4" x14ac:dyDescent="0.2">
      <c r="A14872" t="str">
        <f>"14871"</f>
        <v>14871</v>
      </c>
      <c r="B14872" t="str">
        <f>"0.21"</f>
        <v>0.21</v>
      </c>
      <c r="C14872" t="str">
        <f>"59"</f>
        <v>59</v>
      </c>
      <c r="D14872" t="str">
        <f>"Live in London and Paris"</f>
        <v>Live in London and Paris</v>
      </c>
    </row>
    <row r="14873" spans="1:4" x14ac:dyDescent="0.2">
      <c r="A14873" t="str">
        <f>"14872"</f>
        <v>14872</v>
      </c>
      <c r="B14873" t="str">
        <f>"0.77"</f>
        <v>0.77</v>
      </c>
      <c r="C14873" t="str">
        <f>"32"</f>
        <v>32</v>
      </c>
      <c r="D14873" t="str">
        <f>"The Living and the Dead"</f>
        <v>The Living and the Dead</v>
      </c>
    </row>
    <row r="14874" spans="1:4" x14ac:dyDescent="0.2">
      <c r="A14874" t="str">
        <f>"14873"</f>
        <v>14873</v>
      </c>
      <c r="B14874" t="str">
        <f>"-0.34"</f>
        <v>-0.34</v>
      </c>
      <c r="C14874" t="str">
        <f>"35"</f>
        <v>35</v>
      </c>
      <c r="D14874" t="str">
        <f>"Curtain Speech EP"</f>
        <v>Curtain Speech EP</v>
      </c>
    </row>
    <row r="14875" spans="1:4" x14ac:dyDescent="0.2">
      <c r="A14875" t="str">
        <f>"14874"</f>
        <v>14874</v>
      </c>
      <c r="B14875" t="str">
        <f>"0.54"</f>
        <v>0.54</v>
      </c>
      <c r="C14875" t="str">
        <f>"43"</f>
        <v>43</v>
      </c>
      <c r="D14875" t="str">
        <f>"Merriweather Post Pavilion"</f>
        <v>Merriweather Post Pavilion</v>
      </c>
    </row>
    <row r="14876" spans="1:4" x14ac:dyDescent="0.2">
      <c r="A14876" t="str">
        <f>"14875"</f>
        <v>14875</v>
      </c>
      <c r="B14876" t="str">
        <f>"0.95"</f>
        <v>0.95</v>
      </c>
      <c r="C14876" t="str">
        <f>"37"</f>
        <v>37</v>
      </c>
      <c r="D14876" t="str">
        <f>"Zang Tumb Tuum: The ZTT Box Set"</f>
        <v>Zang Tumb Tuum: The ZTT Box Set</v>
      </c>
    </row>
    <row r="14877" spans="1:4" x14ac:dyDescent="0.2">
      <c r="A14877" t="str">
        <f>"14876"</f>
        <v>14876</v>
      </c>
      <c r="B14877" t="str">
        <f>"1.1"</f>
        <v>1.1</v>
      </c>
      <c r="C14877" t="str">
        <f>"16"</f>
        <v>16</v>
      </c>
      <c r="D14877" t="str">
        <f>"Friendly Fires"</f>
        <v>Friendly Fires</v>
      </c>
    </row>
    <row r="14878" spans="1:4" x14ac:dyDescent="0.2">
      <c r="A14878" t="str">
        <f>"14877"</f>
        <v>14877</v>
      </c>
      <c r="B14878" t="str">
        <f>"0.14"</f>
        <v>0.14</v>
      </c>
      <c r="C14878" t="str">
        <f>"20"</f>
        <v>20</v>
      </c>
      <c r="D14878" t="str">
        <f>"Luna"</f>
        <v>Luna</v>
      </c>
    </row>
    <row r="14879" spans="1:4" x14ac:dyDescent="0.2">
      <c r="A14879" t="str">
        <f>"14878"</f>
        <v>14878</v>
      </c>
      <c r="B14879" t="str">
        <f>"-1.35"</f>
        <v>-1.35</v>
      </c>
      <c r="C14879" t="str">
        <f>"31"</f>
        <v>31</v>
      </c>
      <c r="D14879" t="str">
        <f>"Theater of the Mind"</f>
        <v>Theater of the Mind</v>
      </c>
    </row>
    <row r="14880" spans="1:4" x14ac:dyDescent="0.2">
      <c r="A14880" t="str">
        <f>"14879"</f>
        <v>14879</v>
      </c>
      <c r="B14880" t="str">
        <f>"-0.46"</f>
        <v>-0.46</v>
      </c>
      <c r="C14880" t="str">
        <f>"20"</f>
        <v>20</v>
      </c>
      <c r="D14880" t="str">
        <f>"Christmas on Mars"</f>
        <v>Christmas on Mars</v>
      </c>
    </row>
    <row r="14881" spans="1:4" x14ac:dyDescent="0.2">
      <c r="A14881" t="str">
        <f>"14880"</f>
        <v>14880</v>
      </c>
      <c r="B14881" t="str">
        <f>"0.46"</f>
        <v>0.46</v>
      </c>
      <c r="C14881" t="str">
        <f>"40"</f>
        <v>40</v>
      </c>
      <c r="D14881" t="str">
        <f>"To Be Free: The Nina Simone Story"</f>
        <v>To Be Free: The Nina Simone Story</v>
      </c>
    </row>
    <row r="14882" spans="1:4" x14ac:dyDescent="0.2">
      <c r="A14882" t="str">
        <f>"14881"</f>
        <v>14881</v>
      </c>
      <c r="B14882" t="str">
        <f>"1.08"</f>
        <v>1.08</v>
      </c>
      <c r="C14882" t="str">
        <f>"26"</f>
        <v>26</v>
      </c>
      <c r="D14882" t="str">
        <f>"Original Darkness"</f>
        <v>Original Darkness</v>
      </c>
    </row>
    <row r="14883" spans="1:4" x14ac:dyDescent="0.2">
      <c r="A14883" t="str">
        <f>"14882"</f>
        <v>14882</v>
      </c>
      <c r="B14883" t="str">
        <f>"0.7"</f>
        <v>0.7</v>
      </c>
      <c r="C14883" t="str">
        <f>"38"</f>
        <v>38</v>
      </c>
      <c r="D14883" t="str">
        <f>"Give Me Love: Songs of the Brokenhearted - Baghdad 1925-1929"</f>
        <v>Give Me Love: Songs of the Brokenhearted - Baghdad 1925-1929</v>
      </c>
    </row>
    <row r="14884" spans="1:4" x14ac:dyDescent="0.2">
      <c r="A14884" t="str">
        <f>"14883"</f>
        <v>14883</v>
      </c>
      <c r="B14884" t="str">
        <f>"-0.17"</f>
        <v>-0.17</v>
      </c>
      <c r="C14884" t="str">
        <f>"18"</f>
        <v>18</v>
      </c>
      <c r="D14884" t="str">
        <f>"Changing of the Seasons"</f>
        <v>Changing of the Seasons</v>
      </c>
    </row>
    <row r="14885" spans="1:4" x14ac:dyDescent="0.2">
      <c r="A14885" t="str">
        <f>"14884"</f>
        <v>14884</v>
      </c>
      <c r="B14885" t="str">
        <f>"0.19"</f>
        <v>0.19</v>
      </c>
      <c r="C14885" t="str">
        <f>"43"</f>
        <v>43</v>
      </c>
      <c r="D14885" t="str">
        <f>"Road to Till the Casket Drops"</f>
        <v>Road to Till the Casket Drops</v>
      </c>
    </row>
    <row r="14886" spans="1:4" x14ac:dyDescent="0.2">
      <c r="A14886" t="str">
        <f>"14885"</f>
        <v>14885</v>
      </c>
      <c r="B14886" t="str">
        <f>"0.4"</f>
        <v>0.4</v>
      </c>
      <c r="C14886" t="str">
        <f>"39"</f>
        <v>39</v>
      </c>
      <c r="D14886" t="str">
        <f>"The Soul of Rock And Roll"</f>
        <v>The Soul of Rock And Roll</v>
      </c>
    </row>
    <row r="14887" spans="1:4" x14ac:dyDescent="0.2">
      <c r="A14887" t="str">
        <f>"14886"</f>
        <v>14886</v>
      </c>
      <c r="B14887" t="str">
        <f>"0.53"</f>
        <v>0.53</v>
      </c>
      <c r="C14887" t="str">
        <f>"16"</f>
        <v>16</v>
      </c>
      <c r="D14887" t="str">
        <f>"Welcome to the Welcome Wagon"</f>
        <v>Welcome to the Welcome Wagon</v>
      </c>
    </row>
    <row r="14888" spans="1:4" x14ac:dyDescent="0.2">
      <c r="A14888" t="str">
        <f>"14887"</f>
        <v>14887</v>
      </c>
      <c r="B14888" t="str">
        <f>"0.7"</f>
        <v>0.7</v>
      </c>
      <c r="C14888" t="str">
        <f>"31"</f>
        <v>31</v>
      </c>
      <c r="D14888" t="str">
        <f>"I'll Stay 'Til After Christmas"</f>
        <v>I'll Stay 'Til After Christmas</v>
      </c>
    </row>
    <row r="14889" spans="1:4" x14ac:dyDescent="0.2">
      <c r="A14889" t="str">
        <f>"14888"</f>
        <v>14888</v>
      </c>
      <c r="B14889" t="str">
        <f>"1.3"</f>
        <v>1.3</v>
      </c>
      <c r="C14889" t="str">
        <f>"23"</f>
        <v>23</v>
      </c>
      <c r="D14889" t="str">
        <f>"The Uglysuit"</f>
        <v>The Uglysuit</v>
      </c>
    </row>
    <row r="14890" spans="1:4" x14ac:dyDescent="0.2">
      <c r="A14890" t="str">
        <f>"14889"</f>
        <v>14889</v>
      </c>
      <c r="B14890" t="str">
        <f>"0.15"</f>
        <v>0.15</v>
      </c>
      <c r="C14890" t="str">
        <f>"32"</f>
        <v>32</v>
      </c>
      <c r="D14890" t="str">
        <f>"Brighten the Corners: Nicene Creedence Ed."</f>
        <v>Brighten the Corners: Nicene Creedence Ed.</v>
      </c>
    </row>
    <row r="14891" spans="1:4" x14ac:dyDescent="0.2">
      <c r="A14891" t="str">
        <f>"14890"</f>
        <v>14890</v>
      </c>
      <c r="B14891" t="str">
        <f>"-0.23"</f>
        <v>-0.23</v>
      </c>
      <c r="C14891" t="str">
        <f>"28"</f>
        <v>28</v>
      </c>
      <c r="D14891" t="str">
        <f>"Universal Mind Control"</f>
        <v>Universal Mind Control</v>
      </c>
    </row>
    <row r="14892" spans="1:4" x14ac:dyDescent="0.2">
      <c r="A14892" t="str">
        <f>"14891"</f>
        <v>14891</v>
      </c>
      <c r="B14892" t="str">
        <f>"-0.39"</f>
        <v>-0.39</v>
      </c>
      <c r="C14892" t="str">
        <f>"33"</f>
        <v>33</v>
      </c>
      <c r="D14892" t="str">
        <f>"BM"</f>
        <v>BM</v>
      </c>
    </row>
    <row r="14893" spans="1:4" x14ac:dyDescent="0.2">
      <c r="A14893" t="str">
        <f>"14892"</f>
        <v>14892</v>
      </c>
      <c r="B14893" t="str">
        <f>"0.81"</f>
        <v>0.81</v>
      </c>
      <c r="C14893" t="str">
        <f>"17"</f>
        <v>17</v>
      </c>
      <c r="D14893" t="str">
        <f>"1970's Algerian Proto-Raï Underground"</f>
        <v>1970's Algerian Proto-Raï Underground</v>
      </c>
    </row>
    <row r="14894" spans="1:4" x14ac:dyDescent="0.2">
      <c r="A14894" t="str">
        <f>"14893"</f>
        <v>14893</v>
      </c>
      <c r="B14894" t="str">
        <f>"0.18"</f>
        <v>0.18</v>
      </c>
      <c r="C14894" t="str">
        <f>"33"</f>
        <v>33</v>
      </c>
      <c r="D14894" t="str">
        <f>"TV Loves You Back"</f>
        <v>TV Loves You Back</v>
      </c>
    </row>
    <row r="14895" spans="1:4" x14ac:dyDescent="0.2">
      <c r="A14895" t="str">
        <f>"14894"</f>
        <v>14894</v>
      </c>
      <c r="B14895" t="str">
        <f>"-0.06"</f>
        <v>-0.06</v>
      </c>
      <c r="C14895" t="str">
        <f>"32"</f>
        <v>32</v>
      </c>
      <c r="D14895" t="str">
        <f>"A Cross the Universe"</f>
        <v>A Cross the Universe</v>
      </c>
    </row>
    <row r="14896" spans="1:4" x14ac:dyDescent="0.2">
      <c r="A14896" t="str">
        <f>"14895"</f>
        <v>14895</v>
      </c>
      <c r="B14896" t="str">
        <f>"0.44"</f>
        <v>0.44</v>
      </c>
      <c r="C14896" t="str">
        <f>"31"</f>
        <v>31</v>
      </c>
      <c r="D14896" t="str">
        <f>"The Finally LP"</f>
        <v>The Finally LP</v>
      </c>
    </row>
    <row r="14897" spans="1:4" x14ac:dyDescent="0.2">
      <c r="A14897" t="str">
        <f>"14896"</f>
        <v>14896</v>
      </c>
      <c r="B14897" t="str">
        <f>"0.16"</f>
        <v>0.16</v>
      </c>
      <c r="C14897" t="str">
        <f>"37"</f>
        <v>37</v>
      </c>
      <c r="D14897" t="str">
        <f>"Brown Submarine"</f>
        <v>Brown Submarine</v>
      </c>
    </row>
    <row r="14898" spans="1:4" x14ac:dyDescent="0.2">
      <c r="A14898" t="str">
        <f>"14897"</f>
        <v>14897</v>
      </c>
      <c r="B14898" t="str">
        <f>"0.06"</f>
        <v>0.06</v>
      </c>
      <c r="C14898" t="str">
        <f>"24"</f>
        <v>24</v>
      </c>
      <c r="D14898" t="str">
        <f>"Everything/Everything"</f>
        <v>Everything/Everything</v>
      </c>
    </row>
    <row r="14899" spans="1:4" x14ac:dyDescent="0.2">
      <c r="A14899" t="str">
        <f>"14898"</f>
        <v>14898</v>
      </c>
      <c r="B14899" t="str">
        <f>"-0.42"</f>
        <v>-0.42</v>
      </c>
      <c r="C14899" t="str">
        <f>"15"</f>
        <v>15</v>
      </c>
      <c r="D14899" t="str">
        <f>"Japanese Motors"</f>
        <v>Japanese Motors</v>
      </c>
    </row>
    <row r="14900" spans="1:4" x14ac:dyDescent="0.2">
      <c r="A14900" t="str">
        <f>"14899"</f>
        <v>14899</v>
      </c>
      <c r="B14900" t="str">
        <f>"0.61"</f>
        <v>0.61</v>
      </c>
      <c r="C14900" t="str">
        <f>"28"</f>
        <v>28</v>
      </c>
      <c r="D14900" t="str">
        <f>"Alone II: The Home Recordings of Rivers Cuomo"</f>
        <v>Alone II: The Home Recordings of Rivers Cuomo</v>
      </c>
    </row>
    <row r="14901" spans="1:4" x14ac:dyDescent="0.2">
      <c r="A14901" t="str">
        <f>"14900"</f>
        <v>14900</v>
      </c>
      <c r="B14901" t="str">
        <f>"-0.05"</f>
        <v>-0.05</v>
      </c>
      <c r="C14901" t="str">
        <f>"24"</f>
        <v>24</v>
      </c>
      <c r="D14901" t="str">
        <f>"Dark End of the Street EP"</f>
        <v>Dark End of the Street EP</v>
      </c>
    </row>
    <row r="14902" spans="1:4" x14ac:dyDescent="0.2">
      <c r="A14902" t="str">
        <f>"14901"</f>
        <v>14901</v>
      </c>
      <c r="B14902" t="str">
        <f>"1.43"</f>
        <v>1.43</v>
      </c>
      <c r="C14902" t="str">
        <f>"35"</f>
        <v>35</v>
      </c>
      <c r="D14902" t="str">
        <f>"Holiday"</f>
        <v>Holiday</v>
      </c>
    </row>
    <row r="14903" spans="1:4" x14ac:dyDescent="0.2">
      <c r="A14903" t="str">
        <f>"14902"</f>
        <v>14902</v>
      </c>
      <c r="B14903" t="str">
        <f>"0.82"</f>
        <v>0.82</v>
      </c>
      <c r="C14903" t="str">
        <f>"20"</f>
        <v>20</v>
      </c>
      <c r="D14903" t="str">
        <f>"Hush Arbors"</f>
        <v>Hush Arbors</v>
      </c>
    </row>
    <row r="14904" spans="1:4" x14ac:dyDescent="0.2">
      <c r="A14904" t="str">
        <f>"14903"</f>
        <v>14903</v>
      </c>
      <c r="B14904" t="str">
        <f>"-0.12"</f>
        <v>-0.12</v>
      </c>
      <c r="C14904" t="str">
        <f>"23"</f>
        <v>23</v>
      </c>
      <c r="D14904" t="str">
        <f>"Ropechain"</f>
        <v>Ropechain</v>
      </c>
    </row>
    <row r="14905" spans="1:4" x14ac:dyDescent="0.2">
      <c r="A14905" t="str">
        <f>"14904"</f>
        <v>14904</v>
      </c>
      <c r="B14905" t="str">
        <f>"-0.29"</f>
        <v>-0.29</v>
      </c>
      <c r="C14905" t="str">
        <f>"43"</f>
        <v>43</v>
      </c>
      <c r="D14905" t="str">
        <f>"Day &amp; Age"</f>
        <v>Day &amp; Age</v>
      </c>
    </row>
    <row r="14906" spans="1:4" x14ac:dyDescent="0.2">
      <c r="A14906" t="str">
        <f>"14905"</f>
        <v>14905</v>
      </c>
      <c r="B14906" t="str">
        <f>"0.88"</f>
        <v>0.88</v>
      </c>
      <c r="C14906" t="str">
        <f>"27"</f>
        <v>27</v>
      </c>
      <c r="D14906" t="str">
        <f>"Sugar Mountain: Live at Canterbury House 1968"</f>
        <v>Sugar Mountain: Live at Canterbury House 1968</v>
      </c>
    </row>
    <row r="14907" spans="1:4" x14ac:dyDescent="0.2">
      <c r="A14907" t="str">
        <f>"14906"</f>
        <v>14906</v>
      </c>
      <c r="B14907" t="str">
        <f>"0.14"</f>
        <v>0.14</v>
      </c>
      <c r="C14907" t="str">
        <f>"19"</f>
        <v>19</v>
      </c>
      <c r="D14907" t="str">
        <f>"Burnt Out Landscapes"</f>
        <v>Burnt Out Landscapes</v>
      </c>
    </row>
    <row r="14908" spans="1:4" x14ac:dyDescent="0.2">
      <c r="A14908" t="str">
        <f>"14907"</f>
        <v>14907</v>
      </c>
      <c r="B14908" t="str">
        <f>"0.62"</f>
        <v>0.62</v>
      </c>
      <c r="C14908" t="str">
        <f>"29"</f>
        <v>29</v>
      </c>
      <c r="D14908" t="str">
        <f>"Kitsuné Maison 6: The Melodic One"</f>
        <v>Kitsuné Maison 6: The Melodic One</v>
      </c>
    </row>
    <row r="14909" spans="1:4" x14ac:dyDescent="0.2">
      <c r="A14909" t="str">
        <f>"14908"</f>
        <v>14908</v>
      </c>
      <c r="B14909" t="str">
        <f>"0.28"</f>
        <v>0.28</v>
      </c>
      <c r="C14909" t="str">
        <f>"26"</f>
        <v>26</v>
      </c>
      <c r="D14909" t="str">
        <f>"Peoria"</f>
        <v>Peoria</v>
      </c>
    </row>
    <row r="14910" spans="1:4" x14ac:dyDescent="0.2">
      <c r="A14910" t="str">
        <f>"14909"</f>
        <v>14909</v>
      </c>
      <c r="B14910" t="str">
        <f>"0.78"</f>
        <v>0.78</v>
      </c>
      <c r="C14910" t="str">
        <f>"24"</f>
        <v>24</v>
      </c>
      <c r="D14910" t="str">
        <f>"Esau Mwamwaya and Radioclit are the Very Best"</f>
        <v>Esau Mwamwaya and Radioclit are the Very Best</v>
      </c>
    </row>
    <row r="14911" spans="1:4" x14ac:dyDescent="0.2">
      <c r="A14911" t="str">
        <f>"14910"</f>
        <v>14910</v>
      </c>
      <c r="B14911" t="str">
        <f>"1.01"</f>
        <v>1.01</v>
      </c>
      <c r="C14911" t="str">
        <f>"23"</f>
        <v>23</v>
      </c>
      <c r="D14911" t="str">
        <f>"Beauty Dies EP"</f>
        <v>Beauty Dies EP</v>
      </c>
    </row>
    <row r="14912" spans="1:4" x14ac:dyDescent="0.2">
      <c r="A14912" t="str">
        <f>"14911"</f>
        <v>14911</v>
      </c>
      <c r="B14912" t="str">
        <f>"0.75"</f>
        <v>0.75</v>
      </c>
      <c r="C14912" t="str">
        <f>"13"</f>
        <v>13</v>
      </c>
      <c r="D14912" t="str">
        <f>"Acoustics EP"</f>
        <v>Acoustics EP</v>
      </c>
    </row>
    <row r="14913" spans="1:4" x14ac:dyDescent="0.2">
      <c r="A14913" t="str">
        <f>"14912"</f>
        <v>14912</v>
      </c>
      <c r="B14913" t="str">
        <f>"-0.25"</f>
        <v>-0.25</v>
      </c>
      <c r="C14913" t="str">
        <f>"18"</f>
        <v>18</v>
      </c>
      <c r="D14913" t="str">
        <f>"Ladyhawke"</f>
        <v>Ladyhawke</v>
      </c>
    </row>
    <row r="14914" spans="1:4" x14ac:dyDescent="0.2">
      <c r="A14914" t="str">
        <f>"14913"</f>
        <v>14913</v>
      </c>
      <c r="B14914" t="str">
        <f>"0.18"</f>
        <v>0.18</v>
      </c>
      <c r="C14914" t="str">
        <f>"19"</f>
        <v>19</v>
      </c>
      <c r="D14914" t="str">
        <f>"Adventure"</f>
        <v>Adventure</v>
      </c>
    </row>
    <row r="14915" spans="1:4" x14ac:dyDescent="0.2">
      <c r="A14915" t="str">
        <f>"14914"</f>
        <v>14914</v>
      </c>
      <c r="B14915" t="str">
        <f>"0.7"</f>
        <v>0.7</v>
      </c>
      <c r="C14915" t="str">
        <f>"44"</f>
        <v>44</v>
      </c>
      <c r="D14915" t="str">
        <f>"The Reminder: Deluxe Edition"</f>
        <v>The Reminder: Deluxe Edition</v>
      </c>
    </row>
    <row r="14916" spans="1:4" x14ac:dyDescent="0.2">
      <c r="A14916" t="str">
        <f>"14915"</f>
        <v>14915</v>
      </c>
      <c r="B14916" t="str">
        <f>"0.18"</f>
        <v>0.18</v>
      </c>
      <c r="C14916" t="str">
        <f>"46"</f>
        <v>46</v>
      </c>
      <c r="D14916" t="str">
        <f>"Black Sea"</f>
        <v>Black Sea</v>
      </c>
    </row>
    <row r="14917" spans="1:4" x14ac:dyDescent="0.2">
      <c r="A14917" t="str">
        <f>"14916"</f>
        <v>14916</v>
      </c>
      <c r="B14917" t="str">
        <f>"0.94"</f>
        <v>0.94</v>
      </c>
      <c r="C14917" t="str">
        <f>"20"</f>
        <v>20</v>
      </c>
      <c r="D14917" t="str">
        <f>"Welcome to the Night Sky"</f>
        <v>Welcome to the Night Sky</v>
      </c>
    </row>
    <row r="14918" spans="1:4" x14ac:dyDescent="0.2">
      <c r="A14918" t="str">
        <f>"14917"</f>
        <v>14917</v>
      </c>
      <c r="B14918" t="str">
        <f>"-0.57"</f>
        <v>-0.57</v>
      </c>
      <c r="C14918" t="str">
        <f>"26"</f>
        <v>26</v>
      </c>
      <c r="D14918" t="str">
        <f>"Challenger"</f>
        <v>Challenger</v>
      </c>
    </row>
    <row r="14919" spans="1:4" x14ac:dyDescent="0.2">
      <c r="A14919" t="str">
        <f>"14918"</f>
        <v>14918</v>
      </c>
      <c r="B14919" t="str">
        <f>"-0.75"</f>
        <v>-0.75</v>
      </c>
      <c r="C14919" t="str">
        <f>"24"</f>
        <v>24</v>
      </c>
      <c r="D14919" t="str">
        <f>"Far Flung Hum"</f>
        <v>Far Flung Hum</v>
      </c>
    </row>
    <row r="14920" spans="1:4" x14ac:dyDescent="0.2">
      <c r="A14920" t="str">
        <f>"14919"</f>
        <v>14919</v>
      </c>
      <c r="B14920" t="str">
        <f>"-0.46"</f>
        <v>-0.46</v>
      </c>
      <c r="C14920" t="str">
        <f>"60"</f>
        <v>60</v>
      </c>
      <c r="D14920" t="str">
        <f>"808s and Heartbreak"</f>
        <v>808s and Heartbreak</v>
      </c>
    </row>
    <row r="14921" spans="1:4" x14ac:dyDescent="0.2">
      <c r="A14921" t="str">
        <f>"14920"</f>
        <v>14920</v>
      </c>
      <c r="B14921" t="str">
        <f>"-0.27"</f>
        <v>-0.27</v>
      </c>
      <c r="C14921" t="str">
        <f>"27"</f>
        <v>27</v>
      </c>
      <c r="D14921" t="str">
        <f>"My Mistakes Were Made for You EP"</f>
        <v>My Mistakes Were Made for You EP</v>
      </c>
    </row>
    <row r="14922" spans="1:4" x14ac:dyDescent="0.2">
      <c r="A14922" t="str">
        <f>"14921"</f>
        <v>14921</v>
      </c>
      <c r="B14922" t="str">
        <f>"1.04"</f>
        <v>1.04</v>
      </c>
      <c r="C14922" t="str">
        <f>"28"</f>
        <v>28</v>
      </c>
      <c r="D14922" t="str">
        <f>"I Love Dubstep"</f>
        <v>I Love Dubstep</v>
      </c>
    </row>
    <row r="14923" spans="1:4" x14ac:dyDescent="0.2">
      <c r="A14923" t="str">
        <f>"14922"</f>
        <v>14922</v>
      </c>
      <c r="B14923" t="str">
        <f>"-1.1"</f>
        <v>-1.1</v>
      </c>
      <c r="C14923" t="str">
        <f>"30"</f>
        <v>30</v>
      </c>
      <c r="D14923" t="str">
        <f>"Walking on a Dream"</f>
        <v>Walking on a Dream</v>
      </c>
    </row>
    <row r="14924" spans="1:4" x14ac:dyDescent="0.2">
      <c r="A14924" t="str">
        <f>"14923"</f>
        <v>14923</v>
      </c>
      <c r="B14924" t="str">
        <f>"-0.53"</f>
        <v>-0.53</v>
      </c>
      <c r="C14924" t="str">
        <f>"20"</f>
        <v>20</v>
      </c>
      <c r="D14924" t="str">
        <f>"Beating Back the Claws of the Cold"</f>
        <v>Beating Back the Claws of the Cold</v>
      </c>
    </row>
    <row r="14925" spans="1:4" x14ac:dyDescent="0.2">
      <c r="A14925" t="str">
        <f>"14924"</f>
        <v>14924</v>
      </c>
      <c r="B14925" t="str">
        <f>"-0.63"</f>
        <v>-0.63</v>
      </c>
      <c r="C14925" t="str">
        <f>"33"</f>
        <v>33</v>
      </c>
      <c r="D14925" t="str">
        <f>"Chinese Democracy"</f>
        <v>Chinese Democracy</v>
      </c>
    </row>
    <row r="14926" spans="1:4" x14ac:dyDescent="0.2">
      <c r="A14926" t="str">
        <f>"14925"</f>
        <v>14925</v>
      </c>
      <c r="B14926" t="str">
        <f>"1.28"</f>
        <v>1.28</v>
      </c>
      <c r="C14926" t="str">
        <f>"16"</f>
        <v>16</v>
      </c>
      <c r="D14926" t="str">
        <f>"Always the Bridesmaid EP"</f>
        <v>Always the Bridesmaid EP</v>
      </c>
    </row>
    <row r="14927" spans="1:4" x14ac:dyDescent="0.2">
      <c r="A14927" t="str">
        <f>"14926"</f>
        <v>14926</v>
      </c>
      <c r="B14927" t="str">
        <f>"-0.63"</f>
        <v>-0.63</v>
      </c>
      <c r="C14927" t="str">
        <f>"42"</f>
        <v>42</v>
      </c>
      <c r="D14927" t="str">
        <f>"Dolores"</f>
        <v>Dolores</v>
      </c>
    </row>
    <row r="14928" spans="1:4" x14ac:dyDescent="0.2">
      <c r="A14928" t="str">
        <f>"14927"</f>
        <v>14927</v>
      </c>
      <c r="B14928" t="str">
        <f>"-1.23"</f>
        <v>-1.23</v>
      </c>
      <c r="C14928" t="str">
        <f>"30"</f>
        <v>30</v>
      </c>
      <c r="D14928" t="str">
        <f>"Remind Me in 3 Days"</f>
        <v>Remind Me in 3 Days</v>
      </c>
    </row>
    <row r="14929" spans="1:4" x14ac:dyDescent="0.2">
      <c r="A14929" t="str">
        <f>"14928"</f>
        <v>14928</v>
      </c>
      <c r="B14929" t="str">
        <f>"0.31"</f>
        <v>0.31</v>
      </c>
      <c r="C14929" t="str">
        <f>"19"</f>
        <v>19</v>
      </c>
      <c r="D14929" t="str">
        <f>"Rio"</f>
        <v>Rio</v>
      </c>
    </row>
    <row r="14930" spans="1:4" x14ac:dyDescent="0.2">
      <c r="A14930" t="str">
        <f>"14929"</f>
        <v>14929</v>
      </c>
      <c r="B14930" t="str">
        <f>"0.1"</f>
        <v>0.1</v>
      </c>
      <c r="C14930" t="str">
        <f>"27"</f>
        <v>27</v>
      </c>
      <c r="D14930" t="str">
        <f>"Something About Airplanes"</f>
        <v>Something About Airplanes</v>
      </c>
    </row>
    <row r="14931" spans="1:4" x14ac:dyDescent="0.2">
      <c r="A14931" t="str">
        <f>"14930"</f>
        <v>14930</v>
      </c>
      <c r="B14931" t="str">
        <f>"0.82"</f>
        <v>0.82</v>
      </c>
      <c r="C14931" t="str">
        <f>"27"</f>
        <v>27</v>
      </c>
      <c r="D14931" t="str">
        <f>"Love Train: The Sound of Philadelphia"</f>
        <v>Love Train: The Sound of Philadelphia</v>
      </c>
    </row>
    <row r="14932" spans="1:4" x14ac:dyDescent="0.2">
      <c r="A14932" t="str">
        <f>"14931"</f>
        <v>14931</v>
      </c>
      <c r="B14932" t="str">
        <f>"0.13"</f>
        <v>0.13</v>
      </c>
      <c r="C14932" t="str">
        <f>"26"</f>
        <v>26</v>
      </c>
      <c r="D14932" t="s">
        <v>467</v>
      </c>
    </row>
    <row r="14933" spans="1:4" x14ac:dyDescent="0.2">
      <c r="A14933" t="str">
        <f>"14932"</f>
        <v>14932</v>
      </c>
      <c r="B14933" t="str">
        <f>"0.57"</f>
        <v>0.57</v>
      </c>
      <c r="C14933" t="str">
        <f>"19"</f>
        <v>19</v>
      </c>
      <c r="D14933" t="str">
        <f>"The Singing Saw at Christmastime"</f>
        <v>The Singing Saw at Christmastime</v>
      </c>
    </row>
    <row r="14934" spans="1:4" x14ac:dyDescent="0.2">
      <c r="A14934" t="str">
        <f>"14933"</f>
        <v>14933</v>
      </c>
      <c r="B14934" t="str">
        <f>"-0.05"</f>
        <v>-0.05</v>
      </c>
      <c r="C14934" t="str">
        <f>"44"</f>
        <v>44</v>
      </c>
      <c r="D14934" t="str">
        <f>"The Way of All Flesh"</f>
        <v>The Way of All Flesh</v>
      </c>
    </row>
    <row r="14935" spans="1:4" x14ac:dyDescent="0.2">
      <c r="A14935" t="str">
        <f>"14934"</f>
        <v>14934</v>
      </c>
      <c r="B14935" t="str">
        <f>"0.49"</f>
        <v>0.49</v>
      </c>
      <c r="C14935" t="str">
        <f>"44"</f>
        <v>44</v>
      </c>
      <c r="D14935" t="str">
        <f>"Prospekt’s March EP"</f>
        <v>Prospekt’s March EP</v>
      </c>
    </row>
    <row r="14936" spans="1:4" x14ac:dyDescent="0.2">
      <c r="A14936" t="str">
        <f>"14935"</f>
        <v>14935</v>
      </c>
      <c r="B14936" t="str">
        <f>"-0.79"</f>
        <v>-0.79</v>
      </c>
      <c r="C14936" t="str">
        <f>"34"</f>
        <v>34</v>
      </c>
      <c r="D14936" t="str">
        <f>"Wu: The Story of the Wu-Tang Clan"</f>
        <v>Wu: The Story of the Wu-Tang Clan</v>
      </c>
    </row>
    <row r="14937" spans="1:4" x14ac:dyDescent="0.2">
      <c r="A14937" t="str">
        <f>"14936"</f>
        <v>14936</v>
      </c>
      <c r="B14937" t="str">
        <f>"0"</f>
        <v>0</v>
      </c>
      <c r="C14937" t="str">
        <f>"35"</f>
        <v>35</v>
      </c>
      <c r="D14937" t="str">
        <f>"The '59 Sound"</f>
        <v>The '59 Sound</v>
      </c>
    </row>
    <row r="14938" spans="1:4" x14ac:dyDescent="0.2">
      <c r="A14938" t="str">
        <f>"14937"</f>
        <v>14937</v>
      </c>
      <c r="B14938" t="str">
        <f>"-0.05"</f>
        <v>-0.05</v>
      </c>
      <c r="C14938" t="str">
        <f>"22"</f>
        <v>22</v>
      </c>
      <c r="D14938" t="str">
        <f>"Drippers EP"</f>
        <v>Drippers EP</v>
      </c>
    </row>
    <row r="14939" spans="1:4" x14ac:dyDescent="0.2">
      <c r="A14939" t="str">
        <f>"14938"</f>
        <v>14938</v>
      </c>
      <c r="B14939" t="str">
        <f>"0.97"</f>
        <v>0.97</v>
      </c>
      <c r="C14939" t="str">
        <f>"39"</f>
        <v>39</v>
      </c>
      <c r="D14939" t="str">
        <f>"Eccentric Soul: The Young Disciples"</f>
        <v>Eccentric Soul: The Young Disciples</v>
      </c>
    </row>
    <row r="14940" spans="1:4" x14ac:dyDescent="0.2">
      <c r="A14940" t="str">
        <f>"14939"</f>
        <v>14939</v>
      </c>
      <c r="B14940" t="str">
        <f>"0.32"</f>
        <v>0.32</v>
      </c>
      <c r="C14940" t="str">
        <f>"39"</f>
        <v>39</v>
      </c>
      <c r="D14940" t="str">
        <f>"Murmur [Deluxe Edition]"</f>
        <v>Murmur [Deluxe Edition]</v>
      </c>
    </row>
    <row r="14941" spans="1:4" x14ac:dyDescent="0.2">
      <c r="A14941" t="str">
        <f>"14940"</f>
        <v>14940</v>
      </c>
      <c r="B14941" t="str">
        <f>"0.92"</f>
        <v>0.92</v>
      </c>
      <c r="C14941" t="str">
        <f>"26"</f>
        <v>26</v>
      </c>
      <c r="D14941" t="str">
        <f>"Electric Arguments"</f>
        <v>Electric Arguments</v>
      </c>
    </row>
    <row r="14942" spans="1:4" x14ac:dyDescent="0.2">
      <c r="A14942" t="str">
        <f>"14941"</f>
        <v>14941</v>
      </c>
      <c r="B14942" t="str">
        <f>"-0.77"</f>
        <v>-0.77</v>
      </c>
      <c r="C14942" t="str">
        <f>"27"</f>
        <v>27</v>
      </c>
      <c r="D14942" t="str">
        <f>"Tronic"</f>
        <v>Tronic</v>
      </c>
    </row>
    <row r="14943" spans="1:4" x14ac:dyDescent="0.2">
      <c r="A14943" t="str">
        <f>"14942"</f>
        <v>14942</v>
      </c>
      <c r="B14943" t="str">
        <f>"-0.43"</f>
        <v>-0.43</v>
      </c>
      <c r="C14943" t="str">
        <f>"33"</f>
        <v>33</v>
      </c>
      <c r="D14943" t="str">
        <f>"You'll Never Play This Town Again"</f>
        <v>You'll Never Play This Town Again</v>
      </c>
    </row>
    <row r="14944" spans="1:4" x14ac:dyDescent="0.2">
      <c r="A14944" t="str">
        <f>"14943"</f>
        <v>14943</v>
      </c>
      <c r="B14944" t="str">
        <f>"-1.22"</f>
        <v>-1.22</v>
      </c>
      <c r="C14944" t="str">
        <f>"16"</f>
        <v>16</v>
      </c>
      <c r="D14944" t="str">
        <f>"Canopy Glow"</f>
        <v>Canopy Glow</v>
      </c>
    </row>
    <row r="14945" spans="1:4" x14ac:dyDescent="0.2">
      <c r="A14945" t="str">
        <f>"14944"</f>
        <v>14944</v>
      </c>
      <c r="B14945" t="str">
        <f>"0.31"</f>
        <v>0.31</v>
      </c>
      <c r="C14945" t="str">
        <f>"27"</f>
        <v>27</v>
      </c>
      <c r="D14945" t="str">
        <f>"Rubbed Out"</f>
        <v>Rubbed Out</v>
      </c>
    </row>
    <row r="14946" spans="1:4" x14ac:dyDescent="0.2">
      <c r="A14946" t="str">
        <f>"14945"</f>
        <v>14945</v>
      </c>
      <c r="B14946" t="str">
        <f>"-0.13"</f>
        <v>-0.13</v>
      </c>
      <c r="C14946" t="str">
        <f>"31"</f>
        <v>31</v>
      </c>
      <c r="D14946" t="str">
        <f>"I Am... Sasha Fierce"</f>
        <v>I Am... Sasha Fierce</v>
      </c>
    </row>
    <row r="14947" spans="1:4" x14ac:dyDescent="0.2">
      <c r="A14947" t="str">
        <f>"14946"</f>
        <v>14946</v>
      </c>
      <c r="B14947" t="str">
        <f>"0.13"</f>
        <v>0.13</v>
      </c>
      <c r="C14947" t="str">
        <f>"33"</f>
        <v>33</v>
      </c>
      <c r="D14947" t="str">
        <f>"Hurricane"</f>
        <v>Hurricane</v>
      </c>
    </row>
    <row r="14948" spans="1:4" x14ac:dyDescent="0.2">
      <c r="A14948" t="str">
        <f>"14947"</f>
        <v>14947</v>
      </c>
      <c r="B14948" t="str">
        <f>"0.56"</f>
        <v>0.56</v>
      </c>
      <c r="C14948" t="str">
        <f>"19"</f>
        <v>19</v>
      </c>
      <c r="D14948" t="str">
        <f>"(k)no(w)here"</f>
        <v>(k)no(w)here</v>
      </c>
    </row>
    <row r="14949" spans="1:4" x14ac:dyDescent="0.2">
      <c r="A14949" t="str">
        <f>"14948"</f>
        <v>14948</v>
      </c>
      <c r="B14949" t="str">
        <f>"-0.15"</f>
        <v>-0.15</v>
      </c>
      <c r="C14949" t="str">
        <f>"28"</f>
        <v>28</v>
      </c>
      <c r="D14949" t="str">
        <f>"Stick 2 the Script"</f>
        <v>Stick 2 the Script</v>
      </c>
    </row>
    <row r="14950" spans="1:4" x14ac:dyDescent="0.2">
      <c r="A14950" t="str">
        <f>"14949"</f>
        <v>14949</v>
      </c>
      <c r="B14950" t="str">
        <f>"-0.72"</f>
        <v>-0.72</v>
      </c>
      <c r="C14950" t="str">
        <f>"44"</f>
        <v>44</v>
      </c>
      <c r="D14950" t="str">
        <f>"Dedication 3"</f>
        <v>Dedication 3</v>
      </c>
    </row>
    <row r="14951" spans="1:4" x14ac:dyDescent="0.2">
      <c r="A14951" t="str">
        <f>"14950"</f>
        <v>14950</v>
      </c>
      <c r="B14951" t="str">
        <f>"1.42"</f>
        <v>1.42</v>
      </c>
      <c r="C14951" t="str">
        <f>"27"</f>
        <v>27</v>
      </c>
      <c r="D14951" t="str">
        <f>"First Frost"</f>
        <v>First Frost</v>
      </c>
    </row>
    <row r="14952" spans="1:4" x14ac:dyDescent="0.2">
      <c r="A14952" t="str">
        <f>"14951"</f>
        <v>14951</v>
      </c>
      <c r="B14952" t="str">
        <f>"-0.05"</f>
        <v>-0.05</v>
      </c>
      <c r="C14952" t="str">
        <f>"35"</f>
        <v>35</v>
      </c>
      <c r="D14952" t="str">
        <f>"Dømkirke"</f>
        <v>Dømkirke</v>
      </c>
    </row>
    <row r="14953" spans="1:4" x14ac:dyDescent="0.2">
      <c r="A14953" t="str">
        <f>"14952"</f>
        <v>14952</v>
      </c>
      <c r="B14953" t="str">
        <f>"0.96"</f>
        <v>0.96</v>
      </c>
      <c r="C14953" t="str">
        <f>"28"</f>
        <v>28</v>
      </c>
      <c r="D14953" t="str">
        <f>"Footnotes 92-94"</f>
        <v>Footnotes 92-94</v>
      </c>
    </row>
    <row r="14954" spans="1:4" x14ac:dyDescent="0.2">
      <c r="A14954" t="str">
        <f>"14953"</f>
        <v>14953</v>
      </c>
      <c r="B14954" t="str">
        <f>"0.15"</f>
        <v>0.15</v>
      </c>
      <c r="C14954" t="str">
        <f>"26"</f>
        <v>26</v>
      </c>
      <c r="D14954" t="str">
        <f>"Stereo Image"</f>
        <v>Stereo Image</v>
      </c>
    </row>
    <row r="14955" spans="1:4" x14ac:dyDescent="0.2">
      <c r="A14955" t="str">
        <f>"14954"</f>
        <v>14954</v>
      </c>
      <c r="B14955" t="str">
        <f>"0.29"</f>
        <v>0.29</v>
      </c>
      <c r="C14955" t="str">
        <f>"42"</f>
        <v>42</v>
      </c>
      <c r="D14955" t="str">
        <f>"The BBC Sessions"</f>
        <v>The BBC Sessions</v>
      </c>
    </row>
    <row r="14956" spans="1:4" x14ac:dyDescent="0.2">
      <c r="A14956" t="str">
        <f>"14955"</f>
        <v>14955</v>
      </c>
      <c r="B14956" t="str">
        <f>"1.23"</f>
        <v>1.23</v>
      </c>
      <c r="C14956" t="str">
        <f>"29"</f>
        <v>29</v>
      </c>
      <c r="D14956" t="str">
        <f>"Budokan!"</f>
        <v>Budokan!</v>
      </c>
    </row>
    <row r="14957" spans="1:4" x14ac:dyDescent="0.2">
      <c r="A14957" t="str">
        <f>"14956"</f>
        <v>14956</v>
      </c>
      <c r="B14957" t="str">
        <f>"-0.29"</f>
        <v>-0.29</v>
      </c>
      <c r="C14957" t="str">
        <f>"27"</f>
        <v>27</v>
      </c>
      <c r="D14957" t="str">
        <f>"Arrowhead"</f>
        <v>Arrowhead</v>
      </c>
    </row>
    <row r="14958" spans="1:4" x14ac:dyDescent="0.2">
      <c r="A14958" t="str">
        <f>"14957"</f>
        <v>14957</v>
      </c>
      <c r="B14958" t="str">
        <f>"0.88"</f>
        <v>0.88</v>
      </c>
      <c r="C14958" t="str">
        <f>"21"</f>
        <v>21</v>
      </c>
      <c r="D14958" t="str">
        <f>"Cream Cuts"</f>
        <v>Cream Cuts</v>
      </c>
    </row>
    <row r="14959" spans="1:4" x14ac:dyDescent="0.2">
      <c r="A14959" t="str">
        <f>"14958"</f>
        <v>14958</v>
      </c>
      <c r="B14959" t="str">
        <f>"-0.53"</f>
        <v>-0.53</v>
      </c>
      <c r="C14959" t="str">
        <f>"22"</f>
        <v>22</v>
      </c>
      <c r="D14959" t="s">
        <v>468</v>
      </c>
    </row>
    <row r="14960" spans="1:4" x14ac:dyDescent="0.2">
      <c r="A14960" t="str">
        <f>"14959"</f>
        <v>14959</v>
      </c>
      <c r="B14960" t="str">
        <f>"0.69"</f>
        <v>0.69</v>
      </c>
      <c r="C14960" t="str">
        <f>"25"</f>
        <v>25</v>
      </c>
      <c r="D14960" t="str">
        <f>"Welcome to Mali"</f>
        <v>Welcome to Mali</v>
      </c>
    </row>
    <row r="14961" spans="1:4" x14ac:dyDescent="0.2">
      <c r="A14961" t="str">
        <f>"14960"</f>
        <v>14960</v>
      </c>
      <c r="B14961" t="str">
        <f>"-0.42"</f>
        <v>-0.42</v>
      </c>
      <c r="C14961" t="str">
        <f>"37"</f>
        <v>37</v>
      </c>
      <c r="D14961" t="s">
        <v>469</v>
      </c>
    </row>
    <row r="14962" spans="1:4" x14ac:dyDescent="0.2">
      <c r="A14962" t="str">
        <f>"14961"</f>
        <v>14961</v>
      </c>
      <c r="B14962" t="str">
        <f>"-0.02"</f>
        <v>-0.02</v>
      </c>
      <c r="C14962" t="str">
        <f>"22"</f>
        <v>22</v>
      </c>
      <c r="D14962" t="str">
        <f>"Sound Sculptures Volume 1"</f>
        <v>Sound Sculptures Volume 1</v>
      </c>
    </row>
    <row r="14963" spans="1:4" x14ac:dyDescent="0.2">
      <c r="A14963" t="str">
        <f>"14962"</f>
        <v>14962</v>
      </c>
      <c r="B14963" t="str">
        <f>"1.58"</f>
        <v>1.58</v>
      </c>
      <c r="C14963" t="str">
        <f>"29"</f>
        <v>29</v>
      </c>
      <c r="D14963" t="str">
        <f>"Yancey Boys"</f>
        <v>Yancey Boys</v>
      </c>
    </row>
    <row r="14964" spans="1:4" x14ac:dyDescent="0.2">
      <c r="A14964" t="str">
        <f>"14963"</f>
        <v>14963</v>
      </c>
      <c r="B14964" t="str">
        <f>"0.71"</f>
        <v>0.71</v>
      </c>
      <c r="C14964" t="str">
        <f>"23"</f>
        <v>23</v>
      </c>
      <c r="D14964" t="str">
        <f>"Play"</f>
        <v>Play</v>
      </c>
    </row>
    <row r="14965" spans="1:4" x14ac:dyDescent="0.2">
      <c r="A14965" t="str">
        <f>"14964"</f>
        <v>14964</v>
      </c>
      <c r="B14965" t="str">
        <f>"0.63"</f>
        <v>0.63</v>
      </c>
      <c r="C14965" t="str">
        <f>"33"</f>
        <v>33</v>
      </c>
      <c r="D14965" t="str">
        <f>"Parallax Error Beheads You"</f>
        <v>Parallax Error Beheads You</v>
      </c>
    </row>
    <row r="14966" spans="1:4" x14ac:dyDescent="0.2">
      <c r="A14966" t="str">
        <f>"14965"</f>
        <v>14965</v>
      </c>
      <c r="B14966" t="str">
        <f>"-0.38"</f>
        <v>-0.38</v>
      </c>
      <c r="C14966" t="str">
        <f>"21"</f>
        <v>21</v>
      </c>
      <c r="D14966" t="str">
        <f>"NYC"</f>
        <v>NYC</v>
      </c>
    </row>
    <row r="14967" spans="1:4" x14ac:dyDescent="0.2">
      <c r="A14967" t="str">
        <f>"14966"</f>
        <v>14966</v>
      </c>
      <c r="B14967" t="str">
        <f>"0.7"</f>
        <v>0.7</v>
      </c>
      <c r="C14967" t="str">
        <f>"17"</f>
        <v>17</v>
      </c>
      <c r="D14967" t="str">
        <f>"Exposion"</f>
        <v>Exposion</v>
      </c>
    </row>
    <row r="14968" spans="1:4" x14ac:dyDescent="0.2">
      <c r="A14968" t="str">
        <f>"14967"</f>
        <v>14967</v>
      </c>
      <c r="B14968" t="str">
        <f>"0.53"</f>
        <v>0.53</v>
      </c>
      <c r="C14968" t="str">
        <f>"21"</f>
        <v>21</v>
      </c>
      <c r="D14968" t="str">
        <f>"Hallam Foe OST"</f>
        <v>Hallam Foe OST</v>
      </c>
    </row>
    <row r="14969" spans="1:4" x14ac:dyDescent="0.2">
      <c r="A14969" t="str">
        <f>"14968"</f>
        <v>14968</v>
      </c>
      <c r="B14969" t="str">
        <f>"-0.89"</f>
        <v>-0.89</v>
      </c>
      <c r="C14969" t="str">
        <f>"35"</f>
        <v>35</v>
      </c>
      <c r="D14969" t="str">
        <f>"Crack"</f>
        <v>Crack</v>
      </c>
    </row>
    <row r="14970" spans="1:4" x14ac:dyDescent="0.2">
      <c r="A14970" t="str">
        <f>"14969"</f>
        <v>14969</v>
      </c>
      <c r="B14970" t="str">
        <f>"0.01"</f>
        <v>0.01</v>
      </c>
      <c r="C14970" t="str">
        <f>"27"</f>
        <v>27</v>
      </c>
      <c r="D14970" t="str">
        <f>"Trying Hartz"</f>
        <v>Trying Hartz</v>
      </c>
    </row>
    <row r="14971" spans="1:4" x14ac:dyDescent="0.2">
      <c r="A14971" t="str">
        <f>"14970"</f>
        <v>14970</v>
      </c>
      <c r="B14971" t="str">
        <f>"0.25"</f>
        <v>0.25</v>
      </c>
      <c r="C14971" t="str">
        <f>"26"</f>
        <v>26</v>
      </c>
      <c r="D14971" t="str">
        <f>"Body Language Vol. 7"</f>
        <v>Body Language Vol. 7</v>
      </c>
    </row>
    <row r="14972" spans="1:4" x14ac:dyDescent="0.2">
      <c r="A14972" t="str">
        <f>"14971"</f>
        <v>14971</v>
      </c>
      <c r="B14972" t="str">
        <f>"1.22"</f>
        <v>1.22</v>
      </c>
      <c r="C14972" t="str">
        <f>"25"</f>
        <v>25</v>
      </c>
      <c r="D14972" t="str">
        <f>"By-the-Numbers"</f>
        <v>By-the-Numbers</v>
      </c>
    </row>
    <row r="14973" spans="1:4" x14ac:dyDescent="0.2">
      <c r="A14973" t="str">
        <f>"14972"</f>
        <v>14972</v>
      </c>
      <c r="B14973" t="str">
        <f>"-0.02"</f>
        <v>-0.02</v>
      </c>
      <c r="C14973" t="str">
        <f>"23"</f>
        <v>23</v>
      </c>
      <c r="D14973" t="str">
        <f>"Silence Is Wild"</f>
        <v>Silence Is Wild</v>
      </c>
    </row>
    <row r="14974" spans="1:4" x14ac:dyDescent="0.2">
      <c r="A14974" t="str">
        <f>"14973"</f>
        <v>14973</v>
      </c>
      <c r="B14974" t="str">
        <f>"0.01"</f>
        <v>0.01</v>
      </c>
      <c r="C14974" t="str">
        <f>"14"</f>
        <v>14</v>
      </c>
      <c r="D14974" t="str">
        <f>"Starfucker"</f>
        <v>Starfucker</v>
      </c>
    </row>
    <row r="14975" spans="1:4" x14ac:dyDescent="0.2">
      <c r="A14975" t="str">
        <f>"14974"</f>
        <v>14974</v>
      </c>
      <c r="B14975" t="str">
        <f>"0.14"</f>
        <v>0.14</v>
      </c>
      <c r="C14975" t="str">
        <f>"18"</f>
        <v>18</v>
      </c>
      <c r="D14975" t="str">
        <f>"A Hundred Things Keep Me Up at Night"</f>
        <v>A Hundred Things Keep Me Up at Night</v>
      </c>
    </row>
    <row r="14976" spans="1:4" x14ac:dyDescent="0.2">
      <c r="A14976" t="str">
        <f>"14975"</f>
        <v>14975</v>
      </c>
      <c r="B14976" t="str">
        <f>"0.64"</f>
        <v>0.64</v>
      </c>
      <c r="C14976" t="str">
        <f>"21"</f>
        <v>21</v>
      </c>
      <c r="D14976" t="str">
        <f>"Fordlândia"</f>
        <v>Fordlândia</v>
      </c>
    </row>
    <row r="14977" spans="1:4" x14ac:dyDescent="0.2">
      <c r="A14977" t="str">
        <f>"14976"</f>
        <v>14976</v>
      </c>
      <c r="B14977" t="str">
        <f>"-0.13"</f>
        <v>-0.13</v>
      </c>
      <c r="C14977" t="str">
        <f>"32"</f>
        <v>32</v>
      </c>
      <c r="D14977" t="str">
        <f>"Neji/Tori"</f>
        <v>Neji/Tori</v>
      </c>
    </row>
    <row r="14978" spans="1:4" x14ac:dyDescent="0.2">
      <c r="A14978" t="str">
        <f>"14977"</f>
        <v>14977</v>
      </c>
      <c r="B14978" t="str">
        <f>"-0.3"</f>
        <v>-0.3</v>
      </c>
      <c r="C14978" t="str">
        <f>"21"</f>
        <v>21</v>
      </c>
      <c r="D14978" t="str">
        <f>"Nights Out"</f>
        <v>Nights Out</v>
      </c>
    </row>
    <row r="14979" spans="1:4" x14ac:dyDescent="0.2">
      <c r="A14979" t="str">
        <f>"14978"</f>
        <v>14978</v>
      </c>
      <c r="B14979" t="str">
        <f>"0.72"</f>
        <v>0.72</v>
      </c>
      <c r="C14979" t="str">
        <f>"24"</f>
        <v>24</v>
      </c>
      <c r="D14979" t="str">
        <f>"Nature's Got Away"</f>
        <v>Nature's Got Away</v>
      </c>
    </row>
    <row r="14980" spans="1:4" x14ac:dyDescent="0.2">
      <c r="A14980" t="str">
        <f>"14979"</f>
        <v>14979</v>
      </c>
      <c r="B14980" t="str">
        <f>"0.04"</f>
        <v>0.04</v>
      </c>
      <c r="C14980" t="str">
        <f>"46"</f>
        <v>46</v>
      </c>
      <c r="D14980" t="str">
        <f>"Berlin: Live At St. Ann's Warehouse"</f>
        <v>Berlin: Live At St. Ann's Warehouse</v>
      </c>
    </row>
    <row r="14981" spans="1:4" x14ac:dyDescent="0.2">
      <c r="A14981" t="str">
        <f>"14980"</f>
        <v>14980</v>
      </c>
      <c r="B14981" t="str">
        <f>"0.2"</f>
        <v>0.2</v>
      </c>
      <c r="C14981" t="str">
        <f>"17"</f>
        <v>17</v>
      </c>
      <c r="D14981" t="str">
        <f>"Live at the Triple Door"</f>
        <v>Live at the Triple Door</v>
      </c>
    </row>
    <row r="14982" spans="1:4" x14ac:dyDescent="0.2">
      <c r="A14982" t="str">
        <f>"14981"</f>
        <v>14981</v>
      </c>
      <c r="B14982" t="str">
        <f>"1.01"</f>
        <v>1.01</v>
      </c>
      <c r="C14982" t="str">
        <f>"34"</f>
        <v>34</v>
      </c>
      <c r="D14982" t="str">
        <f>"Alpinisms"</f>
        <v>Alpinisms</v>
      </c>
    </row>
    <row r="14983" spans="1:4" x14ac:dyDescent="0.2">
      <c r="A14983" t="str">
        <f>"14982"</f>
        <v>14982</v>
      </c>
      <c r="B14983" t="str">
        <f>"-1.03"</f>
        <v>-1.03</v>
      </c>
      <c r="C14983" t="str">
        <f>"33"</f>
        <v>33</v>
      </c>
      <c r="D14983" t="str">
        <f>"Dark Developments"</f>
        <v>Dark Developments</v>
      </c>
    </row>
    <row r="14984" spans="1:4" x14ac:dyDescent="0.2">
      <c r="A14984" t="str">
        <f>"14983"</f>
        <v>14983</v>
      </c>
      <c r="B14984" t="str">
        <f>"-0.61"</f>
        <v>-0.61</v>
      </c>
      <c r="C14984" t="str">
        <f>"18"</f>
        <v>18</v>
      </c>
      <c r="D14984" t="str">
        <f>"JJ Got Live RaTX"</f>
        <v>JJ Got Live RaTX</v>
      </c>
    </row>
    <row r="14985" spans="1:4" x14ac:dyDescent="0.2">
      <c r="A14985" t="str">
        <f>"14984"</f>
        <v>14984</v>
      </c>
      <c r="B14985" t="str">
        <f>"0.01"</f>
        <v>0.01</v>
      </c>
      <c r="C14985" t="str">
        <f>"27"</f>
        <v>27</v>
      </c>
      <c r="D14985" t="str">
        <f>"The Renaissance"</f>
        <v>The Renaissance</v>
      </c>
    </row>
    <row r="14986" spans="1:4" x14ac:dyDescent="0.2">
      <c r="A14986" t="str">
        <f>"14985"</f>
        <v>14985</v>
      </c>
      <c r="B14986" t="str">
        <f>"-0.62"</f>
        <v>-0.62</v>
      </c>
      <c r="C14986" t="str">
        <f>"34"</f>
        <v>34</v>
      </c>
      <c r="D14986" t="str">
        <f>"There’s Me and There’s You"</f>
        <v>There’s Me and There’s You</v>
      </c>
    </row>
    <row r="14987" spans="1:4" x14ac:dyDescent="0.2">
      <c r="A14987" t="str">
        <f>"14986"</f>
        <v>14986</v>
      </c>
      <c r="B14987" t="str">
        <f>"0.2"</f>
        <v>0.2</v>
      </c>
      <c r="C14987" t="str">
        <f>"18"</f>
        <v>18</v>
      </c>
      <c r="D14987" t="str">
        <f>"With Blasphemy So Heartfelt"</f>
        <v>With Blasphemy So Heartfelt</v>
      </c>
    </row>
    <row r="14988" spans="1:4" x14ac:dyDescent="0.2">
      <c r="A14988" t="str">
        <f>"14987"</f>
        <v>14987</v>
      </c>
      <c r="B14988" t="str">
        <f>"0.85"</f>
        <v>0.85</v>
      </c>
      <c r="C14988" t="str">
        <f>"39"</f>
        <v>39</v>
      </c>
      <c r="D14988" t="str">
        <f>"Twilight of the Thunder God"</f>
        <v>Twilight of the Thunder God</v>
      </c>
    </row>
    <row r="14989" spans="1:4" x14ac:dyDescent="0.2">
      <c r="A14989" t="str">
        <f>"14988"</f>
        <v>14988</v>
      </c>
      <c r="B14989" t="str">
        <f>"0.25"</f>
        <v>0.25</v>
      </c>
      <c r="C14989" t="str">
        <f>"31"</f>
        <v>31</v>
      </c>
      <c r="D14989" t="str">
        <f>"Who Killed Harry Houdini?"</f>
        <v>Who Killed Harry Houdini?</v>
      </c>
    </row>
    <row r="14990" spans="1:4" x14ac:dyDescent="0.2">
      <c r="A14990" t="str">
        <f>"14989"</f>
        <v>14989</v>
      </c>
      <c r="B14990" t="str">
        <f>"1"</f>
        <v>1</v>
      </c>
      <c r="C14990" t="str">
        <f>"55"</f>
        <v>55</v>
      </c>
      <c r="D14990" t="str">
        <f>"Movement"</f>
        <v>Movement</v>
      </c>
    </row>
    <row r="14991" spans="1:4" x14ac:dyDescent="0.2">
      <c r="A14991" t="str">
        <f>"14990"</f>
        <v>14990</v>
      </c>
      <c r="B14991" t="str">
        <f>"0.34"</f>
        <v>0.34</v>
      </c>
      <c r="C14991" t="str">
        <f>"24"</f>
        <v>24</v>
      </c>
      <c r="D14991" t="str">
        <f>"Reefer"</f>
        <v>Reefer</v>
      </c>
    </row>
    <row r="14992" spans="1:4" x14ac:dyDescent="0.2">
      <c r="A14992" t="str">
        <f>"14991"</f>
        <v>14991</v>
      </c>
      <c r="B14992" t="str">
        <f>"0.58"</f>
        <v>0.58</v>
      </c>
      <c r="C14992" t="str">
        <f>"18"</f>
        <v>18</v>
      </c>
      <c r="D14992" t="str">
        <f>"Ode to J. Smith"</f>
        <v>Ode to J. Smith</v>
      </c>
    </row>
    <row r="14993" spans="1:4" x14ac:dyDescent="0.2">
      <c r="A14993" t="str">
        <f>"14992"</f>
        <v>14992</v>
      </c>
      <c r="B14993" t="str">
        <f>"-0.3"</f>
        <v>-0.3</v>
      </c>
      <c r="C14993" t="str">
        <f>"24"</f>
        <v>24</v>
      </c>
      <c r="D14993" t="str">
        <f>"Xs on Your Eyes"</f>
        <v>Xs on Your Eyes</v>
      </c>
    </row>
    <row r="14994" spans="1:4" x14ac:dyDescent="0.2">
      <c r="A14994" t="str">
        <f>"14993"</f>
        <v>14993</v>
      </c>
      <c r="B14994" t="str">
        <f>"-0.88"</f>
        <v>-0.88</v>
      </c>
      <c r="C14994" t="str">
        <f>"17"</f>
        <v>17</v>
      </c>
      <c r="D14994" t="str">
        <f>"Presents: Skull Gang Takeover"</f>
        <v>Presents: Skull Gang Takeover</v>
      </c>
    </row>
    <row r="14995" spans="1:4" x14ac:dyDescent="0.2">
      <c r="A14995" t="str">
        <f>"14994"</f>
        <v>14994</v>
      </c>
      <c r="B14995" t="str">
        <f>"-0.76"</f>
        <v>-0.76</v>
      </c>
      <c r="C14995" t="str">
        <f>"24"</f>
        <v>24</v>
      </c>
      <c r="D14995" t="str">
        <f>"Surfing"</f>
        <v>Surfing</v>
      </c>
    </row>
    <row r="14996" spans="1:4" x14ac:dyDescent="0.2">
      <c r="A14996" t="str">
        <f>"14995"</f>
        <v>14995</v>
      </c>
      <c r="B14996" t="str">
        <f>"1.36"</f>
        <v>1.36</v>
      </c>
      <c r="C14996" t="str">
        <f>"30"</f>
        <v>30</v>
      </c>
      <c r="D14996" t="str">
        <f>"Little Joy"</f>
        <v>Little Joy</v>
      </c>
    </row>
    <row r="14997" spans="1:4" x14ac:dyDescent="0.2">
      <c r="A14997" t="str">
        <f>"14996"</f>
        <v>14996</v>
      </c>
      <c r="B14997" t="str">
        <f>"1.33"</f>
        <v>1.33</v>
      </c>
      <c r="C14997" t="str">
        <f>"33"</f>
        <v>33</v>
      </c>
      <c r="D14997" t="str">
        <f>"Resurgam"</f>
        <v>Resurgam</v>
      </c>
    </row>
    <row r="14998" spans="1:4" x14ac:dyDescent="0.2">
      <c r="A14998" t="str">
        <f>"14997"</f>
        <v>14997</v>
      </c>
      <c r="B14998" t="str">
        <f>"-1.76"</f>
        <v>-1.76</v>
      </c>
      <c r="C14998" t="str">
        <f>"34"</f>
        <v>34</v>
      </c>
      <c r="D14998" t="str">
        <f>"Disgorge Mexico"</f>
        <v>Disgorge Mexico</v>
      </c>
    </row>
    <row r="14999" spans="1:4" x14ac:dyDescent="0.2">
      <c r="A14999" t="str">
        <f>"14998"</f>
        <v>14998</v>
      </c>
      <c r="B14999" t="str">
        <f>"0.38"</f>
        <v>0.38</v>
      </c>
      <c r="C14999" t="str">
        <f>"28"</f>
        <v>28</v>
      </c>
      <c r="D14999" t="str">
        <f>"Sebastien Grainger and the Mountains"</f>
        <v>Sebastien Grainger and the Mountains</v>
      </c>
    </row>
    <row r="15000" spans="1:4" x14ac:dyDescent="0.2">
      <c r="A15000" t="str">
        <f>"14999"</f>
        <v>14999</v>
      </c>
      <c r="B15000" t="str">
        <f>"1.1"</f>
        <v>1.1</v>
      </c>
      <c r="C15000" t="str">
        <f>"18"</f>
        <v>18</v>
      </c>
      <c r="D15000" t="str">
        <f>"Heart On"</f>
        <v>Heart On</v>
      </c>
    </row>
    <row r="15001" spans="1:4" x14ac:dyDescent="0.2">
      <c r="A15001" t="str">
        <f>"15000"</f>
        <v>15000</v>
      </c>
      <c r="B15001" t="str">
        <f>"0.46"</f>
        <v>0.46</v>
      </c>
      <c r="C15001" t="str">
        <f>"16"</f>
        <v>16</v>
      </c>
      <c r="D15001" t="str">
        <f>"Tapes"</f>
        <v>Tapes</v>
      </c>
    </row>
    <row r="15002" spans="1:4" x14ac:dyDescent="0.2">
      <c r="A15002" t="str">
        <f>"15001"</f>
        <v>15001</v>
      </c>
      <c r="B15002" t="str">
        <f>"-0.63"</f>
        <v>-0.63</v>
      </c>
      <c r="C15002" t="str">
        <f>"15"</f>
        <v>15</v>
      </c>
      <c r="D15002" t="str">
        <f>"The Inbetween"</f>
        <v>The Inbetween</v>
      </c>
    </row>
    <row r="15003" spans="1:4" x14ac:dyDescent="0.2">
      <c r="A15003" t="str">
        <f>"15002"</f>
        <v>15002</v>
      </c>
      <c r="B15003" t="str">
        <f>"-0.27"</f>
        <v>-0.27</v>
      </c>
      <c r="C15003" t="str">
        <f>"22"</f>
        <v>22</v>
      </c>
      <c r="D15003" t="str">
        <f>"Never Never Love"</f>
        <v>Never Never Love</v>
      </c>
    </row>
    <row r="15004" spans="1:4" x14ac:dyDescent="0.2">
      <c r="A15004" t="str">
        <f>"15003"</f>
        <v>15003</v>
      </c>
      <c r="B15004" t="str">
        <f>"0.1"</f>
        <v>0.1</v>
      </c>
      <c r="C15004" t="str">
        <f>"20"</f>
        <v>20</v>
      </c>
      <c r="D15004" t="str">
        <f>"Glorytellers"</f>
        <v>Glorytellers</v>
      </c>
    </row>
    <row r="15005" spans="1:4" x14ac:dyDescent="0.2">
      <c r="A15005" t="str">
        <f>"15004"</f>
        <v>15004</v>
      </c>
      <c r="B15005" t="str">
        <f>"-0.13"</f>
        <v>-0.13</v>
      </c>
      <c r="C15005" t="str">
        <f>"20"</f>
        <v>20</v>
      </c>
      <c r="D15005" t="str">
        <f>"A Hundred Million Suns"</f>
        <v>A Hundred Million Suns</v>
      </c>
    </row>
    <row r="15006" spans="1:4" x14ac:dyDescent="0.2">
      <c r="A15006" t="str">
        <f>"15005"</f>
        <v>15005</v>
      </c>
      <c r="B15006" t="str">
        <f>"0.31"</f>
        <v>0.31</v>
      </c>
      <c r="C15006" t="str">
        <f>"31"</f>
        <v>31</v>
      </c>
      <c r="D15006" t="str">
        <f>"Convivial"</f>
        <v>Convivial</v>
      </c>
    </row>
    <row r="15007" spans="1:4" x14ac:dyDescent="0.2">
      <c r="A15007" t="str">
        <f>"15006"</f>
        <v>15006</v>
      </c>
      <c r="B15007" t="str">
        <f>"0.83"</f>
        <v>0.83</v>
      </c>
      <c r="C15007" t="str">
        <f>"26"</f>
        <v>26</v>
      </c>
      <c r="D15007" t="str">
        <f>"Chunk of Change EP"</f>
        <v>Chunk of Change EP</v>
      </c>
    </row>
    <row r="15008" spans="1:4" x14ac:dyDescent="0.2">
      <c r="A15008" t="str">
        <f>"15007"</f>
        <v>15007</v>
      </c>
      <c r="B15008" t="str">
        <f>"-0.25"</f>
        <v>-0.25</v>
      </c>
      <c r="C15008" t="str">
        <f>"17"</f>
        <v>17</v>
      </c>
      <c r="D15008" t="str">
        <f>"High Time"</f>
        <v>High Time</v>
      </c>
    </row>
    <row r="15009" spans="1:4" x14ac:dyDescent="0.2">
      <c r="A15009" t="str">
        <f>"15008"</f>
        <v>15008</v>
      </c>
      <c r="B15009" t="str">
        <f>"-0.77"</f>
        <v>-0.77</v>
      </c>
      <c r="C15009" t="str">
        <f>"30"</f>
        <v>30</v>
      </c>
      <c r="D15009" t="str">
        <f>"Invisible City"</f>
        <v>Invisible City</v>
      </c>
    </row>
    <row r="15010" spans="1:4" x14ac:dyDescent="0.2">
      <c r="A15010" t="str">
        <f>"15009"</f>
        <v>15009</v>
      </c>
      <c r="B15010" t="str">
        <f>"-0.19"</f>
        <v>-0.19</v>
      </c>
      <c r="C15010" t="str">
        <f>"44"</f>
        <v>44</v>
      </c>
      <c r="D15010" t="str">
        <f>"The Sound of the Smiths"</f>
        <v>The Sound of the Smiths</v>
      </c>
    </row>
    <row r="15011" spans="1:4" x14ac:dyDescent="0.2">
      <c r="A15011" t="str">
        <f>"15010"</f>
        <v>15010</v>
      </c>
      <c r="B15011" t="str">
        <f>"1.82"</f>
        <v>1.82</v>
      </c>
      <c r="C15011" t="str">
        <f>"23"</f>
        <v>23</v>
      </c>
      <c r="D15011" t="str">
        <f>"Live: Hope at the Hideout"</f>
        <v>Live: Hope at the Hideout</v>
      </c>
    </row>
    <row r="15012" spans="1:4" x14ac:dyDescent="0.2">
      <c r="A15012" t="str">
        <f>"15011"</f>
        <v>15011</v>
      </c>
      <c r="B15012" t="str">
        <f>"0.35"</f>
        <v>0.35</v>
      </c>
      <c r="C15012" t="str">
        <f>"38"</f>
        <v>38</v>
      </c>
      <c r="D15012" t="str">
        <f>"Of Great and Mortal Men: 43 Songs for 43 U.S. Presidencies"</f>
        <v>Of Great and Mortal Men: 43 Songs for 43 U.S. Presidencies</v>
      </c>
    </row>
    <row r="15013" spans="1:4" x14ac:dyDescent="0.2">
      <c r="A15013" t="str">
        <f>"15012"</f>
        <v>15012</v>
      </c>
      <c r="B15013" t="str">
        <f>"0.08"</f>
        <v>0.08</v>
      </c>
      <c r="C15013" t="str">
        <f>"24"</f>
        <v>24</v>
      </c>
      <c r="D15013" t="str">
        <f>"Hearts &amp; Daggers"</f>
        <v>Hearts &amp; Daggers</v>
      </c>
    </row>
    <row r="15014" spans="1:4" x14ac:dyDescent="0.2">
      <c r="A15014" t="str">
        <f>"15013"</f>
        <v>15013</v>
      </c>
      <c r="B15014" t="str">
        <f>"1.89"</f>
        <v>1.89</v>
      </c>
      <c r="C15014" t="str">
        <f>"17"</f>
        <v>17</v>
      </c>
      <c r="D15014" t="str">
        <f>"qhnnnl"</f>
        <v>qhnnnl</v>
      </c>
    </row>
    <row r="15015" spans="1:4" x14ac:dyDescent="0.2">
      <c r="A15015" t="str">
        <f>"15014"</f>
        <v>15014</v>
      </c>
      <c r="B15015" t="str">
        <f>"0.77"</f>
        <v>0.77</v>
      </c>
      <c r="C15015" t="str">
        <f>"40"</f>
        <v>40</v>
      </c>
      <c r="D15015" t="str">
        <f>"4:13 Dream"</f>
        <v>4:13 Dream</v>
      </c>
    </row>
    <row r="15016" spans="1:4" x14ac:dyDescent="0.2">
      <c r="A15016" t="str">
        <f>"15015"</f>
        <v>15015</v>
      </c>
      <c r="B15016" t="str">
        <f>"-0.19"</f>
        <v>-0.19</v>
      </c>
      <c r="C15016" t="str">
        <f>"26"</f>
        <v>26</v>
      </c>
      <c r="D15016" t="str">
        <f>"Alight of Night"</f>
        <v>Alight of Night</v>
      </c>
    </row>
    <row r="15017" spans="1:4" x14ac:dyDescent="0.2">
      <c r="A15017" t="str">
        <f>"15016"</f>
        <v>15016</v>
      </c>
      <c r="B15017" t="str">
        <f>"0.82"</f>
        <v>0.82</v>
      </c>
      <c r="C15017" t="str">
        <f>"22"</f>
        <v>22</v>
      </c>
      <c r="D15017" t="str">
        <f>"Fortune"</f>
        <v>Fortune</v>
      </c>
    </row>
    <row r="15018" spans="1:4" x14ac:dyDescent="0.2">
      <c r="A15018" t="str">
        <f>"15017"</f>
        <v>15017</v>
      </c>
      <c r="B15018" t="str">
        <f>"-0.39"</f>
        <v>-0.39</v>
      </c>
      <c r="C15018" t="str">
        <f>"38"</f>
        <v>38</v>
      </c>
      <c r="D15018" t="str">
        <f>"Missiles"</f>
        <v>Missiles</v>
      </c>
    </row>
    <row r="15019" spans="1:4" x14ac:dyDescent="0.2">
      <c r="A15019" t="str">
        <f>"15018"</f>
        <v>15018</v>
      </c>
      <c r="B15019" t="str">
        <f>"-0.66"</f>
        <v>-0.66</v>
      </c>
      <c r="C15019" t="str">
        <f>"22"</f>
        <v>22</v>
      </c>
      <c r="D15019" t="str">
        <f>"Fucked Up Friends"</f>
        <v>Fucked Up Friends</v>
      </c>
    </row>
    <row r="15020" spans="1:4" x14ac:dyDescent="0.2">
      <c r="A15020" t="str">
        <f>"15019"</f>
        <v>15019</v>
      </c>
      <c r="B15020" t="str">
        <f>"0.34"</f>
        <v>0.34</v>
      </c>
      <c r="C15020" t="str">
        <f>"19"</f>
        <v>19</v>
      </c>
      <c r="D15020" t="str">
        <f>"Cardinology"</f>
        <v>Cardinology</v>
      </c>
    </row>
    <row r="15021" spans="1:4" x14ac:dyDescent="0.2">
      <c r="A15021" t="str">
        <f>"15020"</f>
        <v>15020</v>
      </c>
      <c r="B15021" t="str">
        <f>"-1.28"</f>
        <v>-1.28</v>
      </c>
      <c r="C15021" t="str">
        <f>"20"</f>
        <v>20</v>
      </c>
      <c r="D15021" t="str">
        <f>"Festival Thyme EP"</f>
        <v>Festival Thyme EP</v>
      </c>
    </row>
    <row r="15022" spans="1:4" x14ac:dyDescent="0.2">
      <c r="A15022" t="str">
        <f>"15021"</f>
        <v>15021</v>
      </c>
      <c r="B15022" t="str">
        <f>"0.57"</f>
        <v>0.57</v>
      </c>
      <c r="C15022" t="str">
        <f>"22"</f>
        <v>22</v>
      </c>
      <c r="D15022" t="str">
        <f>"Jeanius"</f>
        <v>Jeanius</v>
      </c>
    </row>
    <row r="15023" spans="1:4" x14ac:dyDescent="0.2">
      <c r="A15023" t="str">
        <f>"15022"</f>
        <v>15022</v>
      </c>
      <c r="B15023" t="str">
        <f>"-0.19"</f>
        <v>-0.19</v>
      </c>
      <c r="C15023" t="str">
        <f>"18"</f>
        <v>18</v>
      </c>
      <c r="D15023" t="str">
        <f>"White Van Music"</f>
        <v>White Van Music</v>
      </c>
    </row>
    <row r="15024" spans="1:4" x14ac:dyDescent="0.2">
      <c r="A15024" t="str">
        <f>"15023"</f>
        <v>15023</v>
      </c>
      <c r="B15024" t="str">
        <f>"-0.45"</f>
        <v>-0.45</v>
      </c>
      <c r="C15024" t="str">
        <f>"19"</f>
        <v>19</v>
      </c>
      <c r="D15024" t="str">
        <f>"Summer Palace"</f>
        <v>Summer Palace</v>
      </c>
    </row>
    <row r="15025" spans="1:4" x14ac:dyDescent="0.2">
      <c r="A15025" t="str">
        <f>"15024"</f>
        <v>15024</v>
      </c>
      <c r="B15025" t="str">
        <f>"0.6"</f>
        <v>0.6</v>
      </c>
      <c r="C15025" t="str">
        <f>"22"</f>
        <v>22</v>
      </c>
      <c r="D15025" t="str">
        <f>"Furr"</f>
        <v>Furr</v>
      </c>
    </row>
    <row r="15026" spans="1:4" x14ac:dyDescent="0.2">
      <c r="A15026" t="str">
        <f>"15025"</f>
        <v>15025</v>
      </c>
      <c r="B15026" t="str">
        <f>"1.65"</f>
        <v>1.65</v>
      </c>
      <c r="C15026" t="str">
        <f>"25"</f>
        <v>25</v>
      </c>
      <c r="D15026" t="str">
        <f>"Love Is Overtaking Me"</f>
        <v>Love Is Overtaking Me</v>
      </c>
    </row>
    <row r="15027" spans="1:4" x14ac:dyDescent="0.2">
      <c r="A15027" t="str">
        <f>"15026"</f>
        <v>15026</v>
      </c>
      <c r="B15027" t="str">
        <f>"-0.13"</f>
        <v>-0.13</v>
      </c>
      <c r="C15027" t="str">
        <f>"21"</f>
        <v>21</v>
      </c>
      <c r="D15027" t="str">
        <f>"Plutonium Blonde"</f>
        <v>Plutonium Blonde</v>
      </c>
    </row>
    <row r="15028" spans="1:4" x14ac:dyDescent="0.2">
      <c r="A15028" t="str">
        <f>"15027"</f>
        <v>15027</v>
      </c>
      <c r="B15028" t="str">
        <f>"-0.56"</f>
        <v>-0.56</v>
      </c>
      <c r="C15028" t="str">
        <f>"18"</f>
        <v>18</v>
      </c>
      <c r="D15028" t="str">
        <f>"Does You Inspire You"</f>
        <v>Does You Inspire You</v>
      </c>
    </row>
    <row r="15029" spans="1:4" x14ac:dyDescent="0.2">
      <c r="A15029" t="str">
        <f>"15028"</f>
        <v>15028</v>
      </c>
      <c r="B15029" t="str">
        <f>"0.4"</f>
        <v>0.4</v>
      </c>
      <c r="C15029" t="str">
        <f>"29"</f>
        <v>29</v>
      </c>
      <c r="D15029" t="str">
        <f>"It’s Midnight in Honolulu"</f>
        <v>It’s Midnight in Honolulu</v>
      </c>
    </row>
    <row r="15030" spans="1:4" x14ac:dyDescent="0.2">
      <c r="A15030" t="str">
        <f>"15029"</f>
        <v>15029</v>
      </c>
      <c r="B15030" t="str">
        <f>"0.73"</f>
        <v>0.73</v>
      </c>
      <c r="C15030" t="str">
        <f>"22"</f>
        <v>22</v>
      </c>
      <c r="D15030" t="str">
        <f>"Off With Their Heads"</f>
        <v>Off With Their Heads</v>
      </c>
    </row>
    <row r="15031" spans="1:4" x14ac:dyDescent="0.2">
      <c r="A15031" t="str">
        <f>"15030"</f>
        <v>15030</v>
      </c>
      <c r="B15031" t="str">
        <f>"-0.38"</f>
        <v>-0.38</v>
      </c>
      <c r="C15031" t="str">
        <f>"29"</f>
        <v>29</v>
      </c>
      <c r="D15031" t="str">
        <f>"Just a Souvenir"</f>
        <v>Just a Souvenir</v>
      </c>
    </row>
    <row r="15032" spans="1:4" x14ac:dyDescent="0.2">
      <c r="A15032" t="str">
        <f>"15031"</f>
        <v>15031</v>
      </c>
      <c r="B15032" t="str">
        <f>"-1.16"</f>
        <v>-1.16</v>
      </c>
      <c r="C15032" t="str">
        <f>"39"</f>
        <v>39</v>
      </c>
      <c r="D15032" t="str">
        <f>"Way to Normal"</f>
        <v>Way to Normal</v>
      </c>
    </row>
    <row r="15033" spans="1:4" x14ac:dyDescent="0.2">
      <c r="A15033" t="str">
        <f>"15032"</f>
        <v>15032</v>
      </c>
      <c r="B15033" t="str">
        <f>"-1.62"</f>
        <v>-1.62</v>
      </c>
      <c r="C15033" t="str">
        <f>"29"</f>
        <v>29</v>
      </c>
      <c r="D15033" t="str">
        <f>"Droppin' Science Fiction"</f>
        <v>Droppin' Science Fiction</v>
      </c>
    </row>
    <row r="15034" spans="1:4" x14ac:dyDescent="0.2">
      <c r="A15034" t="str">
        <f>"15033"</f>
        <v>15033</v>
      </c>
      <c r="B15034" t="str">
        <f>"0.77"</f>
        <v>0.77</v>
      </c>
      <c r="C15034" t="str">
        <f>"24"</f>
        <v>24</v>
      </c>
      <c r="D15034" t="str">
        <f>"Gabriel Kahane"</f>
        <v>Gabriel Kahane</v>
      </c>
    </row>
    <row r="15035" spans="1:4" x14ac:dyDescent="0.2">
      <c r="A15035" t="str">
        <f>"15034"</f>
        <v>15034</v>
      </c>
      <c r="B15035" t="str">
        <f>"-0.1"</f>
        <v>-0.1</v>
      </c>
      <c r="C15035" t="str">
        <f>"68"</f>
        <v>68</v>
      </c>
      <c r="D15035" t="str">
        <f>"Microcastle / Weird Era Cont."</f>
        <v>Microcastle / Weird Era Cont.</v>
      </c>
    </row>
    <row r="15036" spans="1:4" x14ac:dyDescent="0.2">
      <c r="A15036" t="str">
        <f>"15035"</f>
        <v>15035</v>
      </c>
      <c r="B15036" t="str">
        <f>"0.02"</f>
        <v>0.02</v>
      </c>
      <c r="C15036" t="str">
        <f>"23"</f>
        <v>23</v>
      </c>
      <c r="D15036" t="s">
        <v>470</v>
      </c>
    </row>
    <row r="15037" spans="1:4" x14ac:dyDescent="0.2">
      <c r="A15037" t="str">
        <f>"15036"</f>
        <v>15036</v>
      </c>
      <c r="B15037" t="str">
        <f>"0.21"</f>
        <v>0.21</v>
      </c>
      <c r="C15037" t="str">
        <f>"27"</f>
        <v>27</v>
      </c>
      <c r="D15037" t="str">
        <f>"It’s Time! Singles and EPs 2005-2008"</f>
        <v>It’s Time! Singles and EPs 2005-2008</v>
      </c>
    </row>
    <row r="15038" spans="1:4" x14ac:dyDescent="0.2">
      <c r="A15038" t="str">
        <f>"15037"</f>
        <v>15037</v>
      </c>
      <c r="B15038" t="str">
        <f>"-0.03"</f>
        <v>-0.03</v>
      </c>
      <c r="C15038" t="str">
        <f>"24"</f>
        <v>24</v>
      </c>
      <c r="D15038" t="str">
        <f>"Doomsdayer's Holiday"</f>
        <v>Doomsdayer's Holiday</v>
      </c>
    </row>
    <row r="15039" spans="1:4" x14ac:dyDescent="0.2">
      <c r="A15039" t="str">
        <f>"15038"</f>
        <v>15038</v>
      </c>
      <c r="B15039" t="str">
        <f>"-0.89"</f>
        <v>-0.89</v>
      </c>
      <c r="C15039" t="str">
        <f>"26"</f>
        <v>26</v>
      </c>
      <c r="D15039" t="s">
        <v>471</v>
      </c>
    </row>
    <row r="15040" spans="1:4" x14ac:dyDescent="0.2">
      <c r="A15040" t="str">
        <f>"15039"</f>
        <v>15039</v>
      </c>
      <c r="B15040" t="str">
        <f>"0.07"</f>
        <v>0.07</v>
      </c>
      <c r="C15040" t="str">
        <f>"29"</f>
        <v>29</v>
      </c>
      <c r="D15040" t="str">
        <f>"Uproot"</f>
        <v>Uproot</v>
      </c>
    </row>
    <row r="15041" spans="1:4" x14ac:dyDescent="0.2">
      <c r="A15041" t="str">
        <f>"15040"</f>
        <v>15040</v>
      </c>
      <c r="B15041" t="str">
        <f>"1.18"</f>
        <v>1.18</v>
      </c>
      <c r="C15041" t="str">
        <f>"38"</f>
        <v>38</v>
      </c>
      <c r="D15041" t="str">
        <f>"Car Alarm"</f>
        <v>Car Alarm</v>
      </c>
    </row>
    <row r="15042" spans="1:4" x14ac:dyDescent="0.2">
      <c r="A15042" t="str">
        <f>"15041"</f>
        <v>15041</v>
      </c>
      <c r="B15042" t="str">
        <f>"0.34"</f>
        <v>0.34</v>
      </c>
      <c r="C15042" t="str">
        <f>"29"</f>
        <v>29</v>
      </c>
      <c r="D15042" t="str">
        <f>"Chrome's On It EP"</f>
        <v>Chrome's On It EP</v>
      </c>
    </row>
    <row r="15043" spans="1:4" x14ac:dyDescent="0.2">
      <c r="A15043" t="str">
        <f>"15042"</f>
        <v>15042</v>
      </c>
      <c r="B15043" t="str">
        <f>"0.36"</f>
        <v>0.36</v>
      </c>
      <c r="C15043" t="str">
        <f>"34"</f>
        <v>34</v>
      </c>
      <c r="D15043" t="str">
        <f>"Hirror Enniffer"</f>
        <v>Hirror Enniffer</v>
      </c>
    </row>
    <row r="15044" spans="1:4" x14ac:dyDescent="0.2">
      <c r="A15044" t="str">
        <f>"15043"</f>
        <v>15043</v>
      </c>
      <c r="B15044" t="str">
        <f>"-0.44"</f>
        <v>-0.44</v>
      </c>
      <c r="C15044" t="str">
        <f>"18"</f>
        <v>18</v>
      </c>
      <c r="D15044" t="str">
        <f>"Dr. Dooom 2"</f>
        <v>Dr. Dooom 2</v>
      </c>
    </row>
    <row r="15045" spans="1:4" x14ac:dyDescent="0.2">
      <c r="A15045" t="str">
        <f>"15044"</f>
        <v>15044</v>
      </c>
      <c r="B15045" t="str">
        <f>"-0.17"</f>
        <v>-0.17</v>
      </c>
      <c r="C15045" t="str">
        <f>"43"</f>
        <v>43</v>
      </c>
      <c r="D15045" t="str">
        <f>"Johnny Cash at Folsom Prison: Legacy Edition"</f>
        <v>Johnny Cash at Folsom Prison: Legacy Edition</v>
      </c>
    </row>
    <row r="15046" spans="1:4" x14ac:dyDescent="0.2">
      <c r="A15046" t="str">
        <f>"15045"</f>
        <v>15045</v>
      </c>
      <c r="B15046" t="str">
        <f>"-0.05"</f>
        <v>-0.05</v>
      </c>
      <c r="C15046" t="str">
        <f>"40"</f>
        <v>40</v>
      </c>
      <c r="D15046" t="str">
        <f>"Songs for the Broken Hearted"</f>
        <v>Songs for the Broken Hearted</v>
      </c>
    </row>
    <row r="15047" spans="1:4" x14ac:dyDescent="0.2">
      <c r="A15047" t="str">
        <f>"15046"</f>
        <v>15046</v>
      </c>
      <c r="B15047" t="str">
        <f>"0.5"</f>
        <v>0.5</v>
      </c>
      <c r="C15047" t="str">
        <f>"23"</f>
        <v>23</v>
      </c>
      <c r="D15047" t="str">
        <f>"Summer Salt &amp; Subway Sun"</f>
        <v>Summer Salt &amp; Subway Sun</v>
      </c>
    </row>
    <row r="15048" spans="1:4" x14ac:dyDescent="0.2">
      <c r="A15048" t="str">
        <f>"15047"</f>
        <v>15047</v>
      </c>
      <c r="B15048" t="str">
        <f>"-0.39"</f>
        <v>-0.39</v>
      </c>
      <c r="C15048" t="str">
        <f>"24"</f>
        <v>24</v>
      </c>
      <c r="D15048" t="str">
        <f>"Of Sirens Born"</f>
        <v>Of Sirens Born</v>
      </c>
    </row>
    <row r="15049" spans="1:4" x14ac:dyDescent="0.2">
      <c r="A15049" t="str">
        <f>"15048"</f>
        <v>15048</v>
      </c>
      <c r="B15049" t="str">
        <f>"-0.55"</f>
        <v>-0.55</v>
      </c>
      <c r="C15049" t="str">
        <f>"43"</f>
        <v>43</v>
      </c>
      <c r="D15049" t="str">
        <f>"Animal!"</f>
        <v>Animal!</v>
      </c>
    </row>
    <row r="15050" spans="1:4" x14ac:dyDescent="0.2">
      <c r="A15050" t="str">
        <f>"15049"</f>
        <v>15049</v>
      </c>
      <c r="B15050" t="str">
        <f>"0.42"</f>
        <v>0.42</v>
      </c>
      <c r="C15050" t="str">
        <f>"39"</f>
        <v>39</v>
      </c>
      <c r="D15050" t="s">
        <v>472</v>
      </c>
    </row>
    <row r="15051" spans="1:4" x14ac:dyDescent="0.2">
      <c r="A15051" t="str">
        <f>"15050"</f>
        <v>15050</v>
      </c>
      <c r="B15051" t="str">
        <f>"-0.16"</f>
        <v>-0.16</v>
      </c>
      <c r="C15051" t="str">
        <f>"33"</f>
        <v>33</v>
      </c>
      <c r="D15051" t="str">
        <f>"Liver! Lung! FR!"</f>
        <v>Liver! Lung! FR!</v>
      </c>
    </row>
    <row r="15052" spans="1:4" x14ac:dyDescent="0.2">
      <c r="A15052" t="str">
        <f>"15051"</f>
        <v>15051</v>
      </c>
      <c r="B15052" t="str">
        <f>"0.94"</f>
        <v>0.94</v>
      </c>
      <c r="C15052" t="str">
        <f>"18"</f>
        <v>18</v>
      </c>
      <c r="D15052" t="str">
        <f>"Receivers"</f>
        <v>Receivers</v>
      </c>
    </row>
    <row r="15053" spans="1:4" x14ac:dyDescent="0.2">
      <c r="A15053" t="str">
        <f>"15052"</f>
        <v>15052</v>
      </c>
      <c r="B15053" t="str">
        <f>"-0.05"</f>
        <v>-0.05</v>
      </c>
      <c r="C15053" t="str">
        <f>"31"</f>
        <v>31</v>
      </c>
      <c r="D15053" t="str">
        <f>"The Way I See It"</f>
        <v>The Way I See It</v>
      </c>
    </row>
    <row r="15054" spans="1:4" x14ac:dyDescent="0.2">
      <c r="A15054" t="str">
        <f>"15053"</f>
        <v>15053</v>
      </c>
      <c r="B15054" t="str">
        <f>"0.05"</f>
        <v>0.05</v>
      </c>
      <c r="C15054" t="str">
        <f>"20"</f>
        <v>20</v>
      </c>
      <c r="D15054" t="str">
        <f>"Earth Junk"</f>
        <v>Earth Junk</v>
      </c>
    </row>
    <row r="15055" spans="1:4" x14ac:dyDescent="0.2">
      <c r="A15055" t="str">
        <f>"15054"</f>
        <v>15054</v>
      </c>
      <c r="B15055" t="str">
        <f>"-0.09"</f>
        <v>-0.09</v>
      </c>
      <c r="C15055" t="str">
        <f>"23"</f>
        <v>23</v>
      </c>
      <c r="D15055" t="str">
        <f>"Skeletal Lamping"</f>
        <v>Skeletal Lamping</v>
      </c>
    </row>
    <row r="15056" spans="1:4" x14ac:dyDescent="0.2">
      <c r="A15056" t="str">
        <f>"15055"</f>
        <v>15055</v>
      </c>
      <c r="B15056" t="str">
        <f>"0.46"</f>
        <v>0.46</v>
      </c>
      <c r="C15056" t="str">
        <f>"28"</f>
        <v>28</v>
      </c>
      <c r="D15056" t="str">
        <f>"""Singles"""</f>
        <v>"Singles"</v>
      </c>
    </row>
    <row r="15057" spans="1:4" x14ac:dyDescent="0.2">
      <c r="A15057" t="str">
        <f>"15056"</f>
        <v>15056</v>
      </c>
      <c r="B15057" t="str">
        <f>"1.2"</f>
        <v>1.2</v>
      </c>
      <c r="C15057" t="str">
        <f>"40"</f>
        <v>40</v>
      </c>
      <c r="D15057" t="s">
        <v>473</v>
      </c>
    </row>
    <row r="15058" spans="1:4" x14ac:dyDescent="0.2">
      <c r="A15058" t="str">
        <f>"15057"</f>
        <v>15057</v>
      </c>
      <c r="B15058" t="str">
        <f>"0.13"</f>
        <v>0.13</v>
      </c>
      <c r="C15058" t="str">
        <f>"21"</f>
        <v>21</v>
      </c>
      <c r="D15058" t="str">
        <f>"Temper"</f>
        <v>Temper</v>
      </c>
    </row>
    <row r="15059" spans="1:4" x14ac:dyDescent="0.2">
      <c r="A15059" t="str">
        <f>"15058"</f>
        <v>15058</v>
      </c>
      <c r="B15059" t="str">
        <f>"0.77"</f>
        <v>0.77</v>
      </c>
      <c r="C15059" t="str">
        <f>"26"</f>
        <v>26</v>
      </c>
      <c r="D15059" t="str">
        <f>"Yosuga"</f>
        <v>Yosuga</v>
      </c>
    </row>
    <row r="15060" spans="1:4" x14ac:dyDescent="0.2">
      <c r="A15060" t="str">
        <f>"15059"</f>
        <v>15059</v>
      </c>
      <c r="B15060" t="str">
        <f>"-0.03"</f>
        <v>-0.03</v>
      </c>
      <c r="C15060" t="str">
        <f>"37"</f>
        <v>37</v>
      </c>
      <c r="D15060" t="str">
        <f>"Satanic Messiah EP"</f>
        <v>Satanic Messiah EP</v>
      </c>
    </row>
    <row r="15061" spans="1:4" x14ac:dyDescent="0.2">
      <c r="A15061" t="str">
        <f>"15060"</f>
        <v>15060</v>
      </c>
      <c r="B15061" t="str">
        <f>"0.11"</f>
        <v>0.11</v>
      </c>
      <c r="C15061" t="str">
        <f>"31"</f>
        <v>31</v>
      </c>
      <c r="D15061" t="str">
        <f>"Saint Dymphna"</f>
        <v>Saint Dymphna</v>
      </c>
    </row>
    <row r="15062" spans="1:4" x14ac:dyDescent="0.2">
      <c r="A15062" t="str">
        <f>"15061"</f>
        <v>15061</v>
      </c>
      <c r="B15062" t="str">
        <f>"-0.7"</f>
        <v>-0.7</v>
      </c>
      <c r="C15062" t="str">
        <f>"18"</f>
        <v>18</v>
      </c>
      <c r="D15062" t="str">
        <f>"The Door"</f>
        <v>The Door</v>
      </c>
    </row>
    <row r="15063" spans="1:4" x14ac:dyDescent="0.2">
      <c r="A15063" t="str">
        <f>"15062"</f>
        <v>15062</v>
      </c>
      <c r="B15063" t="str">
        <f>"0.14"</f>
        <v>0.14</v>
      </c>
      <c r="C15063" t="str">
        <f>"23"</f>
        <v>23</v>
      </c>
      <c r="D15063" t="str">
        <f>"Dirt Don't Hurt"</f>
        <v>Dirt Don't Hurt</v>
      </c>
    </row>
    <row r="15064" spans="1:4" x14ac:dyDescent="0.2">
      <c r="A15064" t="str">
        <f>"15063"</f>
        <v>15063</v>
      </c>
      <c r="B15064" t="str">
        <f>"-1.23"</f>
        <v>-1.23</v>
      </c>
      <c r="C15064" t="str">
        <f>"21"</f>
        <v>21</v>
      </c>
      <c r="D15064" t="str">
        <f>"An Optimist Notes the Dusk"</f>
        <v>An Optimist Notes the Dusk</v>
      </c>
    </row>
    <row r="15065" spans="1:4" x14ac:dyDescent="0.2">
      <c r="A15065" t="str">
        <f>"15064"</f>
        <v>15064</v>
      </c>
      <c r="B15065" t="str">
        <f>"-0.73"</f>
        <v>-0.73</v>
      </c>
      <c r="C15065" t="str">
        <f>"31"</f>
        <v>31</v>
      </c>
      <c r="D15065" t="str">
        <f>"Live at Shea Stadium"</f>
        <v>Live at Shea Stadium</v>
      </c>
    </row>
    <row r="15066" spans="1:4" x14ac:dyDescent="0.2">
      <c r="A15066" t="str">
        <f>"15065"</f>
        <v>15065</v>
      </c>
      <c r="B15066" t="str">
        <f>"0.39"</f>
        <v>0.39</v>
      </c>
      <c r="C15066" t="str">
        <f>"35"</f>
        <v>35</v>
      </c>
      <c r="D15066" t="str">
        <f>"Little Honey"</f>
        <v>Little Honey</v>
      </c>
    </row>
    <row r="15067" spans="1:4" x14ac:dyDescent="0.2">
      <c r="A15067" t="str">
        <f>"15066"</f>
        <v>15066</v>
      </c>
      <c r="B15067" t="str">
        <f>"0.8"</f>
        <v>0.8</v>
      </c>
      <c r="C15067" t="str">
        <f>"29"</f>
        <v>29</v>
      </c>
      <c r="D15067" t="str">
        <f>"Soft Airplane"</f>
        <v>Soft Airplane</v>
      </c>
    </row>
    <row r="15068" spans="1:4" x14ac:dyDescent="0.2">
      <c r="A15068" t="str">
        <f>"15067"</f>
        <v>15067</v>
      </c>
      <c r="B15068" t="str">
        <f>"0.1"</f>
        <v>0.1</v>
      </c>
      <c r="C15068" t="str">
        <f>"34"</f>
        <v>34</v>
      </c>
      <c r="D15068" t="str">
        <f>"Nick and Norah's Infinite Playlist OST"</f>
        <v>Nick and Norah's Infinite Playlist OST</v>
      </c>
    </row>
    <row r="15069" spans="1:4" x14ac:dyDescent="0.2">
      <c r="A15069" t="str">
        <f>"15068"</f>
        <v>15068</v>
      </c>
      <c r="B15069" t="str">
        <f>"-0.33"</f>
        <v>-0.33</v>
      </c>
      <c r="C15069" t="str">
        <f>"23"</f>
        <v>23</v>
      </c>
      <c r="D15069" t="str">
        <f>"More Modern Short Stories From..."</f>
        <v>More Modern Short Stories From...</v>
      </c>
    </row>
    <row r="15070" spans="1:4" x14ac:dyDescent="0.2">
      <c r="A15070" t="str">
        <f>"15069"</f>
        <v>15069</v>
      </c>
      <c r="B15070" t="str">
        <f>"-0.26"</f>
        <v>-0.26</v>
      </c>
      <c r="C15070" t="str">
        <f>"27"</f>
        <v>27</v>
      </c>
      <c r="D15070" t="str">
        <f>"The Chemistry of Common Life"</f>
        <v>The Chemistry of Common Life</v>
      </c>
    </row>
    <row r="15071" spans="1:4" x14ac:dyDescent="0.2">
      <c r="A15071" t="str">
        <f>"15070"</f>
        <v>15070</v>
      </c>
      <c r="B15071" t="str">
        <f>"0.45"</f>
        <v>0.45</v>
      </c>
      <c r="C15071" t="str">
        <f>"30"</f>
        <v>30</v>
      </c>
      <c r="D15071" t="str">
        <f>"Secret Machines"</f>
        <v>Secret Machines</v>
      </c>
    </row>
    <row r="15072" spans="1:4" x14ac:dyDescent="0.2">
      <c r="A15072" t="str">
        <f>"15071"</f>
        <v>15071</v>
      </c>
      <c r="B15072" t="str">
        <f>"1.33"</f>
        <v>1.33</v>
      </c>
      <c r="C15072" t="str">
        <f>"20"</f>
        <v>20</v>
      </c>
      <c r="D15072" t="str">
        <f>"24 Postcards in Full Colour"</f>
        <v>24 Postcards in Full Colour</v>
      </c>
    </row>
    <row r="15073" spans="1:4" x14ac:dyDescent="0.2">
      <c r="A15073" t="str">
        <f>"15072"</f>
        <v>15072</v>
      </c>
      <c r="B15073" t="str">
        <f>"0.34"</f>
        <v>0.34</v>
      </c>
      <c r="C15073" t="str">
        <f>"24"</f>
        <v>24</v>
      </c>
      <c r="D15073" t="str">
        <f>"A Summer Beneath the Trees"</f>
        <v>A Summer Beneath the Trees</v>
      </c>
    </row>
    <row r="15074" spans="1:4" x14ac:dyDescent="0.2">
      <c r="A15074" t="str">
        <f>"15073"</f>
        <v>15073</v>
      </c>
      <c r="B15074" t="str">
        <f>"-0.23"</f>
        <v>-0.23</v>
      </c>
      <c r="C15074" t="str">
        <f>"19"</f>
        <v>19</v>
      </c>
      <c r="D15074" t="str">
        <f>"Now or Heaven"</f>
        <v>Now or Heaven</v>
      </c>
    </row>
    <row r="15075" spans="1:4" x14ac:dyDescent="0.2">
      <c r="A15075" t="str">
        <f>"15074"</f>
        <v>15074</v>
      </c>
      <c r="B15075" t="str">
        <f>"1.17"</f>
        <v>1.17</v>
      </c>
      <c r="C15075" t="str">
        <f>"28"</f>
        <v>28</v>
      </c>
      <c r="D15075" t="str">
        <f>"Matador Singles '08"</f>
        <v>Matador Singles '08</v>
      </c>
    </row>
    <row r="15076" spans="1:4" x14ac:dyDescent="0.2">
      <c r="A15076" t="str">
        <f>"15075"</f>
        <v>15075</v>
      </c>
      <c r="B15076" t="str">
        <f>"-0.05"</f>
        <v>-0.05</v>
      </c>
      <c r="C15076" t="str">
        <f>"31"</f>
        <v>31</v>
      </c>
      <c r="D15076" t="str">
        <f>"Perfect Symmetry"</f>
        <v>Perfect Symmetry</v>
      </c>
    </row>
    <row r="15077" spans="1:4" x14ac:dyDescent="0.2">
      <c r="A15077" t="str">
        <f>"15076"</f>
        <v>15076</v>
      </c>
      <c r="B15077" t="str">
        <f>"0.14"</f>
        <v>0.14</v>
      </c>
      <c r="C15077" t="str">
        <f>"26"</f>
        <v>26</v>
      </c>
      <c r="D15077" t="str">
        <f>"Halfway to Fivepoints"</f>
        <v>Halfway to Fivepoints</v>
      </c>
    </row>
    <row r="15078" spans="1:4" x14ac:dyDescent="0.2">
      <c r="A15078" t="str">
        <f>"15077"</f>
        <v>15077</v>
      </c>
      <c r="B15078" t="str">
        <f>"0.54"</f>
        <v>0.54</v>
      </c>
      <c r="C15078" t="str">
        <f>"21"</f>
        <v>21</v>
      </c>
      <c r="D15078" t="str">
        <f>"Holy"</f>
        <v>Holy</v>
      </c>
    </row>
    <row r="15079" spans="1:4" x14ac:dyDescent="0.2">
      <c r="A15079" t="str">
        <f>"15078"</f>
        <v>15078</v>
      </c>
      <c r="B15079" t="str">
        <f>"0.89"</f>
        <v>0.89</v>
      </c>
      <c r="C15079" t="str">
        <f>"20"</f>
        <v>20</v>
      </c>
      <c r="D15079" t="str">
        <f>"Matterhorn"</f>
        <v>Matterhorn</v>
      </c>
    </row>
    <row r="15080" spans="1:4" x14ac:dyDescent="0.2">
      <c r="A15080" t="str">
        <f>"15079"</f>
        <v>15079</v>
      </c>
      <c r="B15080" t="str">
        <f>"-0.18"</f>
        <v>-0.18</v>
      </c>
      <c r="C15080" t="str">
        <f>"23"</f>
        <v>23</v>
      </c>
      <c r="D15080" t="str">
        <f>"Lost Wisdom"</f>
        <v>Lost Wisdom</v>
      </c>
    </row>
    <row r="15081" spans="1:4" x14ac:dyDescent="0.2">
      <c r="A15081" t="str">
        <f>"15080"</f>
        <v>15080</v>
      </c>
      <c r="B15081" t="str">
        <f>"0.02"</f>
        <v>0.02</v>
      </c>
      <c r="C15081" t="str">
        <f>"30"</f>
        <v>30</v>
      </c>
      <c r="D15081" t="str">
        <f>"Double Night Time"</f>
        <v>Double Night Time</v>
      </c>
    </row>
    <row r="15082" spans="1:4" x14ac:dyDescent="0.2">
      <c r="A15082" t="str">
        <f>"15081"</f>
        <v>15081</v>
      </c>
      <c r="B15082" t="str">
        <f>"-0.21"</f>
        <v>-0.21</v>
      </c>
      <c r="C15082" t="str">
        <f>"35"</f>
        <v>35</v>
      </c>
      <c r="D15082" t="str">
        <f>"Krallice"</f>
        <v>Krallice</v>
      </c>
    </row>
    <row r="15083" spans="1:4" x14ac:dyDescent="0.2">
      <c r="A15083" t="str">
        <f>"15082"</f>
        <v>15082</v>
      </c>
      <c r="B15083" t="str">
        <f>"0.18"</f>
        <v>0.18</v>
      </c>
      <c r="C15083" t="str">
        <f>"20"</f>
        <v>20</v>
      </c>
      <c r="D15083" t="str">
        <f>"Just Thoughts"</f>
        <v>Just Thoughts</v>
      </c>
    </row>
    <row r="15084" spans="1:4" x14ac:dyDescent="0.2">
      <c r="A15084" t="str">
        <f>"15083"</f>
        <v>15083</v>
      </c>
      <c r="B15084" t="str">
        <f>"0.29"</f>
        <v>0.29</v>
      </c>
      <c r="C15084" t="str">
        <f>"19"</f>
        <v>19</v>
      </c>
      <c r="D15084" t="str">
        <f>"From the Mountain to the Sea"</f>
        <v>From the Mountain to the Sea</v>
      </c>
    </row>
    <row r="15085" spans="1:4" x14ac:dyDescent="0.2">
      <c r="A15085" t="str">
        <f>"15084"</f>
        <v>15084</v>
      </c>
      <c r="B15085" t="str">
        <f>"-0.07"</f>
        <v>-0.07</v>
      </c>
      <c r="C15085" t="str">
        <f>"25"</f>
        <v>25</v>
      </c>
      <c r="D15085" t="str">
        <f>"Dig Out Your Soul"</f>
        <v>Dig Out Your Soul</v>
      </c>
    </row>
    <row r="15086" spans="1:4" x14ac:dyDescent="0.2">
      <c r="A15086" t="str">
        <f>"15085"</f>
        <v>15085</v>
      </c>
      <c r="B15086" t="str">
        <f>"-0.45"</f>
        <v>-0.45</v>
      </c>
      <c r="C15086" t="str">
        <f>"24"</f>
        <v>24</v>
      </c>
      <c r="D15086" t="str">
        <f>"Women"</f>
        <v>Women</v>
      </c>
    </row>
    <row r="15087" spans="1:4" x14ac:dyDescent="0.2">
      <c r="A15087" t="str">
        <f>"15086"</f>
        <v>15086</v>
      </c>
      <c r="B15087" t="str">
        <f>"0.41"</f>
        <v>0.41</v>
      </c>
      <c r="C15087" t="str">
        <f>"24"</f>
        <v>24</v>
      </c>
      <c r="D15087" t="str">
        <f>"Oneiromantical War"</f>
        <v>Oneiromantical War</v>
      </c>
    </row>
    <row r="15088" spans="1:4" x14ac:dyDescent="0.2">
      <c r="A15088" t="str">
        <f>"15087"</f>
        <v>15087</v>
      </c>
      <c r="B15088" t="str">
        <f>"-0.43"</f>
        <v>-0.43</v>
      </c>
      <c r="C15088" t="str">
        <f>"23"</f>
        <v>23</v>
      </c>
      <c r="D15088" t="str">
        <f>"Gular Flutter"</f>
        <v>Gular Flutter</v>
      </c>
    </row>
    <row r="15089" spans="1:4" x14ac:dyDescent="0.2">
      <c r="A15089" t="str">
        <f>"15088"</f>
        <v>15088</v>
      </c>
      <c r="B15089" t="str">
        <f>"-0.19"</f>
        <v>-0.19</v>
      </c>
      <c r="C15089" t="str">
        <f>"18"</f>
        <v>18</v>
      </c>
      <c r="D15089" t="str">
        <f>"Hell and Highwater"</f>
        <v>Hell and Highwater</v>
      </c>
    </row>
    <row r="15090" spans="1:4" x14ac:dyDescent="0.2">
      <c r="A15090" t="str">
        <f>"15089"</f>
        <v>15089</v>
      </c>
      <c r="B15090" t="str">
        <f>"0.77"</f>
        <v>0.77</v>
      </c>
      <c r="C15090" t="str">
        <f>"33"</f>
        <v>33</v>
      </c>
      <c r="D15090" t="str">
        <f>"Offend Maggie"</f>
        <v>Offend Maggie</v>
      </c>
    </row>
    <row r="15091" spans="1:4" x14ac:dyDescent="0.2">
      <c r="A15091" t="str">
        <f>"15090"</f>
        <v>15090</v>
      </c>
      <c r="B15091" t="str">
        <f>"-0.11"</f>
        <v>-0.11</v>
      </c>
      <c r="C15091" t="str">
        <f>"25"</f>
        <v>25</v>
      </c>
      <c r="D15091" t="str">
        <f>"Forfeit/Fortune"</f>
        <v>Forfeit/Fortune</v>
      </c>
    </row>
    <row r="15092" spans="1:4" x14ac:dyDescent="0.2">
      <c r="A15092" t="str">
        <f>"15091"</f>
        <v>15091</v>
      </c>
      <c r="B15092" t="str">
        <f>"-0.93"</f>
        <v>-0.93</v>
      </c>
      <c r="C15092" t="str">
        <f>"24"</f>
        <v>24</v>
      </c>
      <c r="D15092" t="str">
        <f>"Un Día"</f>
        <v>Un Día</v>
      </c>
    </row>
    <row r="15093" spans="1:4" x14ac:dyDescent="0.2">
      <c r="A15093" t="str">
        <f>"15092"</f>
        <v>15092</v>
      </c>
      <c r="B15093" t="str">
        <f>"0.42"</f>
        <v>0.42</v>
      </c>
      <c r="C15093" t="str">
        <f>"30"</f>
        <v>30</v>
      </c>
      <c r="D15093" t="str">
        <f>"City of Refuge"</f>
        <v>City of Refuge</v>
      </c>
    </row>
    <row r="15094" spans="1:4" x14ac:dyDescent="0.2">
      <c r="A15094" t="str">
        <f>"15093"</f>
        <v>15093</v>
      </c>
      <c r="B15094" t="str">
        <f>"0.88"</f>
        <v>0.88</v>
      </c>
      <c r="C15094" t="str">
        <f>"22"</f>
        <v>22</v>
      </c>
      <c r="D15094" t="str">
        <f>"A Picture of the Three of Us at the Gate to the Garden of Eden"</f>
        <v>A Picture of the Three of Us at the Gate to the Garden of Eden</v>
      </c>
    </row>
    <row r="15095" spans="1:4" x14ac:dyDescent="0.2">
      <c r="A15095" t="str">
        <f>"15094"</f>
        <v>15094</v>
      </c>
      <c r="B15095" t="str">
        <f>"-1.03"</f>
        <v>-1.03</v>
      </c>
      <c r="C15095" t="str">
        <f>"45"</f>
        <v>45</v>
      </c>
      <c r="D15095" t="str">
        <f>"This Is It and I Am It and You Are It and So Is That and He Is It and She Is It and It Is It and That Is That"</f>
        <v>This Is It and I Am It and You Are It and So Is That and He Is It and She Is It and It Is It and That Is That</v>
      </c>
    </row>
    <row r="15096" spans="1:4" x14ac:dyDescent="0.2">
      <c r="A15096" t="str">
        <f>"15095"</f>
        <v>15095</v>
      </c>
      <c r="B15096" t="str">
        <f>"0.6"</f>
        <v>0.6</v>
      </c>
      <c r="C15096" t="str">
        <f>"25"</f>
        <v>25</v>
      </c>
      <c r="D15096" t="str">
        <f>"Such Fun"</f>
        <v>Such Fun</v>
      </c>
    </row>
    <row r="15097" spans="1:4" x14ac:dyDescent="0.2">
      <c r="A15097" t="str">
        <f>"15096"</f>
        <v>15096</v>
      </c>
      <c r="B15097" t="str">
        <f>"-0.28"</f>
        <v>-0.28</v>
      </c>
      <c r="C15097" t="str">
        <f>"37"</f>
        <v>37</v>
      </c>
      <c r="D15097" t="str">
        <f>"Sweaty Magic"</f>
        <v>Sweaty Magic</v>
      </c>
    </row>
    <row r="15098" spans="1:4" x14ac:dyDescent="0.2">
      <c r="A15098" t="str">
        <f>"15097"</f>
        <v>15097</v>
      </c>
      <c r="B15098" t="str">
        <f>"-0.07"</f>
        <v>-0.07</v>
      </c>
      <c r="C15098" t="str">
        <f>"23"</f>
        <v>23</v>
      </c>
      <c r="D15098" t="str">
        <f>"Futuristically Speaking...Never Be Afraid"</f>
        <v>Futuristically Speaking...Never Be Afraid</v>
      </c>
    </row>
    <row r="15099" spans="1:4" x14ac:dyDescent="0.2">
      <c r="A15099" t="str">
        <f>"15098"</f>
        <v>15098</v>
      </c>
      <c r="B15099" t="str">
        <f>"0.87"</f>
        <v>0.87</v>
      </c>
      <c r="C15099" t="str">
        <f>"25"</f>
        <v>25</v>
      </c>
      <c r="D15099" t="str">
        <f>"Paperwork"</f>
        <v>Paperwork</v>
      </c>
    </row>
    <row r="15100" spans="1:4" x14ac:dyDescent="0.2">
      <c r="A15100" t="str">
        <f>"15099"</f>
        <v>15099</v>
      </c>
      <c r="B15100" t="str">
        <f>"-0.26"</f>
        <v>-0.26</v>
      </c>
      <c r="C15100" t="str">
        <f>"35"</f>
        <v>35</v>
      </c>
      <c r="D15100" t="str">
        <f>"Another World EP"</f>
        <v>Another World EP</v>
      </c>
    </row>
    <row r="15101" spans="1:4" x14ac:dyDescent="0.2">
      <c r="A15101" t="str">
        <f>"15100"</f>
        <v>15100</v>
      </c>
      <c r="B15101" t="str">
        <f>"0.19"</f>
        <v>0.19</v>
      </c>
      <c r="C15101" t="str">
        <f>"27"</f>
        <v>27</v>
      </c>
      <c r="D15101" t="str">
        <f>"OH (ohio)"</f>
        <v>OH (ohio)</v>
      </c>
    </row>
    <row r="15102" spans="1:4" x14ac:dyDescent="0.2">
      <c r="A15102" t="str">
        <f>"15101"</f>
        <v>15101</v>
      </c>
      <c r="B15102" t="str">
        <f>"-0.27"</f>
        <v>-0.27</v>
      </c>
      <c r="C15102" t="str">
        <f>"22"</f>
        <v>22</v>
      </c>
      <c r="D15102" t="str">
        <f>"U.S. EZ"</f>
        <v>U.S. EZ</v>
      </c>
    </row>
    <row r="15103" spans="1:4" x14ac:dyDescent="0.2">
      <c r="A15103" t="str">
        <f>"15102"</f>
        <v>15102</v>
      </c>
      <c r="B15103" t="str">
        <f>"1.39"</f>
        <v>1.39</v>
      </c>
      <c r="C15103" t="str">
        <f>"21"</f>
        <v>21</v>
      </c>
      <c r="D15103" t="str">
        <f>"Life Like"</f>
        <v>Life Like</v>
      </c>
    </row>
    <row r="15104" spans="1:4" x14ac:dyDescent="0.2">
      <c r="A15104" t="str">
        <f>"15103"</f>
        <v>15103</v>
      </c>
      <c r="B15104" t="str">
        <f>"0.64"</f>
        <v>0.64</v>
      </c>
      <c r="C15104" t="str">
        <f>"20"</f>
        <v>20</v>
      </c>
      <c r="D15104" t="str">
        <f>"Outside Our Gates"</f>
        <v>Outside Our Gates</v>
      </c>
    </row>
    <row r="15105" spans="1:4" x14ac:dyDescent="0.2">
      <c r="A15105" t="str">
        <f>"15104"</f>
        <v>15104</v>
      </c>
      <c r="B15105" t="str">
        <f>"-0.25"</f>
        <v>-0.25</v>
      </c>
      <c r="C15105" t="str">
        <f>"20"</f>
        <v>20</v>
      </c>
      <c r="D15105" t="str">
        <f>"In Ear Park"</f>
        <v>In Ear Park</v>
      </c>
    </row>
    <row r="15106" spans="1:4" x14ac:dyDescent="0.2">
      <c r="A15106" t="str">
        <f>"15105"</f>
        <v>15105</v>
      </c>
      <c r="B15106" t="str">
        <f>"0.49"</f>
        <v>0.49</v>
      </c>
      <c r="C15106" t="str">
        <f>"31"</f>
        <v>31</v>
      </c>
      <c r="D15106" t="str">
        <f>"Break Up the Concrete"</f>
        <v>Break Up the Concrete</v>
      </c>
    </row>
    <row r="15107" spans="1:4" x14ac:dyDescent="0.2">
      <c r="A15107" t="str">
        <f>"15106"</f>
        <v>15106</v>
      </c>
      <c r="B15107" t="str">
        <f>"-0.74"</f>
        <v>-0.74</v>
      </c>
      <c r="C15107" t="str">
        <f>"25"</f>
        <v>25</v>
      </c>
      <c r="D15107" t="str">
        <f>"Neptune With Fire"</f>
        <v>Neptune With Fire</v>
      </c>
    </row>
    <row r="15108" spans="1:4" x14ac:dyDescent="0.2">
      <c r="A15108" t="str">
        <f>"15107"</f>
        <v>15107</v>
      </c>
      <c r="B15108" t="str">
        <f>"1.13"</f>
        <v>1.13</v>
      </c>
      <c r="C15108" t="str">
        <f>"18"</f>
        <v>18</v>
      </c>
      <c r="D15108" t="str">
        <f>"Moonwink"</f>
        <v>Moonwink</v>
      </c>
    </row>
    <row r="15109" spans="1:4" x14ac:dyDescent="0.2">
      <c r="A15109" t="str">
        <f>"15108"</f>
        <v>15108</v>
      </c>
      <c r="B15109" t="str">
        <f>"-0.88"</f>
        <v>-0.88</v>
      </c>
      <c r="C15109" t="str">
        <f>"27"</f>
        <v>27</v>
      </c>
      <c r="D15109" t="str">
        <f>"Pull the Pin"</f>
        <v>Pull the Pin</v>
      </c>
    </row>
    <row r="15110" spans="1:4" x14ac:dyDescent="0.2">
      <c r="A15110" t="str">
        <f>"15109"</f>
        <v>15109</v>
      </c>
      <c r="B15110" t="str">
        <f>"-0.27"</f>
        <v>-0.27</v>
      </c>
      <c r="C15110" t="str">
        <f>"43"</f>
        <v>43</v>
      </c>
      <c r="D15110" t="str">
        <f>"Everything Is Borrowed"</f>
        <v>Everything Is Borrowed</v>
      </c>
    </row>
    <row r="15111" spans="1:4" x14ac:dyDescent="0.2">
      <c r="A15111" t="str">
        <f>"15110"</f>
        <v>15110</v>
      </c>
      <c r="B15111" t="str">
        <f>"1.61"</f>
        <v>1.61</v>
      </c>
      <c r="C15111" t="str">
        <f>"27"</f>
        <v>27</v>
      </c>
      <c r="D15111" t="str">
        <f>"Kind of Blue: 50th Anniversary Edition"</f>
        <v>Kind of Blue: 50th Anniversary Edition</v>
      </c>
    </row>
    <row r="15112" spans="1:4" x14ac:dyDescent="0.2">
      <c r="A15112" t="str">
        <f>"15111"</f>
        <v>15111</v>
      </c>
      <c r="B15112" t="str">
        <f>"0.74"</f>
        <v>0.74</v>
      </c>
      <c r="C15112" t="str">
        <f>"18"</f>
        <v>18</v>
      </c>
      <c r="D15112" t="str">
        <f>"Islands of Ayle"</f>
        <v>Islands of Ayle</v>
      </c>
    </row>
    <row r="15113" spans="1:4" x14ac:dyDescent="0.2">
      <c r="A15113" t="str">
        <f>"15112"</f>
        <v>15112</v>
      </c>
      <c r="B15113" t="str">
        <f>"0.52"</f>
        <v>0.52</v>
      </c>
      <c r="C15113" t="str">
        <f>"37"</f>
        <v>37</v>
      </c>
      <c r="D15113" t="str">
        <f>"Prehistoricisms"</f>
        <v>Prehistoricisms</v>
      </c>
    </row>
    <row r="15114" spans="1:4" x14ac:dyDescent="0.2">
      <c r="A15114" t="str">
        <f>"15113"</f>
        <v>15113</v>
      </c>
      <c r="B15114" t="str">
        <f>"1.07"</f>
        <v>1.07</v>
      </c>
      <c r="C15114" t="str">
        <f>"28"</f>
        <v>28</v>
      </c>
      <c r="D15114" t="s">
        <v>474</v>
      </c>
    </row>
    <row r="15115" spans="1:4" x14ac:dyDescent="0.2">
      <c r="A15115" t="str">
        <f>"15114"</f>
        <v>15114</v>
      </c>
      <c r="B15115" t="str">
        <f>"0.56"</f>
        <v>0.56</v>
      </c>
      <c r="C15115" t="str">
        <f>"36"</f>
        <v>36</v>
      </c>
      <c r="D15115" t="str">
        <f>"Vivian Girls"</f>
        <v>Vivian Girls</v>
      </c>
    </row>
    <row r="15116" spans="1:4" x14ac:dyDescent="0.2">
      <c r="A15116" t="str">
        <f>"15115"</f>
        <v>15115</v>
      </c>
      <c r="B15116" t="str">
        <f>"0.89"</f>
        <v>0.89</v>
      </c>
      <c r="C15116" t="str">
        <f>"13"</f>
        <v>13</v>
      </c>
      <c r="D15116" t="str">
        <f>"The Week That Was"</f>
        <v>The Week That Was</v>
      </c>
    </row>
    <row r="15117" spans="1:4" x14ac:dyDescent="0.2">
      <c r="A15117" t="str">
        <f>"15116"</f>
        <v>15116</v>
      </c>
      <c r="B15117" t="str">
        <f>"-0.59"</f>
        <v>-0.59</v>
      </c>
      <c r="C15117" t="str">
        <f>"32"</f>
        <v>32</v>
      </c>
      <c r="D15117" t="str">
        <f>"The Essentials"</f>
        <v>The Essentials</v>
      </c>
    </row>
    <row r="15118" spans="1:4" x14ac:dyDescent="0.2">
      <c r="A15118" t="str">
        <f>"15117"</f>
        <v>15117</v>
      </c>
      <c r="B15118" t="str">
        <f>"-0.8"</f>
        <v>-0.8</v>
      </c>
      <c r="C15118" t="str">
        <f>"23"</f>
        <v>23</v>
      </c>
      <c r="D15118" t="str">
        <f>"Worried Well"</f>
        <v>Worried Well</v>
      </c>
    </row>
    <row r="15119" spans="1:4" x14ac:dyDescent="0.2">
      <c r="A15119" t="str">
        <f>"15118"</f>
        <v>15118</v>
      </c>
      <c r="B15119" t="str">
        <f>"-0.56"</f>
        <v>-0.56</v>
      </c>
      <c r="C15119" t="str">
        <f>"26"</f>
        <v>26</v>
      </c>
      <c r="D15119" t="str">
        <f>"Villainaire"</f>
        <v>Villainaire</v>
      </c>
    </row>
    <row r="15120" spans="1:4" x14ac:dyDescent="0.2">
      <c r="A15120" t="str">
        <f>"15119"</f>
        <v>15119</v>
      </c>
      <c r="B15120" t="str">
        <f>"-0.06"</f>
        <v>-0.06</v>
      </c>
      <c r="C15120" t="str">
        <f>"32"</f>
        <v>32</v>
      </c>
      <c r="D15120" t="str">
        <f>"Paper Trail"</f>
        <v>Paper Trail</v>
      </c>
    </row>
    <row r="15121" spans="1:4" x14ac:dyDescent="0.2">
      <c r="A15121" t="str">
        <f>"15120"</f>
        <v>15120</v>
      </c>
      <c r="B15121" t="str">
        <f>"0.7"</f>
        <v>0.7</v>
      </c>
      <c r="C15121" t="str">
        <f>"36"</f>
        <v>36</v>
      </c>
      <c r="D15121" t="str">
        <f>"London Conversations: The Best of Saint Etienne"</f>
        <v>London Conversations: The Best of Saint Etienne</v>
      </c>
    </row>
    <row r="15122" spans="1:4" x14ac:dyDescent="0.2">
      <c r="A15122" t="str">
        <f>"15121"</f>
        <v>15121</v>
      </c>
      <c r="B15122" t="str">
        <f>"-1.21"</f>
        <v>-1.21</v>
      </c>
      <c r="C15122" t="str">
        <f>"37"</f>
        <v>37</v>
      </c>
      <c r="D15122" t="str">
        <f>"Shut Up and Bleed"</f>
        <v>Shut Up and Bleed</v>
      </c>
    </row>
    <row r="15123" spans="1:4" x14ac:dyDescent="0.2">
      <c r="A15123" t="str">
        <f>"15122"</f>
        <v>15122</v>
      </c>
      <c r="B15123" t="str">
        <f>"1.29"</f>
        <v>1.29</v>
      </c>
      <c r="C15123" t="str">
        <f>"23"</f>
        <v>23</v>
      </c>
      <c r="D15123" t="str">
        <f>"Bury the Cynics"</f>
        <v>Bury the Cynics</v>
      </c>
    </row>
    <row r="15124" spans="1:4" x14ac:dyDescent="0.2">
      <c r="A15124" t="str">
        <f>"15123"</f>
        <v>15123</v>
      </c>
      <c r="B15124" t="str">
        <f>"0.4"</f>
        <v>0.4</v>
      </c>
      <c r="C15124" t="str">
        <f>"29"</f>
        <v>29</v>
      </c>
      <c r="D15124" t="s">
        <v>475</v>
      </c>
    </row>
    <row r="15125" spans="1:4" x14ac:dyDescent="0.2">
      <c r="A15125" t="str">
        <f>"15124"</f>
        <v>15124</v>
      </c>
      <c r="B15125" t="str">
        <f>"0.38"</f>
        <v>0.38</v>
      </c>
      <c r="C15125" t="str">
        <f>"29"</f>
        <v>29</v>
      </c>
      <c r="D15125" t="str">
        <f>"The Power of Negative Thinking: B-Sides and Rarities"</f>
        <v>The Power of Negative Thinking: B-Sides and Rarities</v>
      </c>
    </row>
    <row r="15126" spans="1:4" x14ac:dyDescent="0.2">
      <c r="A15126" t="str">
        <f>"15125"</f>
        <v>15125</v>
      </c>
      <c r="B15126" t="str">
        <f>"0.03"</f>
        <v>0.03</v>
      </c>
      <c r="C15126" t="str">
        <f>"31"</f>
        <v>31</v>
      </c>
      <c r="D15126" t="str">
        <f>"Murs for President"</f>
        <v>Murs for President</v>
      </c>
    </row>
    <row r="15127" spans="1:4" x14ac:dyDescent="0.2">
      <c r="A15127" t="str">
        <f>"15126"</f>
        <v>15126</v>
      </c>
      <c r="B15127" t="str">
        <f>"0.79"</f>
        <v>0.79</v>
      </c>
      <c r="C15127" t="str">
        <f>"20"</f>
        <v>20</v>
      </c>
      <c r="D15127" t="s">
        <v>476</v>
      </c>
    </row>
    <row r="15128" spans="1:4" x14ac:dyDescent="0.2">
      <c r="A15128" t="str">
        <f>"15127"</f>
        <v>15127</v>
      </c>
      <c r="B15128" t="str">
        <f>"-0.88"</f>
        <v>-0.88</v>
      </c>
      <c r="C15128" t="str">
        <f>"21"</f>
        <v>21</v>
      </c>
      <c r="D15128" t="str">
        <f>"Some Are Lakes"</f>
        <v>Some Are Lakes</v>
      </c>
    </row>
    <row r="15129" spans="1:4" x14ac:dyDescent="0.2">
      <c r="A15129" t="str">
        <f>"15128"</f>
        <v>15128</v>
      </c>
      <c r="B15129" t="str">
        <f>"1.02"</f>
        <v>1.02</v>
      </c>
      <c r="C15129" t="str">
        <f>"23"</f>
        <v>23</v>
      </c>
      <c r="D15129" t="str">
        <f>"Nobody Knows Anything: DFA Presents Supersoul Recordings"</f>
        <v>Nobody Knows Anything: DFA Presents Supersoul Recordings</v>
      </c>
    </row>
    <row r="15130" spans="1:4" x14ac:dyDescent="0.2">
      <c r="A15130" t="str">
        <f>"15129"</f>
        <v>15129</v>
      </c>
      <c r="B15130" t="str">
        <f>"0.64"</f>
        <v>0.64</v>
      </c>
      <c r="C15130" t="str">
        <f>"23"</f>
        <v>23</v>
      </c>
      <c r="D15130" t="str">
        <f>"Snowflake Midnight"</f>
        <v>Snowflake Midnight</v>
      </c>
    </row>
    <row r="15131" spans="1:4" x14ac:dyDescent="0.2">
      <c r="A15131" t="str">
        <f>"15130"</f>
        <v>15130</v>
      </c>
      <c r="B15131" t="str">
        <f>"-0.8"</f>
        <v>-0.8</v>
      </c>
      <c r="C15131" t="str">
        <f>"25"</f>
        <v>25</v>
      </c>
      <c r="D15131" t="str">
        <f>"End Titles...Stories for Film"</f>
        <v>End Titles...Stories for Film</v>
      </c>
    </row>
    <row r="15132" spans="1:4" x14ac:dyDescent="0.2">
      <c r="A15132" t="str">
        <f>"15131"</f>
        <v>15131</v>
      </c>
      <c r="B15132" t="str">
        <f>"-0.29"</f>
        <v>-0.29</v>
      </c>
      <c r="C15132" t="str">
        <f>"20"</f>
        <v>20</v>
      </c>
      <c r="D15132" t="str">
        <f>"WLIB AM: King of the Wigflip"</f>
        <v>WLIB AM: King of the Wigflip</v>
      </c>
    </row>
    <row r="15133" spans="1:4" x14ac:dyDescent="0.2">
      <c r="A15133" t="str">
        <f>"15132"</f>
        <v>15132</v>
      </c>
      <c r="B15133" t="str">
        <f>"-1.02"</f>
        <v>-1.02</v>
      </c>
      <c r="C15133" t="str">
        <f>"49"</f>
        <v>49</v>
      </c>
      <c r="D15133" t="str">
        <f>"Southern Storm"</f>
        <v>Southern Storm</v>
      </c>
    </row>
    <row r="15134" spans="1:4" x14ac:dyDescent="0.2">
      <c r="A15134" t="str">
        <f>"15133"</f>
        <v>15133</v>
      </c>
      <c r="B15134" t="str">
        <f>"1.02"</f>
        <v>1.02</v>
      </c>
      <c r="C15134" t="str">
        <f>"23"</f>
        <v>23</v>
      </c>
      <c r="D15134" t="str">
        <f>"Shall Noise Upon"</f>
        <v>Shall Noise Upon</v>
      </c>
    </row>
    <row r="15135" spans="1:4" x14ac:dyDescent="0.2">
      <c r="A15135" t="str">
        <f>"15134"</f>
        <v>15134</v>
      </c>
      <c r="B15135" t="str">
        <f>"-0.05"</f>
        <v>-0.05</v>
      </c>
      <c r="C15135" t="str">
        <f>"28"</f>
        <v>28</v>
      </c>
      <c r="D15135" t="str">
        <f>"Under a Blood Red Sky"</f>
        <v>Under a Blood Red Sky</v>
      </c>
    </row>
    <row r="15136" spans="1:4" x14ac:dyDescent="0.2">
      <c r="A15136" t="str">
        <f>"15135"</f>
        <v>15135</v>
      </c>
      <c r="B15136" t="str">
        <f>"1.45"</f>
        <v>1.45</v>
      </c>
      <c r="C15136" t="str">
        <f>"24"</f>
        <v>24</v>
      </c>
      <c r="D15136" t="str">
        <f>"4"</f>
        <v>4</v>
      </c>
    </row>
    <row r="15137" spans="1:4" x14ac:dyDescent="0.2">
      <c r="A15137" t="str">
        <f>"15136"</f>
        <v>15136</v>
      </c>
      <c r="B15137" t="str">
        <f>"0.68"</f>
        <v>0.68</v>
      </c>
      <c r="C15137" t="str">
        <f>"28"</f>
        <v>28</v>
      </c>
      <c r="D15137" t="str">
        <f>"House With No Home"</f>
        <v>House With No Home</v>
      </c>
    </row>
    <row r="15138" spans="1:4" x14ac:dyDescent="0.2">
      <c r="A15138" t="str">
        <f>"15137"</f>
        <v>15137</v>
      </c>
      <c r="B15138" t="str">
        <f>"-0.04"</f>
        <v>-0.04</v>
      </c>
      <c r="C15138" t="str">
        <f>"20"</f>
        <v>20</v>
      </c>
      <c r="D15138" t="str">
        <f>"17 Musicians in Search of a Sound: Darfur"</f>
        <v>17 Musicians in Search of a Sound: Darfur</v>
      </c>
    </row>
    <row r="15139" spans="1:4" x14ac:dyDescent="0.2">
      <c r="A15139" t="str">
        <f>"15138"</f>
        <v>15138</v>
      </c>
      <c r="B15139" t="str">
        <f>"0.35"</f>
        <v>0.35</v>
      </c>
      <c r="C15139" t="str">
        <f>"32"</f>
        <v>32</v>
      </c>
      <c r="D15139" t="str">
        <f>"We Global"</f>
        <v>We Global</v>
      </c>
    </row>
    <row r="15140" spans="1:4" x14ac:dyDescent="0.2">
      <c r="A15140" t="str">
        <f>"15139"</f>
        <v>15139</v>
      </c>
      <c r="B15140" t="str">
        <f>"-0.21"</f>
        <v>-0.21</v>
      </c>
      <c r="C15140" t="str">
        <f>"72"</f>
        <v>72</v>
      </c>
      <c r="D15140" t="str">
        <f>"Tim"</f>
        <v>Tim</v>
      </c>
    </row>
    <row r="15141" spans="1:4" x14ac:dyDescent="0.2">
      <c r="A15141" t="str">
        <f>"15140"</f>
        <v>15140</v>
      </c>
      <c r="B15141" t="str">
        <f>"0.18"</f>
        <v>0.18</v>
      </c>
      <c r="C15141" t="str">
        <f>"23"</f>
        <v>23</v>
      </c>
      <c r="D15141" t="str">
        <f>"SM Backwards"</f>
        <v>SM Backwards</v>
      </c>
    </row>
    <row r="15142" spans="1:4" x14ac:dyDescent="0.2">
      <c r="A15142" t="str">
        <f>"15141"</f>
        <v>15141</v>
      </c>
      <c r="B15142" t="str">
        <f>"-0.31"</f>
        <v>-0.31</v>
      </c>
      <c r="C15142" t="str">
        <f>"21"</f>
        <v>21</v>
      </c>
      <c r="D15142" t="str">
        <f>"All the Way"</f>
        <v>All the Way</v>
      </c>
    </row>
    <row r="15143" spans="1:4" x14ac:dyDescent="0.2">
      <c r="A15143" t="str">
        <f>"15142"</f>
        <v>15142</v>
      </c>
      <c r="B15143" t="str">
        <f>"0.82"</f>
        <v>0.82</v>
      </c>
      <c r="C15143" t="str">
        <f>"27"</f>
        <v>27</v>
      </c>
      <c r="D15143" t="str">
        <f>"Necima"</f>
        <v>Necima</v>
      </c>
    </row>
    <row r="15144" spans="1:4" x14ac:dyDescent="0.2">
      <c r="A15144" t="str">
        <f>"15143"</f>
        <v>15143</v>
      </c>
      <c r="B15144" t="str">
        <f>"0.62"</f>
        <v>0.62</v>
      </c>
      <c r="C15144" t="str">
        <f>"34"</f>
        <v>34</v>
      </c>
      <c r="D15144" t="str">
        <f>"Milagrosa"</f>
        <v>Milagrosa</v>
      </c>
    </row>
    <row r="15145" spans="1:4" x14ac:dyDescent="0.2">
      <c r="A15145" t="str">
        <f>"15144"</f>
        <v>15144</v>
      </c>
      <c r="B15145" t="str">
        <f>"0.54"</f>
        <v>0.54</v>
      </c>
      <c r="C15145" t="str">
        <f>"29"</f>
        <v>29</v>
      </c>
      <c r="D15145" t="str">
        <f>"Journey to the West"</f>
        <v>Journey to the West</v>
      </c>
    </row>
    <row r="15146" spans="1:4" x14ac:dyDescent="0.2">
      <c r="A15146" t="str">
        <f>"15145"</f>
        <v>15145</v>
      </c>
      <c r="B15146" t="str">
        <f>"1.51"</f>
        <v>1.51</v>
      </c>
      <c r="C15146" t="str">
        <f>"23"</f>
        <v>23</v>
      </c>
      <c r="D15146" t="str">
        <f>"Gentleman Jesse &amp; His Men"</f>
        <v>Gentleman Jesse &amp; His Men</v>
      </c>
    </row>
    <row r="15147" spans="1:4" x14ac:dyDescent="0.2">
      <c r="A15147" t="str">
        <f>"15146"</f>
        <v>15146</v>
      </c>
      <c r="B15147" t="str">
        <f>"1.84"</f>
        <v>1.84</v>
      </c>
      <c r="C15147" t="str">
        <f>"16"</f>
        <v>16</v>
      </c>
      <c r="D15147" t="str">
        <f>"The Holy Pictures"</f>
        <v>The Holy Pictures</v>
      </c>
    </row>
    <row r="15148" spans="1:4" x14ac:dyDescent="0.2">
      <c r="A15148" t="str">
        <f>"15147"</f>
        <v>15147</v>
      </c>
      <c r="B15148" t="str">
        <f>"0.82"</f>
        <v>0.82</v>
      </c>
      <c r="C15148" t="str">
        <f>"15"</f>
        <v>15</v>
      </c>
      <c r="D15148" t="str">
        <f>"The Mighty Ship"</f>
        <v>The Mighty Ship</v>
      </c>
    </row>
    <row r="15149" spans="1:4" x14ac:dyDescent="0.2">
      <c r="A15149" t="str">
        <f>"15148"</f>
        <v>15148</v>
      </c>
      <c r="B15149" t="str">
        <f>"0.79"</f>
        <v>0.79</v>
      </c>
      <c r="C15149" t="str">
        <f>"23"</f>
        <v>23</v>
      </c>
      <c r="D15149" t="str">
        <f>"Eyes at Half Mast"</f>
        <v>Eyes at Half Mast</v>
      </c>
    </row>
    <row r="15150" spans="1:4" x14ac:dyDescent="0.2">
      <c r="A15150" t="str">
        <f>"15149"</f>
        <v>15149</v>
      </c>
      <c r="B15150" t="str">
        <f>"0.29"</f>
        <v>0.29</v>
      </c>
      <c r="C15150" t="str">
        <f>"25"</f>
        <v>25</v>
      </c>
      <c r="D15150" t="str">
        <f>"Acid Tongue"</f>
        <v>Acid Tongue</v>
      </c>
    </row>
    <row r="15151" spans="1:4" x14ac:dyDescent="0.2">
      <c r="A15151" t="str">
        <f>"15150"</f>
        <v>15150</v>
      </c>
      <c r="B15151" t="str">
        <f>"0.27"</f>
        <v>0.27</v>
      </c>
      <c r="C15151" t="str">
        <f>"34"</f>
        <v>34</v>
      </c>
      <c r="D15151" t="str">
        <f>"High Places"</f>
        <v>High Places</v>
      </c>
    </row>
    <row r="15152" spans="1:4" x14ac:dyDescent="0.2">
      <c r="A15152" t="str">
        <f>"15151"</f>
        <v>15151</v>
      </c>
      <c r="B15152" t="str">
        <f>"0.75"</f>
        <v>0.75</v>
      </c>
      <c r="C15152" t="str">
        <f>"17"</f>
        <v>17</v>
      </c>
      <c r="D15152" t="str">
        <f>"Out My Window"</f>
        <v>Out My Window</v>
      </c>
    </row>
    <row r="15153" spans="1:4" x14ac:dyDescent="0.2">
      <c r="A15153" t="str">
        <f>"15152"</f>
        <v>15152</v>
      </c>
      <c r="B15153" t="str">
        <f>"-0.63"</f>
        <v>-0.63</v>
      </c>
      <c r="C15153" t="str">
        <f>"27"</f>
        <v>27</v>
      </c>
      <c r="D15153" t="str">
        <f>"How to Walk Away"</f>
        <v>How to Walk Away</v>
      </c>
    </row>
    <row r="15154" spans="1:4" x14ac:dyDescent="0.2">
      <c r="A15154" t="str">
        <f>"15153"</f>
        <v>15153</v>
      </c>
      <c r="B15154" t="str">
        <f>"-0.3"</f>
        <v>-0.3</v>
      </c>
      <c r="C15154" t="str">
        <f>"27"</f>
        <v>27</v>
      </c>
      <c r="D15154" t="str">
        <f>"The Viola in My Life"</f>
        <v>The Viola in My Life</v>
      </c>
    </row>
    <row r="15155" spans="1:4" x14ac:dyDescent="0.2">
      <c r="A15155" t="str">
        <f>"15154"</f>
        <v>15154</v>
      </c>
      <c r="B15155" t="str">
        <f>"-0.28"</f>
        <v>-0.28</v>
      </c>
      <c r="C15155" t="str">
        <f>"48"</f>
        <v>48</v>
      </c>
      <c r="D15155" t="str">
        <f>"The Hawk Is Howling"</f>
        <v>The Hawk Is Howling</v>
      </c>
    </row>
    <row r="15156" spans="1:4" x14ac:dyDescent="0.2">
      <c r="A15156" t="str">
        <f>"15155"</f>
        <v>15155</v>
      </c>
      <c r="B15156" t="str">
        <f>"0.13"</f>
        <v>0.13</v>
      </c>
      <c r="C15156" t="str">
        <f>"24"</f>
        <v>24</v>
      </c>
      <c r="D15156" t="str">
        <f>"Loyalty to Loyalty"</f>
        <v>Loyalty to Loyalty</v>
      </c>
    </row>
    <row r="15157" spans="1:4" x14ac:dyDescent="0.2">
      <c r="A15157" t="str">
        <f>"15156"</f>
        <v>15156</v>
      </c>
      <c r="B15157" t="str">
        <f>"0.45"</f>
        <v>0.45</v>
      </c>
      <c r="C15157" t="str">
        <f>"37"</f>
        <v>37</v>
      </c>
      <c r="D15157" t="str">
        <f>"Brotherman OST"</f>
        <v>Brotherman OST</v>
      </c>
    </row>
    <row r="15158" spans="1:4" x14ac:dyDescent="0.2">
      <c r="A15158" t="str">
        <f>"15157"</f>
        <v>15157</v>
      </c>
      <c r="B15158" t="str">
        <f>"0.34"</f>
        <v>0.34</v>
      </c>
      <c r="C15158" t="str">
        <f>"19"</f>
        <v>19</v>
      </c>
      <c r="D15158" t="str">
        <f>"Looking Into It"</f>
        <v>Looking Into It</v>
      </c>
    </row>
    <row r="15159" spans="1:4" x14ac:dyDescent="0.2">
      <c r="A15159" t="str">
        <f>"15158"</f>
        <v>15158</v>
      </c>
      <c r="B15159" t="str">
        <f>"-1.05"</f>
        <v>-1.05</v>
      </c>
      <c r="C15159" t="str">
        <f>"19"</f>
        <v>19</v>
      </c>
      <c r="D15159" t="str">
        <f>"Fingerpointing"</f>
        <v>Fingerpointing</v>
      </c>
    </row>
    <row r="15160" spans="1:4" x14ac:dyDescent="0.2">
      <c r="A15160" t="str">
        <f>"15159"</f>
        <v>15159</v>
      </c>
      <c r="B15160" t="str">
        <f>"-0.15"</f>
        <v>-0.15</v>
      </c>
      <c r="C15160" t="str">
        <f>"32"</f>
        <v>32</v>
      </c>
      <c r="D15160" t="str">
        <f>"Dear Science"</f>
        <v>Dear Science</v>
      </c>
    </row>
    <row r="15161" spans="1:4" x14ac:dyDescent="0.2">
      <c r="A15161" t="str">
        <f>"15160"</f>
        <v>15160</v>
      </c>
      <c r="B15161" t="str">
        <f>"0.47"</f>
        <v>0.47</v>
      </c>
      <c r="C15161" t="str">
        <f>"27"</f>
        <v>27</v>
      </c>
      <c r="D15161" t="str">
        <f>"Motion to Rejoin"</f>
        <v>Motion to Rejoin</v>
      </c>
    </row>
    <row r="15162" spans="1:4" x14ac:dyDescent="0.2">
      <c r="A15162" t="str">
        <f>"15161"</f>
        <v>15161</v>
      </c>
      <c r="B15162" t="str">
        <f>"0.4"</f>
        <v>0.4</v>
      </c>
      <c r="C15162" t="str">
        <f>"21"</f>
        <v>21</v>
      </c>
      <c r="D15162" t="str">
        <f>"Heavenly Bender"</f>
        <v>Heavenly Bender</v>
      </c>
    </row>
    <row r="15163" spans="1:4" x14ac:dyDescent="0.2">
      <c r="A15163" t="str">
        <f>"15162"</f>
        <v>15162</v>
      </c>
      <c r="B15163" t="str">
        <f>"-0.14"</f>
        <v>-0.14</v>
      </c>
      <c r="C15163" t="str">
        <f>"22"</f>
        <v>22</v>
      </c>
      <c r="D15163" t="str">
        <f>"Fajar Di Atas Awan"</f>
        <v>Fajar Di Atas Awan</v>
      </c>
    </row>
    <row r="15164" spans="1:4" x14ac:dyDescent="0.2">
      <c r="A15164" t="str">
        <f>"15163"</f>
        <v>15163</v>
      </c>
      <c r="B15164" t="str">
        <f>"0.89"</f>
        <v>0.89</v>
      </c>
      <c r="C15164" t="str">
        <f>"33"</f>
        <v>33</v>
      </c>
      <c r="D15164" t="str">
        <f>"Reach Out EP"</f>
        <v>Reach Out EP</v>
      </c>
    </row>
    <row r="15165" spans="1:4" x14ac:dyDescent="0.2">
      <c r="A15165" t="str">
        <f>"15164"</f>
        <v>15164</v>
      </c>
      <c r="B15165" t="str">
        <f>"1.16"</f>
        <v>1.16</v>
      </c>
      <c r="C15165" t="str">
        <f>"14"</f>
        <v>14</v>
      </c>
      <c r="D15165" t="s">
        <v>477</v>
      </c>
    </row>
    <row r="15166" spans="1:4" x14ac:dyDescent="0.2">
      <c r="A15166" t="str">
        <f>"15165"</f>
        <v>15165</v>
      </c>
      <c r="B15166" t="str">
        <f>"-0.01"</f>
        <v>-0.01</v>
      </c>
      <c r="C15166" t="str">
        <f>"31"</f>
        <v>31</v>
      </c>
      <c r="D15166" t="str">
        <f>"Who Killed Amanda Palmer"</f>
        <v>Who Killed Amanda Palmer</v>
      </c>
    </row>
    <row r="15167" spans="1:4" x14ac:dyDescent="0.2">
      <c r="A15167" t="str">
        <f>"15166"</f>
        <v>15166</v>
      </c>
      <c r="B15167" t="str">
        <f>"0.26"</f>
        <v>0.26</v>
      </c>
      <c r="C15167" t="str">
        <f>"23"</f>
        <v>23</v>
      </c>
      <c r="D15167" t="str">
        <f>"The Family Afloat"</f>
        <v>The Family Afloat</v>
      </c>
    </row>
    <row r="15168" spans="1:4" x14ac:dyDescent="0.2">
      <c r="A15168" t="str">
        <f>"15167"</f>
        <v>15167</v>
      </c>
      <c r="B15168" t="str">
        <f>"0.32"</f>
        <v>0.32</v>
      </c>
      <c r="C15168" t="str">
        <f>"22"</f>
        <v>22</v>
      </c>
      <c r="D15168" t="str">
        <f>"Here With Me"</f>
        <v>Here With Me</v>
      </c>
    </row>
    <row r="15169" spans="1:4" x14ac:dyDescent="0.2">
      <c r="A15169" t="str">
        <f>"15168"</f>
        <v>15168</v>
      </c>
      <c r="B15169" t="str">
        <f>"0.18"</f>
        <v>0.18</v>
      </c>
      <c r="C15169" t="str">
        <f>"14"</f>
        <v>14</v>
      </c>
      <c r="D15169" t="str">
        <f>"More Sad Hits"</f>
        <v>More Sad Hits</v>
      </c>
    </row>
    <row r="15170" spans="1:4" x14ac:dyDescent="0.2">
      <c r="A15170" t="str">
        <f>"15169"</f>
        <v>15169</v>
      </c>
      <c r="B15170" t="str">
        <f>"0.98"</f>
        <v>0.98</v>
      </c>
      <c r="C15170" t="str">
        <f>"28"</f>
        <v>28</v>
      </c>
      <c r="D15170" t="str">
        <f>"Lightbulbs"</f>
        <v>Lightbulbs</v>
      </c>
    </row>
    <row r="15171" spans="1:4" x14ac:dyDescent="0.2">
      <c r="A15171" t="str">
        <f>"15170"</f>
        <v>15170</v>
      </c>
      <c r="B15171" t="str">
        <f>"1.46"</f>
        <v>1.46</v>
      </c>
      <c r="C15171" t="str">
        <f>"25"</f>
        <v>25</v>
      </c>
      <c r="D15171" t="str">
        <f>"Ferndorf"</f>
        <v>Ferndorf</v>
      </c>
    </row>
    <row r="15172" spans="1:4" x14ac:dyDescent="0.2">
      <c r="A15172" t="str">
        <f>"15171"</f>
        <v>15171</v>
      </c>
      <c r="B15172" t="str">
        <f>"-0.42"</f>
        <v>-0.42</v>
      </c>
      <c r="C15172" t="str">
        <f>"34"</f>
        <v>34</v>
      </c>
      <c r="D15172" t="str">
        <f>"Hey Ma"</f>
        <v>Hey Ma</v>
      </c>
    </row>
    <row r="15173" spans="1:4" x14ac:dyDescent="0.2">
      <c r="A15173" t="str">
        <f>"15172"</f>
        <v>15172</v>
      </c>
      <c r="B15173" t="str">
        <f>"0.17"</f>
        <v>0.17</v>
      </c>
      <c r="C15173" t="str">
        <f>"24"</f>
        <v>24</v>
      </c>
      <c r="D15173" t="str">
        <f>"Sol-Angel and the Hadley St. Dreams"</f>
        <v>Sol-Angel and the Hadley St. Dreams</v>
      </c>
    </row>
    <row r="15174" spans="1:4" x14ac:dyDescent="0.2">
      <c r="A15174" t="str">
        <f>"15173"</f>
        <v>15173</v>
      </c>
      <c r="B15174" t="str">
        <f>"-0.63"</f>
        <v>-0.63</v>
      </c>
      <c r="C15174" t="str">
        <f>"20"</f>
        <v>20</v>
      </c>
      <c r="D15174" t="str">
        <f>"Fabulous Diamonds"</f>
        <v>Fabulous Diamonds</v>
      </c>
    </row>
    <row r="15175" spans="1:4" x14ac:dyDescent="0.2">
      <c r="A15175" t="str">
        <f>"15174"</f>
        <v>15174</v>
      </c>
      <c r="B15175" t="str">
        <f>"0.16"</f>
        <v>0.16</v>
      </c>
      <c r="C15175" t="str">
        <f>"34"</f>
        <v>34</v>
      </c>
      <c r="D15175" t="str">
        <f>"The New School"</f>
        <v>The New School</v>
      </c>
    </row>
    <row r="15176" spans="1:4" x14ac:dyDescent="0.2">
      <c r="A15176" t="str">
        <f>"15175"</f>
        <v>15175</v>
      </c>
      <c r="B15176" t="str">
        <f>"1.43"</f>
        <v>1.43</v>
      </c>
      <c r="C15176" t="str">
        <f>"20"</f>
        <v>20</v>
      </c>
      <c r="D15176" t="str">
        <f>"Exit"</f>
        <v>Exit</v>
      </c>
    </row>
    <row r="15177" spans="1:4" x14ac:dyDescent="0.2">
      <c r="A15177" t="str">
        <f>"15176"</f>
        <v>15176</v>
      </c>
      <c r="B15177" t="str">
        <f>"0.29"</f>
        <v>0.29</v>
      </c>
      <c r="C15177" t="str">
        <f>"38"</f>
        <v>38</v>
      </c>
      <c r="D15177" t="str">
        <f>"A Flowering Tree"</f>
        <v>A Flowering Tree</v>
      </c>
    </row>
    <row r="15178" spans="1:4" x14ac:dyDescent="0.2">
      <c r="A15178" t="str">
        <f>"15177"</f>
        <v>15177</v>
      </c>
      <c r="B15178" t="str">
        <f>"-0.29"</f>
        <v>-0.29</v>
      </c>
      <c r="C15178" t="str">
        <f>"40"</f>
        <v>40</v>
      </c>
      <c r="D15178" t="str">
        <f>"The Airborne Toxic Event"</f>
        <v>The Airborne Toxic Event</v>
      </c>
    </row>
    <row r="15179" spans="1:4" x14ac:dyDescent="0.2">
      <c r="A15179" t="str">
        <f>"15178"</f>
        <v>15178</v>
      </c>
      <c r="B15179" t="str">
        <f>"-0.5"</f>
        <v>-0.5</v>
      </c>
      <c r="C15179" t="str">
        <f>"28"</f>
        <v>28</v>
      </c>
      <c r="D15179" t="str">
        <f>"Cold Fact"</f>
        <v>Cold Fact</v>
      </c>
    </row>
    <row r="15180" spans="1:4" x14ac:dyDescent="0.2">
      <c r="A15180" t="str">
        <f>"15179"</f>
        <v>15179</v>
      </c>
      <c r="B15180" t="str">
        <f>"0.04"</f>
        <v>0.04</v>
      </c>
      <c r="C15180" t="str">
        <f>"30"</f>
        <v>30</v>
      </c>
      <c r="D15180" t="str">
        <f>"Only By the Night"</f>
        <v>Only By the Night</v>
      </c>
    </row>
    <row r="15181" spans="1:4" x14ac:dyDescent="0.2">
      <c r="A15181" t="str">
        <f>"15180"</f>
        <v>15180</v>
      </c>
      <c r="B15181" t="str">
        <f>"-0.07"</f>
        <v>-0.07</v>
      </c>
      <c r="C15181" t="str">
        <f>"17"</f>
        <v>17</v>
      </c>
      <c r="D15181" t="str">
        <f>"FabricLive 41"</f>
        <v>FabricLive 41</v>
      </c>
    </row>
    <row r="15182" spans="1:4" x14ac:dyDescent="0.2">
      <c r="A15182" t="str">
        <f>"15181"</f>
        <v>15181</v>
      </c>
      <c r="B15182" t="str">
        <f>"0.42"</f>
        <v>0.42</v>
      </c>
      <c r="C15182" t="str">
        <f>"14"</f>
        <v>14</v>
      </c>
      <c r="D15182" t="str">
        <f>"The Preface"</f>
        <v>The Preface</v>
      </c>
    </row>
    <row r="15183" spans="1:4" x14ac:dyDescent="0.2">
      <c r="A15183" t="str">
        <f>"15182"</f>
        <v>15182</v>
      </c>
      <c r="B15183" t="str">
        <f>"-0.31"</f>
        <v>-0.31</v>
      </c>
      <c r="C15183" t="str">
        <f>"23"</f>
        <v>23</v>
      </c>
      <c r="D15183" t="str">
        <f>"Me and Armini"</f>
        <v>Me and Armini</v>
      </c>
    </row>
    <row r="15184" spans="1:4" x14ac:dyDescent="0.2">
      <c r="A15184" t="str">
        <f>"15183"</f>
        <v>15183</v>
      </c>
      <c r="B15184" t="str">
        <f>"1.06"</f>
        <v>1.06</v>
      </c>
      <c r="C15184" t="str">
        <f>"19"</f>
        <v>19</v>
      </c>
      <c r="D15184" t="str">
        <f>"Kitsuné Tabloid"</f>
        <v>Kitsuné Tabloid</v>
      </c>
    </row>
    <row r="15185" spans="1:4" x14ac:dyDescent="0.2">
      <c r="A15185" t="str">
        <f>"15184"</f>
        <v>15184</v>
      </c>
      <c r="B15185" t="str">
        <f>"0.79"</f>
        <v>0.79</v>
      </c>
      <c r="C15185" t="str">
        <f>"28"</f>
        <v>28</v>
      </c>
      <c r="D15185" t="str">
        <f>"Seaside Rock"</f>
        <v>Seaside Rock</v>
      </c>
    </row>
    <row r="15186" spans="1:4" x14ac:dyDescent="0.2">
      <c r="A15186" t="str">
        <f>"15185"</f>
        <v>15185</v>
      </c>
      <c r="B15186" t="str">
        <f>"-0.64"</f>
        <v>-0.64</v>
      </c>
      <c r="C15186" t="str">
        <f>"21"</f>
        <v>21</v>
      </c>
      <c r="D15186" t="str">
        <f>"The Second Original Silence"</f>
        <v>The Second Original Silence</v>
      </c>
    </row>
    <row r="15187" spans="1:4" x14ac:dyDescent="0.2">
      <c r="A15187" t="str">
        <f>"15186"</f>
        <v>15186</v>
      </c>
      <c r="B15187" t="str">
        <f>"-0.46"</f>
        <v>-0.46</v>
      </c>
      <c r="C15187" t="str">
        <f>"23"</f>
        <v>23</v>
      </c>
      <c r="D15187" t="str">
        <f>"Lunglight"</f>
        <v>Lunglight</v>
      </c>
    </row>
    <row r="15188" spans="1:4" x14ac:dyDescent="0.2">
      <c r="A15188" t="str">
        <f>"15187"</f>
        <v>15187</v>
      </c>
      <c r="B15188" t="str">
        <f>"1.44"</f>
        <v>1.44</v>
      </c>
      <c r="C15188" t="str">
        <f>"13"</f>
        <v>13</v>
      </c>
      <c r="D15188" t="str">
        <f>"Girls and Weather"</f>
        <v>Girls and Weather</v>
      </c>
    </row>
    <row r="15189" spans="1:4" x14ac:dyDescent="0.2">
      <c r="A15189" t="str">
        <f>"15188"</f>
        <v>15188</v>
      </c>
      <c r="B15189" t="str">
        <f>"0"</f>
        <v>0</v>
      </c>
      <c r="C15189" t="str">
        <f>"35"</f>
        <v>35</v>
      </c>
      <c r="D15189" t="str">
        <f>"Portal"</f>
        <v>Portal</v>
      </c>
    </row>
    <row r="15190" spans="1:4" x14ac:dyDescent="0.2">
      <c r="A15190" t="str">
        <f>"15189"</f>
        <v>15189</v>
      </c>
      <c r="B15190" t="str">
        <f>"-0.07"</f>
        <v>-0.07</v>
      </c>
      <c r="C15190" t="str">
        <f>"20"</f>
        <v>20</v>
      </c>
      <c r="D15190" t="str">
        <f>"7 Songs Belfast"</f>
        <v>7 Songs Belfast</v>
      </c>
    </row>
    <row r="15191" spans="1:4" x14ac:dyDescent="0.2">
      <c r="A15191" t="str">
        <f>"15190"</f>
        <v>15190</v>
      </c>
      <c r="B15191" t="str">
        <f>"0.63"</f>
        <v>0.63</v>
      </c>
      <c r="C15191" t="str">
        <f>"26"</f>
        <v>26</v>
      </c>
      <c r="D15191" t="str">
        <f>"The Rex the Dog Show"</f>
        <v>The Rex the Dog Show</v>
      </c>
    </row>
    <row r="15192" spans="1:4" x14ac:dyDescent="0.2">
      <c r="A15192" t="str">
        <f>"15191"</f>
        <v>15191</v>
      </c>
      <c r="B15192" t="str">
        <f>"1.26"</f>
        <v>1.26</v>
      </c>
      <c r="C15192" t="str">
        <f>"14"</f>
        <v>14</v>
      </c>
      <c r="D15192" t="str">
        <f>"Fabric 41"</f>
        <v>Fabric 41</v>
      </c>
    </row>
    <row r="15193" spans="1:4" x14ac:dyDescent="0.2">
      <c r="A15193" t="str">
        <f>"15192"</f>
        <v>15192</v>
      </c>
      <c r="B15193" t="str">
        <f>"0.93"</f>
        <v>0.93</v>
      </c>
      <c r="C15193" t="str">
        <f>"14"</f>
        <v>14</v>
      </c>
      <c r="D15193" t="str">
        <f>"Mugiboogie"</f>
        <v>Mugiboogie</v>
      </c>
    </row>
    <row r="15194" spans="1:4" x14ac:dyDescent="0.2">
      <c r="A15194" t="str">
        <f>"15193"</f>
        <v>15193</v>
      </c>
      <c r="B15194" t="str">
        <f>"-0.14"</f>
        <v>-0.14</v>
      </c>
      <c r="C15194" t="str">
        <f>"17"</f>
        <v>17</v>
      </c>
      <c r="D15194" t="str">
        <f>"Courtcase 2000"</f>
        <v>Courtcase 2000</v>
      </c>
    </row>
    <row r="15195" spans="1:4" x14ac:dyDescent="0.2">
      <c r="A15195" t="str">
        <f>"15194"</f>
        <v>15194</v>
      </c>
      <c r="B15195" t="str">
        <f>"0.34"</f>
        <v>0.34</v>
      </c>
      <c r="C15195" t="str">
        <f>"19"</f>
        <v>19</v>
      </c>
      <c r="D15195" t="str">
        <f>"Carried to Dust"</f>
        <v>Carried to Dust</v>
      </c>
    </row>
    <row r="15196" spans="1:4" x14ac:dyDescent="0.2">
      <c r="A15196" t="str">
        <f>"15195"</f>
        <v>15195</v>
      </c>
      <c r="B15196" t="str">
        <f>"-0.8"</f>
        <v>-0.8</v>
      </c>
      <c r="C15196" t="str">
        <f>"24"</f>
        <v>24</v>
      </c>
      <c r="D15196" t="str">
        <f>"Knowle West Boy"</f>
        <v>Knowle West Boy</v>
      </c>
    </row>
    <row r="15197" spans="1:4" x14ac:dyDescent="0.2">
      <c r="A15197" t="str">
        <f>"15196"</f>
        <v>15196</v>
      </c>
      <c r="B15197" t="str">
        <f>"-0.68"</f>
        <v>-0.68</v>
      </c>
      <c r="C15197" t="str">
        <f>"28"</f>
        <v>28</v>
      </c>
      <c r="D15197" t="str">
        <f>"Old Wounds"</f>
        <v>Old Wounds</v>
      </c>
    </row>
    <row r="15198" spans="1:4" x14ac:dyDescent="0.2">
      <c r="A15198" t="str">
        <f>"15197"</f>
        <v>15197</v>
      </c>
      <c r="B15198" t="str">
        <f>"0.59"</f>
        <v>0.59</v>
      </c>
      <c r="C15198" t="str">
        <f>"31"</f>
        <v>31</v>
      </c>
      <c r="D15198" t="str">
        <f>"Living on the Other Side"</f>
        <v>Living on the Other Side</v>
      </c>
    </row>
    <row r="15199" spans="1:4" x14ac:dyDescent="0.2">
      <c r="A15199" t="str">
        <f>"15198"</f>
        <v>15198</v>
      </c>
      <c r="B15199" t="str">
        <f>"0.48"</f>
        <v>0.48</v>
      </c>
      <c r="C15199" t="str">
        <f>"26"</f>
        <v>26</v>
      </c>
      <c r="D15199" t="s">
        <v>478</v>
      </c>
    </row>
    <row r="15200" spans="1:4" x14ac:dyDescent="0.2">
      <c r="A15200" t="str">
        <f>"15199"</f>
        <v>15199</v>
      </c>
      <c r="B15200" t="str">
        <f>"0.3"</f>
        <v>0.3</v>
      </c>
      <c r="C15200" t="str">
        <f>"20"</f>
        <v>20</v>
      </c>
      <c r="D15200" t="str">
        <f>"Sad Robots EP"</f>
        <v>Sad Robots EP</v>
      </c>
    </row>
    <row r="15201" spans="1:4" x14ac:dyDescent="0.2">
      <c r="A15201" t="str">
        <f>"15200"</f>
        <v>15200</v>
      </c>
      <c r="B15201" t="str">
        <f>"0.21"</f>
        <v>0.21</v>
      </c>
      <c r="C15201" t="str">
        <f>"20"</f>
        <v>20</v>
      </c>
      <c r="D15201" t="str">
        <f>"The New Year"</f>
        <v>The New Year</v>
      </c>
    </row>
    <row r="15202" spans="1:4" x14ac:dyDescent="0.2">
      <c r="A15202" t="str">
        <f>"15201"</f>
        <v>15201</v>
      </c>
      <c r="B15202" t="str">
        <f>"0.37"</f>
        <v>0.37</v>
      </c>
      <c r="C15202" t="str">
        <f>"29"</f>
        <v>29</v>
      </c>
      <c r="D15202" t="str">
        <f>"proVISIONS"</f>
        <v>proVISIONS</v>
      </c>
    </row>
    <row r="15203" spans="1:4" x14ac:dyDescent="0.2">
      <c r="A15203" t="str">
        <f>"15202"</f>
        <v>15202</v>
      </c>
      <c r="B15203" t="str">
        <f>"1.31"</f>
        <v>1.31</v>
      </c>
      <c r="C15203" t="str">
        <f>"23"</f>
        <v>23</v>
      </c>
      <c r="D15203" t="str">
        <f>"Helena Espvall &amp; Masaki Batoh"</f>
        <v>Helena Espvall &amp; Masaki Batoh</v>
      </c>
    </row>
    <row r="15204" spans="1:4" x14ac:dyDescent="0.2">
      <c r="A15204" t="str">
        <f>"15203"</f>
        <v>15203</v>
      </c>
      <c r="B15204" t="str">
        <f>"-0.39"</f>
        <v>-0.39</v>
      </c>
      <c r="C15204" t="str">
        <f>"20"</f>
        <v>20</v>
      </c>
      <c r="D15204" t="str">
        <f>"Thought So..."</f>
        <v>Thought So...</v>
      </c>
    </row>
    <row r="15205" spans="1:4" x14ac:dyDescent="0.2">
      <c r="A15205" t="str">
        <f>"15204"</f>
        <v>15204</v>
      </c>
      <c r="B15205" t="str">
        <f>"-0.71"</f>
        <v>-0.71</v>
      </c>
      <c r="C15205" t="str">
        <f>"71"</f>
        <v>71</v>
      </c>
      <c r="D15205" t="str">
        <f>"Death Magnetic"</f>
        <v>Death Magnetic</v>
      </c>
    </row>
    <row r="15206" spans="1:4" x14ac:dyDescent="0.2">
      <c r="A15206" t="str">
        <f>"15205"</f>
        <v>15205</v>
      </c>
      <c r="B15206" t="str">
        <f>"0.29"</f>
        <v>0.29</v>
      </c>
      <c r="C15206" t="str">
        <f>"36"</f>
        <v>36</v>
      </c>
      <c r="D15206" t="str">
        <f>"Some Small History"</f>
        <v>Some Small History</v>
      </c>
    </row>
    <row r="15207" spans="1:4" x14ac:dyDescent="0.2">
      <c r="A15207" t="str">
        <f>"15206"</f>
        <v>15206</v>
      </c>
      <c r="B15207" t="str">
        <f>"-0.42"</f>
        <v>-0.42</v>
      </c>
      <c r="C15207" t="str">
        <f>"24"</f>
        <v>24</v>
      </c>
      <c r="D15207" t="str">
        <f>"Entanglements"</f>
        <v>Entanglements</v>
      </c>
    </row>
    <row r="15208" spans="1:4" x14ac:dyDescent="0.2">
      <c r="A15208" t="str">
        <f>"15207"</f>
        <v>15207</v>
      </c>
      <c r="B15208" t="str">
        <f>"0.04"</f>
        <v>0.04</v>
      </c>
      <c r="C15208" t="str">
        <f>"23"</f>
        <v>23</v>
      </c>
      <c r="D15208" t="str">
        <f>"Bury the Square"</f>
        <v>Bury the Square</v>
      </c>
    </row>
    <row r="15209" spans="1:4" x14ac:dyDescent="0.2">
      <c r="A15209" t="str">
        <f>"15208"</f>
        <v>15208</v>
      </c>
      <c r="B15209" t="str">
        <f>"0.06"</f>
        <v>0.06</v>
      </c>
      <c r="C15209" t="str">
        <f>"27"</f>
        <v>27</v>
      </c>
      <c r="D15209" t="str">
        <f>"A Thousand Words"</f>
        <v>A Thousand Words</v>
      </c>
    </row>
    <row r="15210" spans="1:4" x14ac:dyDescent="0.2">
      <c r="A15210" t="str">
        <f>"15209"</f>
        <v>15209</v>
      </c>
      <c r="B15210" t="str">
        <f>"-0.39"</f>
        <v>-0.39</v>
      </c>
      <c r="C15210" t="str">
        <f>"12"</f>
        <v>12</v>
      </c>
      <c r="D15210" t="str">
        <f>"Heartbreaker"</f>
        <v>Heartbreaker</v>
      </c>
    </row>
    <row r="15211" spans="1:4" x14ac:dyDescent="0.2">
      <c r="A15211" t="str">
        <f>"15210"</f>
        <v>15210</v>
      </c>
      <c r="B15211" t="str">
        <f>"-0.57"</f>
        <v>-0.57</v>
      </c>
      <c r="C15211" t="str">
        <f>"33"</f>
        <v>33</v>
      </c>
      <c r="D15211" t="str">
        <f>"The Stand Ins"</f>
        <v>The Stand Ins</v>
      </c>
    </row>
    <row r="15212" spans="1:4" x14ac:dyDescent="0.2">
      <c r="A15212" t="str">
        <f>"15211"</f>
        <v>15211</v>
      </c>
      <c r="B15212" t="str">
        <f>"-0.93"</f>
        <v>-0.93</v>
      </c>
      <c r="C15212" t="str">
        <f>"22"</f>
        <v>22</v>
      </c>
      <c r="D15212" t="s">
        <v>479</v>
      </c>
    </row>
    <row r="15213" spans="1:4" x14ac:dyDescent="0.2">
      <c r="A15213" t="str">
        <f>"15212"</f>
        <v>15212</v>
      </c>
      <c r="B15213" t="str">
        <f>"0.01"</f>
        <v>0.01</v>
      </c>
      <c r="C15213" t="str">
        <f>"17"</f>
        <v>17</v>
      </c>
      <c r="D15213" t="str">
        <f>"Alphabutt"</f>
        <v>Alphabutt</v>
      </c>
    </row>
    <row r="15214" spans="1:4" x14ac:dyDescent="0.2">
      <c r="A15214" t="str">
        <f>"15213"</f>
        <v>15213</v>
      </c>
      <c r="B15214" t="str">
        <f>"0.6"</f>
        <v>0.6</v>
      </c>
      <c r="C15214" t="str">
        <f>"18"</f>
        <v>18</v>
      </c>
      <c r="D15214" t="str">
        <f>"Fortunately"</f>
        <v>Fortunately</v>
      </c>
    </row>
    <row r="15215" spans="1:4" x14ac:dyDescent="0.2">
      <c r="A15215" t="str">
        <f>"15214"</f>
        <v>15214</v>
      </c>
      <c r="B15215" t="str">
        <f>"0.88"</f>
        <v>0.88</v>
      </c>
      <c r="C15215" t="str">
        <f>"38"</f>
        <v>38</v>
      </c>
      <c r="D15215" t="str">
        <f>"Luminous Groove"</f>
        <v>Luminous Groove</v>
      </c>
    </row>
    <row r="15216" spans="1:4" x14ac:dyDescent="0.2">
      <c r="A15216" t="str">
        <f>"15215"</f>
        <v>15215</v>
      </c>
      <c r="B15216" t="str">
        <f>"1"</f>
        <v>1</v>
      </c>
      <c r="C15216" t="str">
        <f>"22"</f>
        <v>22</v>
      </c>
      <c r="D15216" t="s">
        <v>480</v>
      </c>
    </row>
    <row r="15217" spans="1:4" x14ac:dyDescent="0.2">
      <c r="A15217" t="str">
        <f>"15216"</f>
        <v>15216</v>
      </c>
      <c r="B15217" t="str">
        <f>"0.47"</f>
        <v>0.47</v>
      </c>
      <c r="C15217" t="str">
        <f>"18"</f>
        <v>18</v>
      </c>
      <c r="D15217" t="str">
        <f>"Sunshine Lies"</f>
        <v>Sunshine Lies</v>
      </c>
    </row>
    <row r="15218" spans="1:4" x14ac:dyDescent="0.2">
      <c r="A15218" t="str">
        <f>"15217"</f>
        <v>15217</v>
      </c>
      <c r="B15218" t="str">
        <f>"-1.12"</f>
        <v>-1.12</v>
      </c>
      <c r="C15218" t="str">
        <f>"37"</f>
        <v>37</v>
      </c>
      <c r="D15218" t="str">
        <f>"The Ruiner"</f>
        <v>The Ruiner</v>
      </c>
    </row>
    <row r="15219" spans="1:4" x14ac:dyDescent="0.2">
      <c r="A15219" t="str">
        <f>"15218"</f>
        <v>15218</v>
      </c>
      <c r="B15219" t="str">
        <f>"0.57"</f>
        <v>0.57</v>
      </c>
      <c r="C15219" t="str">
        <f>"20"</f>
        <v>20</v>
      </c>
      <c r="D15219" t="str">
        <f>"The Way That It Was"</f>
        <v>The Way That It Was</v>
      </c>
    </row>
    <row r="15220" spans="1:4" x14ac:dyDescent="0.2">
      <c r="A15220" t="str">
        <f>"15219"</f>
        <v>15219</v>
      </c>
      <c r="B15220" t="str">
        <f>"1.22"</f>
        <v>1.22</v>
      </c>
      <c r="C15220" t="str">
        <f>"26"</f>
        <v>26</v>
      </c>
      <c r="D15220" t="str">
        <f>"Brotherhood"</f>
        <v>Brotherhood</v>
      </c>
    </row>
    <row r="15221" spans="1:4" x14ac:dyDescent="0.2">
      <c r="A15221" t="str">
        <f>"15220"</f>
        <v>15220</v>
      </c>
      <c r="B15221" t="str">
        <f>"0.95"</f>
        <v>0.95</v>
      </c>
      <c r="C15221" t="str">
        <f>"25"</f>
        <v>25</v>
      </c>
      <c r="D15221" t="str">
        <f>"Adorata EP"</f>
        <v>Adorata EP</v>
      </c>
    </row>
    <row r="15222" spans="1:4" x14ac:dyDescent="0.2">
      <c r="A15222" t="str">
        <f>"15221"</f>
        <v>15221</v>
      </c>
      <c r="B15222" t="str">
        <f>"0.02"</f>
        <v>0.02</v>
      </c>
      <c r="C15222" t="str">
        <f>"39"</f>
        <v>39</v>
      </c>
      <c r="D15222" t="str">
        <f>"Motörizer"</f>
        <v>Motörizer</v>
      </c>
    </row>
    <row r="15223" spans="1:4" x14ac:dyDescent="0.2">
      <c r="A15223" t="str">
        <f>"15222"</f>
        <v>15222</v>
      </c>
      <c r="B15223" t="str">
        <f>"-0.72"</f>
        <v>-0.72</v>
      </c>
      <c r="C15223" t="str">
        <f>"32"</f>
        <v>32</v>
      </c>
      <c r="D15223" t="str">
        <f>"We're in the Music Biz"</f>
        <v>We're in the Music Biz</v>
      </c>
    </row>
    <row r="15224" spans="1:4" x14ac:dyDescent="0.2">
      <c r="A15224" t="str">
        <f>"15223"</f>
        <v>15223</v>
      </c>
      <c r="B15224" t="str">
        <f>"-0.67"</f>
        <v>-0.67</v>
      </c>
      <c r="C15224" t="str">
        <f>"18"</f>
        <v>18</v>
      </c>
      <c r="D15224" t="str">
        <f>"We Have Cause to Be Uneasy"</f>
        <v>We Have Cause to Be Uneasy</v>
      </c>
    </row>
    <row r="15225" spans="1:4" x14ac:dyDescent="0.2">
      <c r="A15225" t="str">
        <f>"15224"</f>
        <v>15224</v>
      </c>
      <c r="B15225" t="str">
        <f>"-0.91"</f>
        <v>-0.91</v>
      </c>
      <c r="C15225" t="str">
        <f>"43"</f>
        <v>43</v>
      </c>
      <c r="D15225" t="str">
        <f>"The Recession"</f>
        <v>The Recession</v>
      </c>
    </row>
    <row r="15226" spans="1:4" x14ac:dyDescent="0.2">
      <c r="A15226" t="str">
        <f>"15225"</f>
        <v>15225</v>
      </c>
      <c r="B15226" t="str">
        <f>"1.24"</f>
        <v>1.24</v>
      </c>
      <c r="C15226" t="str">
        <f>"35"</f>
        <v>35</v>
      </c>
      <c r="D15226" t="str">
        <f>"That Lucky Old Sun"</f>
        <v>That Lucky Old Sun</v>
      </c>
    </row>
    <row r="15227" spans="1:4" x14ac:dyDescent="0.2">
      <c r="A15227" t="str">
        <f>"15226"</f>
        <v>15226</v>
      </c>
      <c r="B15227" t="str">
        <f>"0.33"</f>
        <v>0.33</v>
      </c>
      <c r="C15227" t="str">
        <f>"36"</f>
        <v>36</v>
      </c>
      <c r="D15227" t="str">
        <f>"From the Great American Songbook"</f>
        <v>From the Great American Songbook</v>
      </c>
    </row>
    <row r="15228" spans="1:4" x14ac:dyDescent="0.2">
      <c r="A15228" t="str">
        <f>"15227"</f>
        <v>15227</v>
      </c>
      <c r="B15228" t="str">
        <f>"0.5"</f>
        <v>0.5</v>
      </c>
      <c r="C15228" t="str">
        <f>"17"</f>
        <v>17</v>
      </c>
      <c r="D15228" t="str">
        <f>"The Lord Dog Bird"</f>
        <v>The Lord Dog Bird</v>
      </c>
    </row>
    <row r="15229" spans="1:4" x14ac:dyDescent="0.2">
      <c r="A15229" t="str">
        <f>"15228"</f>
        <v>15228</v>
      </c>
      <c r="B15229" t="str">
        <f>"-1.06"</f>
        <v>-1.06</v>
      </c>
      <c r="C15229" t="str">
        <f>"23"</f>
        <v>23</v>
      </c>
      <c r="D15229" t="str">
        <f>"Waiting in Vain"</f>
        <v>Waiting in Vain</v>
      </c>
    </row>
    <row r="15230" spans="1:4" x14ac:dyDescent="0.2">
      <c r="A15230" t="str">
        <f>"15229"</f>
        <v>15229</v>
      </c>
      <c r="B15230" t="str">
        <f>"1.84"</f>
        <v>1.84</v>
      </c>
      <c r="C15230" t="str">
        <f>"23"</f>
        <v>23</v>
      </c>
      <c r="D15230" t="str">
        <f>"Everything That Happens Will Happen Today"</f>
        <v>Everything That Happens Will Happen Today</v>
      </c>
    </row>
    <row r="15231" spans="1:4" x14ac:dyDescent="0.2">
      <c r="A15231" t="str">
        <f>"15230"</f>
        <v>15230</v>
      </c>
      <c r="B15231" t="str">
        <f>"-0.29"</f>
        <v>-0.29</v>
      </c>
      <c r="C15231" t="str">
        <f>"18"</f>
        <v>18</v>
      </c>
      <c r="D15231" t="str">
        <f>"Slime &amp; Reason"</f>
        <v>Slime &amp; Reason</v>
      </c>
    </row>
    <row r="15232" spans="1:4" x14ac:dyDescent="0.2">
      <c r="A15232" t="str">
        <f>"15231"</f>
        <v>15231</v>
      </c>
      <c r="B15232" t="str">
        <f>"-0.42"</f>
        <v>-0.42</v>
      </c>
      <c r="C15232" t="str">
        <f>"31"</f>
        <v>31</v>
      </c>
      <c r="D15232" t="str">
        <f>"Images of Sigrid"</f>
        <v>Images of Sigrid</v>
      </c>
    </row>
    <row r="15233" spans="1:4" x14ac:dyDescent="0.2">
      <c r="A15233" t="str">
        <f>"15232"</f>
        <v>15232</v>
      </c>
      <c r="B15233" t="str">
        <f>"-0.55"</f>
        <v>-0.55</v>
      </c>
      <c r="C15233" t="str">
        <f>"43"</f>
        <v>43</v>
      </c>
      <c r="D15233" t="str">
        <f>"Crippled Lucifer (Ten Psalms for Our Lord of Light)"</f>
        <v>Crippled Lucifer (Ten Psalms for Our Lord of Light)</v>
      </c>
    </row>
    <row r="15234" spans="1:4" x14ac:dyDescent="0.2">
      <c r="A15234" t="str">
        <f>"15233"</f>
        <v>15233</v>
      </c>
      <c r="B15234" t="str">
        <f>"0.23"</f>
        <v>0.23</v>
      </c>
      <c r="C15234" t="str">
        <f>"27"</f>
        <v>27</v>
      </c>
      <c r="D15234" t="s">
        <v>481</v>
      </c>
    </row>
    <row r="15235" spans="1:4" x14ac:dyDescent="0.2">
      <c r="A15235" t="str">
        <f>"15234"</f>
        <v>15234</v>
      </c>
      <c r="B15235" t="str">
        <f>"-0.29"</f>
        <v>-0.29</v>
      </c>
      <c r="C15235" t="str">
        <f>"18"</f>
        <v>18</v>
      </c>
      <c r="D15235" t="str">
        <f>"Los Angeles"</f>
        <v>Los Angeles</v>
      </c>
    </row>
    <row r="15236" spans="1:4" x14ac:dyDescent="0.2">
      <c r="A15236" t="str">
        <f>"15235"</f>
        <v>15235</v>
      </c>
      <c r="B15236" t="str">
        <f>"1.15"</f>
        <v>1.15</v>
      </c>
      <c r="C15236" t="str">
        <f>"20"</f>
        <v>20</v>
      </c>
      <c r="D15236" t="str">
        <f>"Moody Motorcycle"</f>
        <v>Moody Motorcycle</v>
      </c>
    </row>
    <row r="15237" spans="1:4" x14ac:dyDescent="0.2">
      <c r="A15237" t="str">
        <f>"15236"</f>
        <v>15236</v>
      </c>
      <c r="B15237" t="str">
        <f>"0.33"</f>
        <v>0.33</v>
      </c>
      <c r="C15237" t="str">
        <f>"23"</f>
        <v>23</v>
      </c>
      <c r="D15237" t="s">
        <v>482</v>
      </c>
    </row>
    <row r="15238" spans="1:4" x14ac:dyDescent="0.2">
      <c r="A15238" t="str">
        <f>"15237"</f>
        <v>15237</v>
      </c>
      <c r="B15238" t="str">
        <f>"-0.1"</f>
        <v>-0.1</v>
      </c>
      <c r="C15238" t="str">
        <f>"32"</f>
        <v>32</v>
      </c>
      <c r="D15238" t="str">
        <f>"Laughter"</f>
        <v>Laughter</v>
      </c>
    </row>
    <row r="15239" spans="1:4" x14ac:dyDescent="0.2">
      <c r="A15239" t="str">
        <f>"15238"</f>
        <v>15238</v>
      </c>
      <c r="B15239" t="str">
        <f>"-0.5"</f>
        <v>-0.5</v>
      </c>
      <c r="C15239" t="str">
        <f>"11"</f>
        <v>11</v>
      </c>
      <c r="D15239" t="str">
        <f>"Doomtree"</f>
        <v>Doomtree</v>
      </c>
    </row>
    <row r="15240" spans="1:4" x14ac:dyDescent="0.2">
      <c r="A15240" t="str">
        <f>"15239"</f>
        <v>15239</v>
      </c>
      <c r="B15240" t="str">
        <f>"-0.34"</f>
        <v>-0.34</v>
      </c>
      <c r="C15240" t="str">
        <f>"25"</f>
        <v>25</v>
      </c>
      <c r="D15240" t="str">
        <f>"2"</f>
        <v>2</v>
      </c>
    </row>
    <row r="15241" spans="1:4" x14ac:dyDescent="0.2">
      <c r="A15241" t="str">
        <f>"15240"</f>
        <v>15240</v>
      </c>
      <c r="B15241" t="str">
        <f>"0.46"</f>
        <v>0.46</v>
      </c>
      <c r="C15241" t="str">
        <f>"25"</f>
        <v>25</v>
      </c>
      <c r="D15241" t="str">
        <f>"Forth"</f>
        <v>Forth</v>
      </c>
    </row>
    <row r="15242" spans="1:4" x14ac:dyDescent="0.2">
      <c r="A15242" t="str">
        <f>"15241"</f>
        <v>15241</v>
      </c>
      <c r="B15242" t="str">
        <f>"-0.64"</f>
        <v>-0.64</v>
      </c>
      <c r="C15242" t="str">
        <f>"35"</f>
        <v>35</v>
      </c>
      <c r="D15242" t="str">
        <f>"Angles"</f>
        <v>Angles</v>
      </c>
    </row>
    <row r="15243" spans="1:4" x14ac:dyDescent="0.2">
      <c r="A15243" t="str">
        <f>"15242"</f>
        <v>15242</v>
      </c>
      <c r="B15243" t="str">
        <f>"0.28"</f>
        <v>0.28</v>
      </c>
      <c r="C15243" t="str">
        <f>"19"</f>
        <v>19</v>
      </c>
      <c r="D15243" t="s">
        <v>483</v>
      </c>
    </row>
    <row r="15244" spans="1:4" x14ac:dyDescent="0.2">
      <c r="A15244" t="str">
        <f>"15243"</f>
        <v>15243</v>
      </c>
      <c r="B15244" t="str">
        <f>"-0.64"</f>
        <v>-0.64</v>
      </c>
      <c r="C15244" t="str">
        <f>"24"</f>
        <v>24</v>
      </c>
      <c r="D15244" t="str">
        <f>"Thorns"</f>
        <v>Thorns</v>
      </c>
    </row>
    <row r="15245" spans="1:4" x14ac:dyDescent="0.2">
      <c r="A15245" t="str">
        <f>"15244"</f>
        <v>15244</v>
      </c>
      <c r="B15245" t="str">
        <f>"0"</f>
        <v>0</v>
      </c>
      <c r="C15245" t="str">
        <f>"34"</f>
        <v>34</v>
      </c>
      <c r="D15245" t="str">
        <f>"Animals"</f>
        <v>Animals</v>
      </c>
    </row>
    <row r="15246" spans="1:4" x14ac:dyDescent="0.2">
      <c r="A15246" t="str">
        <f>"15245"</f>
        <v>15245</v>
      </c>
      <c r="B15246" t="str">
        <f>"-0.24"</f>
        <v>-0.24</v>
      </c>
      <c r="C15246" t="str">
        <f>"30"</f>
        <v>30</v>
      </c>
      <c r="D15246" t="s">
        <v>484</v>
      </c>
    </row>
    <row r="15247" spans="1:4" x14ac:dyDescent="0.2">
      <c r="A15247" t="str">
        <f>"15246"</f>
        <v>15246</v>
      </c>
      <c r="B15247" t="str">
        <f>"0"</f>
        <v>0</v>
      </c>
      <c r="C15247" t="str">
        <f>"31"</f>
        <v>31</v>
      </c>
      <c r="D15247" t="str">
        <f>"Woodpecker OST"</f>
        <v>Woodpecker OST</v>
      </c>
    </row>
    <row r="15248" spans="1:4" x14ac:dyDescent="0.2">
      <c r="A15248" t="str">
        <f>"15247"</f>
        <v>15247</v>
      </c>
      <c r="B15248" t="str">
        <f>"-0.22"</f>
        <v>-0.22</v>
      </c>
      <c r="C15248" t="str">
        <f>"31"</f>
        <v>31</v>
      </c>
      <c r="D15248" t="str">
        <f>"Swimming"</f>
        <v>Swimming</v>
      </c>
    </row>
    <row r="15249" spans="1:4" x14ac:dyDescent="0.2">
      <c r="A15249" t="str">
        <f>"15248"</f>
        <v>15248</v>
      </c>
      <c r="B15249" t="str">
        <f>"1.1"</f>
        <v>1.1</v>
      </c>
      <c r="C15249" t="str">
        <f>"27"</f>
        <v>27</v>
      </c>
      <c r="D15249" t="str">
        <f>"Ancestor"</f>
        <v>Ancestor</v>
      </c>
    </row>
    <row r="15250" spans="1:4" x14ac:dyDescent="0.2">
      <c r="A15250" t="str">
        <f>"15249"</f>
        <v>15249</v>
      </c>
      <c r="B15250" t="str">
        <f>"0.04"</f>
        <v>0.04</v>
      </c>
      <c r="C15250" t="str">
        <f>"23"</f>
        <v>23</v>
      </c>
      <c r="D15250" t="str">
        <f>"Intimacy"</f>
        <v>Intimacy</v>
      </c>
    </row>
    <row r="15251" spans="1:4" x14ac:dyDescent="0.2">
      <c r="A15251" t="str">
        <f>"15250"</f>
        <v>15250</v>
      </c>
      <c r="B15251" t="str">
        <f>"0.77"</f>
        <v>0.77</v>
      </c>
      <c r="C15251" t="str">
        <f>"23"</f>
        <v>23</v>
      </c>
      <c r="D15251" t="str">
        <f>"Astrological Straits"</f>
        <v>Astrological Straits</v>
      </c>
    </row>
    <row r="15252" spans="1:4" x14ac:dyDescent="0.2">
      <c r="A15252" t="str">
        <f>"15251"</f>
        <v>15251</v>
      </c>
      <c r="B15252" t="str">
        <f>"0.17"</f>
        <v>0.17</v>
      </c>
      <c r="C15252" t="str">
        <f>"22"</f>
        <v>22</v>
      </c>
      <c r="D15252" t="str">
        <f>"In Flesh Tones"</f>
        <v>In Flesh Tones</v>
      </c>
    </row>
    <row r="15253" spans="1:4" x14ac:dyDescent="0.2">
      <c r="A15253" t="str">
        <f>"15252"</f>
        <v>15252</v>
      </c>
      <c r="B15253" t="str">
        <f>"0.05"</f>
        <v>0.05</v>
      </c>
      <c r="C15253" t="str">
        <f>"21"</f>
        <v>21</v>
      </c>
      <c r="D15253" t="str">
        <f>"Inlandish"</f>
        <v>Inlandish</v>
      </c>
    </row>
    <row r="15254" spans="1:4" x14ac:dyDescent="0.2">
      <c r="A15254" t="str">
        <f>"15253"</f>
        <v>15253</v>
      </c>
      <c r="B15254" t="str">
        <f>"-0.07"</f>
        <v>-0.07</v>
      </c>
      <c r="C15254" t="str">
        <f>"21"</f>
        <v>21</v>
      </c>
      <c r="D15254" t="str">
        <f>"Small Vessel"</f>
        <v>Small Vessel</v>
      </c>
    </row>
    <row r="15255" spans="1:4" x14ac:dyDescent="0.2">
      <c r="A15255" t="str">
        <f>"15254"</f>
        <v>15254</v>
      </c>
      <c r="B15255" t="str">
        <f>"0.72"</f>
        <v>0.72</v>
      </c>
      <c r="C15255" t="str">
        <f>"13"</f>
        <v>13</v>
      </c>
      <c r="D15255" t="str">
        <f>"Where You Go I Go Too"</f>
        <v>Where You Go I Go Too</v>
      </c>
    </row>
    <row r="15256" spans="1:4" x14ac:dyDescent="0.2">
      <c r="A15256" t="str">
        <f>"15255"</f>
        <v>15255</v>
      </c>
      <c r="B15256" t="str">
        <f>"0.72"</f>
        <v>0.72</v>
      </c>
      <c r="C15256" t="str">
        <f>"20"</f>
        <v>20</v>
      </c>
      <c r="D15256" t="str">
        <f>"Pro Tools"</f>
        <v>Pro Tools</v>
      </c>
    </row>
    <row r="15257" spans="1:4" x14ac:dyDescent="0.2">
      <c r="A15257" t="str">
        <f>"15256"</f>
        <v>15256</v>
      </c>
      <c r="B15257" t="str">
        <f>"0.42"</f>
        <v>0.42</v>
      </c>
      <c r="C15257" t="str">
        <f>"32"</f>
        <v>32</v>
      </c>
      <c r="D15257" t="str">
        <f>"Dragging a Dead Deer Up a Hill"</f>
        <v>Dragging a Dead Deer Up a Hill</v>
      </c>
    </row>
    <row r="15258" spans="1:4" x14ac:dyDescent="0.2">
      <c r="A15258" t="str">
        <f>"15257"</f>
        <v>15257</v>
      </c>
      <c r="B15258" t="str">
        <f>"-0.38"</f>
        <v>-0.38</v>
      </c>
      <c r="C15258" t="str">
        <f>"23"</f>
        <v>23</v>
      </c>
      <c r="D15258" t="str">
        <f>"Lose Big"</f>
        <v>Lose Big</v>
      </c>
    </row>
    <row r="15259" spans="1:4" x14ac:dyDescent="0.2">
      <c r="A15259" t="str">
        <f>"15258"</f>
        <v>15258</v>
      </c>
      <c r="B15259" t="str">
        <f>"-0.32"</f>
        <v>-0.32</v>
      </c>
      <c r="C15259" t="str">
        <f>"22"</f>
        <v>22</v>
      </c>
      <c r="D15259" t="str">
        <f>"Back to the Cat"</f>
        <v>Back to the Cat</v>
      </c>
    </row>
    <row r="15260" spans="1:4" x14ac:dyDescent="0.2">
      <c r="A15260" t="str">
        <f>"15259"</f>
        <v>15259</v>
      </c>
      <c r="B15260" t="str">
        <f>"1.15"</f>
        <v>1.15</v>
      </c>
      <c r="C15260" t="str">
        <f>"17"</f>
        <v>17</v>
      </c>
      <c r="D15260" t="str">
        <f>"Life Is Sweet"</f>
        <v>Life Is Sweet</v>
      </c>
    </row>
    <row r="15261" spans="1:4" x14ac:dyDescent="0.2">
      <c r="A15261" t="str">
        <f>"15260"</f>
        <v>15260</v>
      </c>
      <c r="B15261" t="str">
        <f>"-0.68"</f>
        <v>-0.68</v>
      </c>
      <c r="C15261" t="str">
        <f>"29"</f>
        <v>29</v>
      </c>
      <c r="D15261" t="str">
        <f>"L.A.X."</f>
        <v>L.A.X.</v>
      </c>
    </row>
    <row r="15262" spans="1:4" x14ac:dyDescent="0.2">
      <c r="A15262" t="str">
        <f>"15261"</f>
        <v>15261</v>
      </c>
      <c r="B15262" t="str">
        <f>"-0.23"</f>
        <v>-0.23</v>
      </c>
      <c r="C15262" t="str">
        <f>"25"</f>
        <v>25</v>
      </c>
      <c r="D15262" t="str">
        <f>"Why Are We Not Perfect? EP"</f>
        <v>Why Are We Not Perfect? EP</v>
      </c>
    </row>
    <row r="15263" spans="1:4" x14ac:dyDescent="0.2">
      <c r="A15263" t="str">
        <f>"15262"</f>
        <v>15262</v>
      </c>
      <c r="B15263" t="str">
        <f>"1.21"</f>
        <v>1.21</v>
      </c>
      <c r="C15263" t="str">
        <f>"39"</f>
        <v>39</v>
      </c>
      <c r="D15263" t="str">
        <f>"Eccentric Soul: The Tragar &amp; Note Labels"</f>
        <v>Eccentric Soul: The Tragar &amp; Note Labels</v>
      </c>
    </row>
    <row r="15264" spans="1:4" x14ac:dyDescent="0.2">
      <c r="A15264" t="str">
        <f>"15263"</f>
        <v>15263</v>
      </c>
      <c r="B15264" t="str">
        <f>"-0.17"</f>
        <v>-0.17</v>
      </c>
      <c r="C15264" t="str">
        <f>"29"</f>
        <v>29</v>
      </c>
      <c r="D15264" t="str">
        <f>"Waiting for the Sunrise"</f>
        <v>Waiting for the Sunrise</v>
      </c>
    </row>
    <row r="15265" spans="1:4" x14ac:dyDescent="0.2">
      <c r="A15265" t="str">
        <f>"15264"</f>
        <v>15264</v>
      </c>
      <c r="B15265" t="str">
        <f>"-0.32"</f>
        <v>-0.32</v>
      </c>
      <c r="C15265" t="str">
        <f>"33"</f>
        <v>33</v>
      </c>
      <c r="D15265" t="str">
        <f>"Remember"</f>
        <v>Remember</v>
      </c>
    </row>
    <row r="15266" spans="1:4" x14ac:dyDescent="0.2">
      <c r="A15266" t="str">
        <f>"15265"</f>
        <v>15265</v>
      </c>
      <c r="B15266" t="str">
        <f>"-0.56"</f>
        <v>-0.56</v>
      </c>
      <c r="C15266" t="str">
        <f>"23"</f>
        <v>23</v>
      </c>
      <c r="D15266" t="str">
        <f>"Music Tapes for Clouds and Tornadoes"</f>
        <v>Music Tapes for Clouds and Tornadoes</v>
      </c>
    </row>
    <row r="15267" spans="1:4" x14ac:dyDescent="0.2">
      <c r="A15267" t="str">
        <f>"15266"</f>
        <v>15266</v>
      </c>
      <c r="B15267" t="str">
        <f>"-0.03"</f>
        <v>-0.03</v>
      </c>
      <c r="C15267" t="str">
        <f>"14"</f>
        <v>14</v>
      </c>
      <c r="D15267" t="str">
        <f>"Why Is Bear Billowing?"</f>
        <v>Why Is Bear Billowing?</v>
      </c>
    </row>
    <row r="15268" spans="1:4" x14ac:dyDescent="0.2">
      <c r="A15268" t="str">
        <f>"15267"</f>
        <v>15267</v>
      </c>
      <c r="B15268" t="str">
        <f>"0.33"</f>
        <v>0.33</v>
      </c>
      <c r="C15268" t="str">
        <f>"23"</f>
        <v>23</v>
      </c>
      <c r="D15268" t="str">
        <f>"As High as the Sky"</f>
        <v>As High as the Sky</v>
      </c>
    </row>
    <row r="15269" spans="1:4" x14ac:dyDescent="0.2">
      <c r="A15269" t="str">
        <f>"15268"</f>
        <v>15268</v>
      </c>
      <c r="B15269" t="str">
        <f>"0.45"</f>
        <v>0.45</v>
      </c>
      <c r="C15269" t="str">
        <f>"40"</f>
        <v>40</v>
      </c>
      <c r="D15269" t="str">
        <f>"This Is Alphabeat"</f>
        <v>This Is Alphabeat</v>
      </c>
    </row>
    <row r="15270" spans="1:4" x14ac:dyDescent="0.2">
      <c r="A15270" t="str">
        <f>"15269"</f>
        <v>15269</v>
      </c>
      <c r="B15270" t="str">
        <f>"0.2"</f>
        <v>0.2</v>
      </c>
      <c r="C15270" t="str">
        <f>"28"</f>
        <v>28</v>
      </c>
      <c r="D15270" t="str">
        <f>"Oceans Will Rise"</f>
        <v>Oceans Will Rise</v>
      </c>
    </row>
    <row r="15271" spans="1:4" x14ac:dyDescent="0.2">
      <c r="A15271" t="str">
        <f>"15270"</f>
        <v>15270</v>
      </c>
      <c r="B15271" t="str">
        <f>"0.64"</f>
        <v>0.64</v>
      </c>
      <c r="C15271" t="str">
        <f>"34"</f>
        <v>34</v>
      </c>
      <c r="D15271" t="str">
        <f>"Total 9"</f>
        <v>Total 9</v>
      </c>
    </row>
    <row r="15272" spans="1:4" x14ac:dyDescent="0.2">
      <c r="A15272" t="str">
        <f>"15271"</f>
        <v>15271</v>
      </c>
      <c r="B15272" t="str">
        <f>"1.15"</f>
        <v>1.15</v>
      </c>
      <c r="C15272" t="str">
        <f>"22"</f>
        <v>22</v>
      </c>
      <c r="D15272" t="str">
        <f>"My Fellow Sophisticates"</f>
        <v>My Fellow Sophisticates</v>
      </c>
    </row>
    <row r="15273" spans="1:4" x14ac:dyDescent="0.2">
      <c r="A15273" t="str">
        <f>"15272"</f>
        <v>15272</v>
      </c>
      <c r="B15273" t="str">
        <f>"-0.57"</f>
        <v>-0.57</v>
      </c>
      <c r="C15273" t="str">
        <f>"20"</f>
        <v>20</v>
      </c>
      <c r="D15273" t="str">
        <f>"Electric Aborigines"</f>
        <v>Electric Aborigines</v>
      </c>
    </row>
    <row r="15274" spans="1:4" x14ac:dyDescent="0.2">
      <c r="A15274" t="str">
        <f>"15273"</f>
        <v>15273</v>
      </c>
      <c r="B15274" t="str">
        <f>"-1.08"</f>
        <v>-1.08</v>
      </c>
      <c r="C15274" t="str">
        <f>"24"</f>
        <v>24</v>
      </c>
      <c r="D15274" t="str">
        <f>"Correcto"</f>
        <v>Correcto</v>
      </c>
    </row>
    <row r="15275" spans="1:4" x14ac:dyDescent="0.2">
      <c r="A15275" t="str">
        <f>"15274"</f>
        <v>15274</v>
      </c>
      <c r="B15275" t="str">
        <f>"1.22"</f>
        <v>1.22</v>
      </c>
      <c r="C15275" t="str">
        <f>"22"</f>
        <v>22</v>
      </c>
      <c r="D15275" t="str">
        <f>"Chemical Chords"</f>
        <v>Chemical Chords</v>
      </c>
    </row>
    <row r="15276" spans="1:4" x14ac:dyDescent="0.2">
      <c r="A15276" t="str">
        <f>"15275"</f>
        <v>15275</v>
      </c>
      <c r="B15276" t="str">
        <f>"0.15"</f>
        <v>0.15</v>
      </c>
      <c r="C15276" t="str">
        <f>"25"</f>
        <v>25</v>
      </c>
      <c r="D15276" t="str">
        <f>"Nothing Is Precious Enough for Us"</f>
        <v>Nothing Is Precious Enough for Us</v>
      </c>
    </row>
    <row r="15277" spans="1:4" x14ac:dyDescent="0.2">
      <c r="A15277" t="str">
        <f>"15276"</f>
        <v>15276</v>
      </c>
      <c r="B15277" t="str">
        <f>"0.05"</f>
        <v>0.05</v>
      </c>
      <c r="C15277" t="str">
        <f>"18"</f>
        <v>18</v>
      </c>
      <c r="D15277" t="str">
        <f>"And I Love H.E.R.: Original Motion Picture Soundtrack"</f>
        <v>And I Love H.E.R.: Original Motion Picture Soundtrack</v>
      </c>
    </row>
    <row r="15278" spans="1:4" x14ac:dyDescent="0.2">
      <c r="A15278" t="str">
        <f>"15277"</f>
        <v>15277</v>
      </c>
      <c r="B15278" t="str">
        <f>"0.13"</f>
        <v>0.13</v>
      </c>
      <c r="C15278" t="str">
        <f>"43"</f>
        <v>43</v>
      </c>
      <c r="D15278" t="str">
        <f>"Mothertongue"</f>
        <v>Mothertongue</v>
      </c>
    </row>
    <row r="15279" spans="1:4" x14ac:dyDescent="0.2">
      <c r="A15279" t="str">
        <f>"15278"</f>
        <v>15278</v>
      </c>
      <c r="B15279" t="str">
        <f>"1.02"</f>
        <v>1.02</v>
      </c>
      <c r="C15279" t="str">
        <f>"16"</f>
        <v>16</v>
      </c>
      <c r="D15279" t="str">
        <f>"The Jealous Girlfriends"</f>
        <v>The Jealous Girlfriends</v>
      </c>
    </row>
    <row r="15280" spans="1:4" x14ac:dyDescent="0.2">
      <c r="A15280" t="str">
        <f>"15279"</f>
        <v>15279</v>
      </c>
      <c r="B15280" t="str">
        <f>"0.98"</f>
        <v>0.98</v>
      </c>
      <c r="C15280" t="str">
        <f>"22"</f>
        <v>22</v>
      </c>
      <c r="D15280" t="str">
        <f>"You &amp; Me"</f>
        <v>You &amp; Me</v>
      </c>
    </row>
    <row r="15281" spans="1:4" x14ac:dyDescent="0.2">
      <c r="A15281" t="str">
        <f>"15280"</f>
        <v>15280</v>
      </c>
      <c r="B15281" t="str">
        <f>"-0.39"</f>
        <v>-0.39</v>
      </c>
      <c r="C15281" t="str">
        <f>"28"</f>
        <v>28</v>
      </c>
      <c r="D15281" t="str">
        <f>"...Earth to the Dandy Warhols..."</f>
        <v>...Earth to the Dandy Warhols...</v>
      </c>
    </row>
    <row r="15282" spans="1:4" x14ac:dyDescent="0.2">
      <c r="A15282" t="str">
        <f>"15281"</f>
        <v>15281</v>
      </c>
      <c r="B15282" t="str">
        <f>"0.87"</f>
        <v>0.87</v>
      </c>
      <c r="C15282" t="str">
        <f>"29"</f>
        <v>29</v>
      </c>
      <c r="D15282" t="str">
        <f>"Popular Songs of Great Enduring Strength and Beauty"</f>
        <v>Popular Songs of Great Enduring Strength and Beauty</v>
      </c>
    </row>
    <row r="15283" spans="1:4" x14ac:dyDescent="0.2">
      <c r="A15283" t="str">
        <f>"15282"</f>
        <v>15282</v>
      </c>
      <c r="B15283" t="str">
        <f>"0.69"</f>
        <v>0.69</v>
      </c>
      <c r="C15283" t="str">
        <f>"25"</f>
        <v>25</v>
      </c>
      <c r="D15283" t="str">
        <f>"I Saw the Ghost of an Unknown Soul and It Said..."</f>
        <v>I Saw the Ghost of an Unknown Soul and It Said...</v>
      </c>
    </row>
    <row r="15284" spans="1:4" x14ac:dyDescent="0.2">
      <c r="A15284" t="str">
        <f>"15283"</f>
        <v>15283</v>
      </c>
      <c r="B15284" t="str">
        <f>"0.83"</f>
        <v>0.83</v>
      </c>
      <c r="C15284" t="str">
        <f>"18"</f>
        <v>18</v>
      </c>
      <c r="D15284" t="str">
        <f>"True North"</f>
        <v>True North</v>
      </c>
    </row>
    <row r="15285" spans="1:4" x14ac:dyDescent="0.2">
      <c r="A15285" t="str">
        <f>"15284"</f>
        <v>15284</v>
      </c>
      <c r="B15285" t="str">
        <f>"0.39"</f>
        <v>0.39</v>
      </c>
      <c r="C15285" t="str">
        <f>"37"</f>
        <v>37</v>
      </c>
      <c r="D15285" t="str">
        <f>"Stardust: Legacy Edition"</f>
        <v>Stardust: Legacy Edition</v>
      </c>
    </row>
    <row r="15286" spans="1:4" x14ac:dyDescent="0.2">
      <c r="A15286" t="str">
        <f>"15285"</f>
        <v>15285</v>
      </c>
      <c r="B15286" t="str">
        <f>"-0.66"</f>
        <v>-0.66</v>
      </c>
      <c r="C15286" t="str">
        <f>"20"</f>
        <v>20</v>
      </c>
      <c r="D15286" t="s">
        <v>485</v>
      </c>
    </row>
    <row r="15287" spans="1:4" x14ac:dyDescent="0.2">
      <c r="A15287" t="str">
        <f>"15286"</f>
        <v>15286</v>
      </c>
      <c r="B15287" t="str">
        <f>"-0.85"</f>
        <v>-0.85</v>
      </c>
      <c r="C15287" t="str">
        <f>"34"</f>
        <v>34</v>
      </c>
      <c r="D15287" t="str">
        <f>"B-Boy Records: The Masterworks"</f>
        <v>B-Boy Records: The Masterworks</v>
      </c>
    </row>
    <row r="15288" spans="1:4" x14ac:dyDescent="0.2">
      <c r="A15288" t="str">
        <f>"15287"</f>
        <v>15287</v>
      </c>
      <c r="B15288" t="str">
        <f>"0.74"</f>
        <v>0.74</v>
      </c>
      <c r="C15288" t="str">
        <f>"25"</f>
        <v>25</v>
      </c>
      <c r="D15288" t="str">
        <f>"Carefree"</f>
        <v>Carefree</v>
      </c>
    </row>
    <row r="15289" spans="1:4" x14ac:dyDescent="0.2">
      <c r="A15289" t="str">
        <f>"15288"</f>
        <v>15288</v>
      </c>
      <c r="B15289" t="str">
        <f>"-0.88"</f>
        <v>-0.88</v>
      </c>
      <c r="C15289" t="str">
        <f>"21"</f>
        <v>21</v>
      </c>
      <c r="D15289" t="str">
        <f>"Summer of the Whore"</f>
        <v>Summer of the Whore</v>
      </c>
    </row>
    <row r="15290" spans="1:4" x14ac:dyDescent="0.2">
      <c r="A15290" t="str">
        <f>"15289"</f>
        <v>15289</v>
      </c>
      <c r="B15290" t="str">
        <f>"-0.18"</f>
        <v>-0.18</v>
      </c>
      <c r="C15290" t="str">
        <f>"32"</f>
        <v>32</v>
      </c>
      <c r="D15290" t="str">
        <f>"Blue Lambency Downward"</f>
        <v>Blue Lambency Downward</v>
      </c>
    </row>
    <row r="15291" spans="1:4" x14ac:dyDescent="0.2">
      <c r="A15291" t="str">
        <f>"15290"</f>
        <v>15290</v>
      </c>
      <c r="B15291" t="str">
        <f>"0.32"</f>
        <v>0.32</v>
      </c>
      <c r="C15291" t="str">
        <f>"63"</f>
        <v>63</v>
      </c>
      <c r="D15291" t="s">
        <v>486</v>
      </c>
    </row>
    <row r="15292" spans="1:4" x14ac:dyDescent="0.2">
      <c r="A15292" t="str">
        <f>"15291"</f>
        <v>15291</v>
      </c>
      <c r="B15292" t="str">
        <f>"-0.32"</f>
        <v>-0.32</v>
      </c>
      <c r="C15292" t="str">
        <f>"23"</f>
        <v>23</v>
      </c>
      <c r="D15292" t="str">
        <f>"The Rhumb Line"</f>
        <v>The Rhumb Line</v>
      </c>
    </row>
    <row r="15293" spans="1:4" x14ac:dyDescent="0.2">
      <c r="A15293" t="str">
        <f>"15292"</f>
        <v>15292</v>
      </c>
      <c r="B15293" t="str">
        <f>"-0.32"</f>
        <v>-0.32</v>
      </c>
      <c r="C15293" t="str">
        <f>"25"</f>
        <v>25</v>
      </c>
      <c r="D15293" t="str">
        <f>"Spirit"</f>
        <v>Spirit</v>
      </c>
    </row>
    <row r="15294" spans="1:4" x14ac:dyDescent="0.2">
      <c r="A15294" t="str">
        <f>"15293"</f>
        <v>15293</v>
      </c>
      <c r="B15294" t="str">
        <f>"-0.67"</f>
        <v>-0.67</v>
      </c>
      <c r="C15294" t="str">
        <f>"28"</f>
        <v>28</v>
      </c>
      <c r="D15294" t="str">
        <f>"12 Steps"</f>
        <v>12 Steps</v>
      </c>
    </row>
    <row r="15295" spans="1:4" x14ac:dyDescent="0.2">
      <c r="A15295" t="str">
        <f>"15294"</f>
        <v>15294</v>
      </c>
      <c r="B15295" t="str">
        <f>"-0.3"</f>
        <v>-0.3</v>
      </c>
      <c r="C15295" t="str">
        <f>"27"</f>
        <v>27</v>
      </c>
      <c r="D15295" t="str">
        <f>"Vol. 1"</f>
        <v>Vol. 1</v>
      </c>
    </row>
    <row r="15296" spans="1:4" x14ac:dyDescent="0.2">
      <c r="A15296" t="str">
        <f>"15295"</f>
        <v>15295</v>
      </c>
      <c r="B15296" t="str">
        <f>"0.6"</f>
        <v>0.6</v>
      </c>
      <c r="C15296" t="str">
        <f>"56"</f>
        <v>56</v>
      </c>
      <c r="D15296" t="str">
        <f>"BCD-2"</f>
        <v>BCD-2</v>
      </c>
    </row>
    <row r="15297" spans="1:4" x14ac:dyDescent="0.2">
      <c r="A15297" t="str">
        <f>"15296"</f>
        <v>15296</v>
      </c>
      <c r="B15297" t="str">
        <f>"-0.88"</f>
        <v>-0.88</v>
      </c>
      <c r="C15297" t="str">
        <f>"22"</f>
        <v>22</v>
      </c>
      <c r="D15297" t="str">
        <f>"Double Bubble"</f>
        <v>Double Bubble</v>
      </c>
    </row>
    <row r="15298" spans="1:4" x14ac:dyDescent="0.2">
      <c r="A15298" t="str">
        <f>"15297"</f>
        <v>15297</v>
      </c>
      <c r="B15298" t="str">
        <f>"-0.13"</f>
        <v>-0.13</v>
      </c>
      <c r="C15298" t="str">
        <f>"26"</f>
        <v>26</v>
      </c>
      <c r="D15298" t="str">
        <f>"Prepare to Qualify EP"</f>
        <v>Prepare to Qualify EP</v>
      </c>
    </row>
    <row r="15299" spans="1:4" x14ac:dyDescent="0.2">
      <c r="A15299" t="str">
        <f>"15298"</f>
        <v>15298</v>
      </c>
      <c r="B15299" t="str">
        <f>"0.9"</f>
        <v>0.9</v>
      </c>
      <c r="C15299" t="str">
        <f>"15"</f>
        <v>15</v>
      </c>
      <c r="D15299" t="str">
        <f>"Memory Span"</f>
        <v>Memory Span</v>
      </c>
    </row>
    <row r="15300" spans="1:4" x14ac:dyDescent="0.2">
      <c r="A15300" t="str">
        <f>"15299"</f>
        <v>15299</v>
      </c>
      <c r="B15300" t="str">
        <f>"-0.28"</f>
        <v>-0.28</v>
      </c>
      <c r="C15300" t="str">
        <f>"23"</f>
        <v>23</v>
      </c>
      <c r="D15300" t="str">
        <f>"Songs on the Rocks"</f>
        <v>Songs on the Rocks</v>
      </c>
    </row>
    <row r="15301" spans="1:4" x14ac:dyDescent="0.2">
      <c r="A15301" t="str">
        <f>"15300"</f>
        <v>15300</v>
      </c>
      <c r="B15301" t="str">
        <f>"-0.44"</f>
        <v>-0.44</v>
      </c>
      <c r="C15301" t="str">
        <f>"33"</f>
        <v>33</v>
      </c>
      <c r="D15301" t="str">
        <f>"Andre Sider Af Sonic Youth"</f>
        <v>Andre Sider Af Sonic Youth</v>
      </c>
    </row>
    <row r="15302" spans="1:4" x14ac:dyDescent="0.2">
      <c r="A15302" t="str">
        <f>"15301"</f>
        <v>15301</v>
      </c>
      <c r="B15302" t="str">
        <f>"-0.44"</f>
        <v>-0.44</v>
      </c>
      <c r="C15302" t="str">
        <f>"36"</f>
        <v>36</v>
      </c>
      <c r="D15302" t="str">
        <f>"DJ Drama Presents: The Preview"</f>
        <v>DJ Drama Presents: The Preview</v>
      </c>
    </row>
    <row r="15303" spans="1:4" x14ac:dyDescent="0.2">
      <c r="A15303" t="str">
        <f>"15302"</f>
        <v>15302</v>
      </c>
      <c r="B15303" t="str">
        <f>"0.8"</f>
        <v>0.8</v>
      </c>
      <c r="C15303" t="str">
        <f>"25"</f>
        <v>25</v>
      </c>
      <c r="D15303" t="str">
        <f>"Don't Be a Stranger"</f>
        <v>Don't Be a Stranger</v>
      </c>
    </row>
    <row r="15304" spans="1:4" x14ac:dyDescent="0.2">
      <c r="A15304" t="str">
        <f>"15303"</f>
        <v>15303</v>
      </c>
      <c r="B15304" t="str">
        <f>"0.54"</f>
        <v>0.54</v>
      </c>
      <c r="C15304" t="str">
        <f>"17"</f>
        <v>17</v>
      </c>
      <c r="D15304" t="str">
        <f>"Volume One: Frozen Ropes and Dying Quails"</f>
        <v>Volume One: Frozen Ropes and Dying Quails</v>
      </c>
    </row>
    <row r="15305" spans="1:4" x14ac:dyDescent="0.2">
      <c r="A15305" t="str">
        <f>"15304"</f>
        <v>15304</v>
      </c>
      <c r="B15305" t="str">
        <f>"0.01"</f>
        <v>0.01</v>
      </c>
      <c r="C15305" t="str">
        <f>"28"</f>
        <v>28</v>
      </c>
      <c r="D15305" t="str">
        <f>"'Til the Band Comes In"</f>
        <v>'Til the Band Comes In</v>
      </c>
    </row>
    <row r="15306" spans="1:4" x14ac:dyDescent="0.2">
      <c r="A15306" t="str">
        <f>"15305"</f>
        <v>15305</v>
      </c>
      <c r="B15306" t="str">
        <f>"-0.36"</f>
        <v>-0.36</v>
      </c>
      <c r="C15306" t="str">
        <f>"31"</f>
        <v>31</v>
      </c>
      <c r="D15306" t="str">
        <f>"Live 1977-1978"</f>
        <v>Live 1977-1978</v>
      </c>
    </row>
    <row r="15307" spans="1:4" x14ac:dyDescent="0.2">
      <c r="A15307" t="str">
        <f>"15306"</f>
        <v>15306</v>
      </c>
      <c r="B15307" t="str">
        <f>"-0.4"</f>
        <v>-0.4</v>
      </c>
      <c r="C15307" t="str">
        <f>"21"</f>
        <v>21</v>
      </c>
      <c r="D15307" t="str">
        <f>"Basta EP"</f>
        <v>Basta EP</v>
      </c>
    </row>
    <row r="15308" spans="1:4" x14ac:dyDescent="0.2">
      <c r="A15308" t="str">
        <f>"15307"</f>
        <v>15307</v>
      </c>
      <c r="B15308" t="str">
        <f>"1.27"</f>
        <v>1.27</v>
      </c>
      <c r="C15308" t="str">
        <f>"31"</f>
        <v>31</v>
      </c>
      <c r="D15308" t="str">
        <f>"Clouded Staircase"</f>
        <v>Clouded Staircase</v>
      </c>
    </row>
    <row r="15309" spans="1:4" x14ac:dyDescent="0.2">
      <c r="A15309" t="str">
        <f>"15308"</f>
        <v>15308</v>
      </c>
      <c r="B15309" t="str">
        <f>"0.6"</f>
        <v>0.6</v>
      </c>
      <c r="C15309" t="str">
        <f>"17"</f>
        <v>17</v>
      </c>
      <c r="D15309" t="str">
        <f>"This Is Ivy League"</f>
        <v>This Is Ivy League</v>
      </c>
    </row>
    <row r="15310" spans="1:4" x14ac:dyDescent="0.2">
      <c r="A15310" t="str">
        <f>"15309"</f>
        <v>15309</v>
      </c>
      <c r="B15310" t="str">
        <f>"0.3"</f>
        <v>0.3</v>
      </c>
      <c r="C15310" t="str">
        <f>"20"</f>
        <v>20</v>
      </c>
      <c r="D15310" t="str">
        <f>"Strength In Numbers"</f>
        <v>Strength In Numbers</v>
      </c>
    </row>
    <row r="15311" spans="1:4" x14ac:dyDescent="0.2">
      <c r="A15311" t="str">
        <f>"15310"</f>
        <v>15310</v>
      </c>
      <c r="B15311" t="str">
        <f>"0.76"</f>
        <v>0.76</v>
      </c>
      <c r="C15311" t="str">
        <f>"25"</f>
        <v>25</v>
      </c>
      <c r="D15311" t="str">
        <f>"Sample and Hold"</f>
        <v>Sample and Hold</v>
      </c>
    </row>
    <row r="15312" spans="1:4" x14ac:dyDescent="0.2">
      <c r="A15312" t="str">
        <f>"15311"</f>
        <v>15311</v>
      </c>
      <c r="B15312" t="str">
        <f>"-0.26"</f>
        <v>-0.26</v>
      </c>
      <c r="C15312" t="str">
        <f>"17"</f>
        <v>17</v>
      </c>
      <c r="D15312" t="str">
        <f>"New York City"</f>
        <v>New York City</v>
      </c>
    </row>
    <row r="15313" spans="1:4" x14ac:dyDescent="0.2">
      <c r="A15313" t="str">
        <f>"15312"</f>
        <v>15312</v>
      </c>
      <c r="B15313" t="str">
        <f>"0.8"</f>
        <v>0.8</v>
      </c>
      <c r="C15313" t="str">
        <f>"19"</f>
        <v>19</v>
      </c>
      <c r="D15313" t="str">
        <f>"Miami Ice"</f>
        <v>Miami Ice</v>
      </c>
    </row>
    <row r="15314" spans="1:4" x14ac:dyDescent="0.2">
      <c r="A15314" t="str">
        <f>"15313"</f>
        <v>15313</v>
      </c>
      <c r="B15314" t="str">
        <f>"0.06"</f>
        <v>0.06</v>
      </c>
      <c r="C15314" t="str">
        <f>"23"</f>
        <v>23</v>
      </c>
      <c r="D15314" t="str">
        <f>"The Second Gleam EP"</f>
        <v>The Second Gleam EP</v>
      </c>
    </row>
    <row r="15315" spans="1:4" x14ac:dyDescent="0.2">
      <c r="A15315" t="str">
        <f>"15314"</f>
        <v>15314</v>
      </c>
      <c r="B15315" t="str">
        <f>"-0.19"</f>
        <v>-0.19</v>
      </c>
      <c r="C15315" t="str">
        <f>"28"</f>
        <v>28</v>
      </c>
      <c r="D15315" t="str">
        <f>"Migration"</f>
        <v>Migration</v>
      </c>
    </row>
    <row r="15316" spans="1:4" x14ac:dyDescent="0.2">
      <c r="A15316" t="str">
        <f>"15315"</f>
        <v>15315</v>
      </c>
      <c r="B15316" t="str">
        <f>"-0.23"</f>
        <v>-0.23</v>
      </c>
      <c r="C15316" t="str">
        <f>"21"</f>
        <v>21</v>
      </c>
      <c r="D15316" t="str">
        <f>"The Clipse Present: Re-Up Gang"</f>
        <v>The Clipse Present: Re-Up Gang</v>
      </c>
    </row>
    <row r="15317" spans="1:4" x14ac:dyDescent="0.2">
      <c r="A15317" t="str">
        <f>"15316"</f>
        <v>15316</v>
      </c>
      <c r="B15317" t="str">
        <f>"0.6"</f>
        <v>0.6</v>
      </c>
      <c r="C15317" t="str">
        <f>"17"</f>
        <v>17</v>
      </c>
      <c r="D15317" t="str">
        <f>"Stars EP"</f>
        <v>Stars EP</v>
      </c>
    </row>
    <row r="15318" spans="1:4" x14ac:dyDescent="0.2">
      <c r="A15318" t="str">
        <f>"15317"</f>
        <v>15317</v>
      </c>
      <c r="B15318" t="str">
        <f>"-0.19"</f>
        <v>-0.19</v>
      </c>
      <c r="C15318" t="str">
        <f>"29"</f>
        <v>29</v>
      </c>
      <c r="D15318" t="str">
        <f>"The Colourful Life"</f>
        <v>The Colourful Life</v>
      </c>
    </row>
    <row r="15319" spans="1:4" x14ac:dyDescent="0.2">
      <c r="A15319" t="str">
        <f>"15318"</f>
        <v>15318</v>
      </c>
      <c r="B15319" t="str">
        <f>"-0.02"</f>
        <v>-0.02</v>
      </c>
      <c r="C15319" t="str">
        <f>"21"</f>
        <v>21</v>
      </c>
      <c r="D15319" t="str">
        <f>"Unicycle Loves You"</f>
        <v>Unicycle Loves You</v>
      </c>
    </row>
    <row r="15320" spans="1:4" x14ac:dyDescent="0.2">
      <c r="A15320" t="str">
        <f>"15319"</f>
        <v>15319</v>
      </c>
      <c r="B15320" t="str">
        <f>"0.16"</f>
        <v>0.16</v>
      </c>
      <c r="C15320" t="str">
        <f>"43"</f>
        <v>43</v>
      </c>
      <c r="D15320" t="str">
        <f>"Fasciinatiion"</f>
        <v>Fasciinatiion</v>
      </c>
    </row>
    <row r="15321" spans="1:4" x14ac:dyDescent="0.2">
      <c r="A15321" t="str">
        <f>"15320"</f>
        <v>15320</v>
      </c>
      <c r="B15321" t="str">
        <f>"1.17"</f>
        <v>1.17</v>
      </c>
      <c r="C15321" t="str">
        <f>"36"</f>
        <v>36</v>
      </c>
      <c r="D15321" t="str">
        <f>"Daniel Variations"</f>
        <v>Daniel Variations</v>
      </c>
    </row>
    <row r="15322" spans="1:4" x14ac:dyDescent="0.2">
      <c r="A15322" t="str">
        <f>"15321"</f>
        <v>15321</v>
      </c>
      <c r="B15322" t="str">
        <f>"-0.97"</f>
        <v>-0.97</v>
      </c>
      <c r="C15322" t="str">
        <f>"36"</f>
        <v>36</v>
      </c>
      <c r="D15322" t="str">
        <f>"Sand"</f>
        <v>Sand</v>
      </c>
    </row>
    <row r="15323" spans="1:4" x14ac:dyDescent="0.2">
      <c r="A15323" t="str">
        <f>"15322"</f>
        <v>15322</v>
      </c>
      <c r="B15323" t="str">
        <f>"0.54"</f>
        <v>0.54</v>
      </c>
      <c r="C15323" t="str">
        <f>"27"</f>
        <v>27</v>
      </c>
      <c r="D15323" t="str">
        <f>"Deuces Wild"</f>
        <v>Deuces Wild</v>
      </c>
    </row>
    <row r="15324" spans="1:4" x14ac:dyDescent="0.2">
      <c r="A15324" t="str">
        <f>"15323"</f>
        <v>15323</v>
      </c>
      <c r="B15324" t="str">
        <f>"-0.28"</f>
        <v>-0.28</v>
      </c>
      <c r="C15324" t="str">
        <f>"25"</f>
        <v>25</v>
      </c>
      <c r="D15324" t="str">
        <f>"Wars and Tornadoes"</f>
        <v>Wars and Tornadoes</v>
      </c>
    </row>
    <row r="15325" spans="1:4" x14ac:dyDescent="0.2">
      <c r="A15325" t="str">
        <f>"15324"</f>
        <v>15324</v>
      </c>
      <c r="B15325" t="str">
        <f>"-0.98"</f>
        <v>-0.98</v>
      </c>
      <c r="C15325" t="str">
        <f>"30"</f>
        <v>30</v>
      </c>
      <c r="D15325" t="str">
        <f>"Madvillainy 2"</f>
        <v>Madvillainy 2</v>
      </c>
    </row>
    <row r="15326" spans="1:4" x14ac:dyDescent="0.2">
      <c r="A15326" t="str">
        <f>"15325"</f>
        <v>15325</v>
      </c>
      <c r="B15326" t="str">
        <f>"0.11"</f>
        <v>0.11</v>
      </c>
      <c r="C15326" t="str">
        <f>"28"</f>
        <v>28</v>
      </c>
      <c r="D15326" t="str">
        <f>"Bits"</f>
        <v>Bits</v>
      </c>
    </row>
    <row r="15327" spans="1:4" x14ac:dyDescent="0.2">
      <c r="A15327" t="str">
        <f>"15326"</f>
        <v>15326</v>
      </c>
      <c r="B15327" t="str">
        <f>"-0.2"</f>
        <v>-0.2</v>
      </c>
      <c r="C15327" t="str">
        <f>"16"</f>
        <v>16</v>
      </c>
      <c r="D15327" t="str">
        <f>"To Survive"</f>
        <v>To Survive</v>
      </c>
    </row>
    <row r="15328" spans="1:4" x14ac:dyDescent="0.2">
      <c r="A15328" t="str">
        <f>"15327"</f>
        <v>15327</v>
      </c>
      <c r="B15328" t="str">
        <f>"0.39"</f>
        <v>0.39</v>
      </c>
      <c r="C15328" t="str">
        <f>"24"</f>
        <v>24</v>
      </c>
      <c r="D15328" t="str">
        <f>"Leo Magnets Joins a Gang"</f>
        <v>Leo Magnets Joins a Gang</v>
      </c>
    </row>
    <row r="15329" spans="1:4" x14ac:dyDescent="0.2">
      <c r="A15329" t="str">
        <f>"15328"</f>
        <v>15328</v>
      </c>
      <c r="B15329" t="str">
        <f>"-0.01"</f>
        <v>-0.01</v>
      </c>
      <c r="C15329" t="str">
        <f>"34"</f>
        <v>34</v>
      </c>
      <c r="D15329" t="str">
        <f>"Woo Lae Oak"</f>
        <v>Woo Lae Oak</v>
      </c>
    </row>
    <row r="15330" spans="1:4" x14ac:dyDescent="0.2">
      <c r="A15330" t="str">
        <f>"15329"</f>
        <v>15329</v>
      </c>
      <c r="B15330" t="str">
        <f>"-1.1"</f>
        <v>-1.1</v>
      </c>
      <c r="C15330" t="str">
        <f>"25"</f>
        <v>25</v>
      </c>
      <c r="D15330" t="str">
        <f>"Conor Oberst"</f>
        <v>Conor Oberst</v>
      </c>
    </row>
    <row r="15331" spans="1:4" x14ac:dyDescent="0.2">
      <c r="A15331" t="str">
        <f>"15330"</f>
        <v>15330</v>
      </c>
      <c r="B15331" t="str">
        <f>"0.51"</f>
        <v>0.51</v>
      </c>
      <c r="C15331" t="str">
        <f>"31"</f>
        <v>31</v>
      </c>
      <c r="D15331" t="str">
        <f>"Preteen Weaponry"</f>
        <v>Preteen Weaponry</v>
      </c>
    </row>
    <row r="15332" spans="1:4" x14ac:dyDescent="0.2">
      <c r="A15332" t="str">
        <f>"15331"</f>
        <v>15331</v>
      </c>
      <c r="B15332" t="str">
        <f>"1.47"</f>
        <v>1.47</v>
      </c>
      <c r="C15332" t="str">
        <f>"22"</f>
        <v>22</v>
      </c>
      <c r="D15332" t="s">
        <v>487</v>
      </c>
    </row>
    <row r="15333" spans="1:4" x14ac:dyDescent="0.2">
      <c r="A15333" t="str">
        <f>"15332"</f>
        <v>15332</v>
      </c>
      <c r="B15333" t="str">
        <f>"0.16"</f>
        <v>0.16</v>
      </c>
      <c r="C15333" t="str">
        <f>"26"</f>
        <v>26</v>
      </c>
      <c r="D15333" t="str">
        <f>"Nukkuu"</f>
        <v>Nukkuu</v>
      </c>
    </row>
    <row r="15334" spans="1:4" x14ac:dyDescent="0.2">
      <c r="A15334" t="str">
        <f>"15333"</f>
        <v>15333</v>
      </c>
      <c r="B15334" t="str">
        <f>"-0.07"</f>
        <v>-0.07</v>
      </c>
      <c r="C15334" t="str">
        <f>"25"</f>
        <v>25</v>
      </c>
      <c r="D15334" t="str">
        <f>"The Muslims"</f>
        <v>The Muslims</v>
      </c>
    </row>
    <row r="15335" spans="1:4" x14ac:dyDescent="0.2">
      <c r="A15335" t="str">
        <f>"15334"</f>
        <v>15334</v>
      </c>
      <c r="B15335" t="str">
        <f>"1.18"</f>
        <v>1.18</v>
      </c>
      <c r="C15335" t="str">
        <f>"32"</f>
        <v>32</v>
      </c>
      <c r="D15335" t="str">
        <f>"Parallel Lines: Deluxe Edition"</f>
        <v>Parallel Lines: Deluxe Edition</v>
      </c>
    </row>
    <row r="15336" spans="1:4" x14ac:dyDescent="0.2">
      <c r="A15336" t="str">
        <f>"15335"</f>
        <v>15335</v>
      </c>
      <c r="B15336" t="str">
        <f>"0.66"</f>
        <v>0.66</v>
      </c>
      <c r="C15336" t="str">
        <f>"33"</f>
        <v>33</v>
      </c>
      <c r="D15336" t="str">
        <f>"Ragga Twins Step Out"</f>
        <v>Ragga Twins Step Out</v>
      </c>
    </row>
    <row r="15337" spans="1:4" x14ac:dyDescent="0.2">
      <c r="A15337" t="str">
        <f>"15336"</f>
        <v>15336</v>
      </c>
      <c r="B15337" t="str">
        <f>"-0.57"</f>
        <v>-0.57</v>
      </c>
      <c r="C15337" t="str">
        <f>"26"</f>
        <v>26</v>
      </c>
      <c r="D15337" t="str">
        <f>"Derelict Dialect"</f>
        <v>Derelict Dialect</v>
      </c>
    </row>
    <row r="15338" spans="1:4" x14ac:dyDescent="0.2">
      <c r="A15338" t="str">
        <f>"15337"</f>
        <v>15337</v>
      </c>
      <c r="B15338" t="str">
        <f>"1.29"</f>
        <v>1.29</v>
      </c>
      <c r="C15338" t="str">
        <f>"23"</f>
        <v>23</v>
      </c>
      <c r="D15338" t="str">
        <f>"Abdel Hadi Halo &amp; the El Gusto Orchestra of Algiers"</f>
        <v>Abdel Hadi Halo &amp; the El Gusto Orchestra of Algiers</v>
      </c>
    </row>
    <row r="15339" spans="1:4" x14ac:dyDescent="0.2">
      <c r="A15339" t="str">
        <f>"15338"</f>
        <v>15338</v>
      </c>
      <c r="B15339" t="str">
        <f>"0.61"</f>
        <v>0.61</v>
      </c>
      <c r="C15339" t="str">
        <f>"30"</f>
        <v>30</v>
      </c>
      <c r="D15339" t="str">
        <f>"Rest"</f>
        <v>Rest</v>
      </c>
    </row>
    <row r="15340" spans="1:4" x14ac:dyDescent="0.2">
      <c r="A15340" t="str">
        <f>"15339"</f>
        <v>15339</v>
      </c>
      <c r="B15340" t="str">
        <f>"0.91"</f>
        <v>0.91</v>
      </c>
      <c r="C15340" t="str">
        <f>"12"</f>
        <v>12</v>
      </c>
      <c r="D15340" t="str">
        <f>"Meanderthal"</f>
        <v>Meanderthal</v>
      </c>
    </row>
    <row r="15341" spans="1:4" x14ac:dyDescent="0.2">
      <c r="A15341" t="str">
        <f>"15340"</f>
        <v>15340</v>
      </c>
      <c r="B15341" t="str">
        <f>"0.48"</f>
        <v>0.48</v>
      </c>
      <c r="C15341" t="str">
        <f>"31"</f>
        <v>31</v>
      </c>
      <c r="D15341" t="str">
        <f>"Live at the Royal Albert Hall 1971"</f>
        <v>Live at the Royal Albert Hall 1971</v>
      </c>
    </row>
    <row r="15342" spans="1:4" x14ac:dyDescent="0.2">
      <c r="A15342" t="str">
        <f>"15341"</f>
        <v>15341</v>
      </c>
      <c r="B15342" t="str">
        <f>"-0.11"</f>
        <v>-0.11</v>
      </c>
      <c r="C15342" t="str">
        <f>"20"</f>
        <v>20</v>
      </c>
      <c r="D15342" t="str">
        <f>"I Know You're Married But I've Got Feelings Too"</f>
        <v>I Know You're Married But I've Got Feelings Too</v>
      </c>
    </row>
    <row r="15343" spans="1:4" x14ac:dyDescent="0.2">
      <c r="A15343" t="str">
        <f>"15342"</f>
        <v>15342</v>
      </c>
      <c r="B15343" t="str">
        <f>"0.1"</f>
        <v>0.1</v>
      </c>
      <c r="C15343" t="str">
        <f>"20"</f>
        <v>20</v>
      </c>
      <c r="D15343" t="str">
        <f>"Cheekbone Hollows"</f>
        <v>Cheekbone Hollows</v>
      </c>
    </row>
    <row r="15344" spans="1:4" x14ac:dyDescent="0.2">
      <c r="A15344" t="str">
        <f>"15343"</f>
        <v>15343</v>
      </c>
      <c r="B15344" t="str">
        <f>"-0.1"</f>
        <v>-0.1</v>
      </c>
      <c r="C15344" t="str">
        <f>"26"</f>
        <v>26</v>
      </c>
      <c r="D15344" t="str">
        <f>"Kissing the Contemporary Bliss"</f>
        <v>Kissing the Contemporary Bliss</v>
      </c>
    </row>
    <row r="15345" spans="1:4" x14ac:dyDescent="0.2">
      <c r="A15345" t="str">
        <f>"15344"</f>
        <v>15344</v>
      </c>
      <c r="B15345" t="str">
        <f>"-0.7"</f>
        <v>-0.7</v>
      </c>
      <c r="C15345" t="str">
        <f>"20"</f>
        <v>20</v>
      </c>
      <c r="D15345" t="str">
        <f>"London Zoo"</f>
        <v>London Zoo</v>
      </c>
    </row>
    <row r="15346" spans="1:4" x14ac:dyDescent="0.2">
      <c r="A15346" t="str">
        <f>"15345"</f>
        <v>15345</v>
      </c>
      <c r="B15346" t="str">
        <f>"0.69"</f>
        <v>0.69</v>
      </c>
      <c r="C15346" t="str">
        <f>"36"</f>
        <v>36</v>
      </c>
      <c r="D15346" t="str">
        <f>"Estacion Proxima: Esperanza"</f>
        <v>Estacion Proxima: Esperanza</v>
      </c>
    </row>
    <row r="15347" spans="1:4" x14ac:dyDescent="0.2">
      <c r="A15347" t="str">
        <f>"15346"</f>
        <v>15346</v>
      </c>
      <c r="B15347" t="str">
        <f>"-0.19"</f>
        <v>-0.19</v>
      </c>
      <c r="C15347" t="str">
        <f>"26"</f>
        <v>26</v>
      </c>
      <c r="D15347" t="str">
        <f>"Into the Trees"</f>
        <v>Into the Trees</v>
      </c>
    </row>
    <row r="15348" spans="1:4" x14ac:dyDescent="0.2">
      <c r="A15348" t="str">
        <f>"15347"</f>
        <v>15347</v>
      </c>
      <c r="B15348" t="str">
        <f>"0.02"</f>
        <v>0.02</v>
      </c>
      <c r="C15348" t="str">
        <f>"23"</f>
        <v>23</v>
      </c>
      <c r="D15348" t="str">
        <f>"Es Tiempo"</f>
        <v>Es Tiempo</v>
      </c>
    </row>
    <row r="15349" spans="1:4" x14ac:dyDescent="0.2">
      <c r="A15349" t="str">
        <f>"15348"</f>
        <v>15348</v>
      </c>
      <c r="B15349" t="str">
        <f>"-0.17"</f>
        <v>-0.17</v>
      </c>
      <c r="C15349" t="str">
        <f>"24"</f>
        <v>24</v>
      </c>
      <c r="D15349" t="str">
        <f>"Pretty Loud"</f>
        <v>Pretty Loud</v>
      </c>
    </row>
    <row r="15350" spans="1:4" x14ac:dyDescent="0.2">
      <c r="A15350" t="str">
        <f>"15349"</f>
        <v>15349</v>
      </c>
      <c r="B15350" t="str">
        <f>"1.12"</f>
        <v>1.12</v>
      </c>
      <c r="C15350" t="str">
        <f>"36"</f>
        <v>36</v>
      </c>
      <c r="D15350" t="str">
        <f>"Top Ranking"</f>
        <v>Top Ranking</v>
      </c>
    </row>
    <row r="15351" spans="1:4" x14ac:dyDescent="0.2">
      <c r="A15351" t="str">
        <f>"15350"</f>
        <v>15350</v>
      </c>
      <c r="B15351" t="str">
        <f>"0.46"</f>
        <v>0.46</v>
      </c>
      <c r="C15351" t="str">
        <f>"28"</f>
        <v>28</v>
      </c>
      <c r="D15351" t="s">
        <v>488</v>
      </c>
    </row>
    <row r="15352" spans="1:4" x14ac:dyDescent="0.2">
      <c r="A15352" t="str">
        <f>"15351"</f>
        <v>15351</v>
      </c>
      <c r="B15352" t="str">
        <f>"0.27"</f>
        <v>0.27</v>
      </c>
      <c r="C15352" t="str">
        <f>"41"</f>
        <v>41</v>
      </c>
      <c r="D15352" t="str">
        <f>"The Mixtape About Nothing"</f>
        <v>The Mixtape About Nothing</v>
      </c>
    </row>
    <row r="15353" spans="1:4" x14ac:dyDescent="0.2">
      <c r="A15353" t="str">
        <f>"15352"</f>
        <v>15352</v>
      </c>
      <c r="B15353" t="str">
        <f>"-0.49"</f>
        <v>-0.49</v>
      </c>
      <c r="C15353" t="str">
        <f>"26"</f>
        <v>26</v>
      </c>
      <c r="D15353" t="str">
        <f>"Big Star"</f>
        <v>Big Star</v>
      </c>
    </row>
    <row r="15354" spans="1:4" x14ac:dyDescent="0.2">
      <c r="A15354" t="str">
        <f>"15353"</f>
        <v>15353</v>
      </c>
      <c r="B15354" t="str">
        <f>"-0.9"</f>
        <v>-0.9</v>
      </c>
      <c r="C15354" t="str">
        <f>"13"</f>
        <v>13</v>
      </c>
      <c r="D15354" t="str">
        <f>"Liars and Prayers"</f>
        <v>Liars and Prayers</v>
      </c>
    </row>
    <row r="15355" spans="1:4" x14ac:dyDescent="0.2">
      <c r="A15355" t="str">
        <f>"15354"</f>
        <v>15354</v>
      </c>
      <c r="B15355" t="str">
        <f>"0.07"</f>
        <v>0.07</v>
      </c>
      <c r="C15355" t="str">
        <f>"24"</f>
        <v>24</v>
      </c>
      <c r="D15355" t="str">
        <f>"Beautiful Future"</f>
        <v>Beautiful Future</v>
      </c>
    </row>
    <row r="15356" spans="1:4" x14ac:dyDescent="0.2">
      <c r="A15356" t="str">
        <f>"15355"</f>
        <v>15355</v>
      </c>
      <c r="B15356" t="str">
        <f>"0.12"</f>
        <v>0.12</v>
      </c>
      <c r="C15356" t="str">
        <f>"30"</f>
        <v>30</v>
      </c>
      <c r="D15356" t="str">
        <f>"49:00"</f>
        <v>49:00</v>
      </c>
    </row>
    <row r="15357" spans="1:4" x14ac:dyDescent="0.2">
      <c r="A15357" t="str">
        <f>"15356"</f>
        <v>15356</v>
      </c>
      <c r="B15357" t="str">
        <f>"0.19"</f>
        <v>0.19</v>
      </c>
      <c r="C15357" t="str">
        <f>"22"</f>
        <v>22</v>
      </c>
      <c r="D15357" t="s">
        <v>489</v>
      </c>
    </row>
    <row r="15358" spans="1:4" x14ac:dyDescent="0.2">
      <c r="A15358" t="str">
        <f>"15357"</f>
        <v>15357</v>
      </c>
      <c r="B15358" t="str">
        <f>"-1.1"</f>
        <v>-1.1</v>
      </c>
      <c r="C15358" t="str">
        <f>"21"</f>
        <v>21</v>
      </c>
      <c r="D15358" t="str">
        <f>"Here We Stand"</f>
        <v>Here We Stand</v>
      </c>
    </row>
    <row r="15359" spans="1:4" x14ac:dyDescent="0.2">
      <c r="A15359" t="str">
        <f>"15358"</f>
        <v>15358</v>
      </c>
      <c r="B15359" t="str">
        <f>"-0.29"</f>
        <v>-0.29</v>
      </c>
      <c r="C15359" t="str">
        <f>"19"</f>
        <v>19</v>
      </c>
      <c r="D15359" t="str">
        <f>"Not Noiice"</f>
        <v>Not Noiice</v>
      </c>
    </row>
    <row r="15360" spans="1:4" x14ac:dyDescent="0.2">
      <c r="A15360" t="str">
        <f>"15359"</f>
        <v>15359</v>
      </c>
      <c r="B15360" t="str">
        <f>"0.26"</f>
        <v>0.26</v>
      </c>
      <c r="C15360" t="str">
        <f>"35"</f>
        <v>35</v>
      </c>
      <c r="D15360" t="str">
        <f>"Donkey"</f>
        <v>Donkey</v>
      </c>
    </row>
    <row r="15361" spans="1:4" x14ac:dyDescent="0.2">
      <c r="A15361" t="str">
        <f>"15360"</f>
        <v>15360</v>
      </c>
      <c r="B15361" t="str">
        <f>"-0.26"</f>
        <v>-0.26</v>
      </c>
      <c r="C15361" t="str">
        <f>"18"</f>
        <v>18</v>
      </c>
      <c r="D15361" t="s">
        <v>490</v>
      </c>
    </row>
    <row r="15362" spans="1:4" x14ac:dyDescent="0.2">
      <c r="A15362" t="str">
        <f>"15361"</f>
        <v>15361</v>
      </c>
      <c r="B15362" t="str">
        <f>"0.22"</f>
        <v>0.22</v>
      </c>
      <c r="C15362" t="str">
        <f>"26"</f>
        <v>26</v>
      </c>
      <c r="D15362" t="str">
        <f>"Fate"</f>
        <v>Fate</v>
      </c>
    </row>
    <row r="15363" spans="1:4" x14ac:dyDescent="0.2">
      <c r="A15363" t="str">
        <f>"15362"</f>
        <v>15362</v>
      </c>
      <c r="B15363" t="str">
        <f>"-0.23"</f>
        <v>-0.23</v>
      </c>
      <c r="C15363" t="str">
        <f>"24"</f>
        <v>24</v>
      </c>
      <c r="D15363" t="str">
        <f>"Au Contraire"</f>
        <v>Au Contraire</v>
      </c>
    </row>
    <row r="15364" spans="1:4" x14ac:dyDescent="0.2">
      <c r="A15364" t="str">
        <f>"15363"</f>
        <v>15363</v>
      </c>
      <c r="B15364" t="str">
        <f>"0.2"</f>
        <v>0.2</v>
      </c>
      <c r="C15364" t="str">
        <f>"18"</f>
        <v>18</v>
      </c>
      <c r="D15364" t="str">
        <f>"Deified"</f>
        <v>Deified</v>
      </c>
    </row>
    <row r="15365" spans="1:4" x14ac:dyDescent="0.2">
      <c r="A15365" t="str">
        <f>"15364"</f>
        <v>15364</v>
      </c>
      <c r="B15365" t="str">
        <f>"0.47"</f>
        <v>0.47</v>
      </c>
      <c r="C15365" t="str">
        <f>"53"</f>
        <v>53</v>
      </c>
      <c r="D15365" t="str">
        <f>"Boy"</f>
        <v>Boy</v>
      </c>
    </row>
    <row r="15366" spans="1:4" x14ac:dyDescent="0.2">
      <c r="A15366" t="str">
        <f>"15365"</f>
        <v>15365</v>
      </c>
      <c r="B15366" t="str">
        <f>"0.55"</f>
        <v>0.55</v>
      </c>
      <c r="C15366" t="str">
        <f>"14"</f>
        <v>14</v>
      </c>
      <c r="D15366" t="str">
        <f>"A Certain Feeling"</f>
        <v>A Certain Feeling</v>
      </c>
    </row>
    <row r="15367" spans="1:4" x14ac:dyDescent="0.2">
      <c r="A15367" t="str">
        <f>"15366"</f>
        <v>15366</v>
      </c>
      <c r="B15367" t="str">
        <f>"0.35"</f>
        <v>0.35</v>
      </c>
      <c r="C15367" t="str">
        <f>"11"</f>
        <v>11</v>
      </c>
      <c r="D15367" t="str">
        <f>"See You in Magic"</f>
        <v>See You in Magic</v>
      </c>
    </row>
    <row r="15368" spans="1:4" x14ac:dyDescent="0.2">
      <c r="A15368" t="str">
        <f>"15367"</f>
        <v>15367</v>
      </c>
      <c r="B15368" t="str">
        <f>"-0.18"</f>
        <v>-0.18</v>
      </c>
      <c r="C15368" t="str">
        <f>"22"</f>
        <v>22</v>
      </c>
      <c r="D15368" t="str">
        <f>"No Fun Demo"</f>
        <v>No Fun Demo</v>
      </c>
    </row>
    <row r="15369" spans="1:4" x14ac:dyDescent="0.2">
      <c r="A15369" t="str">
        <f>"15368"</f>
        <v>15368</v>
      </c>
      <c r="B15369" t="str">
        <f>"-0.4"</f>
        <v>-0.4</v>
      </c>
      <c r="C15369" t="str">
        <f>"33"</f>
        <v>33</v>
      </c>
      <c r="D15369" t="str">
        <f>"Love to Make Music To"</f>
        <v>Love to Make Music To</v>
      </c>
    </row>
    <row r="15370" spans="1:4" x14ac:dyDescent="0.2">
      <c r="A15370" t="str">
        <f>"15369"</f>
        <v>15369</v>
      </c>
      <c r="B15370" t="str">
        <f>"0.61"</f>
        <v>0.61</v>
      </c>
      <c r="C15370" t="str">
        <f>"34"</f>
        <v>34</v>
      </c>
      <c r="D15370" t="str">
        <f>"My Haunted"</f>
        <v>My Haunted</v>
      </c>
    </row>
    <row r="15371" spans="1:4" x14ac:dyDescent="0.2">
      <c r="A15371" t="str">
        <f>"15370"</f>
        <v>15370</v>
      </c>
      <c r="B15371" t="str">
        <f>"0.04"</f>
        <v>0.04</v>
      </c>
      <c r="C15371" t="str">
        <f>"21"</f>
        <v>21</v>
      </c>
      <c r="D15371" t="str">
        <f>"Because Her Beauty Is Raw and Wild"</f>
        <v>Because Her Beauty Is Raw and Wild</v>
      </c>
    </row>
    <row r="15372" spans="1:4" x14ac:dyDescent="0.2">
      <c r="A15372" t="str">
        <f>"15371"</f>
        <v>15371</v>
      </c>
      <c r="B15372" t="str">
        <f>"0.94"</f>
        <v>0.94</v>
      </c>
      <c r="C15372" t="str">
        <f>"29"</f>
        <v>29</v>
      </c>
      <c r="D15372" t="str">
        <f>"Green Rocky Road"</f>
        <v>Green Rocky Road</v>
      </c>
    </row>
    <row r="15373" spans="1:4" x14ac:dyDescent="0.2">
      <c r="A15373" t="str">
        <f>"15372"</f>
        <v>15372</v>
      </c>
      <c r="B15373" t="str">
        <f>"-1.21"</f>
        <v>-1.21</v>
      </c>
      <c r="C15373" t="str">
        <f>"19"</f>
        <v>19</v>
      </c>
      <c r="D15373" t="str">
        <f>"Cherry"</f>
        <v>Cherry</v>
      </c>
    </row>
    <row r="15374" spans="1:4" x14ac:dyDescent="0.2">
      <c r="A15374" t="str">
        <f>"15373"</f>
        <v>15373</v>
      </c>
      <c r="B15374" t="str">
        <f>"-0.23"</f>
        <v>-0.23</v>
      </c>
      <c r="C15374" t="str">
        <f>"22"</f>
        <v>22</v>
      </c>
      <c r="D15374" t="s">
        <v>491</v>
      </c>
    </row>
    <row r="15375" spans="1:4" x14ac:dyDescent="0.2">
      <c r="A15375" t="str">
        <f>"15374"</f>
        <v>15374</v>
      </c>
      <c r="B15375" t="str">
        <f>"0"</f>
        <v>0</v>
      </c>
      <c r="C15375" t="str">
        <f>"1"</f>
        <v>1</v>
      </c>
      <c r="D15375" t="str">
        <f>"Partie Traumatic"</f>
        <v>Partie Traumatic</v>
      </c>
    </row>
    <row r="15376" spans="1:4" x14ac:dyDescent="0.2">
      <c r="A15376" t="str">
        <f>"15375"</f>
        <v>15375</v>
      </c>
      <c r="B15376" t="str">
        <f>"2.05"</f>
        <v>2.05</v>
      </c>
      <c r="C15376" t="str">
        <f>"21"</f>
        <v>21</v>
      </c>
      <c r="D15376" t="str">
        <f>"22 Dreams"</f>
        <v>22 Dreams</v>
      </c>
    </row>
    <row r="15377" spans="1:4" x14ac:dyDescent="0.2">
      <c r="A15377" t="str">
        <f>"15376"</f>
        <v>15376</v>
      </c>
      <c r="B15377" t="str">
        <f>"-0.26"</f>
        <v>-0.26</v>
      </c>
      <c r="C15377" t="str">
        <f>"23"</f>
        <v>23</v>
      </c>
      <c r="D15377" t="str">
        <f>"Fortress Round My Heart"</f>
        <v>Fortress Round My Heart</v>
      </c>
    </row>
    <row r="15378" spans="1:4" x14ac:dyDescent="0.2">
      <c r="A15378" t="str">
        <f>"15377"</f>
        <v>15377</v>
      </c>
      <c r="B15378" t="str">
        <f>"0.32"</f>
        <v>0.32</v>
      </c>
      <c r="C15378" t="str">
        <f>"18"</f>
        <v>18</v>
      </c>
      <c r="D15378" t="str">
        <f>"A Long Way Around to a Shortcut"</f>
        <v>A Long Way Around to a Shortcut</v>
      </c>
    </row>
    <row r="15379" spans="1:4" x14ac:dyDescent="0.2">
      <c r="A15379" t="str">
        <f>"15378"</f>
        <v>15378</v>
      </c>
      <c r="B15379" t="str">
        <f>"-0.29"</f>
        <v>-0.29</v>
      </c>
      <c r="C15379" t="str">
        <f>"26"</f>
        <v>26</v>
      </c>
      <c r="D15379" t="str">
        <f>"Life Processes"</f>
        <v>Life Processes</v>
      </c>
    </row>
    <row r="15380" spans="1:4" x14ac:dyDescent="0.2">
      <c r="A15380" t="str">
        <f>"15379"</f>
        <v>15379</v>
      </c>
      <c r="B15380" t="str">
        <f>"0.73"</f>
        <v>0.73</v>
      </c>
      <c r="C15380" t="str">
        <f>"32"</f>
        <v>32</v>
      </c>
      <c r="D15380" t="str">
        <f>"Something For All of Us…"</f>
        <v>Something For All of Us…</v>
      </c>
    </row>
    <row r="15381" spans="1:4" x14ac:dyDescent="0.2">
      <c r="A15381" t="str">
        <f>"15380"</f>
        <v>15380</v>
      </c>
      <c r="B15381" t="str">
        <f>"-0.31"</f>
        <v>-0.31</v>
      </c>
      <c r="C15381" t="str">
        <f>"34"</f>
        <v>34</v>
      </c>
      <c r="D15381" t="str">
        <f>"The Coral Sea"</f>
        <v>The Coral Sea</v>
      </c>
    </row>
    <row r="15382" spans="1:4" x14ac:dyDescent="0.2">
      <c r="A15382" t="str">
        <f>"15381"</f>
        <v>15381</v>
      </c>
      <c r="B15382" t="str">
        <f>"-0.1"</f>
        <v>-0.1</v>
      </c>
      <c r="C15382" t="str">
        <f>"19"</f>
        <v>19</v>
      </c>
      <c r="D15382" t="str">
        <f>"Long Gone and Nearly There"</f>
        <v>Long Gone and Nearly There</v>
      </c>
    </row>
    <row r="15383" spans="1:4" x14ac:dyDescent="0.2">
      <c r="A15383" t="str">
        <f>"15382"</f>
        <v>15382</v>
      </c>
      <c r="B15383" t="str">
        <f>"-0.18"</f>
        <v>-0.18</v>
      </c>
      <c r="C15383" t="str">
        <f>"24"</f>
        <v>24</v>
      </c>
      <c r="D15383" t="s">
        <v>492</v>
      </c>
    </row>
    <row r="15384" spans="1:4" x14ac:dyDescent="0.2">
      <c r="A15384" t="str">
        <f>"15383"</f>
        <v>15383</v>
      </c>
      <c r="B15384" t="str">
        <f>"0.55"</f>
        <v>0.55</v>
      </c>
      <c r="C15384" t="str">
        <f>"19"</f>
        <v>19</v>
      </c>
      <c r="D15384" t="str">
        <f>"There Is Loud Laughter Everywhere"</f>
        <v>There Is Loud Laughter Everywhere</v>
      </c>
    </row>
    <row r="15385" spans="1:4" x14ac:dyDescent="0.2">
      <c r="A15385" t="str">
        <f>"15384"</f>
        <v>15384</v>
      </c>
      <c r="B15385" t="str">
        <f>"-0.28"</f>
        <v>-0.28</v>
      </c>
      <c r="C15385" t="str">
        <f>"37"</f>
        <v>37</v>
      </c>
      <c r="D15385" t="str">
        <f>"Life...The Best Game in Town"</f>
        <v>Life...The Best Game in Town</v>
      </c>
    </row>
    <row r="15386" spans="1:4" x14ac:dyDescent="0.2">
      <c r="A15386" t="str">
        <f>"15385"</f>
        <v>15385</v>
      </c>
      <c r="B15386" t="str">
        <f>"-0.33"</f>
        <v>-0.33</v>
      </c>
      <c r="C15386" t="str">
        <f>"35"</f>
        <v>35</v>
      </c>
      <c r="D15386" t="str">
        <f>"The Greatest Story Ever Told"</f>
        <v>The Greatest Story Ever Told</v>
      </c>
    </row>
    <row r="15387" spans="1:4" x14ac:dyDescent="0.2">
      <c r="A15387" t="str">
        <f>"15386"</f>
        <v>15386</v>
      </c>
      <c r="B15387" t="str">
        <f>"-1.55"</f>
        <v>-1.55</v>
      </c>
      <c r="C15387" t="str">
        <f>"18"</f>
        <v>18</v>
      </c>
      <c r="D15387" t="str">
        <f>"Dirty Versions"</f>
        <v>Dirty Versions</v>
      </c>
    </row>
    <row r="15388" spans="1:4" x14ac:dyDescent="0.2">
      <c r="A15388" t="str">
        <f>"15387"</f>
        <v>15387</v>
      </c>
      <c r="B15388" t="str">
        <f>"-0.71"</f>
        <v>-0.71</v>
      </c>
      <c r="C15388" t="str">
        <f>"35"</f>
        <v>35</v>
      </c>
      <c r="D15388" t="str">
        <f>"Sensitive/Lethal"</f>
        <v>Sensitive/Lethal</v>
      </c>
    </row>
    <row r="15389" spans="1:4" x14ac:dyDescent="0.2">
      <c r="A15389" t="str">
        <f>"15388"</f>
        <v>15388</v>
      </c>
      <c r="B15389" t="str">
        <f>"0.02"</f>
        <v>0.02</v>
      </c>
      <c r="C15389" t="str">
        <f>"22"</f>
        <v>22</v>
      </c>
      <c r="D15389" t="s">
        <v>493</v>
      </c>
    </row>
    <row r="15390" spans="1:4" x14ac:dyDescent="0.2">
      <c r="A15390" t="str">
        <f>"15389"</f>
        <v>15389</v>
      </c>
      <c r="B15390" t="str">
        <f>"-0.42"</f>
        <v>-0.42</v>
      </c>
      <c r="C15390" t="str">
        <f>"39"</f>
        <v>39</v>
      </c>
      <c r="D15390" t="str">
        <f>"Untitled"</f>
        <v>Untitled</v>
      </c>
    </row>
    <row r="15391" spans="1:4" x14ac:dyDescent="0.2">
      <c r="A15391" t="str">
        <f>"15390"</f>
        <v>15390</v>
      </c>
      <c r="B15391" t="str">
        <f>"0.81"</f>
        <v>0.81</v>
      </c>
      <c r="C15391" t="str">
        <f>"27"</f>
        <v>27</v>
      </c>
      <c r="D15391" t="str">
        <f>"The Old Days Feeling"</f>
        <v>The Old Days Feeling</v>
      </c>
    </row>
    <row r="15392" spans="1:4" x14ac:dyDescent="0.2">
      <c r="A15392" t="str">
        <f>"15391"</f>
        <v>15391</v>
      </c>
      <c r="B15392" t="str">
        <f>"-1.56"</f>
        <v>-1.56</v>
      </c>
      <c r="C15392" t="str">
        <f>"16"</f>
        <v>16</v>
      </c>
      <c r="D15392" t="str">
        <f>"Miles Benjamin Anthony Robinson"</f>
        <v>Miles Benjamin Anthony Robinson</v>
      </c>
    </row>
    <row r="15393" spans="1:4" x14ac:dyDescent="0.2">
      <c r="A15393" t="str">
        <f>"15392"</f>
        <v>15392</v>
      </c>
      <c r="B15393" t="str">
        <f>"0.28"</f>
        <v>0.28</v>
      </c>
      <c r="C15393" t="str">
        <f>"22"</f>
        <v>22</v>
      </c>
      <c r="D15393" t="str">
        <f>"Osborne"</f>
        <v>Osborne</v>
      </c>
    </row>
    <row r="15394" spans="1:4" x14ac:dyDescent="0.2">
      <c r="A15394" t="str">
        <f>"15393"</f>
        <v>15393</v>
      </c>
      <c r="B15394" t="str">
        <f>"-0.66"</f>
        <v>-0.66</v>
      </c>
      <c r="C15394" t="str">
        <f>"20"</f>
        <v>20</v>
      </c>
      <c r="D15394" t="str">
        <f>"The Beautiful Lie"</f>
        <v>The Beautiful Lie</v>
      </c>
    </row>
    <row r="15395" spans="1:4" x14ac:dyDescent="0.2">
      <c r="A15395" t="str">
        <f>"15394"</f>
        <v>15394</v>
      </c>
      <c r="B15395" t="str">
        <f>"0.95"</f>
        <v>0.95</v>
      </c>
      <c r="C15395" t="str">
        <f>"25"</f>
        <v>25</v>
      </c>
      <c r="D15395" t="str">
        <f>"Ghost Rock"</f>
        <v>Ghost Rock</v>
      </c>
    </row>
    <row r="15396" spans="1:4" x14ac:dyDescent="0.2">
      <c r="A15396" t="str">
        <f>"15395"</f>
        <v>15395</v>
      </c>
      <c r="B15396" t="str">
        <f>"-0.24"</f>
        <v>-0.24</v>
      </c>
      <c r="C15396" t="str">
        <f>"39"</f>
        <v>39</v>
      </c>
      <c r="D15396" t="str">
        <f>"Just Look Them Straight in the Eye and Say...Poguemahone!!"</f>
        <v>Just Look Them Straight in the Eye and Say...Poguemahone!!</v>
      </c>
    </row>
    <row r="15397" spans="1:4" x14ac:dyDescent="0.2">
      <c r="A15397" t="str">
        <f>"15396"</f>
        <v>15396</v>
      </c>
      <c r="B15397" t="str">
        <f>"-1.11"</f>
        <v>-1.11</v>
      </c>
      <c r="C15397" t="str">
        <f>"34"</f>
        <v>34</v>
      </c>
      <c r="D15397" t="str">
        <f>"Last 2 Walk"</f>
        <v>Last 2 Walk</v>
      </c>
    </row>
    <row r="15398" spans="1:4" x14ac:dyDescent="0.2">
      <c r="A15398" t="str">
        <f>"15397"</f>
        <v>15397</v>
      </c>
      <c r="B15398" t="str">
        <f>"0.31"</f>
        <v>0.31</v>
      </c>
      <c r="C15398" t="str">
        <f>"19"</f>
        <v>19</v>
      </c>
      <c r="D15398" t="str">
        <f>"Verbs"</f>
        <v>Verbs</v>
      </c>
    </row>
    <row r="15399" spans="1:4" x14ac:dyDescent="0.2">
      <c r="A15399" t="str">
        <f>"15398"</f>
        <v>15398</v>
      </c>
      <c r="B15399" t="str">
        <f>"0.83"</f>
        <v>0.83</v>
      </c>
      <c r="C15399" t="str">
        <f>"24"</f>
        <v>24</v>
      </c>
      <c r="D15399" t="str">
        <f>"The Fox's Wedding"</f>
        <v>The Fox's Wedding</v>
      </c>
    </row>
    <row r="15400" spans="1:4" x14ac:dyDescent="0.2">
      <c r="A15400" t="str">
        <f>"15399"</f>
        <v>15399</v>
      </c>
      <c r="B15400" t="str">
        <f>"0.34"</f>
        <v>0.34</v>
      </c>
      <c r="C15400" t="str">
        <f>"25"</f>
        <v>25</v>
      </c>
      <c r="D15400" t="str">
        <f>"Stay Positive"</f>
        <v>Stay Positive</v>
      </c>
    </row>
    <row r="15401" spans="1:4" x14ac:dyDescent="0.2">
      <c r="A15401" t="str">
        <f>"15400"</f>
        <v>15400</v>
      </c>
      <c r="B15401" t="str">
        <f>"-1.54"</f>
        <v>-1.54</v>
      </c>
      <c r="C15401" t="str">
        <f>"27"</f>
        <v>27</v>
      </c>
      <c r="D15401" t="str">
        <f>"Oh What a Lovely Tour!"</f>
        <v>Oh What a Lovely Tour!</v>
      </c>
    </row>
    <row r="15402" spans="1:4" x14ac:dyDescent="0.2">
      <c r="A15402" t="str">
        <f>"15401"</f>
        <v>15401</v>
      </c>
      <c r="B15402" t="str">
        <f>"-0.72"</f>
        <v>-0.72</v>
      </c>
      <c r="C15402" t="str">
        <f>"33"</f>
        <v>33</v>
      </c>
      <c r="D15402" t="str">
        <f>"Sick to Death"</f>
        <v>Sick to Death</v>
      </c>
    </row>
    <row r="15403" spans="1:4" x14ac:dyDescent="0.2">
      <c r="A15403" t="str">
        <f>"15402"</f>
        <v>15402</v>
      </c>
      <c r="B15403" t="str">
        <f>"0.02"</f>
        <v>0.02</v>
      </c>
      <c r="C15403" t="str">
        <f>"25"</f>
        <v>25</v>
      </c>
      <c r="D15403" t="str">
        <f>"The Dusk Line EP"</f>
        <v>The Dusk Line EP</v>
      </c>
    </row>
    <row r="15404" spans="1:4" x14ac:dyDescent="0.2">
      <c r="A15404" t="str">
        <f>"15403"</f>
        <v>15403</v>
      </c>
      <c r="B15404" t="str">
        <f>"-0.96"</f>
        <v>-0.96</v>
      </c>
      <c r="C15404" t="str">
        <f>"23"</f>
        <v>23</v>
      </c>
      <c r="D15404" t="str">
        <f>"Morgan Freeman's Psychedelic Semen"</f>
        <v>Morgan Freeman's Psychedelic Semen</v>
      </c>
    </row>
    <row r="15405" spans="1:4" x14ac:dyDescent="0.2">
      <c r="A15405" t="str">
        <f>"15404"</f>
        <v>15404</v>
      </c>
      <c r="B15405" t="str">
        <f>"-0.67"</f>
        <v>-0.67</v>
      </c>
      <c r="C15405" t="str">
        <f>"25"</f>
        <v>25</v>
      </c>
      <c r="D15405" t="str">
        <f>"Skeleton"</f>
        <v>Skeleton</v>
      </c>
    </row>
    <row r="15406" spans="1:4" x14ac:dyDescent="0.2">
      <c r="A15406" t="str">
        <f>"15405"</f>
        <v>15405</v>
      </c>
      <c r="B15406" t="str">
        <f>"0.96"</f>
        <v>0.96</v>
      </c>
      <c r="C15406" t="str">
        <f>"22"</f>
        <v>22</v>
      </c>
      <c r="D15406" t="str">
        <f>"Mister Lonely: Music from a Film by Harmony Korine"</f>
        <v>Mister Lonely: Music from a Film by Harmony Korine</v>
      </c>
    </row>
    <row r="15407" spans="1:4" x14ac:dyDescent="0.2">
      <c r="A15407" t="str">
        <f>"15406"</f>
        <v>15406</v>
      </c>
      <c r="B15407" t="str">
        <f>"-0.45"</f>
        <v>-0.45</v>
      </c>
      <c r="C15407" t="str">
        <f>"26"</f>
        <v>26</v>
      </c>
      <c r="D15407" t="str">
        <f>"Mega Breakfast"</f>
        <v>Mega Breakfast</v>
      </c>
    </row>
    <row r="15408" spans="1:4" x14ac:dyDescent="0.2">
      <c r="A15408" t="str">
        <f>"15407"</f>
        <v>15407</v>
      </c>
      <c r="B15408" t="str">
        <f>"0.17"</f>
        <v>0.17</v>
      </c>
      <c r="C15408" t="str">
        <f>"18"</f>
        <v>18</v>
      </c>
      <c r="D15408" t="str">
        <f>"Imperial Wax Solvent"</f>
        <v>Imperial Wax Solvent</v>
      </c>
    </row>
    <row r="15409" spans="1:4" x14ac:dyDescent="0.2">
      <c r="A15409" t="str">
        <f>"15408"</f>
        <v>15408</v>
      </c>
      <c r="B15409" t="str">
        <f>"-0.65"</f>
        <v>-0.65</v>
      </c>
      <c r="C15409" t="str">
        <f>"35"</f>
        <v>35</v>
      </c>
      <c r="D15409" t="str">
        <f>"Time:Line"</f>
        <v>Time:Line</v>
      </c>
    </row>
    <row r="15410" spans="1:4" x14ac:dyDescent="0.2">
      <c r="A15410" t="str">
        <f>"15409"</f>
        <v>15409</v>
      </c>
      <c r="B15410" t="str">
        <f>"-0.09"</f>
        <v>-0.09</v>
      </c>
      <c r="C15410" t="str">
        <f>"21"</f>
        <v>21</v>
      </c>
      <c r="D15410" t="str">
        <f>"Object 47"</f>
        <v>Object 47</v>
      </c>
    </row>
    <row r="15411" spans="1:4" x14ac:dyDescent="0.2">
      <c r="A15411" t="str">
        <f>"15410"</f>
        <v>15410</v>
      </c>
      <c r="B15411" t="str">
        <f>"0.12"</f>
        <v>0.12</v>
      </c>
      <c r="C15411" t="str">
        <f>"23"</f>
        <v>23</v>
      </c>
      <c r="D15411" t="str">
        <f>"Nude With Boots"</f>
        <v>Nude With Boots</v>
      </c>
    </row>
    <row r="15412" spans="1:4" x14ac:dyDescent="0.2">
      <c r="A15412" t="str">
        <f>"15411"</f>
        <v>15411</v>
      </c>
      <c r="B15412" t="str">
        <f>"0.37"</f>
        <v>0.37</v>
      </c>
      <c r="C15412" t="str">
        <f>"26"</f>
        <v>26</v>
      </c>
      <c r="D15412" t="str">
        <f>"Wagonwheel Blues"</f>
        <v>Wagonwheel Blues</v>
      </c>
    </row>
    <row r="15413" spans="1:4" x14ac:dyDescent="0.2">
      <c r="A15413" t="str">
        <f>"15412"</f>
        <v>15412</v>
      </c>
      <c r="B15413" t="str">
        <f>"0.49"</f>
        <v>0.49</v>
      </c>
      <c r="C15413" t="str">
        <f>"27"</f>
        <v>27</v>
      </c>
      <c r="D15413" t="str">
        <f>"We Are the South: Greatest Hits"</f>
        <v>We Are the South: Greatest Hits</v>
      </c>
    </row>
    <row r="15414" spans="1:4" x14ac:dyDescent="0.2">
      <c r="A15414" t="str">
        <f>"15413"</f>
        <v>15413</v>
      </c>
      <c r="B15414" t="str">
        <f>"0.75"</f>
        <v>0.75</v>
      </c>
      <c r="C15414" t="str">
        <f>"26"</f>
        <v>26</v>
      </c>
      <c r="D15414" t="str">
        <f>"Introducing Hanggai"</f>
        <v>Introducing Hanggai</v>
      </c>
    </row>
    <row r="15415" spans="1:4" x14ac:dyDescent="0.2">
      <c r="A15415" t="str">
        <f>"15414"</f>
        <v>15414</v>
      </c>
      <c r="B15415" t="str">
        <f>"0.03"</f>
        <v>0.03</v>
      </c>
      <c r="C15415" t="str">
        <f>"37"</f>
        <v>37</v>
      </c>
      <c r="D15415" t="str">
        <f>"Bubble and Scrape Deluxe Edition"</f>
        <v>Bubble and Scrape Deluxe Edition</v>
      </c>
    </row>
    <row r="15416" spans="1:4" x14ac:dyDescent="0.2">
      <c r="A15416" t="str">
        <f>"15415"</f>
        <v>15415</v>
      </c>
      <c r="B15416" t="str">
        <f>"0.14"</f>
        <v>0.14</v>
      </c>
      <c r="C15416" t="str">
        <f>"28"</f>
        <v>28</v>
      </c>
      <c r="D15416" t="str">
        <f>"¿Cómo te Llama?"</f>
        <v>¿Cómo te Llama?</v>
      </c>
    </row>
    <row r="15417" spans="1:4" x14ac:dyDescent="0.2">
      <c r="A15417" t="str">
        <f>"15416"</f>
        <v>15416</v>
      </c>
      <c r="B15417" t="str">
        <f>"0.35"</f>
        <v>0.35</v>
      </c>
      <c r="C15417" t="str">
        <f>"37"</f>
        <v>37</v>
      </c>
      <c r="D15417" t="s">
        <v>494</v>
      </c>
    </row>
    <row r="15418" spans="1:4" x14ac:dyDescent="0.2">
      <c r="A15418" t="str">
        <f>"15417"</f>
        <v>15417</v>
      </c>
      <c r="B15418" t="str">
        <f>"-0.85"</f>
        <v>-0.85</v>
      </c>
      <c r="C15418" t="str">
        <f>"22"</f>
        <v>22</v>
      </c>
      <c r="D15418" t="str">
        <f>"Fear of Flying"</f>
        <v>Fear of Flying</v>
      </c>
    </row>
    <row r="15419" spans="1:4" x14ac:dyDescent="0.2">
      <c r="A15419" t="str">
        <f>"15418"</f>
        <v>15418</v>
      </c>
      <c r="B15419" t="str">
        <f>"0"</f>
        <v>0</v>
      </c>
      <c r="C15419" t="str">
        <f>"18"</f>
        <v>18</v>
      </c>
      <c r="D15419" t="str">
        <f>"Old Home Movies"</f>
        <v>Old Home Movies</v>
      </c>
    </row>
    <row r="15420" spans="1:4" x14ac:dyDescent="0.2">
      <c r="A15420" t="str">
        <f>"15419"</f>
        <v>15419</v>
      </c>
      <c r="B15420" t="str">
        <f>"-0.25"</f>
        <v>-0.25</v>
      </c>
      <c r="C15420" t="str">
        <f>"21"</f>
        <v>21</v>
      </c>
      <c r="D15420" t="str">
        <f>"LP3"</f>
        <v>LP3</v>
      </c>
    </row>
    <row r="15421" spans="1:4" x14ac:dyDescent="0.2">
      <c r="A15421" t="str">
        <f>"15420"</f>
        <v>15420</v>
      </c>
      <c r="B15421" t="str">
        <f>"-0.22"</f>
        <v>-0.22</v>
      </c>
      <c r="C15421" t="str">
        <f>"38"</f>
        <v>38</v>
      </c>
      <c r="D15421" t="str">
        <f>"Pacific Ocean Blue: Legacy Edition"</f>
        <v>Pacific Ocean Blue: Legacy Edition</v>
      </c>
    </row>
    <row r="15422" spans="1:4" x14ac:dyDescent="0.2">
      <c r="A15422" t="str">
        <f>"15421"</f>
        <v>15421</v>
      </c>
      <c r="B15422" t="str">
        <f>"1.58"</f>
        <v>1.58</v>
      </c>
      <c r="C15422" t="str">
        <f>"20"</f>
        <v>20</v>
      </c>
      <c r="D15422" t="str">
        <f>"Döda Fallet"</f>
        <v>Döda Fallet</v>
      </c>
    </row>
    <row r="15423" spans="1:4" x14ac:dyDescent="0.2">
      <c r="A15423" t="str">
        <f>"15422"</f>
        <v>15422</v>
      </c>
      <c r="B15423" t="str">
        <f>"0.11"</f>
        <v>0.11</v>
      </c>
      <c r="C15423" t="str">
        <f>"20"</f>
        <v>20</v>
      </c>
      <c r="D15423" t="str">
        <f>"Steal My Horses and Run"</f>
        <v>Steal My Horses and Run</v>
      </c>
    </row>
    <row r="15424" spans="1:4" x14ac:dyDescent="0.2">
      <c r="A15424" t="str">
        <f>"15423"</f>
        <v>15423</v>
      </c>
      <c r="B15424" t="str">
        <f>"-0.46"</f>
        <v>-0.46</v>
      </c>
      <c r="C15424" t="str">
        <f>"34"</f>
        <v>34</v>
      </c>
      <c r="D15424" t="str">
        <f>"From Heaven"</f>
        <v>From Heaven</v>
      </c>
    </row>
    <row r="15425" spans="1:4" x14ac:dyDescent="0.2">
      <c r="A15425" t="str">
        <f>"15424"</f>
        <v>15424</v>
      </c>
      <c r="B15425" t="str">
        <f>"-0.1"</f>
        <v>-0.1</v>
      </c>
      <c r="C15425" t="str">
        <f>"45"</f>
        <v>45</v>
      </c>
      <c r="D15425" t="str">
        <f>"Modern Guilt"</f>
        <v>Modern Guilt</v>
      </c>
    </row>
    <row r="15426" spans="1:4" x14ac:dyDescent="0.2">
      <c r="A15426" t="str">
        <f>"15425"</f>
        <v>15425</v>
      </c>
      <c r="B15426" t="str">
        <f>"1.09"</f>
        <v>1.09</v>
      </c>
      <c r="C15426" t="str">
        <f>"21"</f>
        <v>21</v>
      </c>
      <c r="D15426" t="str">
        <f>"Hymn and Her"</f>
        <v>Hymn and Her</v>
      </c>
    </row>
    <row r="15427" spans="1:4" x14ac:dyDescent="0.2">
      <c r="A15427" t="str">
        <f>"15426"</f>
        <v>15426</v>
      </c>
      <c r="B15427" t="str">
        <f>"1.02"</f>
        <v>1.02</v>
      </c>
      <c r="C15427" t="str">
        <f>"42"</f>
        <v>42</v>
      </c>
      <c r="D15427" t="str">
        <f>"Nigeria Disco Funk Special"</f>
        <v>Nigeria Disco Funk Special</v>
      </c>
    </row>
    <row r="15428" spans="1:4" x14ac:dyDescent="0.2">
      <c r="A15428" t="str">
        <f>"15427"</f>
        <v>15427</v>
      </c>
      <c r="B15428" t="str">
        <f>"-0.11"</f>
        <v>-0.11</v>
      </c>
      <c r="C15428" t="str">
        <f>"18"</f>
        <v>18</v>
      </c>
      <c r="D15428" t="str">
        <f>"I Miss This"</f>
        <v>I Miss This</v>
      </c>
    </row>
    <row r="15429" spans="1:4" x14ac:dyDescent="0.2">
      <c r="A15429" t="str">
        <f>"15428"</f>
        <v>15428</v>
      </c>
      <c r="B15429" t="str">
        <f>"-0.3"</f>
        <v>-0.3</v>
      </c>
      <c r="C15429" t="str">
        <f>"21"</f>
        <v>21</v>
      </c>
      <c r="D15429" t="str">
        <f>"In the Meantime"</f>
        <v>In the Meantime</v>
      </c>
    </row>
    <row r="15430" spans="1:4" x14ac:dyDescent="0.2">
      <c r="A15430" t="str">
        <f>"15429"</f>
        <v>15429</v>
      </c>
      <c r="B15430" t="str">
        <f>"0.42"</f>
        <v>0.42</v>
      </c>
      <c r="C15430" t="str">
        <f>"26"</f>
        <v>26</v>
      </c>
      <c r="D15430" t="str">
        <f>"Singles 06-07"</f>
        <v>Singles 06-07</v>
      </c>
    </row>
    <row r="15431" spans="1:4" x14ac:dyDescent="0.2">
      <c r="A15431" t="str">
        <f>"15430"</f>
        <v>15430</v>
      </c>
      <c r="B15431" t="str">
        <f>"0.74"</f>
        <v>0.74</v>
      </c>
      <c r="C15431" t="str">
        <f>"26"</f>
        <v>26</v>
      </c>
      <c r="D15431" t="str">
        <f>"Wishing Well + 5 EP"</f>
        <v>Wishing Well + 5 EP</v>
      </c>
    </row>
    <row r="15432" spans="1:4" x14ac:dyDescent="0.2">
      <c r="A15432" t="str">
        <f>"15431"</f>
        <v>15431</v>
      </c>
      <c r="B15432" t="str">
        <f>"-1.13"</f>
        <v>-1.13</v>
      </c>
      <c r="C15432" t="str">
        <f>"26"</f>
        <v>26</v>
      </c>
      <c r="D15432" t="str">
        <f>"Too Old to Die Young"</f>
        <v>Too Old to Die Young</v>
      </c>
    </row>
    <row r="15433" spans="1:4" x14ac:dyDescent="0.2">
      <c r="A15433" t="str">
        <f>"15432"</f>
        <v>15432</v>
      </c>
      <c r="B15433" t="str">
        <f>"0.83"</f>
        <v>0.83</v>
      </c>
      <c r="C15433" t="str">
        <f>"23"</f>
        <v>23</v>
      </c>
      <c r="D15433" t="str">
        <f>"Season of Sweets"</f>
        <v>Season of Sweets</v>
      </c>
    </row>
    <row r="15434" spans="1:4" x14ac:dyDescent="0.2">
      <c r="A15434" t="str">
        <f>"15433"</f>
        <v>15433</v>
      </c>
      <c r="B15434" t="str">
        <f>"-0.33"</f>
        <v>-0.33</v>
      </c>
      <c r="C15434" t="str">
        <f>"22"</f>
        <v>22</v>
      </c>
      <c r="D15434" t="str">
        <f>"Someone Else's Deja Vu"</f>
        <v>Someone Else's Deja Vu</v>
      </c>
    </row>
    <row r="15435" spans="1:4" x14ac:dyDescent="0.2">
      <c r="A15435" t="str">
        <f>"15434"</f>
        <v>15434</v>
      </c>
      <c r="B15435" t="str">
        <f>"0.12"</f>
        <v>0.12</v>
      </c>
      <c r="C15435" t="str">
        <f>"31"</f>
        <v>31</v>
      </c>
      <c r="D15435" t="str">
        <f>"Live: Santa Monica '72"</f>
        <v>Live: Santa Monica '72</v>
      </c>
    </row>
    <row r="15436" spans="1:4" x14ac:dyDescent="0.2">
      <c r="A15436" t="str">
        <f>"15435"</f>
        <v>15435</v>
      </c>
      <c r="B15436" t="str">
        <f>"-1.11"</f>
        <v>-1.11</v>
      </c>
      <c r="C15436" t="str">
        <f>"23"</f>
        <v>23</v>
      </c>
      <c r="D15436" t="str">
        <f>"Running Man: Nike+ Original Run"</f>
        <v>Running Man: Nike+ Original Run</v>
      </c>
    </row>
    <row r="15437" spans="1:4" x14ac:dyDescent="0.2">
      <c r="A15437" t="str">
        <f>"15436"</f>
        <v>15436</v>
      </c>
      <c r="B15437" t="str">
        <f>"0.74"</f>
        <v>0.74</v>
      </c>
      <c r="C15437" t="str">
        <f>"29"</f>
        <v>29</v>
      </c>
      <c r="D15437" t="str">
        <f>"I've Got My Eye on You"</f>
        <v>I've Got My Eye on You</v>
      </c>
    </row>
    <row r="15438" spans="1:4" x14ac:dyDescent="0.2">
      <c r="A15438" t="str">
        <f>"15437"</f>
        <v>15437</v>
      </c>
      <c r="B15438" t="str">
        <f>"-1.22"</f>
        <v>-1.22</v>
      </c>
      <c r="C15438" t="str">
        <f>"32"</f>
        <v>32</v>
      </c>
      <c r="D15438" t="str">
        <f>"We Were Enchanted"</f>
        <v>We Were Enchanted</v>
      </c>
    </row>
    <row r="15439" spans="1:4" x14ac:dyDescent="0.2">
      <c r="A15439" t="str">
        <f>"15438"</f>
        <v>15438</v>
      </c>
      <c r="B15439" t="str">
        <f>"-0.64"</f>
        <v>-0.64</v>
      </c>
      <c r="C15439" t="str">
        <f>"34"</f>
        <v>34</v>
      </c>
      <c r="D15439" t="str">
        <f>"Could We Survive"</f>
        <v>Could We Survive</v>
      </c>
    </row>
    <row r="15440" spans="1:4" x14ac:dyDescent="0.2">
      <c r="A15440" t="str">
        <f>"15439"</f>
        <v>15439</v>
      </c>
      <c r="B15440" t="str">
        <f>"-0.12"</f>
        <v>-0.12</v>
      </c>
      <c r="C15440" t="str">
        <f>"32"</f>
        <v>32</v>
      </c>
      <c r="D15440" t="str">
        <f>"Digi Snacks"</f>
        <v>Digi Snacks</v>
      </c>
    </row>
    <row r="15441" spans="1:4" x14ac:dyDescent="0.2">
      <c r="A15441" t="str">
        <f>"15440"</f>
        <v>15440</v>
      </c>
      <c r="B15441" t="str">
        <f>"0.84"</f>
        <v>0.84</v>
      </c>
      <c r="C15441" t="str">
        <f>"50"</f>
        <v>50</v>
      </c>
      <c r="D15441" t="str">
        <f>"The Sun and the Neon Light"</f>
        <v>The Sun and the Neon Light</v>
      </c>
    </row>
    <row r="15442" spans="1:4" x14ac:dyDescent="0.2">
      <c r="A15442" t="str">
        <f>"15441"</f>
        <v>15441</v>
      </c>
      <c r="B15442" t="str">
        <f>"-0.12"</f>
        <v>-0.12</v>
      </c>
      <c r="C15442" t="str">
        <f>"27"</f>
        <v>27</v>
      </c>
      <c r="D15442" t="str">
        <f>"Focus Level"</f>
        <v>Focus Level</v>
      </c>
    </row>
    <row r="15443" spans="1:4" x14ac:dyDescent="0.2">
      <c r="A15443" t="str">
        <f>"15442"</f>
        <v>15442</v>
      </c>
      <c r="B15443" t="str">
        <f>"0.13"</f>
        <v>0.13</v>
      </c>
      <c r="C15443" t="str">
        <f>"25"</f>
        <v>25</v>
      </c>
      <c r="D15443" t="str">
        <f>"The Outside"</f>
        <v>The Outside</v>
      </c>
    </row>
    <row r="15444" spans="1:4" x14ac:dyDescent="0.2">
      <c r="A15444" t="str">
        <f>"15443"</f>
        <v>15443</v>
      </c>
      <c r="B15444" t="str">
        <f>"-0.38"</f>
        <v>-0.38</v>
      </c>
      <c r="C15444" t="str">
        <f>"19"</f>
        <v>19</v>
      </c>
      <c r="D15444" t="str">
        <f>"Muting the Noise"</f>
        <v>Muting the Noise</v>
      </c>
    </row>
    <row r="15445" spans="1:4" x14ac:dyDescent="0.2">
      <c r="A15445" t="str">
        <f>"15444"</f>
        <v>15444</v>
      </c>
      <c r="B15445" t="str">
        <f>"-0.86"</f>
        <v>-0.86</v>
      </c>
      <c r="C15445" t="str">
        <f>"172"</f>
        <v>172</v>
      </c>
      <c r="D15445" t="str">
        <f>"Deltron 3030"</f>
        <v>Deltron 3030</v>
      </c>
    </row>
    <row r="15446" spans="1:4" x14ac:dyDescent="0.2">
      <c r="A15446" t="str">
        <f>"15445"</f>
        <v>15445</v>
      </c>
      <c r="B15446" t="str">
        <f>"0.73"</f>
        <v>0.73</v>
      </c>
      <c r="C15446" t="str">
        <f>"98"</f>
        <v>98</v>
      </c>
      <c r="D15446" t="str">
        <f>"Feed the Animals"</f>
        <v>Feed the Animals</v>
      </c>
    </row>
    <row r="15447" spans="1:4" x14ac:dyDescent="0.2">
      <c r="A15447" t="str">
        <f>"15446"</f>
        <v>15446</v>
      </c>
      <c r="B15447" t="str">
        <f>"0.5"</f>
        <v>0.5</v>
      </c>
      <c r="C15447" t="str">
        <f>"31"</f>
        <v>31</v>
      </c>
      <c r="D15447" t="str">
        <f>"Kleerup"</f>
        <v>Kleerup</v>
      </c>
    </row>
    <row r="15448" spans="1:4" x14ac:dyDescent="0.2">
      <c r="A15448" t="str">
        <f>"15447"</f>
        <v>15447</v>
      </c>
      <c r="B15448" t="str">
        <f>"-1.3"</f>
        <v>-1.3</v>
      </c>
      <c r="C15448" t="str">
        <f>"27"</f>
        <v>27</v>
      </c>
      <c r="D15448" t="str">
        <f>"Huffin' Rag Blues"</f>
        <v>Huffin' Rag Blues</v>
      </c>
    </row>
    <row r="15449" spans="1:4" x14ac:dyDescent="0.2">
      <c r="A15449" t="str">
        <f>"15448"</f>
        <v>15448</v>
      </c>
      <c r="B15449" t="str">
        <f>"1.51"</f>
        <v>1.51</v>
      </c>
      <c r="C15449" t="str">
        <f>"30"</f>
        <v>30</v>
      </c>
      <c r="D15449" t="str">
        <f>"The Best of Bobby Womack: The Soul Years"</f>
        <v>The Best of Bobby Womack: The Soul Years</v>
      </c>
    </row>
    <row r="15450" spans="1:4" x14ac:dyDescent="0.2">
      <c r="A15450" t="str">
        <f>"15449"</f>
        <v>15449</v>
      </c>
      <c r="B15450" t="str">
        <f>"-0.54"</f>
        <v>-0.54</v>
      </c>
      <c r="C15450" t="str">
        <f>"24"</f>
        <v>24</v>
      </c>
      <c r="D15450" t="str">
        <f>"Pwrfl Power"</f>
        <v>Pwrfl Power</v>
      </c>
    </row>
    <row r="15451" spans="1:4" x14ac:dyDescent="0.2">
      <c r="A15451" t="str">
        <f>"15450"</f>
        <v>15450</v>
      </c>
      <c r="B15451" t="str">
        <f>"0.55"</f>
        <v>0.55</v>
      </c>
      <c r="C15451" t="str">
        <f>"27"</f>
        <v>27</v>
      </c>
      <c r="D15451" t="str">
        <f>"Pyramids"</f>
        <v>Pyramids</v>
      </c>
    </row>
    <row r="15452" spans="1:4" x14ac:dyDescent="0.2">
      <c r="A15452" t="str">
        <f>"15451"</f>
        <v>15451</v>
      </c>
      <c r="B15452" t="str">
        <f>"1.15"</f>
        <v>1.15</v>
      </c>
      <c r="C15452" t="str">
        <f>"41"</f>
        <v>41</v>
      </c>
      <c r="D15452" t="str">
        <f>"No Way Down EP"</f>
        <v>No Way Down EP</v>
      </c>
    </row>
    <row r="15453" spans="1:4" x14ac:dyDescent="0.2">
      <c r="A15453" t="str">
        <f>"15452"</f>
        <v>15452</v>
      </c>
      <c r="B15453" t="str">
        <f>"0.45"</f>
        <v>0.45</v>
      </c>
      <c r="C15453" t="str">
        <f>"23"</f>
        <v>23</v>
      </c>
      <c r="D15453" t="str">
        <f>"Fire Songs"</f>
        <v>Fire Songs</v>
      </c>
    </row>
    <row r="15454" spans="1:4" x14ac:dyDescent="0.2">
      <c r="A15454" t="str">
        <f>"15453"</f>
        <v>15453</v>
      </c>
      <c r="B15454" t="str">
        <f>"0.68"</f>
        <v>0.68</v>
      </c>
      <c r="C15454" t="str">
        <f>"14"</f>
        <v>14</v>
      </c>
      <c r="D15454" t="str">
        <f>"Time Traveller"</f>
        <v>Time Traveller</v>
      </c>
    </row>
    <row r="15455" spans="1:4" x14ac:dyDescent="0.2">
      <c r="A15455" t="str">
        <f>"15454"</f>
        <v>15454</v>
      </c>
      <c r="B15455" t="str">
        <f>"0.63"</f>
        <v>0.63</v>
      </c>
      <c r="C15455" t="str">
        <f>"26"</f>
        <v>26</v>
      </c>
      <c r="D15455" t="str">
        <f>"Fern Knight"</f>
        <v>Fern Knight</v>
      </c>
    </row>
    <row r="15456" spans="1:4" x14ac:dyDescent="0.2">
      <c r="A15456" t="str">
        <f>"15455"</f>
        <v>15455</v>
      </c>
      <c r="B15456" t="str">
        <f>"0.75"</f>
        <v>0.75</v>
      </c>
      <c r="C15456" t="str">
        <f>"29"</f>
        <v>29</v>
      </c>
      <c r="D15456" t="str">
        <f>"Remix Romance Vol. 2"</f>
        <v>Remix Romance Vol. 2</v>
      </c>
    </row>
    <row r="15457" spans="1:4" x14ac:dyDescent="0.2">
      <c r="A15457" t="str">
        <f>"15456"</f>
        <v>15456</v>
      </c>
      <c r="B15457" t="str">
        <f>"0.06"</f>
        <v>0.06</v>
      </c>
      <c r="C15457" t="str">
        <f>"55"</f>
        <v>55</v>
      </c>
      <c r="D15457" t="str">
        <f>"Ice Cream Spiritual"</f>
        <v>Ice Cream Spiritual</v>
      </c>
    </row>
    <row r="15458" spans="1:4" x14ac:dyDescent="0.2">
      <c r="A15458" t="str">
        <f>"15457"</f>
        <v>15457</v>
      </c>
      <c r="B15458" t="str">
        <f>"-0.49"</f>
        <v>-0.49</v>
      </c>
      <c r="C15458" t="str">
        <f>"81"</f>
        <v>81</v>
      </c>
      <c r="D15458" t="str">
        <f>"Dual Hawks"</f>
        <v>Dual Hawks</v>
      </c>
    </row>
    <row r="15459" spans="1:4" x14ac:dyDescent="0.2">
      <c r="A15459" t="str">
        <f>"15458"</f>
        <v>15458</v>
      </c>
      <c r="B15459" t="str">
        <f>"0.27"</f>
        <v>0.27</v>
      </c>
      <c r="C15459" t="str">
        <f>"70"</f>
        <v>70</v>
      </c>
      <c r="D15459" t="str">
        <f>"Wolves and Wishes"</f>
        <v>Wolves and Wishes</v>
      </c>
    </row>
    <row r="15460" spans="1:4" x14ac:dyDescent="0.2">
      <c r="A15460" t="str">
        <f>"15459"</f>
        <v>15459</v>
      </c>
      <c r="B15460" t="str">
        <f>"1.07"</f>
        <v>1.07</v>
      </c>
      <c r="C15460" t="str">
        <f>"25"</f>
        <v>25</v>
      </c>
      <c r="D15460" t="str">
        <f>"Within These Walls"</f>
        <v>Within These Walls</v>
      </c>
    </row>
    <row r="15461" spans="1:4" x14ac:dyDescent="0.2">
      <c r="A15461" t="str">
        <f>"15460"</f>
        <v>15460</v>
      </c>
      <c r="B15461" t="str">
        <f>"0.04"</f>
        <v>0.04</v>
      </c>
      <c r="C15461" t="str">
        <f>"31"</f>
        <v>31</v>
      </c>
      <c r="D15461" t="str">
        <f>"Með suð í eyrum við spilum endalaust"</f>
        <v>Með suð í eyrum við spilum endalaust</v>
      </c>
    </row>
    <row r="15462" spans="1:4" x14ac:dyDescent="0.2">
      <c r="A15462" t="str">
        <f>"15461"</f>
        <v>15461</v>
      </c>
      <c r="B15462" t="str">
        <f>"0.7"</f>
        <v>0.7</v>
      </c>
      <c r="C15462" t="str">
        <f>"36"</f>
        <v>36</v>
      </c>
      <c r="D15462" t="str">
        <f>"Yearbook 2"</f>
        <v>Yearbook 2</v>
      </c>
    </row>
    <row r="15463" spans="1:4" x14ac:dyDescent="0.2">
      <c r="A15463" t="str">
        <f>"15462"</f>
        <v>15462</v>
      </c>
      <c r="B15463" t="str">
        <f>"-0.52"</f>
        <v>-0.52</v>
      </c>
      <c r="C15463" t="str">
        <f>"23"</f>
        <v>23</v>
      </c>
      <c r="D15463" t="str">
        <f>"Occasion"</f>
        <v>Occasion</v>
      </c>
    </row>
    <row r="15464" spans="1:4" x14ac:dyDescent="0.2">
      <c r="A15464" t="str">
        <f>"15463"</f>
        <v>15463</v>
      </c>
      <c r="B15464" t="str">
        <f>"1.69"</f>
        <v>1.69</v>
      </c>
      <c r="C15464" t="str">
        <f>"69"</f>
        <v>69</v>
      </c>
      <c r="D15464" t="str">
        <f>"Take Refuge in Clean Living"</f>
        <v>Take Refuge in Clean Living</v>
      </c>
    </row>
    <row r="15465" spans="1:4" x14ac:dyDescent="0.2">
      <c r="A15465" t="str">
        <f>"15464"</f>
        <v>15464</v>
      </c>
      <c r="B15465" t="str">
        <f>"-0.56"</f>
        <v>-0.56</v>
      </c>
      <c r="C15465" t="str">
        <f>"21"</f>
        <v>21</v>
      </c>
      <c r="D15465" t="str">
        <f>"The Blue God"</f>
        <v>The Blue God</v>
      </c>
    </row>
    <row r="15466" spans="1:4" x14ac:dyDescent="0.2">
      <c r="A15466" t="str">
        <f>"15465"</f>
        <v>15465</v>
      </c>
      <c r="B15466" t="str">
        <f>"-0.01"</f>
        <v>-0.01</v>
      </c>
      <c r="C15466" t="str">
        <f>"48"</f>
        <v>48</v>
      </c>
      <c r="D15466" t="str">
        <f>"Exile in Guyville [15th Anniversary Edition]"</f>
        <v>Exile in Guyville [15th Anniversary Edition]</v>
      </c>
    </row>
    <row r="15467" spans="1:4" x14ac:dyDescent="0.2">
      <c r="A15467" t="str">
        <f>"15466"</f>
        <v>15466</v>
      </c>
      <c r="B15467" t="str">
        <f>"-0.63"</f>
        <v>-0.63</v>
      </c>
      <c r="C15467" t="str">
        <f>"28"</f>
        <v>28</v>
      </c>
      <c r="D15467" t="str">
        <f>"Vasco EP Part 1"</f>
        <v>Vasco EP Part 1</v>
      </c>
    </row>
    <row r="15468" spans="1:4" x14ac:dyDescent="0.2">
      <c r="A15468" t="str">
        <f>"15467"</f>
        <v>15467</v>
      </c>
      <c r="B15468" t="str">
        <f>"-0.43"</f>
        <v>-0.43</v>
      </c>
      <c r="C15468" t="str">
        <f>"18"</f>
        <v>18</v>
      </c>
      <c r="D15468" t="str">
        <f>"Same As It Never Was"</f>
        <v>Same As It Never Was</v>
      </c>
    </row>
    <row r="15469" spans="1:4" x14ac:dyDescent="0.2">
      <c r="A15469" t="str">
        <f>"15468"</f>
        <v>15468</v>
      </c>
      <c r="B15469" t="str">
        <f>"1.05"</f>
        <v>1.05</v>
      </c>
      <c r="C15469" t="str">
        <f>"30"</f>
        <v>30</v>
      </c>
      <c r="D15469" t="str">
        <f>"A Perfect Place OST"</f>
        <v>A Perfect Place OST</v>
      </c>
    </row>
    <row r="15470" spans="1:4" x14ac:dyDescent="0.2">
      <c r="A15470" t="str">
        <f>"15469"</f>
        <v>15469</v>
      </c>
      <c r="B15470" t="str">
        <f>"-0.1"</f>
        <v>-0.1</v>
      </c>
      <c r="C15470" t="str">
        <f>"27"</f>
        <v>27</v>
      </c>
      <c r="D15470" t="str">
        <f>"The In Crowd"</f>
        <v>The In Crowd</v>
      </c>
    </row>
    <row r="15471" spans="1:4" x14ac:dyDescent="0.2">
      <c r="A15471" t="str">
        <f>"15470"</f>
        <v>15470</v>
      </c>
      <c r="B15471" t="str">
        <f>"0.71"</f>
        <v>0.71</v>
      </c>
      <c r="C15471" t="str">
        <f>"30"</f>
        <v>30</v>
      </c>
      <c r="D15471" t="str">
        <f>"Resin"</f>
        <v>Resin</v>
      </c>
    </row>
    <row r="15472" spans="1:4" x14ac:dyDescent="0.2">
      <c r="A15472" t="str">
        <f>"15471"</f>
        <v>15471</v>
      </c>
      <c r="B15472" t="str">
        <f>"0.62"</f>
        <v>0.62</v>
      </c>
      <c r="C15472" t="str">
        <f>"93"</f>
        <v>93</v>
      </c>
      <c r="D15472" t="str">
        <f>"A Thousand Shark's Teeth"</f>
        <v>A Thousand Shark's Teeth</v>
      </c>
    </row>
    <row r="15473" spans="1:4" x14ac:dyDescent="0.2">
      <c r="A15473" t="str">
        <f>"15472"</f>
        <v>15472</v>
      </c>
      <c r="B15473" t="str">
        <f>"0.67"</f>
        <v>0.67</v>
      </c>
      <c r="C15473" t="str">
        <f>"53"</f>
        <v>53</v>
      </c>
      <c r="D15473" t="str">
        <f>"The Ken Burns Effect"</f>
        <v>The Ken Burns Effect</v>
      </c>
    </row>
    <row r="15474" spans="1:4" x14ac:dyDescent="0.2">
      <c r="A15474" t="str">
        <f>"15473"</f>
        <v>15473</v>
      </c>
      <c r="B15474" t="str">
        <f>"-0.56"</f>
        <v>-0.56</v>
      </c>
      <c r="C15474" t="str">
        <f>"20"</f>
        <v>20</v>
      </c>
      <c r="D15474" t="str">
        <f>"Ghost Town"</f>
        <v>Ghost Town</v>
      </c>
    </row>
    <row r="15475" spans="1:4" x14ac:dyDescent="0.2">
      <c r="A15475" t="str">
        <f>"15474"</f>
        <v>15474</v>
      </c>
      <c r="B15475" t="str">
        <f>"-0.57"</f>
        <v>-0.57</v>
      </c>
      <c r="C15475" t="str">
        <f>"25"</f>
        <v>25</v>
      </c>
      <c r="D15475" t="str">
        <f>"Violets"</f>
        <v>Violets</v>
      </c>
    </row>
    <row r="15476" spans="1:4" x14ac:dyDescent="0.2">
      <c r="A15476" t="str">
        <f>"15475"</f>
        <v>15475</v>
      </c>
      <c r="B15476" t="str">
        <f>"0.81"</f>
        <v>0.81</v>
      </c>
      <c r="C15476" t="str">
        <f>"18"</f>
        <v>18</v>
      </c>
      <c r="D15476" t="str">
        <f>"O"</f>
        <v>O</v>
      </c>
    </row>
    <row r="15477" spans="1:4" x14ac:dyDescent="0.2">
      <c r="A15477" t="str">
        <f>"15476"</f>
        <v>15476</v>
      </c>
      <c r="B15477" t="str">
        <f>"-0.18"</f>
        <v>-0.18</v>
      </c>
      <c r="C15477" t="str">
        <f>"69"</f>
        <v>69</v>
      </c>
      <c r="D15477" t="str">
        <f>"The Wake"</f>
        <v>The Wake</v>
      </c>
    </row>
    <row r="15478" spans="1:4" x14ac:dyDescent="0.2">
      <c r="A15478" t="str">
        <f>"15477"</f>
        <v>15477</v>
      </c>
      <c r="B15478" t="str">
        <f>"-0.15"</f>
        <v>-0.15</v>
      </c>
      <c r="C15478" t="str">
        <f>"27"</f>
        <v>27</v>
      </c>
      <c r="D15478" t="s">
        <v>495</v>
      </c>
    </row>
    <row r="15479" spans="1:4" x14ac:dyDescent="0.2">
      <c r="A15479" t="str">
        <f>"15478"</f>
        <v>15478</v>
      </c>
      <c r="B15479" t="str">
        <f>"-0.22"</f>
        <v>-0.22</v>
      </c>
      <c r="C15479" t="str">
        <f>"23"</f>
        <v>23</v>
      </c>
      <c r="D15479" t="str">
        <f>"Begin Civil Twilight"</f>
        <v>Begin Civil Twilight</v>
      </c>
    </row>
    <row r="15480" spans="1:4" x14ac:dyDescent="0.2">
      <c r="A15480" t="str">
        <f>"15479"</f>
        <v>15479</v>
      </c>
      <c r="B15480" t="str">
        <f>"0.07"</f>
        <v>0.07</v>
      </c>
      <c r="C15480" t="str">
        <f>"29"</f>
        <v>29</v>
      </c>
      <c r="D15480" t="str">
        <f>"We Started Nothing"</f>
        <v>We Started Nothing</v>
      </c>
    </row>
    <row r="15481" spans="1:4" x14ac:dyDescent="0.2">
      <c r="A15481" t="str">
        <f>"15480"</f>
        <v>15480</v>
      </c>
      <c r="B15481" t="str">
        <f>"-0.17"</f>
        <v>-0.17</v>
      </c>
      <c r="C15481" t="str">
        <f>"43"</f>
        <v>43</v>
      </c>
      <c r="D15481" t="s">
        <v>496</v>
      </c>
    </row>
    <row r="15482" spans="1:4" x14ac:dyDescent="0.2">
      <c r="A15482" t="str">
        <f>"15481"</f>
        <v>15481</v>
      </c>
      <c r="B15482" t="str">
        <f>"1.17"</f>
        <v>1.17</v>
      </c>
      <c r="C15482" t="str">
        <f>"23"</f>
        <v>23</v>
      </c>
      <c r="D15482" t="str">
        <f>"Litany of Echoes"</f>
        <v>Litany of Echoes</v>
      </c>
    </row>
    <row r="15483" spans="1:4" x14ac:dyDescent="0.2">
      <c r="A15483" t="str">
        <f>"15482"</f>
        <v>15482</v>
      </c>
      <c r="B15483" t="str">
        <f>"1.95"</f>
        <v>1.95</v>
      </c>
      <c r="C15483" t="str">
        <f>"20"</f>
        <v>20</v>
      </c>
      <c r="D15483" t="str">
        <f>"Made in Dakar"</f>
        <v>Made in Dakar</v>
      </c>
    </row>
    <row r="15484" spans="1:4" x14ac:dyDescent="0.2">
      <c r="A15484" t="str">
        <f>"15483"</f>
        <v>15483</v>
      </c>
      <c r="B15484" t="str">
        <f>"-0.65"</f>
        <v>-0.65</v>
      </c>
      <c r="C15484" t="str">
        <f>"27"</f>
        <v>27</v>
      </c>
      <c r="D15484" t="str">
        <f>"Apocalypso"</f>
        <v>Apocalypso</v>
      </c>
    </row>
    <row r="15485" spans="1:4" x14ac:dyDescent="0.2">
      <c r="A15485" t="str">
        <f>"15484"</f>
        <v>15484</v>
      </c>
      <c r="B15485" t="str">
        <f>"0.51"</f>
        <v>0.51</v>
      </c>
      <c r="C15485" t="str">
        <f>"22"</f>
        <v>22</v>
      </c>
      <c r="D15485" t="str">
        <f>"Real Close Ones"</f>
        <v>Real Close Ones</v>
      </c>
    </row>
    <row r="15486" spans="1:4" x14ac:dyDescent="0.2">
      <c r="A15486" t="str">
        <f>"15485"</f>
        <v>15485</v>
      </c>
      <c r="B15486" t="str">
        <f>"-0.29"</f>
        <v>-0.29</v>
      </c>
      <c r="C15486" t="str">
        <f>"22"</f>
        <v>22</v>
      </c>
      <c r="D15486" t="str">
        <f>"At Mount Zoomer"</f>
        <v>At Mount Zoomer</v>
      </c>
    </row>
    <row r="15487" spans="1:4" x14ac:dyDescent="0.2">
      <c r="A15487" t="str">
        <f>"15486"</f>
        <v>15486</v>
      </c>
      <c r="B15487" t="str">
        <f>"-0.5"</f>
        <v>-0.5</v>
      </c>
      <c r="C15487" t="str">
        <f>"27"</f>
        <v>27</v>
      </c>
      <c r="D15487" t="str">
        <f>"The Supreme Genius of King Khan and the Shrines"</f>
        <v>The Supreme Genius of King Khan and the Shrines</v>
      </c>
    </row>
    <row r="15488" spans="1:4" x14ac:dyDescent="0.2">
      <c r="A15488" t="str">
        <f>"15487"</f>
        <v>15487</v>
      </c>
      <c r="B15488" t="str">
        <f>"1.11"</f>
        <v>1.11</v>
      </c>
      <c r="C15488" t="str">
        <f>"40"</f>
        <v>40</v>
      </c>
      <c r="D15488" t="str">
        <f>"African Scream Contest: Raw &amp; Psychedelic Sounds From Benin &amp; Togo 70s"</f>
        <v>African Scream Contest: Raw &amp; Psychedelic Sounds From Benin &amp; Togo 70s</v>
      </c>
    </row>
    <row r="15489" spans="1:4" x14ac:dyDescent="0.2">
      <c r="A15489" t="str">
        <f>"15488"</f>
        <v>15488</v>
      </c>
      <c r="B15489" t="str">
        <f>"0.11"</f>
        <v>0.11</v>
      </c>
      <c r="C15489" t="str">
        <f>"68"</f>
        <v>68</v>
      </c>
      <c r="D15489" t="str">
        <f>"All We Could Do Was Sing"</f>
        <v>All We Could Do Was Sing</v>
      </c>
    </row>
    <row r="15490" spans="1:4" x14ac:dyDescent="0.2">
      <c r="A15490" t="str">
        <f>"15489"</f>
        <v>15489</v>
      </c>
      <c r="B15490" t="str">
        <f>"0.17"</f>
        <v>0.17</v>
      </c>
      <c r="C15490" t="str">
        <f>"18"</f>
        <v>18</v>
      </c>
      <c r="D15490" t="str">
        <f>"The Siren's Wave"</f>
        <v>The Siren's Wave</v>
      </c>
    </row>
    <row r="15491" spans="1:4" x14ac:dyDescent="0.2">
      <c r="A15491" t="str">
        <f>"15490"</f>
        <v>15490</v>
      </c>
      <c r="B15491" t="str">
        <f>"0.52"</f>
        <v>0.52</v>
      </c>
      <c r="C15491" t="str">
        <f>"34"</f>
        <v>34</v>
      </c>
      <c r="D15491" t="str">
        <f>"A Place Where We Could Go"</f>
        <v>A Place Where We Could Go</v>
      </c>
    </row>
    <row r="15492" spans="1:4" x14ac:dyDescent="0.2">
      <c r="A15492" t="str">
        <f>"15491"</f>
        <v>15491</v>
      </c>
      <c r="B15492" t="str">
        <f>"0.26"</f>
        <v>0.26</v>
      </c>
      <c r="C15492" t="str">
        <f>"105"</f>
        <v>105</v>
      </c>
      <c r="D15492" t="str">
        <f>"Viva la Vida or Death and All His Friends"</f>
        <v>Viva la Vida or Death and All His Friends</v>
      </c>
    </row>
    <row r="15493" spans="1:4" x14ac:dyDescent="0.2">
      <c r="A15493" t="str">
        <f>"15492"</f>
        <v>15492</v>
      </c>
      <c r="B15493" t="str">
        <f>"0.44"</f>
        <v>0.44</v>
      </c>
      <c r="C15493" t="str">
        <f>"28"</f>
        <v>28</v>
      </c>
      <c r="D15493" t="str">
        <f>"Young Team [Deluxe Edition]"</f>
        <v>Young Team [Deluxe Edition]</v>
      </c>
    </row>
    <row r="15494" spans="1:4" x14ac:dyDescent="0.2">
      <c r="A15494" t="str">
        <f>"15493"</f>
        <v>15493</v>
      </c>
      <c r="B15494" t="str">
        <f>"0.52"</f>
        <v>0.52</v>
      </c>
      <c r="C15494" t="str">
        <f>"14"</f>
        <v>14</v>
      </c>
      <c r="D15494" t="str">
        <f>"How We Lost"</f>
        <v>How We Lost</v>
      </c>
    </row>
    <row r="15495" spans="1:4" x14ac:dyDescent="0.2">
      <c r="A15495" t="str">
        <f>"15494"</f>
        <v>15494</v>
      </c>
      <c r="B15495" t="str">
        <f>"-0.77"</f>
        <v>-0.77</v>
      </c>
      <c r="C15495" t="str">
        <f>"16"</f>
        <v>16</v>
      </c>
      <c r="D15495" t="str">
        <f>"Body Language"</f>
        <v>Body Language</v>
      </c>
    </row>
    <row r="15496" spans="1:4" x14ac:dyDescent="0.2">
      <c r="A15496" t="str">
        <f>"15495"</f>
        <v>15495</v>
      </c>
      <c r="B15496" t="str">
        <f>"0.71"</f>
        <v>0.71</v>
      </c>
      <c r="C15496" t="str">
        <f>"50"</f>
        <v>50</v>
      </c>
      <c r="D15496" t="str">
        <f>"U.S. Singles Collection: The Capitol Years (1962-1965)"</f>
        <v>U.S. Singles Collection: The Capitol Years (1962-1965)</v>
      </c>
    </row>
    <row r="15497" spans="1:4" x14ac:dyDescent="0.2">
      <c r="A15497" t="str">
        <f>"15496"</f>
        <v>15496</v>
      </c>
      <c r="B15497" t="str">
        <f>"0.19"</f>
        <v>0.19</v>
      </c>
      <c r="C15497" t="str">
        <f>"78"</f>
        <v>78</v>
      </c>
      <c r="D15497" t="str">
        <f>"Seeing Sounds"</f>
        <v>Seeing Sounds</v>
      </c>
    </row>
    <row r="15498" spans="1:4" x14ac:dyDescent="0.2">
      <c r="A15498" t="str">
        <f>"15497"</f>
        <v>15497</v>
      </c>
      <c r="B15498" t="str">
        <f>"0.12"</f>
        <v>0.12</v>
      </c>
      <c r="C15498" t="str">
        <f>"20"</f>
        <v>20</v>
      </c>
      <c r="D15498" t="str">
        <f>"Single Collection 1972-1980"</f>
        <v>Single Collection 1972-1980</v>
      </c>
    </row>
    <row r="15499" spans="1:4" x14ac:dyDescent="0.2">
      <c r="A15499" t="str">
        <f>"15498"</f>
        <v>15498</v>
      </c>
      <c r="B15499" t="str">
        <f>"-0.14"</f>
        <v>-0.14</v>
      </c>
      <c r="C15499" t="str">
        <f>"16"</f>
        <v>16</v>
      </c>
      <c r="D15499" t="str">
        <f>"Flight of the Knife"</f>
        <v>Flight of the Knife</v>
      </c>
    </row>
    <row r="15500" spans="1:4" x14ac:dyDescent="0.2">
      <c r="A15500" t="str">
        <f>"15499"</f>
        <v>15499</v>
      </c>
      <c r="B15500" t="str">
        <f>"0.3"</f>
        <v>0.3</v>
      </c>
      <c r="C15500" t="str">
        <f>"18"</f>
        <v>18</v>
      </c>
      <c r="D15500" t="str">
        <f>"Go Out Tonight"</f>
        <v>Go Out Tonight</v>
      </c>
    </row>
    <row r="15501" spans="1:4" x14ac:dyDescent="0.2">
      <c r="A15501" t="str">
        <f>"15500"</f>
        <v>15500</v>
      </c>
      <c r="B15501" t="str">
        <f>"0.13"</f>
        <v>0.13</v>
      </c>
      <c r="C15501" t="str">
        <f>"71"</f>
        <v>71</v>
      </c>
      <c r="D15501" t="str">
        <f>"Lake Toba"</f>
        <v>Lake Toba</v>
      </c>
    </row>
    <row r="15502" spans="1:4" x14ac:dyDescent="0.2">
      <c r="A15502" t="str">
        <f>"15501"</f>
        <v>15501</v>
      </c>
      <c r="B15502" t="str">
        <f>"-0.12"</f>
        <v>-0.12</v>
      </c>
      <c r="C15502" t="str">
        <f>"120"</f>
        <v>120</v>
      </c>
      <c r="D15502" t="str">
        <f>"Tha Carter III"</f>
        <v>Tha Carter III</v>
      </c>
    </row>
    <row r="15503" spans="1:4" x14ac:dyDescent="0.2">
      <c r="A15503" t="str">
        <f>"15502"</f>
        <v>15502</v>
      </c>
      <c r="B15503" t="str">
        <f>"0.06"</f>
        <v>0.06</v>
      </c>
      <c r="C15503" t="str">
        <f>"63"</f>
        <v>63</v>
      </c>
      <c r="D15503" t="str">
        <f>"Parallel Play"</f>
        <v>Parallel Play</v>
      </c>
    </row>
    <row r="15504" spans="1:4" x14ac:dyDescent="0.2">
      <c r="A15504" t="str">
        <f>"15503"</f>
        <v>15503</v>
      </c>
      <c r="B15504" t="str">
        <f>"-0.63"</f>
        <v>-0.63</v>
      </c>
      <c r="C15504" t="str">
        <f>"52"</f>
        <v>52</v>
      </c>
      <c r="D15504" t="str">
        <f>"After Hours"</f>
        <v>After Hours</v>
      </c>
    </row>
    <row r="15505" spans="1:4" x14ac:dyDescent="0.2">
      <c r="A15505" t="str">
        <f>"15504"</f>
        <v>15504</v>
      </c>
      <c r="B15505" t="str">
        <f>"-0.79"</f>
        <v>-0.79</v>
      </c>
      <c r="C15505" t="str">
        <f>"20"</f>
        <v>20</v>
      </c>
      <c r="D15505" t="str">
        <f>"Let's Be Friends"</f>
        <v>Let's Be Friends</v>
      </c>
    </row>
    <row r="15506" spans="1:4" x14ac:dyDescent="0.2">
      <c r="A15506" t="str">
        <f>"15505"</f>
        <v>15505</v>
      </c>
      <c r="B15506" t="str">
        <f>"0.14"</f>
        <v>0.14</v>
      </c>
      <c r="C15506" t="str">
        <f>"19"</f>
        <v>19</v>
      </c>
      <c r="D15506" t="str">
        <f>"EP"</f>
        <v>EP</v>
      </c>
    </row>
    <row r="15507" spans="1:4" x14ac:dyDescent="0.2">
      <c r="A15507" t="str">
        <f>"15506"</f>
        <v>15506</v>
      </c>
      <c r="B15507" t="str">
        <f>"0.89"</f>
        <v>0.89</v>
      </c>
      <c r="C15507" t="str">
        <f>"29"</f>
        <v>29</v>
      </c>
      <c r="D15507" t="str">
        <f>"Takes"</f>
        <v>Takes</v>
      </c>
    </row>
    <row r="15508" spans="1:4" x14ac:dyDescent="0.2">
      <c r="A15508" t="str">
        <f>"15507"</f>
        <v>15507</v>
      </c>
      <c r="B15508" t="str">
        <f>"-0.55"</f>
        <v>-0.55</v>
      </c>
      <c r="C15508" t="str">
        <f>"29"</f>
        <v>29</v>
      </c>
      <c r="D15508" t="str">
        <f>"Laulu Laakson Kukista"</f>
        <v>Laulu Laakson Kukista</v>
      </c>
    </row>
    <row r="15509" spans="1:4" x14ac:dyDescent="0.2">
      <c r="A15509" t="str">
        <f>"15508"</f>
        <v>15508</v>
      </c>
      <c r="B15509" t="str">
        <f>"-0.17"</f>
        <v>-0.17</v>
      </c>
      <c r="C15509" t="str">
        <f>"20"</f>
        <v>20</v>
      </c>
      <c r="D15509" t="str">
        <f>"Small-Time Machine"</f>
        <v>Small-Time Machine</v>
      </c>
    </row>
    <row r="15510" spans="1:4" x14ac:dyDescent="0.2">
      <c r="A15510" t="str">
        <f>"15509"</f>
        <v>15509</v>
      </c>
      <c r="B15510" t="str">
        <f>"-0.01"</f>
        <v>-0.01</v>
      </c>
      <c r="C15510" t="str">
        <f>"81"</f>
        <v>81</v>
      </c>
      <c r="D15510" t="str">
        <f>"Charmed &amp; Strange"</f>
        <v>Charmed &amp; Strange</v>
      </c>
    </row>
    <row r="15511" spans="1:4" x14ac:dyDescent="0.2">
      <c r="A15511" t="str">
        <f>"15510"</f>
        <v>15510</v>
      </c>
      <c r="B15511" t="str">
        <f>"1.02"</f>
        <v>1.02</v>
      </c>
      <c r="C15511" t="str">
        <f>"21"</f>
        <v>21</v>
      </c>
      <c r="D15511" t="str">
        <f>"Robert Pollard Is Off to Business"</f>
        <v>Robert Pollard Is Off to Business</v>
      </c>
    </row>
    <row r="15512" spans="1:4" x14ac:dyDescent="0.2">
      <c r="A15512" t="str">
        <f>"15511"</f>
        <v>15511</v>
      </c>
      <c r="B15512" t="str">
        <f>"-0.15"</f>
        <v>-0.15</v>
      </c>
      <c r="C15512" t="str">
        <f>"38"</f>
        <v>38</v>
      </c>
      <c r="D15512" t="str">
        <f>"Diamond Hoo Ha"</f>
        <v>Diamond Hoo Ha</v>
      </c>
    </row>
    <row r="15513" spans="1:4" x14ac:dyDescent="0.2">
      <c r="A15513" t="str">
        <f>"15512"</f>
        <v>15512</v>
      </c>
      <c r="B15513" t="str">
        <f>"0.85"</f>
        <v>0.85</v>
      </c>
      <c r="C15513" t="str">
        <f>"107"</f>
        <v>107</v>
      </c>
      <c r="D15513" t="str">
        <f>"Noise Won't Stop"</f>
        <v>Noise Won't Stop</v>
      </c>
    </row>
    <row r="15514" spans="1:4" x14ac:dyDescent="0.2">
      <c r="A15514" t="str">
        <f>"15513"</f>
        <v>15513</v>
      </c>
      <c r="B15514" t="str">
        <f>"0.76"</f>
        <v>0.76</v>
      </c>
      <c r="C15514" t="str">
        <f>"21"</f>
        <v>21</v>
      </c>
      <c r="D15514" t="str">
        <f>"When Horses Die"</f>
        <v>When Horses Die</v>
      </c>
    </row>
    <row r="15515" spans="1:4" x14ac:dyDescent="0.2">
      <c r="A15515" t="str">
        <f>"15514"</f>
        <v>15514</v>
      </c>
      <c r="B15515" t="str">
        <f>"-0.39"</f>
        <v>-0.39</v>
      </c>
      <c r="C15515" t="str">
        <f>"20"</f>
        <v>20</v>
      </c>
      <c r="D15515" t="str">
        <f>"The Door Into Summer"</f>
        <v>The Door Into Summer</v>
      </c>
    </row>
    <row r="15516" spans="1:4" x14ac:dyDescent="0.2">
      <c r="A15516" t="str">
        <f>"15515"</f>
        <v>15515</v>
      </c>
      <c r="B15516" t="str">
        <f>"-0.38"</f>
        <v>-0.38</v>
      </c>
      <c r="C15516" t="str">
        <f>"39"</f>
        <v>39</v>
      </c>
      <c r="D15516" t="str">
        <f>"Evil Urges"</f>
        <v>Evil Urges</v>
      </c>
    </row>
    <row r="15517" spans="1:4" x14ac:dyDescent="0.2">
      <c r="A15517" t="str">
        <f>"15516"</f>
        <v>15516</v>
      </c>
      <c r="B15517" t="str">
        <f>"0.35"</f>
        <v>0.35</v>
      </c>
      <c r="C15517" t="str">
        <f>"40"</f>
        <v>40</v>
      </c>
      <c r="D15517" t="str">
        <f>"The Dream"</f>
        <v>The Dream</v>
      </c>
    </row>
    <row r="15518" spans="1:4" x14ac:dyDescent="0.2">
      <c r="A15518" t="str">
        <f>"15517"</f>
        <v>15517</v>
      </c>
      <c r="B15518" t="str">
        <f>"0.77"</f>
        <v>0.77</v>
      </c>
      <c r="C15518" t="str">
        <f>"25"</f>
        <v>25</v>
      </c>
      <c r="D15518" t="str">
        <f>"In Between Words"</f>
        <v>In Between Words</v>
      </c>
    </row>
    <row r="15519" spans="1:4" x14ac:dyDescent="0.2">
      <c r="A15519" t="str">
        <f>"15518"</f>
        <v>15518</v>
      </c>
      <c r="B15519" t="str">
        <f>"0.49"</f>
        <v>0.49</v>
      </c>
      <c r="C15519" t="str">
        <f>"52"</f>
        <v>52</v>
      </c>
      <c r="D15519" t="str">
        <f>"Voyager"</f>
        <v>Voyager</v>
      </c>
    </row>
    <row r="15520" spans="1:4" x14ac:dyDescent="0.2">
      <c r="A15520" t="str">
        <f>"15519"</f>
        <v>15519</v>
      </c>
      <c r="B15520" t="str">
        <f>"-0.64"</f>
        <v>-0.64</v>
      </c>
      <c r="C15520" t="str">
        <f>"65"</f>
        <v>65</v>
      </c>
      <c r="D15520" t="str">
        <f>"Welcome"</f>
        <v>Welcome</v>
      </c>
    </row>
    <row r="15521" spans="1:4" x14ac:dyDescent="0.2">
      <c r="A15521" t="str">
        <f>"15520"</f>
        <v>15520</v>
      </c>
      <c r="B15521" t="str">
        <f>"0.39"</f>
        <v>0.39</v>
      </c>
      <c r="C15521" t="str">
        <f>"68"</f>
        <v>68</v>
      </c>
      <c r="D15521" t="str">
        <f>"Fleet Foxes"</f>
        <v>Fleet Foxes</v>
      </c>
    </row>
    <row r="15522" spans="1:4" x14ac:dyDescent="0.2">
      <c r="A15522" t="str">
        <f>"15521"</f>
        <v>15521</v>
      </c>
      <c r="B15522" t="str">
        <f>"-0.3"</f>
        <v>-0.3</v>
      </c>
      <c r="C15522" t="str">
        <f>"52"</f>
        <v>52</v>
      </c>
      <c r="D15522" t="str">
        <f>"New Amerykah Part One: 4th World War"</f>
        <v>New Amerykah Part One: 4th World War</v>
      </c>
    </row>
    <row r="15523" spans="1:4" x14ac:dyDescent="0.2">
      <c r="A15523" t="str">
        <f>"15522"</f>
        <v>15522</v>
      </c>
      <c r="B15523" t="str">
        <f>"-0.04"</f>
        <v>-0.04</v>
      </c>
      <c r="C15523" t="str">
        <f>"15"</f>
        <v>15</v>
      </c>
      <c r="D15523" t="str">
        <f>"Worldwide"</f>
        <v>Worldwide</v>
      </c>
    </row>
    <row r="15524" spans="1:4" x14ac:dyDescent="0.2">
      <c r="A15524" t="str">
        <f>"15523"</f>
        <v>15523</v>
      </c>
      <c r="B15524" t="str">
        <f>"-0.42"</f>
        <v>-0.42</v>
      </c>
      <c r="C15524" t="str">
        <f>"59"</f>
        <v>59</v>
      </c>
      <c r="D15524" t="str">
        <f>"Get Better"</f>
        <v>Get Better</v>
      </c>
    </row>
    <row r="15525" spans="1:4" x14ac:dyDescent="0.2">
      <c r="A15525" t="str">
        <f>"15524"</f>
        <v>15524</v>
      </c>
      <c r="B15525" t="str">
        <f>"1.77"</f>
        <v>1.77</v>
      </c>
      <c r="C15525" t="str">
        <f>"22"</f>
        <v>22</v>
      </c>
      <c r="D15525" t="str">
        <f>"Huggable Dust"</f>
        <v>Huggable Dust</v>
      </c>
    </row>
    <row r="15526" spans="1:4" x14ac:dyDescent="0.2">
      <c r="A15526" t="str">
        <f>"15525"</f>
        <v>15525</v>
      </c>
      <c r="B15526" t="str">
        <f>"0.77"</f>
        <v>0.77</v>
      </c>
      <c r="C15526" t="str">
        <f>"46"</f>
        <v>46</v>
      </c>
      <c r="D15526" t="str">
        <f>"The Best Of"</f>
        <v>The Best Of</v>
      </c>
    </row>
    <row r="15527" spans="1:4" x14ac:dyDescent="0.2">
      <c r="A15527" t="str">
        <f>"15526"</f>
        <v>15526</v>
      </c>
      <c r="B15527" t="str">
        <f>"0.39"</f>
        <v>0.39</v>
      </c>
      <c r="C15527" t="str">
        <f>"57"</f>
        <v>57</v>
      </c>
      <c r="D15527" t="str">
        <f>"Nah Und Fern"</f>
        <v>Nah Und Fern</v>
      </c>
    </row>
    <row r="15528" spans="1:4" x14ac:dyDescent="0.2">
      <c r="A15528" t="str">
        <f>"15527"</f>
        <v>15527</v>
      </c>
      <c r="B15528" t="str">
        <f>"1.5"</f>
        <v>1.5</v>
      </c>
      <c r="C15528" t="str">
        <f>"60"</f>
        <v>60</v>
      </c>
      <c r="D15528" t="str">
        <f>"Thing of the Past"</f>
        <v>Thing of the Past</v>
      </c>
    </row>
    <row r="15529" spans="1:4" x14ac:dyDescent="0.2">
      <c r="A15529" t="str">
        <f>"15528"</f>
        <v>15528</v>
      </c>
      <c r="B15529" t="str">
        <f>"-0.64"</f>
        <v>-0.64</v>
      </c>
      <c r="C15529" t="str">
        <f>"62"</f>
        <v>62</v>
      </c>
      <c r="D15529" t="str">
        <f>"Superabundance"</f>
        <v>Superabundance</v>
      </c>
    </row>
    <row r="15530" spans="1:4" x14ac:dyDescent="0.2">
      <c r="A15530" t="str">
        <f>"15529"</f>
        <v>15529</v>
      </c>
      <c r="B15530" t="str">
        <f>"-0.42"</f>
        <v>-0.42</v>
      </c>
      <c r="C15530" t="str">
        <f>"57"</f>
        <v>57</v>
      </c>
      <c r="D15530" t="str">
        <f>"Party Intellectuals"</f>
        <v>Party Intellectuals</v>
      </c>
    </row>
    <row r="15531" spans="1:4" x14ac:dyDescent="0.2">
      <c r="A15531" t="str">
        <f>"15530"</f>
        <v>15530</v>
      </c>
      <c r="B15531" t="str">
        <f>"0.27"</f>
        <v>0.27</v>
      </c>
      <c r="C15531" t="str">
        <f>"24"</f>
        <v>24</v>
      </c>
      <c r="D15531" t="str">
        <f>"Rook"</f>
        <v>Rook</v>
      </c>
    </row>
    <row r="15532" spans="1:4" x14ac:dyDescent="0.2">
      <c r="A15532" t="str">
        <f>"15531"</f>
        <v>15531</v>
      </c>
      <c r="B15532" t="str">
        <f>"0.47"</f>
        <v>0.47</v>
      </c>
      <c r="C15532" t="str">
        <f>"84"</f>
        <v>84</v>
      </c>
      <c r="D15532" t="str">
        <f>"Watershed"</f>
        <v>Watershed</v>
      </c>
    </row>
    <row r="15533" spans="1:4" x14ac:dyDescent="0.2">
      <c r="A15533" t="str">
        <f>"15532"</f>
        <v>15532</v>
      </c>
      <c r="B15533" t="str">
        <f>"1.73"</f>
        <v>1.73</v>
      </c>
      <c r="C15533" t="str">
        <f>"24"</f>
        <v>24</v>
      </c>
      <c r="D15533" t="s">
        <v>497</v>
      </c>
    </row>
    <row r="15534" spans="1:4" x14ac:dyDescent="0.2">
      <c r="A15534" t="str">
        <f>"15533"</f>
        <v>15533</v>
      </c>
      <c r="B15534" t="str">
        <f>"-0.52"</f>
        <v>-0.52</v>
      </c>
      <c r="C15534" t="str">
        <f>"32"</f>
        <v>32</v>
      </c>
      <c r="D15534" t="str">
        <f>"12 Angry Months"</f>
        <v>12 Angry Months</v>
      </c>
    </row>
    <row r="15535" spans="1:4" x14ac:dyDescent="0.2">
      <c r="A15535" t="str">
        <f>"15534"</f>
        <v>15534</v>
      </c>
      <c r="B15535" t="str">
        <f>"0.25"</f>
        <v>0.25</v>
      </c>
      <c r="C15535" t="str">
        <f>"23"</f>
        <v>23</v>
      </c>
      <c r="D15535" t="str">
        <f>"Maybe They Will Sing for Us Tomorrow"</f>
        <v>Maybe They Will Sing for Us Tomorrow</v>
      </c>
    </row>
    <row r="15536" spans="1:4" x14ac:dyDescent="0.2">
      <c r="A15536" t="str">
        <f>"15535"</f>
        <v>15535</v>
      </c>
      <c r="B15536" t="str">
        <f>"0.18"</f>
        <v>0.18</v>
      </c>
      <c r="C15536" t="str">
        <f>"28"</f>
        <v>28</v>
      </c>
      <c r="D15536" t="str">
        <f>"Songs in A&amp;E"</f>
        <v>Songs in A&amp;E</v>
      </c>
    </row>
    <row r="15537" spans="1:4" x14ac:dyDescent="0.2">
      <c r="A15537" t="str">
        <f>"15536"</f>
        <v>15536</v>
      </c>
      <c r="B15537" t="str">
        <f>"0.93"</f>
        <v>0.93</v>
      </c>
      <c r="C15537" t="str">
        <f>"30"</f>
        <v>30</v>
      </c>
      <c r="D15537" t="str">
        <f>"Youth  Novels"</f>
        <v>Youth  Novels</v>
      </c>
    </row>
    <row r="15538" spans="1:4" x14ac:dyDescent="0.2">
      <c r="A15538" t="str">
        <f>"15537"</f>
        <v>15537</v>
      </c>
      <c r="B15538" t="str">
        <f>"-1.04"</f>
        <v>-1.04</v>
      </c>
      <c r="C15538" t="str">
        <f>"67"</f>
        <v>67</v>
      </c>
      <c r="D15538" t="str">
        <f>"Directions to See a Ghost"</f>
        <v>Directions to See a Ghost</v>
      </c>
    </row>
    <row r="15539" spans="1:4" x14ac:dyDescent="0.2">
      <c r="A15539" t="str">
        <f>"15538"</f>
        <v>15538</v>
      </c>
      <c r="B15539" t="str">
        <f>"1.23"</f>
        <v>1.23</v>
      </c>
      <c r="C15539" t="str">
        <f>"19"</f>
        <v>19</v>
      </c>
      <c r="D15539" t="str">
        <f>"The Acrobats"</f>
        <v>The Acrobats</v>
      </c>
    </row>
    <row r="15540" spans="1:4" x14ac:dyDescent="0.2">
      <c r="A15540" t="str">
        <f>"15539"</f>
        <v>15539</v>
      </c>
      <c r="B15540" t="str">
        <f>"0.41"</f>
        <v>0.41</v>
      </c>
      <c r="C15540" t="str">
        <f>"26"</f>
        <v>26</v>
      </c>
      <c r="D15540" t="str">
        <f>"Wild Animals"</f>
        <v>Wild Animals</v>
      </c>
    </row>
    <row r="15541" spans="1:4" x14ac:dyDescent="0.2">
      <c r="A15541" t="str">
        <f>"15540"</f>
        <v>15540</v>
      </c>
      <c r="B15541" t="str">
        <f>"-0.71"</f>
        <v>-0.71</v>
      </c>
      <c r="C15541" t="str">
        <f>"104"</f>
        <v>104</v>
      </c>
      <c r="D15541" t="str">
        <f>"Massive Conspiracy Against All Life"</f>
        <v>Massive Conspiracy Against All Life</v>
      </c>
    </row>
    <row r="15542" spans="1:4" x14ac:dyDescent="0.2">
      <c r="A15542" t="str">
        <f>"15541"</f>
        <v>15541</v>
      </c>
      <c r="B15542" t="str">
        <f>"-0.51"</f>
        <v>-0.51</v>
      </c>
      <c r="C15542" t="str">
        <f>"38"</f>
        <v>38</v>
      </c>
      <c r="D15542" t="str">
        <f>"Weezer (Red Album)"</f>
        <v>Weezer (Red Album)</v>
      </c>
    </row>
    <row r="15543" spans="1:4" x14ac:dyDescent="0.2">
      <c r="A15543" t="str">
        <f>"15542"</f>
        <v>15542</v>
      </c>
      <c r="B15543" t="str">
        <f>"0.61"</f>
        <v>0.61</v>
      </c>
      <c r="C15543" t="str">
        <f>"71"</f>
        <v>71</v>
      </c>
      <c r="D15543" t="str">
        <f>"Velocifero"</f>
        <v>Velocifero</v>
      </c>
    </row>
    <row r="15544" spans="1:4" x14ac:dyDescent="0.2">
      <c r="A15544" t="str">
        <f>"15543"</f>
        <v>15543</v>
      </c>
      <c r="B15544" t="str">
        <f>"0.31"</f>
        <v>0.31</v>
      </c>
      <c r="C15544" t="str">
        <f>"26"</f>
        <v>26</v>
      </c>
      <c r="D15544" t="str">
        <f>"Heartcore"</f>
        <v>Heartcore</v>
      </c>
    </row>
    <row r="15545" spans="1:4" x14ac:dyDescent="0.2">
      <c r="A15545" t="str">
        <f>"15544"</f>
        <v>15544</v>
      </c>
      <c r="B15545" t="str">
        <f>"0.08"</f>
        <v>0.08</v>
      </c>
      <c r="C15545" t="str">
        <f>"63"</f>
        <v>63</v>
      </c>
      <c r="D15545" t="str">
        <f>"Sun Down"</f>
        <v>Sun Down</v>
      </c>
    </row>
    <row r="15546" spans="1:4" x14ac:dyDescent="0.2">
      <c r="A15546" t="str">
        <f>"15545"</f>
        <v>15545</v>
      </c>
      <c r="B15546" t="str">
        <f>"-1.03"</f>
        <v>-1.03</v>
      </c>
      <c r="C15546" t="str">
        <f>"32"</f>
        <v>32</v>
      </c>
      <c r="D15546" t="str">
        <f>"II Trill"</f>
        <v>II Trill</v>
      </c>
    </row>
    <row r="15547" spans="1:4" x14ac:dyDescent="0.2">
      <c r="A15547" t="str">
        <f>"15546"</f>
        <v>15546</v>
      </c>
      <c r="B15547" t="str">
        <f>"-0.19"</f>
        <v>-0.19</v>
      </c>
      <c r="C15547" t="str">
        <f>"132"</f>
        <v>132</v>
      </c>
      <c r="D15547" t="str">
        <f>"What Does It All Mean? 1983-2006 Retrospective"</f>
        <v>What Does It All Mean? 1983-2006 Retrospective</v>
      </c>
    </row>
    <row r="15548" spans="1:4" x14ac:dyDescent="0.2">
      <c r="A15548" t="str">
        <f>"15547"</f>
        <v>15547</v>
      </c>
      <c r="B15548" t="str">
        <f>"0.51"</f>
        <v>0.51</v>
      </c>
      <c r="C15548" t="str">
        <f>"34"</f>
        <v>34</v>
      </c>
      <c r="D15548" t="str">
        <f>"A Mouthful"</f>
        <v>A Mouthful</v>
      </c>
    </row>
    <row r="15549" spans="1:4" x14ac:dyDescent="0.2">
      <c r="A15549" t="str">
        <f>"15548"</f>
        <v>15548</v>
      </c>
      <c r="B15549" t="str">
        <f>"0.17"</f>
        <v>0.17</v>
      </c>
      <c r="C15549" t="str">
        <f>"25"</f>
        <v>25</v>
      </c>
      <c r="D15549" t="str">
        <f>"Tragicomic"</f>
        <v>Tragicomic</v>
      </c>
    </row>
    <row r="15550" spans="1:4" x14ac:dyDescent="0.2">
      <c r="A15550" t="str">
        <f>"15549"</f>
        <v>15549</v>
      </c>
      <c r="B15550" t="str">
        <f>"-0.39"</f>
        <v>-0.39</v>
      </c>
      <c r="C15550" t="str">
        <f>"17"</f>
        <v>17</v>
      </c>
      <c r="D15550" t="str">
        <f>"Tijuana Sound Machine"</f>
        <v>Tijuana Sound Machine</v>
      </c>
    </row>
    <row r="15551" spans="1:4" x14ac:dyDescent="0.2">
      <c r="A15551" t="str">
        <f>"15550"</f>
        <v>15550</v>
      </c>
      <c r="B15551" t="str">
        <f>"0.33"</f>
        <v>0.33</v>
      </c>
      <c r="C15551" t="str">
        <f>"21"</f>
        <v>21</v>
      </c>
      <c r="D15551" t="str">
        <f>"Songs on the Rocks"</f>
        <v>Songs on the Rocks</v>
      </c>
    </row>
    <row r="15552" spans="1:4" x14ac:dyDescent="0.2">
      <c r="A15552" t="str">
        <f>"15551"</f>
        <v>15551</v>
      </c>
      <c r="B15552" t="str">
        <f>"0.41"</f>
        <v>0.41</v>
      </c>
      <c r="C15552" t="str">
        <f>"27"</f>
        <v>27</v>
      </c>
      <c r="D15552" t="str">
        <f>"This Is Not the World"</f>
        <v>This Is Not the World</v>
      </c>
    </row>
    <row r="15553" spans="1:4" x14ac:dyDescent="0.2">
      <c r="A15553" t="str">
        <f>"15552"</f>
        <v>15552</v>
      </c>
      <c r="B15553" t="str">
        <f>"1.02"</f>
        <v>1.02</v>
      </c>
      <c r="C15553" t="str">
        <f>"80"</f>
        <v>80</v>
      </c>
      <c r="D15553" t="str">
        <f>"Lay It Down"</f>
        <v>Lay It Down</v>
      </c>
    </row>
    <row r="15554" spans="1:4" x14ac:dyDescent="0.2">
      <c r="A15554" t="str">
        <f>"15553"</f>
        <v>15553</v>
      </c>
      <c r="B15554" t="str">
        <f>"0.67"</f>
        <v>0.67</v>
      </c>
      <c r="C15554" t="str">
        <f>"63"</f>
        <v>63</v>
      </c>
      <c r="D15554" t="str">
        <f>"Desert Crossroads"</f>
        <v>Desert Crossroads</v>
      </c>
    </row>
    <row r="15555" spans="1:4" x14ac:dyDescent="0.2">
      <c r="A15555" t="str">
        <f>"15554"</f>
        <v>15554</v>
      </c>
      <c r="B15555" t="str">
        <f>"-0.46"</f>
        <v>-0.46</v>
      </c>
      <c r="C15555" t="str">
        <f>"71"</f>
        <v>71</v>
      </c>
      <c r="D15555" t="str">
        <f>"Live at the Royal Albert Hall"</f>
        <v>Live at the Royal Albert Hall</v>
      </c>
    </row>
    <row r="15556" spans="1:4" x14ac:dyDescent="0.2">
      <c r="A15556" t="str">
        <f>"15555"</f>
        <v>15555</v>
      </c>
      <c r="B15556" t="str">
        <f>"0.22"</f>
        <v>0.22</v>
      </c>
      <c r="C15556" t="str">
        <f>"66"</f>
        <v>66</v>
      </c>
      <c r="D15556" t="str">
        <f>"Black Wooden Ceiling Opening EP"</f>
        <v>Black Wooden Ceiling Opening EP</v>
      </c>
    </row>
    <row r="15557" spans="1:4" x14ac:dyDescent="0.2">
      <c r="A15557" t="str">
        <f>"15556"</f>
        <v>15556</v>
      </c>
      <c r="B15557" t="str">
        <f>"1.28"</f>
        <v>1.28</v>
      </c>
      <c r="C15557" t="str">
        <f>"26"</f>
        <v>26</v>
      </c>
      <c r="D15557" t="str">
        <f>"Dominique Leone"</f>
        <v>Dominique Leone</v>
      </c>
    </row>
    <row r="15558" spans="1:4" x14ac:dyDescent="0.2">
      <c r="A15558" t="str">
        <f>"15557"</f>
        <v>15557</v>
      </c>
      <c r="B15558" t="str">
        <f>"0.82"</f>
        <v>0.82</v>
      </c>
      <c r="C15558" t="str">
        <f>"79"</f>
        <v>79</v>
      </c>
      <c r="D15558" t="str">
        <f>"The Set Up"</f>
        <v>The Set Up</v>
      </c>
    </row>
    <row r="15559" spans="1:4" x14ac:dyDescent="0.2">
      <c r="A15559" t="str">
        <f>"15558"</f>
        <v>15558</v>
      </c>
      <c r="B15559" t="str">
        <f>"-0.42"</f>
        <v>-0.42</v>
      </c>
      <c r="C15559" t="str">
        <f>"32"</f>
        <v>32</v>
      </c>
      <c r="D15559" t="str">
        <f>"""Free Gold!"""</f>
        <v>"Free Gold!"</v>
      </c>
    </row>
    <row r="15560" spans="1:4" x14ac:dyDescent="0.2">
      <c r="A15560" t="str">
        <f>"15559"</f>
        <v>15559</v>
      </c>
      <c r="B15560" t="str">
        <f>"0.02"</f>
        <v>0.02</v>
      </c>
      <c r="C15560" t="str">
        <f>"90"</f>
        <v>90</v>
      </c>
      <c r="D15560" t="str">
        <f>"Everything's the Rush"</f>
        <v>Everything's the Rush</v>
      </c>
    </row>
    <row r="15561" spans="1:4" x14ac:dyDescent="0.2">
      <c r="A15561" t="str">
        <f>"15560"</f>
        <v>15560</v>
      </c>
      <c r="B15561" t="str">
        <f>"0.29"</f>
        <v>0.29</v>
      </c>
      <c r="C15561" t="str">
        <f>"21"</f>
        <v>21</v>
      </c>
      <c r="D15561" t="str">
        <f>"Shine"</f>
        <v>Shine</v>
      </c>
    </row>
    <row r="15562" spans="1:4" x14ac:dyDescent="0.2">
      <c r="A15562" t="str">
        <f>"15561"</f>
        <v>15561</v>
      </c>
      <c r="B15562" t="str">
        <f>"0.99"</f>
        <v>0.99</v>
      </c>
      <c r="C15562" t="str">
        <f>"88"</f>
        <v>88</v>
      </c>
      <c r="D15562" t="str">
        <f>"Lie Down in the Light"</f>
        <v>Lie Down in the Light</v>
      </c>
    </row>
    <row r="15563" spans="1:4" x14ac:dyDescent="0.2">
      <c r="A15563" t="str">
        <f>"15562"</f>
        <v>15562</v>
      </c>
      <c r="B15563" t="str">
        <f>"-0.74"</f>
        <v>-0.74</v>
      </c>
      <c r="C15563" t="str">
        <f>"32"</f>
        <v>32</v>
      </c>
      <c r="D15563" t="str">
        <f>"El Rey"</f>
        <v>El Rey</v>
      </c>
    </row>
    <row r="15564" spans="1:4" x14ac:dyDescent="0.2">
      <c r="A15564" t="str">
        <f>"15563"</f>
        <v>15563</v>
      </c>
      <c r="B15564" t="str">
        <f>"-0.68"</f>
        <v>-0.68</v>
      </c>
      <c r="C15564" t="str">
        <f>"27"</f>
        <v>27</v>
      </c>
      <c r="D15564" t="str">
        <f>"Gods of the Earth"</f>
        <v>Gods of the Earth</v>
      </c>
    </row>
    <row r="15565" spans="1:4" x14ac:dyDescent="0.2">
      <c r="A15565" t="str">
        <f>"15564"</f>
        <v>15564</v>
      </c>
      <c r="B15565" t="str">
        <f>"0.49"</f>
        <v>0.49</v>
      </c>
      <c r="C15565" t="str">
        <f>"27"</f>
        <v>27</v>
      </c>
      <c r="D15565" t="str">
        <f>"Imaginational Anthem Vol. 3"</f>
        <v>Imaginational Anthem Vol. 3</v>
      </c>
    </row>
    <row r="15566" spans="1:4" x14ac:dyDescent="0.2">
      <c r="A15566" t="str">
        <f>"15565"</f>
        <v>15565</v>
      </c>
      <c r="B15566" t="str">
        <f>"0.46"</f>
        <v>0.46</v>
      </c>
      <c r="C15566" t="str">
        <f>"18"</f>
        <v>18</v>
      </c>
      <c r="D15566" t="str">
        <f>"Inherit"</f>
        <v>Inherit</v>
      </c>
    </row>
    <row r="15567" spans="1:4" x14ac:dyDescent="0.2">
      <c r="A15567" t="str">
        <f>"15566"</f>
        <v>15566</v>
      </c>
      <c r="B15567" t="str">
        <f>"-0.1"</f>
        <v>-0.1</v>
      </c>
      <c r="C15567" t="str">
        <f>"42"</f>
        <v>42</v>
      </c>
      <c r="D15567" t="str">
        <f>"DISCO"</f>
        <v>DISCO</v>
      </c>
    </row>
    <row r="15568" spans="1:4" x14ac:dyDescent="0.2">
      <c r="A15568" t="str">
        <f>"15567"</f>
        <v>15567</v>
      </c>
      <c r="B15568" t="str">
        <f>"0.39"</f>
        <v>0.39</v>
      </c>
      <c r="C15568" t="str">
        <f>"35"</f>
        <v>35</v>
      </c>
      <c r="D15568" t="str">
        <f>"Crystal Stilts"</f>
        <v>Crystal Stilts</v>
      </c>
    </row>
    <row r="15569" spans="1:4" x14ac:dyDescent="0.2">
      <c r="A15569" t="str">
        <f>"15568"</f>
        <v>15568</v>
      </c>
      <c r="B15569" t="str">
        <f>"-0.57"</f>
        <v>-0.57</v>
      </c>
      <c r="C15569" t="str">
        <f>"22"</f>
        <v>22</v>
      </c>
      <c r="D15569" t="str">
        <f>"Memory Drawings"</f>
        <v>Memory Drawings</v>
      </c>
    </row>
    <row r="15570" spans="1:4" x14ac:dyDescent="0.2">
      <c r="A15570" t="str">
        <f>"15569"</f>
        <v>15569</v>
      </c>
      <c r="B15570" t="str">
        <f>"-0.69"</f>
        <v>-0.69</v>
      </c>
      <c r="C15570" t="str">
        <f>"66"</f>
        <v>66</v>
      </c>
      <c r="D15570" t="str">
        <f>"You May Already Be Dreaming"</f>
        <v>You May Already Be Dreaming</v>
      </c>
    </row>
    <row r="15571" spans="1:4" x14ac:dyDescent="0.2">
      <c r="A15571" t="str">
        <f>"15570"</f>
        <v>15570</v>
      </c>
      <c r="B15571" t="str">
        <f>"-0.1"</f>
        <v>-0.1</v>
      </c>
      <c r="C15571" t="str">
        <f>"33"</f>
        <v>33</v>
      </c>
      <c r="D15571" t="str">
        <f>"Sool"</f>
        <v>Sool</v>
      </c>
    </row>
    <row r="15572" spans="1:4" x14ac:dyDescent="0.2">
      <c r="A15572" t="str">
        <f>"15571"</f>
        <v>15571</v>
      </c>
      <c r="B15572" t="str">
        <f>"-0.26"</f>
        <v>-0.26</v>
      </c>
      <c r="C15572" t="str">
        <f>"121"</f>
        <v>121</v>
      </c>
      <c r="D15572" t="str">
        <f>"Street Sounds Electro: The Ultimate Boxed Set"</f>
        <v>Street Sounds Electro: The Ultimate Boxed Set</v>
      </c>
    </row>
    <row r="15573" spans="1:4" x14ac:dyDescent="0.2">
      <c r="A15573" t="str">
        <f>"15572"</f>
        <v>15572</v>
      </c>
      <c r="B15573" t="str">
        <f>"1.07"</f>
        <v>1.07</v>
      </c>
      <c r="C15573" t="str">
        <f>"27"</f>
        <v>27</v>
      </c>
      <c r="D15573" t="str">
        <f>"The Formula"</f>
        <v>The Formula</v>
      </c>
    </row>
    <row r="15574" spans="1:4" x14ac:dyDescent="0.2">
      <c r="A15574" t="str">
        <f>"15573"</f>
        <v>15573</v>
      </c>
      <c r="B15574" t="str">
        <f>"0.37"</f>
        <v>0.37</v>
      </c>
      <c r="C15574" t="str">
        <f>"27"</f>
        <v>27</v>
      </c>
      <c r="D15574" t="str">
        <f>"Ghost Games"</f>
        <v>Ghost Games</v>
      </c>
    </row>
    <row r="15575" spans="1:4" x14ac:dyDescent="0.2">
      <c r="A15575" t="str">
        <f>"15574"</f>
        <v>15574</v>
      </c>
      <c r="B15575" t="str">
        <f>"0.46"</f>
        <v>0.46</v>
      </c>
      <c r="C15575" t="str">
        <f>"19"</f>
        <v>19</v>
      </c>
      <c r="D15575" t="str">
        <f>"Paralyzed"</f>
        <v>Paralyzed</v>
      </c>
    </row>
    <row r="15576" spans="1:4" x14ac:dyDescent="0.2">
      <c r="A15576" t="str">
        <f>"15575"</f>
        <v>15575</v>
      </c>
      <c r="B15576" t="str">
        <f>"-0.11"</f>
        <v>-0.11</v>
      </c>
      <c r="C15576" t="str">
        <f>"27"</f>
        <v>27</v>
      </c>
      <c r="D15576" t="str">
        <f>"The Virginia EP"</f>
        <v>The Virginia EP</v>
      </c>
    </row>
    <row r="15577" spans="1:4" x14ac:dyDescent="0.2">
      <c r="A15577" t="str">
        <f>"15576"</f>
        <v>15576</v>
      </c>
      <c r="B15577" t="str">
        <f>"0.19"</f>
        <v>0.19</v>
      </c>
      <c r="C15577" t="str">
        <f>"26"</f>
        <v>26</v>
      </c>
      <c r="D15577" t="str">
        <f>"The Bake Sale EP"</f>
        <v>The Bake Sale EP</v>
      </c>
    </row>
    <row r="15578" spans="1:4" x14ac:dyDescent="0.2">
      <c r="A15578" t="str">
        <f>"15577"</f>
        <v>15577</v>
      </c>
      <c r="B15578" t="str">
        <f>"0.48"</f>
        <v>0.48</v>
      </c>
      <c r="C15578" t="str">
        <f>"41"</f>
        <v>41</v>
      </c>
      <c r="D15578" t="str">
        <f>"Soul Messages from Dimona"</f>
        <v>Soul Messages from Dimona</v>
      </c>
    </row>
    <row r="15579" spans="1:4" x14ac:dyDescent="0.2">
      <c r="A15579" t="str">
        <f>"15578"</f>
        <v>15578</v>
      </c>
      <c r="B15579" t="str">
        <f>"0.32"</f>
        <v>0.32</v>
      </c>
      <c r="C15579" t="str">
        <f>"27"</f>
        <v>27</v>
      </c>
      <c r="D15579" t="s">
        <v>498</v>
      </c>
    </row>
    <row r="15580" spans="1:4" x14ac:dyDescent="0.2">
      <c r="A15580" t="str">
        <f>"15579"</f>
        <v>15579</v>
      </c>
      <c r="B15580" t="str">
        <f>"0.8"</f>
        <v>0.8</v>
      </c>
      <c r="C15580" t="str">
        <f>"25"</f>
        <v>25</v>
      </c>
      <c r="D15580" t="str">
        <f>"Faces of the Night"</f>
        <v>Faces of the Night</v>
      </c>
    </row>
    <row r="15581" spans="1:4" x14ac:dyDescent="0.2">
      <c r="A15581" t="str">
        <f>"15580"</f>
        <v>15580</v>
      </c>
      <c r="B15581" t="str">
        <f>"0.83"</f>
        <v>0.83</v>
      </c>
      <c r="C15581" t="str">
        <f>"36"</f>
        <v>36</v>
      </c>
      <c r="D15581" t="str">
        <f>"Superfuzz Bigmuff Deluxe Edition"</f>
        <v>Superfuzz Bigmuff Deluxe Edition</v>
      </c>
    </row>
    <row r="15582" spans="1:4" x14ac:dyDescent="0.2">
      <c r="A15582" t="str">
        <f>"15581"</f>
        <v>15581</v>
      </c>
      <c r="B15582" t="str">
        <f>"1.24"</f>
        <v>1.24</v>
      </c>
      <c r="C15582" t="str">
        <f>"23"</f>
        <v>23</v>
      </c>
      <c r="D15582" t="str">
        <f>"Arm's Way"</f>
        <v>Arm's Way</v>
      </c>
    </row>
    <row r="15583" spans="1:4" x14ac:dyDescent="0.2">
      <c r="A15583" t="str">
        <f>"15582"</f>
        <v>15582</v>
      </c>
      <c r="B15583" t="str">
        <f>"-0.82"</f>
        <v>-0.82</v>
      </c>
      <c r="C15583" t="str">
        <f>"55"</f>
        <v>55</v>
      </c>
      <c r="D15583" t="str">
        <f>"Terrible Two"</f>
        <v>Terrible Two</v>
      </c>
    </row>
    <row r="15584" spans="1:4" x14ac:dyDescent="0.2">
      <c r="A15584" t="str">
        <f>"15583"</f>
        <v>15583</v>
      </c>
      <c r="B15584" t="str">
        <f>"-0.17"</f>
        <v>-0.17</v>
      </c>
      <c r="C15584" t="str">
        <f>"56"</f>
        <v>56</v>
      </c>
      <c r="D15584" t="str">
        <f>"Ames Room"</f>
        <v>Ames Room</v>
      </c>
    </row>
    <row r="15585" spans="1:4" x14ac:dyDescent="0.2">
      <c r="A15585" t="str">
        <f>"15584"</f>
        <v>15584</v>
      </c>
      <c r="B15585" t="str">
        <f>"-0.12"</f>
        <v>-0.12</v>
      </c>
      <c r="C15585" t="str">
        <f>"57"</f>
        <v>57</v>
      </c>
      <c r="D15585" t="str">
        <f>"Autumn Fallin'"</f>
        <v>Autumn Fallin'</v>
      </c>
    </row>
    <row r="15586" spans="1:4" x14ac:dyDescent="0.2">
      <c r="A15586" t="str">
        <f>"15585"</f>
        <v>15585</v>
      </c>
      <c r="B15586" t="str">
        <f>"-0.31"</f>
        <v>-0.31</v>
      </c>
      <c r="C15586" t="str">
        <f>"88"</f>
        <v>88</v>
      </c>
      <c r="D15586" t="str">
        <f>"Anywhere I Lay My Head"</f>
        <v>Anywhere I Lay My Head</v>
      </c>
    </row>
    <row r="15587" spans="1:4" x14ac:dyDescent="0.2">
      <c r="A15587" t="str">
        <f>"15586"</f>
        <v>15586</v>
      </c>
      <c r="B15587" t="str">
        <f>"0.59"</f>
        <v>0.59</v>
      </c>
      <c r="C15587" t="str">
        <f>"71"</f>
        <v>71</v>
      </c>
      <c r="D15587" t="str">
        <f>"The Green Owl Comp: A Benefit for Energy Action"</f>
        <v>The Green Owl Comp: A Benefit for Energy Action</v>
      </c>
    </row>
    <row r="15588" spans="1:4" x14ac:dyDescent="0.2">
      <c r="A15588" t="str">
        <f>"15587"</f>
        <v>15587</v>
      </c>
      <c r="B15588" t="str">
        <f>"-0.26"</f>
        <v>-0.26</v>
      </c>
      <c r="C15588" t="str">
        <f>"23"</f>
        <v>23</v>
      </c>
      <c r="D15588" t="str">
        <f>"Carolina Funk: First in Funk 1968-1977"</f>
        <v>Carolina Funk: First in Funk 1968-1977</v>
      </c>
    </row>
    <row r="15589" spans="1:4" x14ac:dyDescent="0.2">
      <c r="A15589" t="str">
        <f>"15588"</f>
        <v>15588</v>
      </c>
      <c r="B15589" t="str">
        <f>"-1.27"</f>
        <v>-1.27</v>
      </c>
      <c r="C15589" t="str">
        <f>"22"</f>
        <v>22</v>
      </c>
      <c r="D15589" t="str">
        <f>"Cheveu"</f>
        <v>Cheveu</v>
      </c>
    </row>
    <row r="15590" spans="1:4" x14ac:dyDescent="0.2">
      <c r="A15590" t="str">
        <f>"15589"</f>
        <v>15589</v>
      </c>
      <c r="B15590" t="str">
        <f>"-0.27"</f>
        <v>-0.27</v>
      </c>
      <c r="C15590" t="str">
        <f>"23"</f>
        <v>23</v>
      </c>
      <c r="D15590" t="str">
        <f>"Strange Hexes"</f>
        <v>Strange Hexes</v>
      </c>
    </row>
    <row r="15591" spans="1:4" x14ac:dyDescent="0.2">
      <c r="A15591" t="str">
        <f>"15590"</f>
        <v>15590</v>
      </c>
      <c r="B15591" t="str">
        <f>"-0.2"</f>
        <v>-0.2</v>
      </c>
      <c r="C15591" t="str">
        <f>"23"</f>
        <v>23</v>
      </c>
      <c r="D15591" t="str">
        <f>"Re-Arrange Us"</f>
        <v>Re-Arrange Us</v>
      </c>
    </row>
    <row r="15592" spans="1:4" x14ac:dyDescent="0.2">
      <c r="A15592" t="str">
        <f>"15591"</f>
        <v>15591</v>
      </c>
      <c r="B15592" t="str">
        <f>"-0.11"</f>
        <v>-0.11</v>
      </c>
      <c r="C15592" t="str">
        <f>"24"</f>
        <v>24</v>
      </c>
      <c r="D15592" t="str">
        <f>"Most Valuable Player"</f>
        <v>Most Valuable Player</v>
      </c>
    </row>
    <row r="15593" spans="1:4" x14ac:dyDescent="0.2">
      <c r="A15593" t="str">
        <f>"15592"</f>
        <v>15592</v>
      </c>
      <c r="B15593" t="str">
        <f>"0.17"</f>
        <v>0.17</v>
      </c>
      <c r="C15593" t="str">
        <f>"35"</f>
        <v>35</v>
      </c>
      <c r="D15593" t="str">
        <f>"Eve Night"</f>
        <v>Eve Night</v>
      </c>
    </row>
    <row r="15594" spans="1:4" x14ac:dyDescent="0.2">
      <c r="A15594" t="str">
        <f>"15593"</f>
        <v>15593</v>
      </c>
      <c r="B15594" t="str">
        <f>"-0.89"</f>
        <v>-0.89</v>
      </c>
      <c r="C15594" t="str">
        <f>"17"</f>
        <v>17</v>
      </c>
      <c r="D15594" t="str">
        <f>"Taro Tarot EP"</f>
        <v>Taro Tarot EP</v>
      </c>
    </row>
    <row r="15595" spans="1:4" x14ac:dyDescent="0.2">
      <c r="A15595" t="str">
        <f>"15594"</f>
        <v>15594</v>
      </c>
      <c r="B15595" t="str">
        <f>"-0.35"</f>
        <v>-0.35</v>
      </c>
      <c r="C15595" t="str">
        <f>"56"</f>
        <v>56</v>
      </c>
      <c r="D15595" t="str">
        <f>"Travel in Herds"</f>
        <v>Travel in Herds</v>
      </c>
    </row>
    <row r="15596" spans="1:4" x14ac:dyDescent="0.2">
      <c r="A15596" t="str">
        <f>"15595"</f>
        <v>15595</v>
      </c>
      <c r="B15596" t="str">
        <f>"-0.65"</f>
        <v>-0.65</v>
      </c>
      <c r="C15596" t="str">
        <f>"47"</f>
        <v>47</v>
      </c>
      <c r="D15596" t="str">
        <f>"ExitingARM"</f>
        <v>ExitingARM</v>
      </c>
    </row>
    <row r="15597" spans="1:4" x14ac:dyDescent="0.2">
      <c r="A15597" t="str">
        <f>"15596"</f>
        <v>15596</v>
      </c>
      <c r="B15597" t="str">
        <f>"0.21"</f>
        <v>0.21</v>
      </c>
      <c r="C15597" t="str">
        <f>"29"</f>
        <v>29</v>
      </c>
      <c r="D15597" t="str">
        <f>"You Cross My Path"</f>
        <v>You Cross My Path</v>
      </c>
    </row>
    <row r="15598" spans="1:4" x14ac:dyDescent="0.2">
      <c r="A15598" t="str">
        <f>"15597"</f>
        <v>15597</v>
      </c>
      <c r="B15598" t="str">
        <f>"0.84"</f>
        <v>0.84</v>
      </c>
      <c r="C15598" t="str">
        <f>"25"</f>
        <v>25</v>
      </c>
      <c r="D15598" t="str">
        <f>"All Together"</f>
        <v>All Together</v>
      </c>
    </row>
    <row r="15599" spans="1:4" x14ac:dyDescent="0.2">
      <c r="A15599" t="str">
        <f>"15598"</f>
        <v>15598</v>
      </c>
      <c r="B15599" t="str">
        <f>"0.63"</f>
        <v>0.63</v>
      </c>
      <c r="C15599" t="str">
        <f>"19"</f>
        <v>19</v>
      </c>
      <c r="D15599" t="str">
        <f>"Lie in Light"</f>
        <v>Lie in Light</v>
      </c>
    </row>
    <row r="15600" spans="1:4" x14ac:dyDescent="0.2">
      <c r="A15600" t="str">
        <f>"15599"</f>
        <v>15599</v>
      </c>
      <c r="B15600" t="str">
        <f>"0.15"</f>
        <v>0.15</v>
      </c>
      <c r="C15600" t="str">
        <f>"17"</f>
        <v>17</v>
      </c>
      <c r="D15600" t="str">
        <f>"Deep in the Woods"</f>
        <v>Deep in the Woods</v>
      </c>
    </row>
    <row r="15601" spans="1:4" x14ac:dyDescent="0.2">
      <c r="A15601" t="str">
        <f>"15600"</f>
        <v>15600</v>
      </c>
      <c r="B15601" t="str">
        <f>"0.05"</f>
        <v>0.05</v>
      </c>
      <c r="C15601" t="str">
        <f>"23"</f>
        <v>23</v>
      </c>
      <c r="D15601" t="str">
        <f>"Silent Movie"</f>
        <v>Silent Movie</v>
      </c>
    </row>
    <row r="15602" spans="1:4" x14ac:dyDescent="0.2">
      <c r="A15602" t="str">
        <f>"15601"</f>
        <v>15601</v>
      </c>
      <c r="B15602" t="str">
        <f>"0.34"</f>
        <v>0.34</v>
      </c>
      <c r="C15602" t="str">
        <f>"39"</f>
        <v>39</v>
      </c>
      <c r="D15602" t="str">
        <f>"Way"</f>
        <v>Way</v>
      </c>
    </row>
    <row r="15603" spans="1:4" x14ac:dyDescent="0.2">
      <c r="A15603" t="str">
        <f>"15602"</f>
        <v>15602</v>
      </c>
      <c r="B15603" t="str">
        <f>"0.27"</f>
        <v>0.27</v>
      </c>
      <c r="C15603" t="str">
        <f>"36"</f>
        <v>36</v>
      </c>
      <c r="D15603" t="str">
        <f>"Faint at the Loudest Hour"</f>
        <v>Faint at the Loudest Hour</v>
      </c>
    </row>
    <row r="15604" spans="1:4" x14ac:dyDescent="0.2">
      <c r="A15604" t="str">
        <f>"15603"</f>
        <v>15603</v>
      </c>
      <c r="B15604" t="str">
        <f>"-0.56"</f>
        <v>-0.56</v>
      </c>
      <c r="C15604" t="str">
        <f>"56"</f>
        <v>56</v>
      </c>
      <c r="D15604" t="str">
        <f>"Poisonous Times"</f>
        <v>Poisonous Times</v>
      </c>
    </row>
    <row r="15605" spans="1:4" x14ac:dyDescent="0.2">
      <c r="A15605" t="str">
        <f>"15604"</f>
        <v>15604</v>
      </c>
      <c r="B15605" t="str">
        <f>"0.45"</f>
        <v>0.45</v>
      </c>
      <c r="C15605" t="str">
        <f>"22"</f>
        <v>22</v>
      </c>
      <c r="D15605" t="str">
        <f>"Truth &amp; Soul: Fallin' Off the Reel II"</f>
        <v>Truth &amp; Soul: Fallin' Off the Reel II</v>
      </c>
    </row>
    <row r="15606" spans="1:4" x14ac:dyDescent="0.2">
      <c r="A15606" t="str">
        <f>"15605"</f>
        <v>15605</v>
      </c>
      <c r="B15606" t="str">
        <f>"-0.54"</f>
        <v>-0.54</v>
      </c>
      <c r="C15606" t="str">
        <f>"43"</f>
        <v>43</v>
      </c>
      <c r="D15606" t="str">
        <f>"The Slip"</f>
        <v>The Slip</v>
      </c>
    </row>
    <row r="15607" spans="1:4" x14ac:dyDescent="0.2">
      <c r="A15607" t="str">
        <f>"15606"</f>
        <v>15606</v>
      </c>
      <c r="B15607" t="str">
        <f>"0.72"</f>
        <v>0.72</v>
      </c>
      <c r="C15607" t="str">
        <f>"81"</f>
        <v>81</v>
      </c>
      <c r="D15607" t="str">
        <f>"Ringer"</f>
        <v>Ringer</v>
      </c>
    </row>
    <row r="15608" spans="1:4" x14ac:dyDescent="0.2">
      <c r="A15608" t="str">
        <f>"15607"</f>
        <v>15607</v>
      </c>
      <c r="B15608" t="str">
        <f>"-0.75"</f>
        <v>-0.75</v>
      </c>
      <c r="C15608" t="str">
        <f>"62"</f>
        <v>62</v>
      </c>
      <c r="D15608" t="str">
        <f>"The Master's Bedroom Is Worth Spending A Night In"</f>
        <v>The Master's Bedroom Is Worth Spending A Night In</v>
      </c>
    </row>
    <row r="15609" spans="1:4" x14ac:dyDescent="0.2">
      <c r="A15609" t="str">
        <f>"15608"</f>
        <v>15608</v>
      </c>
      <c r="B15609" t="str">
        <f>"0.14"</f>
        <v>0.14</v>
      </c>
      <c r="C15609" t="str">
        <f>"62"</f>
        <v>62</v>
      </c>
      <c r="D15609" t="str">
        <f>"I Wish That I Could See You Soon EP"</f>
        <v>I Wish That I Could See You Soon EP</v>
      </c>
    </row>
    <row r="15610" spans="1:4" x14ac:dyDescent="0.2">
      <c r="A15610" t="str">
        <f>"15609"</f>
        <v>15609</v>
      </c>
      <c r="B15610" t="str">
        <f>"-1.39"</f>
        <v>-1.39</v>
      </c>
      <c r="C15610" t="str">
        <f>"28"</f>
        <v>28</v>
      </c>
      <c r="D15610" t="str">
        <f>"Warchild"</f>
        <v>Warchild</v>
      </c>
    </row>
    <row r="15611" spans="1:4" x14ac:dyDescent="0.2">
      <c r="A15611" t="str">
        <f>"15610"</f>
        <v>15610</v>
      </c>
      <c r="B15611" t="str">
        <f>"0.22"</f>
        <v>0.22</v>
      </c>
      <c r="C15611" t="str">
        <f>"106"</f>
        <v>106</v>
      </c>
      <c r="D15611" t="str">
        <f>"Narrow Stairs"</f>
        <v>Narrow Stairs</v>
      </c>
    </row>
    <row r="15612" spans="1:4" x14ac:dyDescent="0.2">
      <c r="A15612" t="str">
        <f>"15611"</f>
        <v>15611</v>
      </c>
      <c r="B15612" t="str">
        <f>"-0.13"</f>
        <v>-0.13</v>
      </c>
      <c r="C15612" t="str">
        <f>"21"</f>
        <v>21</v>
      </c>
      <c r="D15612" t="str">
        <f>"Momofuku"</f>
        <v>Momofuku</v>
      </c>
    </row>
    <row r="15613" spans="1:4" x14ac:dyDescent="0.2">
      <c r="A15613" t="str">
        <f>"15612"</f>
        <v>15612</v>
      </c>
      <c r="B15613" t="str">
        <f>"-1.53"</f>
        <v>-1.53</v>
      </c>
      <c r="C15613" t="str">
        <f>"22"</f>
        <v>22</v>
      </c>
      <c r="D15613" t="str">
        <f>"Going Places: The August Darnell Years 1976-1983"</f>
        <v>Going Places: The August Darnell Years 1976-1983</v>
      </c>
    </row>
    <row r="15614" spans="1:4" x14ac:dyDescent="0.2">
      <c r="A15614" t="str">
        <f>"15613"</f>
        <v>15613</v>
      </c>
      <c r="B15614" t="str">
        <f>"1"</f>
        <v>1</v>
      </c>
      <c r="C15614" t="str">
        <f>"26"</f>
        <v>26</v>
      </c>
      <c r="D15614" t="str">
        <f>"Sexuality"</f>
        <v>Sexuality</v>
      </c>
    </row>
    <row r="15615" spans="1:4" x14ac:dyDescent="0.2">
      <c r="A15615" t="str">
        <f>"15614"</f>
        <v>15614</v>
      </c>
      <c r="B15615" t="str">
        <f>"0.78"</f>
        <v>0.78</v>
      </c>
      <c r="C15615" t="str">
        <f>"24"</f>
        <v>24</v>
      </c>
      <c r="D15615" t="str">
        <f>"Freedom Wind"</f>
        <v>Freedom Wind</v>
      </c>
    </row>
    <row r="15616" spans="1:4" x14ac:dyDescent="0.2">
      <c r="A15616" t="str">
        <f>"15615"</f>
        <v>15615</v>
      </c>
      <c r="B15616" t="str">
        <f>"0.5"</f>
        <v>0.5</v>
      </c>
      <c r="C15616" t="str">
        <f>"45"</f>
        <v>45</v>
      </c>
      <c r="D15616" t="str">
        <f>"Otis Blue: Otis Redding Sings Soul [Collector's Edition]"</f>
        <v>Otis Blue: Otis Redding Sings Soul [Collector's Edition]</v>
      </c>
    </row>
    <row r="15617" spans="1:4" x14ac:dyDescent="0.2">
      <c r="A15617" t="str">
        <f>"15616"</f>
        <v>15616</v>
      </c>
      <c r="B15617" t="str">
        <f>"-0.19"</f>
        <v>-0.19</v>
      </c>
      <c r="C15617" t="str">
        <f>"24"</f>
        <v>24</v>
      </c>
      <c r="D15617" t="str">
        <f>"Sunday at Devil Dirt"</f>
        <v>Sunday at Devil Dirt</v>
      </c>
    </row>
    <row r="15618" spans="1:4" x14ac:dyDescent="0.2">
      <c r="A15618" t="str">
        <f>"15617"</f>
        <v>15617</v>
      </c>
      <c r="B15618" t="str">
        <f>"-0.14"</f>
        <v>-0.14</v>
      </c>
      <c r="C15618" t="str">
        <f>"64"</f>
        <v>64</v>
      </c>
      <c r="D15618" t="str">
        <f>"Vainajan Muotokuva"</f>
        <v>Vainajan Muotokuva</v>
      </c>
    </row>
    <row r="15619" spans="1:4" x14ac:dyDescent="0.2">
      <c r="A15619" t="str">
        <f>"15618"</f>
        <v>15618</v>
      </c>
      <c r="B15619" t="str">
        <f>"-0.34"</f>
        <v>-0.34</v>
      </c>
      <c r="C15619" t="str">
        <f>"55"</f>
        <v>55</v>
      </c>
      <c r="D15619" t="str">
        <f>"The Latest Rights"</f>
        <v>The Latest Rights</v>
      </c>
    </row>
    <row r="15620" spans="1:4" x14ac:dyDescent="0.2">
      <c r="A15620" t="str">
        <f>"15619"</f>
        <v>15619</v>
      </c>
      <c r="B15620" t="str">
        <f>"0.07"</f>
        <v>0.07</v>
      </c>
      <c r="C15620" t="str">
        <f>"71"</f>
        <v>71</v>
      </c>
      <c r="D15620" t="str">
        <f>"Bright Blue Dream"</f>
        <v>Bright Blue Dream</v>
      </c>
    </row>
    <row r="15621" spans="1:4" x14ac:dyDescent="0.2">
      <c r="A15621" t="str">
        <f>"15620"</f>
        <v>15620</v>
      </c>
      <c r="B15621" t="str">
        <f>"0.57"</f>
        <v>0.57</v>
      </c>
      <c r="C15621" t="str">
        <f>"26"</f>
        <v>26</v>
      </c>
      <c r="D15621" t="str">
        <f>"Supreme Balloon"</f>
        <v>Supreme Balloon</v>
      </c>
    </row>
    <row r="15622" spans="1:4" x14ac:dyDescent="0.2">
      <c r="A15622" t="str">
        <f>"15621"</f>
        <v>15621</v>
      </c>
      <c r="B15622" t="str">
        <f>"0.17"</f>
        <v>0.17</v>
      </c>
      <c r="C15622" t="str">
        <f>"27"</f>
        <v>27</v>
      </c>
      <c r="D15622" t="str">
        <f>"My Bloody Underground"</f>
        <v>My Bloody Underground</v>
      </c>
    </row>
    <row r="15623" spans="1:4" x14ac:dyDescent="0.2">
      <c r="A15623" t="str">
        <f>"15622"</f>
        <v>15622</v>
      </c>
      <c r="B15623" t="str">
        <f>"0.08"</f>
        <v>0.08</v>
      </c>
      <c r="C15623" t="str">
        <f>"35"</f>
        <v>35</v>
      </c>
      <c r="D15623" t="str">
        <f>"Johnny B. Goode: His Complete '50s Chess Recordings"</f>
        <v>Johnny B. Goode: His Complete '50s Chess Recordings</v>
      </c>
    </row>
    <row r="15624" spans="1:4" x14ac:dyDescent="0.2">
      <c r="A15624" t="str">
        <f>"15623"</f>
        <v>15623</v>
      </c>
      <c r="B15624" t="str">
        <f>"0.29"</f>
        <v>0.29</v>
      </c>
      <c r="C15624" t="str">
        <f>"28"</f>
        <v>28</v>
      </c>
      <c r="D15624" t="str">
        <f>"Laughter's An Asshole/Lion Land"</f>
        <v>Laughter's An Asshole/Lion Land</v>
      </c>
    </row>
    <row r="15625" spans="1:4" x14ac:dyDescent="0.2">
      <c r="A15625" t="str">
        <f>"15624"</f>
        <v>15624</v>
      </c>
      <c r="B15625" t="str">
        <f>"-0.69"</f>
        <v>-0.69</v>
      </c>
      <c r="C15625" t="str">
        <f>"26"</f>
        <v>26</v>
      </c>
      <c r="D15625" t="str">
        <f>"Films"</f>
        <v>Films</v>
      </c>
    </row>
    <row r="15626" spans="1:4" x14ac:dyDescent="0.2">
      <c r="A15626" t="str">
        <f>"15625"</f>
        <v>15625</v>
      </c>
      <c r="B15626" t="str">
        <f>"0.43"</f>
        <v>0.43</v>
      </c>
      <c r="C15626" t="str">
        <f>"39"</f>
        <v>39</v>
      </c>
      <c r="D15626" t="str">
        <f>"Santogold"</f>
        <v>Santogold</v>
      </c>
    </row>
    <row r="15627" spans="1:4" x14ac:dyDescent="0.2">
      <c r="A15627" t="str">
        <f>"15626"</f>
        <v>15626</v>
      </c>
      <c r="B15627" t="str">
        <f>"-0.15"</f>
        <v>-0.15</v>
      </c>
      <c r="C15627" t="str">
        <f>"27"</f>
        <v>27</v>
      </c>
      <c r="D15627" t="str">
        <f>"The Evangelist"</f>
        <v>The Evangelist</v>
      </c>
    </row>
    <row r="15628" spans="1:4" x14ac:dyDescent="0.2">
      <c r="A15628" t="str">
        <f>"15627"</f>
        <v>15627</v>
      </c>
      <c r="B15628" t="str">
        <f>"0.97"</f>
        <v>0.97</v>
      </c>
      <c r="C15628" t="str">
        <f>"16"</f>
        <v>16</v>
      </c>
      <c r="D15628" t="str">
        <f>"Funky Nassau: The Compass Point Story 1980-1986"</f>
        <v>Funky Nassau: The Compass Point Story 1980-1986</v>
      </c>
    </row>
    <row r="15629" spans="1:4" x14ac:dyDescent="0.2">
      <c r="A15629" t="str">
        <f>"15628"</f>
        <v>15628</v>
      </c>
      <c r="B15629" t="str">
        <f>"0.36"</f>
        <v>0.36</v>
      </c>
      <c r="C15629" t="str">
        <f>"13"</f>
        <v>13</v>
      </c>
      <c r="D15629" t="str">
        <f>"Tickley Feather"</f>
        <v>Tickley Feather</v>
      </c>
    </row>
    <row r="15630" spans="1:4" x14ac:dyDescent="0.2">
      <c r="A15630" t="str">
        <f>"15629"</f>
        <v>15629</v>
      </c>
      <c r="B15630" t="str">
        <f>"-0.41"</f>
        <v>-0.41</v>
      </c>
      <c r="C15630" t="str">
        <f>"73"</f>
        <v>73</v>
      </c>
      <c r="D15630" t="str">
        <f>"What I Want From You Is Sweet"</f>
        <v>What I Want From You Is Sweet</v>
      </c>
    </row>
    <row r="15631" spans="1:4" x14ac:dyDescent="0.2">
      <c r="A15631" t="str">
        <f>"15630"</f>
        <v>15630</v>
      </c>
      <c r="B15631" t="str">
        <f>"1.06"</f>
        <v>1.06</v>
      </c>
      <c r="C15631" t="str">
        <f>"27"</f>
        <v>27</v>
      </c>
      <c r="D15631" t="str">
        <f>"Water Curses EP"</f>
        <v>Water Curses EP</v>
      </c>
    </row>
    <row r="15632" spans="1:4" x14ac:dyDescent="0.2">
      <c r="A15632" t="str">
        <f>"15631"</f>
        <v>15631</v>
      </c>
      <c r="B15632" t="str">
        <f>"-0.11"</f>
        <v>-0.11</v>
      </c>
      <c r="C15632" t="str">
        <f>"18"</f>
        <v>18</v>
      </c>
      <c r="D15632" t="str">
        <f>"Shallow Grave"</f>
        <v>Shallow Grave</v>
      </c>
    </row>
    <row r="15633" spans="1:4" x14ac:dyDescent="0.2">
      <c r="A15633" t="str">
        <f>"15632"</f>
        <v>15632</v>
      </c>
      <c r="B15633" t="str">
        <f>"-0.48"</f>
        <v>-0.48</v>
      </c>
      <c r="C15633" t="str">
        <f>"83"</f>
        <v>83</v>
      </c>
      <c r="D15633" t="s">
        <v>499</v>
      </c>
    </row>
    <row r="15634" spans="1:4" x14ac:dyDescent="0.2">
      <c r="A15634" t="str">
        <f>"15633"</f>
        <v>15633</v>
      </c>
      <c r="B15634" t="str">
        <f>"-0.06"</f>
        <v>-0.06</v>
      </c>
      <c r="C15634" t="str">
        <f>"25"</f>
        <v>25</v>
      </c>
      <c r="D15634" t="str">
        <f>"Futurismo"</f>
        <v>Futurismo</v>
      </c>
    </row>
    <row r="15635" spans="1:4" x14ac:dyDescent="0.2">
      <c r="A15635" t="str">
        <f>"15634"</f>
        <v>15634</v>
      </c>
      <c r="B15635" t="str">
        <f>"-0.38"</f>
        <v>-0.38</v>
      </c>
      <c r="C15635" t="str">
        <f>"17"</f>
        <v>17</v>
      </c>
      <c r="D15635" t="str">
        <f>"Brutal"</f>
        <v>Brutal</v>
      </c>
    </row>
    <row r="15636" spans="1:4" x14ac:dyDescent="0.2">
      <c r="A15636" t="str">
        <f>"15635"</f>
        <v>15635</v>
      </c>
      <c r="B15636" t="str">
        <f>"0.04"</f>
        <v>0.04</v>
      </c>
      <c r="C15636" t="str">
        <f>"24"</f>
        <v>24</v>
      </c>
      <c r="D15636" t="str">
        <f>"Nouns"</f>
        <v>Nouns</v>
      </c>
    </row>
    <row r="15637" spans="1:4" x14ac:dyDescent="0.2">
      <c r="A15637" t="str">
        <f>"15636"</f>
        <v>15636</v>
      </c>
      <c r="B15637" t="str">
        <f>"0.36"</f>
        <v>0.36</v>
      </c>
      <c r="C15637" t="str">
        <f>"20"</f>
        <v>20</v>
      </c>
      <c r="D15637" t="str">
        <f>"EP"</f>
        <v>EP</v>
      </c>
    </row>
    <row r="15638" spans="1:4" x14ac:dyDescent="0.2">
      <c r="A15638" t="str">
        <f>"15637"</f>
        <v>15637</v>
      </c>
      <c r="B15638" t="str">
        <f>"-0.95"</f>
        <v>-0.95</v>
      </c>
      <c r="C15638" t="str">
        <f>"30"</f>
        <v>30</v>
      </c>
      <c r="D15638" t="str">
        <f>"The Strangest Colored Lights"</f>
        <v>The Strangest Colored Lights</v>
      </c>
    </row>
    <row r="15639" spans="1:4" x14ac:dyDescent="0.2">
      <c r="A15639" t="str">
        <f>"15638"</f>
        <v>15638</v>
      </c>
      <c r="B15639" t="str">
        <f>"0.48"</f>
        <v>0.48</v>
      </c>
      <c r="C15639" t="str">
        <f>"21"</f>
        <v>21</v>
      </c>
      <c r="D15639" t="str">
        <f>"Great Plains"</f>
        <v>Great Plains</v>
      </c>
    </row>
    <row r="15640" spans="1:4" x14ac:dyDescent="0.2">
      <c r="A15640" t="str">
        <f>"15639"</f>
        <v>15639</v>
      </c>
      <c r="B15640" t="str">
        <f>"-0.74"</f>
        <v>-0.74</v>
      </c>
      <c r="C15640" t="str">
        <f>"30"</f>
        <v>30</v>
      </c>
      <c r="D15640" t="str">
        <f>"Attack"</f>
        <v>Attack</v>
      </c>
    </row>
    <row r="15641" spans="1:4" x14ac:dyDescent="0.2">
      <c r="A15641" t="str">
        <f>"15640"</f>
        <v>15640</v>
      </c>
      <c r="B15641" t="str">
        <f>"0.44"</f>
        <v>0.44</v>
      </c>
      <c r="C15641" t="str">
        <f>"38"</f>
        <v>38</v>
      </c>
      <c r="D15641" t="str">
        <f>"Smile"</f>
        <v>Smile</v>
      </c>
    </row>
    <row r="15642" spans="1:4" x14ac:dyDescent="0.2">
      <c r="A15642" t="str">
        <f>"15641"</f>
        <v>15641</v>
      </c>
      <c r="B15642" t="str">
        <f>"0.16"</f>
        <v>0.16</v>
      </c>
      <c r="C15642" t="str">
        <f>"26"</f>
        <v>26</v>
      </c>
      <c r="D15642" t="str">
        <f>"What We Did on Our Holidays"</f>
        <v>What We Did on Our Holidays</v>
      </c>
    </row>
    <row r="15643" spans="1:4" x14ac:dyDescent="0.2">
      <c r="A15643" t="str">
        <f>"15642"</f>
        <v>15642</v>
      </c>
      <c r="B15643" t="str">
        <f>"-0.97"</f>
        <v>-0.97</v>
      </c>
      <c r="C15643" t="str">
        <f>"45"</f>
        <v>45</v>
      </c>
      <c r="D15643" t="s">
        <v>500</v>
      </c>
    </row>
    <row r="15644" spans="1:4" x14ac:dyDescent="0.2">
      <c r="A15644" t="str">
        <f>"15643"</f>
        <v>15643</v>
      </c>
      <c r="B15644" t="str">
        <f>"0.63"</f>
        <v>0.63</v>
      </c>
      <c r="C15644" t="str">
        <f>"25"</f>
        <v>25</v>
      </c>
      <c r="D15644" t="str">
        <f>"Yeti #5"</f>
        <v>Yeti #5</v>
      </c>
    </row>
    <row r="15645" spans="1:4" x14ac:dyDescent="0.2">
      <c r="A15645" t="str">
        <f>"15644"</f>
        <v>15644</v>
      </c>
      <c r="B15645" t="str">
        <f>"0.05"</f>
        <v>0.05</v>
      </c>
      <c r="C15645" t="str">
        <f>"38"</f>
        <v>38</v>
      </c>
      <c r="D15645" t="str">
        <f>"Fabric 39"</f>
        <v>Fabric 39</v>
      </c>
    </row>
    <row r="15646" spans="1:4" x14ac:dyDescent="0.2">
      <c r="A15646" t="str">
        <f>"15645"</f>
        <v>15645</v>
      </c>
      <c r="B15646" t="str">
        <f>"0.51"</f>
        <v>0.51</v>
      </c>
      <c r="C15646" t="str">
        <f>"27"</f>
        <v>27</v>
      </c>
      <c r="D15646" t="str">
        <f>"After the Balls Drop"</f>
        <v>After the Balls Drop</v>
      </c>
    </row>
    <row r="15647" spans="1:4" x14ac:dyDescent="0.2">
      <c r="A15647" t="str">
        <f>"15646"</f>
        <v>15646</v>
      </c>
      <c r="B15647" t="str">
        <f>"0.61"</f>
        <v>0.61</v>
      </c>
      <c r="C15647" t="str">
        <f>"18"</f>
        <v>18</v>
      </c>
      <c r="D15647" t="str">
        <f>"The Hungry Saw"</f>
        <v>The Hungry Saw</v>
      </c>
    </row>
    <row r="15648" spans="1:4" x14ac:dyDescent="0.2">
      <c r="A15648" t="str">
        <f>"15647"</f>
        <v>15647</v>
      </c>
      <c r="B15648" t="str">
        <f>"0.08"</f>
        <v>0.08</v>
      </c>
      <c r="C15648" t="str">
        <f>"14"</f>
        <v>14</v>
      </c>
      <c r="D15648" t="str">
        <f>"The Secret Life"</f>
        <v>The Secret Life</v>
      </c>
    </row>
    <row r="15649" spans="1:4" x14ac:dyDescent="0.2">
      <c r="A15649" t="str">
        <f>"15648"</f>
        <v>15648</v>
      </c>
      <c r="B15649" t="str">
        <f>"-0.25"</f>
        <v>-0.25</v>
      </c>
      <c r="C15649" t="str">
        <f>"37"</f>
        <v>37</v>
      </c>
      <c r="D15649" t="str">
        <f>"A Wheel Within a Wheel"</f>
        <v>A Wheel Within a Wheel</v>
      </c>
    </row>
    <row r="15650" spans="1:4" x14ac:dyDescent="0.2">
      <c r="A15650" t="str">
        <f>"15649"</f>
        <v>15649</v>
      </c>
      <c r="B15650" t="str">
        <f>"1.11"</f>
        <v>1.11</v>
      </c>
      <c r="C15650" t="str">
        <f>"38"</f>
        <v>38</v>
      </c>
      <c r="D15650" t="str">
        <f>"¡Sonido Amazonico!"</f>
        <v>¡Sonido Amazonico!</v>
      </c>
    </row>
    <row r="15651" spans="1:4" x14ac:dyDescent="0.2">
      <c r="A15651" t="str">
        <f>"15650"</f>
        <v>15650</v>
      </c>
      <c r="B15651" t="str">
        <f>"0.39"</f>
        <v>0.39</v>
      </c>
      <c r="C15651" t="str">
        <f>"54"</f>
        <v>54</v>
      </c>
      <c r="D15651" t="str">
        <f>"Jim"</f>
        <v>Jim</v>
      </c>
    </row>
    <row r="15652" spans="1:4" x14ac:dyDescent="0.2">
      <c r="A15652" t="str">
        <f>"15651"</f>
        <v>15651</v>
      </c>
      <c r="B15652" t="str">
        <f>"1.04"</f>
        <v>1.04</v>
      </c>
      <c r="C15652" t="str">
        <f>"20"</f>
        <v>20</v>
      </c>
      <c r="D15652" t="str">
        <f>"The Best of Joy Division"</f>
        <v>The Best of Joy Division</v>
      </c>
    </row>
    <row r="15653" spans="1:4" x14ac:dyDescent="0.2">
      <c r="A15653" t="str">
        <f>"15652"</f>
        <v>15652</v>
      </c>
      <c r="B15653" t="str">
        <f>"1.18"</f>
        <v>1.18</v>
      </c>
      <c r="C15653" t="str">
        <f>"78"</f>
        <v>78</v>
      </c>
      <c r="D15653" t="str">
        <f>"L'autrichienne"</f>
        <v>L'autrichienne</v>
      </c>
    </row>
    <row r="15654" spans="1:4" x14ac:dyDescent="0.2">
      <c r="A15654" t="str">
        <f>"15653"</f>
        <v>15653</v>
      </c>
      <c r="B15654" t="str">
        <f>"0.31"</f>
        <v>0.31</v>
      </c>
      <c r="C15654" t="str">
        <f>"23"</f>
        <v>23</v>
      </c>
      <c r="D15654" t="str">
        <f>"Box of Hair"</f>
        <v>Box of Hair</v>
      </c>
    </row>
    <row r="15655" spans="1:4" x14ac:dyDescent="0.2">
      <c r="A15655" t="str">
        <f>"15654"</f>
        <v>15654</v>
      </c>
      <c r="B15655" t="str">
        <f>"-0.94"</f>
        <v>-0.94</v>
      </c>
      <c r="C15655" t="str">
        <f>"26"</f>
        <v>26</v>
      </c>
      <c r="D15655" t="str">
        <f>"Unhistories"</f>
        <v>Unhistories</v>
      </c>
    </row>
    <row r="15656" spans="1:4" x14ac:dyDescent="0.2">
      <c r="A15656" t="str">
        <f>"15655"</f>
        <v>15655</v>
      </c>
      <c r="B15656" t="str">
        <f>"-0.75"</f>
        <v>-0.75</v>
      </c>
      <c r="C15656" t="str">
        <f>"31"</f>
        <v>31</v>
      </c>
      <c r="D15656" t="str">
        <f>"Rising Down"</f>
        <v>Rising Down</v>
      </c>
    </row>
    <row r="15657" spans="1:4" x14ac:dyDescent="0.2">
      <c r="A15657" t="str">
        <f>"15656"</f>
        <v>15656</v>
      </c>
      <c r="B15657" t="str">
        <f>"-0.35"</f>
        <v>-0.35</v>
      </c>
      <c r="C15657" t="str">
        <f>"23"</f>
        <v>23</v>
      </c>
      <c r="D15657" t="str">
        <f>"Kensington Heights"</f>
        <v>Kensington Heights</v>
      </c>
    </row>
    <row r="15658" spans="1:4" x14ac:dyDescent="0.2">
      <c r="A15658" t="str">
        <f>"15657"</f>
        <v>15657</v>
      </c>
      <c r="B15658" t="str">
        <f>"0.73"</f>
        <v>0.73</v>
      </c>
      <c r="C15658" t="str">
        <f>"37"</f>
        <v>37</v>
      </c>
      <c r="D15658" t="str">
        <f>"AM"</f>
        <v>AM</v>
      </c>
    </row>
    <row r="15659" spans="1:4" x14ac:dyDescent="0.2">
      <c r="A15659" t="str">
        <f>"15658"</f>
        <v>15658</v>
      </c>
      <c r="B15659" t="str">
        <f>"1.27"</f>
        <v>1.27</v>
      </c>
      <c r="C15659" t="str">
        <f>"25"</f>
        <v>25</v>
      </c>
      <c r="D15659" t="str">
        <f>"Opus Mixtum"</f>
        <v>Opus Mixtum</v>
      </c>
    </row>
    <row r="15660" spans="1:4" x14ac:dyDescent="0.2">
      <c r="A15660" t="str">
        <f>"15659"</f>
        <v>15659</v>
      </c>
      <c r="B15660" t="str">
        <f>"0.26"</f>
        <v>0.26</v>
      </c>
      <c r="C15660" t="str">
        <f>"66"</f>
        <v>66</v>
      </c>
      <c r="D15660" t="str">
        <f>"Gong Lake"</f>
        <v>Gong Lake</v>
      </c>
    </row>
    <row r="15661" spans="1:4" x14ac:dyDescent="0.2">
      <c r="A15661" t="str">
        <f>"15660"</f>
        <v>15660</v>
      </c>
      <c r="B15661" t="str">
        <f>"-0.55"</f>
        <v>-0.55</v>
      </c>
      <c r="C15661" t="str">
        <f>"24"</f>
        <v>24</v>
      </c>
      <c r="D15661" t="str">
        <f>"You Are Here"</f>
        <v>You Are Here</v>
      </c>
    </row>
    <row r="15662" spans="1:4" x14ac:dyDescent="0.2">
      <c r="A15662" t="str">
        <f>"15661"</f>
        <v>15661</v>
      </c>
      <c r="B15662" t="str">
        <f>"-0.57"</f>
        <v>-0.57</v>
      </c>
      <c r="C15662" t="str">
        <f>"29"</f>
        <v>29</v>
      </c>
      <c r="D15662" t="str">
        <f>"Third"</f>
        <v>Third</v>
      </c>
    </row>
    <row r="15663" spans="1:4" x14ac:dyDescent="0.2">
      <c r="A15663" t="str">
        <f>"15662"</f>
        <v>15662</v>
      </c>
      <c r="B15663" t="str">
        <f>"-0.06"</f>
        <v>-0.06</v>
      </c>
      <c r="C15663" t="str">
        <f>"29"</f>
        <v>29</v>
      </c>
      <c r="D15663" t="str">
        <f>"Hard Candy"</f>
        <v>Hard Candy</v>
      </c>
    </row>
    <row r="15664" spans="1:4" x14ac:dyDescent="0.2">
      <c r="A15664" t="str">
        <f>"15663"</f>
        <v>15663</v>
      </c>
      <c r="B15664" t="str">
        <f>"-0.65"</f>
        <v>-0.65</v>
      </c>
      <c r="C15664" t="str">
        <f>"59"</f>
        <v>59</v>
      </c>
      <c r="D15664" t="s">
        <v>501</v>
      </c>
    </row>
    <row r="15665" spans="1:4" x14ac:dyDescent="0.2">
      <c r="A15665" t="str">
        <f>"15664"</f>
        <v>15664</v>
      </c>
      <c r="B15665" t="str">
        <f>"0.55"</f>
        <v>0.55</v>
      </c>
      <c r="C15665" t="str">
        <f>"74"</f>
        <v>74</v>
      </c>
      <c r="D15665" t="str">
        <f>"Station"</f>
        <v>Station</v>
      </c>
    </row>
    <row r="15666" spans="1:4" x14ac:dyDescent="0.2">
      <c r="A15666" t="str">
        <f>"15665"</f>
        <v>15665</v>
      </c>
      <c r="B15666" t="str">
        <f>"-0.21"</f>
        <v>-0.21</v>
      </c>
      <c r="C15666" t="str">
        <f>"30"</f>
        <v>30</v>
      </c>
      <c r="D15666" t="str">
        <f>"The Airing of Grievances"</f>
        <v>The Airing of Grievances</v>
      </c>
    </row>
    <row r="15667" spans="1:4" x14ac:dyDescent="0.2">
      <c r="A15667" t="str">
        <f>"15666"</f>
        <v>15666</v>
      </c>
      <c r="B15667" t="str">
        <f>"0.23"</f>
        <v>0.23</v>
      </c>
      <c r="C15667" t="str">
        <f>"46"</f>
        <v>46</v>
      </c>
      <c r="D15667" t="str">
        <f>"Forever Changes [Collector's Edition]"</f>
        <v>Forever Changes [Collector's Edition]</v>
      </c>
    </row>
    <row r="15668" spans="1:4" x14ac:dyDescent="0.2">
      <c r="A15668" t="str">
        <f>"15667"</f>
        <v>15667</v>
      </c>
      <c r="B15668" t="str">
        <f>"0.03"</f>
        <v>0.03</v>
      </c>
      <c r="C15668" t="str">
        <f>"38"</f>
        <v>38</v>
      </c>
      <c r="D15668" t="str">
        <f>"If Children"</f>
        <v>If Children</v>
      </c>
    </row>
    <row r="15669" spans="1:4" x14ac:dyDescent="0.2">
      <c r="A15669" t="str">
        <f>"15668"</f>
        <v>15668</v>
      </c>
      <c r="B15669" t="str">
        <f>"-0.65"</f>
        <v>-0.65</v>
      </c>
      <c r="C15669" t="str">
        <f>"56"</f>
        <v>56</v>
      </c>
      <c r="D15669" t="str">
        <f>"Jane Doe Loves Me"</f>
        <v>Jane Doe Loves Me</v>
      </c>
    </row>
    <row r="15670" spans="1:4" x14ac:dyDescent="0.2">
      <c r="A15670" t="str">
        <f>"15669"</f>
        <v>15669</v>
      </c>
      <c r="B15670" t="str">
        <f>"-0.37"</f>
        <v>-0.37</v>
      </c>
      <c r="C15670" t="str">
        <f>"27"</f>
        <v>27</v>
      </c>
      <c r="D15670" t="str">
        <f>"Shots"</f>
        <v>Shots</v>
      </c>
    </row>
    <row r="15671" spans="1:4" x14ac:dyDescent="0.2">
      <c r="A15671" t="str">
        <f>"15670"</f>
        <v>15670</v>
      </c>
      <c r="B15671" t="str">
        <f>"0.24"</f>
        <v>0.24</v>
      </c>
      <c r="C15671" t="str">
        <f>"30"</f>
        <v>30</v>
      </c>
      <c r="D15671" t="str">
        <f>"Moon Safari - 10th Anniversary Edition"</f>
        <v>Moon Safari - 10th Anniversary Edition</v>
      </c>
    </row>
    <row r="15672" spans="1:4" x14ac:dyDescent="0.2">
      <c r="A15672" t="str">
        <f>"15671"</f>
        <v>15671</v>
      </c>
      <c r="B15672" t="str">
        <f>"-1.07"</f>
        <v>-1.07</v>
      </c>
      <c r="C15672" t="str">
        <f>"37"</f>
        <v>37</v>
      </c>
      <c r="D15672" t="str">
        <f>"H.N.I.C. Pt. 2"</f>
        <v>H.N.I.C. Pt. 2</v>
      </c>
    </row>
    <row r="15673" spans="1:4" x14ac:dyDescent="0.2">
      <c r="A15673" t="str">
        <f>"15672"</f>
        <v>15672</v>
      </c>
      <c r="B15673" t="str">
        <f>"-0.24"</f>
        <v>-0.24</v>
      </c>
      <c r="C15673" t="str">
        <f>"38"</f>
        <v>38</v>
      </c>
      <c r="D15673" t="str">
        <f>"Mr. Love &amp; Justice"</f>
        <v>Mr. Love &amp; Justice</v>
      </c>
    </row>
    <row r="15674" spans="1:4" x14ac:dyDescent="0.2">
      <c r="A15674" t="str">
        <f>"15673"</f>
        <v>15673</v>
      </c>
      <c r="B15674" t="str">
        <f>"0.15"</f>
        <v>0.15</v>
      </c>
      <c r="C15674" t="str">
        <f>"24"</f>
        <v>24</v>
      </c>
      <c r="D15674" t="str">
        <f>"Boogybytes Vol. 04"</f>
        <v>Boogybytes Vol. 04</v>
      </c>
    </row>
    <row r="15675" spans="1:4" x14ac:dyDescent="0.2">
      <c r="A15675" t="str">
        <f>"15674"</f>
        <v>15674</v>
      </c>
      <c r="B15675" t="str">
        <f>"1.15"</f>
        <v>1.15</v>
      </c>
      <c r="C15675" t="str">
        <f>"27"</f>
        <v>27</v>
      </c>
      <c r="D15675" t="str">
        <f>"Ishumar"</f>
        <v>Ishumar</v>
      </c>
    </row>
    <row r="15676" spans="1:4" x14ac:dyDescent="0.2">
      <c r="A15676" t="str">
        <f>"15675"</f>
        <v>15675</v>
      </c>
      <c r="B15676" t="str">
        <f>"0.24"</f>
        <v>0.24</v>
      </c>
      <c r="C15676" t="str">
        <f>"22"</f>
        <v>22</v>
      </c>
      <c r="D15676" t="str">
        <f>"Live in Liverpool"</f>
        <v>Live in Liverpool</v>
      </c>
    </row>
    <row r="15677" spans="1:4" x14ac:dyDescent="0.2">
      <c r="A15677" t="str">
        <f>"15676"</f>
        <v>15676</v>
      </c>
      <c r="B15677" t="str">
        <f>"0.37"</f>
        <v>0.37</v>
      </c>
      <c r="C15677" t="str">
        <f>"34"</f>
        <v>34</v>
      </c>
      <c r="D15677" t="str">
        <f>"Don't You Evah EP"</f>
        <v>Don't You Evah EP</v>
      </c>
    </row>
    <row r="15678" spans="1:4" x14ac:dyDescent="0.2">
      <c r="A15678" t="str">
        <f>"15677"</f>
        <v>15677</v>
      </c>
      <c r="B15678" t="str">
        <f>"-0.04"</f>
        <v>-0.04</v>
      </c>
      <c r="C15678" t="str">
        <f>"25"</f>
        <v>25</v>
      </c>
      <c r="D15678" t="str">
        <f>"Elephant Shell"</f>
        <v>Elephant Shell</v>
      </c>
    </row>
    <row r="15679" spans="1:4" x14ac:dyDescent="0.2">
      <c r="A15679" t="str">
        <f>"15678"</f>
        <v>15678</v>
      </c>
      <c r="B15679" t="str">
        <f>"0.21"</f>
        <v>0.21</v>
      </c>
      <c r="C15679" t="str">
        <f>"29"</f>
        <v>29</v>
      </c>
      <c r="D15679" t="str">
        <f>"Staying In"</f>
        <v>Staying In</v>
      </c>
    </row>
    <row r="15680" spans="1:4" x14ac:dyDescent="0.2">
      <c r="A15680" t="str">
        <f>"15679"</f>
        <v>15679</v>
      </c>
      <c r="B15680" t="str">
        <f>"1.14"</f>
        <v>1.14</v>
      </c>
      <c r="C15680" t="str">
        <f>"24"</f>
        <v>24</v>
      </c>
      <c r="D15680" t="str">
        <f>"NY's Finest"</f>
        <v>NY's Finest</v>
      </c>
    </row>
    <row r="15681" spans="1:4" x14ac:dyDescent="0.2">
      <c r="A15681" t="str">
        <f>"15680"</f>
        <v>15680</v>
      </c>
      <c r="B15681" t="str">
        <f>"0.76"</f>
        <v>0.76</v>
      </c>
      <c r="C15681" t="str">
        <f>"43"</f>
        <v>43</v>
      </c>
      <c r="D15681" t="str">
        <f>"The Age of the Understatement"</f>
        <v>The Age of the Understatement</v>
      </c>
    </row>
    <row r="15682" spans="1:4" x14ac:dyDescent="0.2">
      <c r="A15682" t="str">
        <f>"15681"</f>
        <v>15681</v>
      </c>
      <c r="B15682" t="str">
        <f>"0.87"</f>
        <v>0.87</v>
      </c>
      <c r="C15682" t="str">
        <f>"37"</f>
        <v>37</v>
      </c>
      <c r="D15682" t="str">
        <f>"Flight of the Conchords"</f>
        <v>Flight of the Conchords</v>
      </c>
    </row>
    <row r="15683" spans="1:4" x14ac:dyDescent="0.2">
      <c r="A15683" t="str">
        <f>"15682"</f>
        <v>15682</v>
      </c>
      <c r="B15683" t="str">
        <f>"-0.04"</f>
        <v>-0.04</v>
      </c>
      <c r="C15683" t="str">
        <f>"22"</f>
        <v>22</v>
      </c>
      <c r="D15683" t="str">
        <f>"Mantronix: The Album [Deluxe Edition]"</f>
        <v>Mantronix: The Album [Deluxe Edition]</v>
      </c>
    </row>
    <row r="15684" spans="1:4" x14ac:dyDescent="0.2">
      <c r="A15684" t="str">
        <f>"15683"</f>
        <v>15683</v>
      </c>
      <c r="B15684" t="str">
        <f>"0.09"</f>
        <v>0.09</v>
      </c>
      <c r="C15684" t="str">
        <f>"28"</f>
        <v>28</v>
      </c>
      <c r="D15684" t="str">
        <f>"Alison Statton"</f>
        <v>Alison Statton</v>
      </c>
    </row>
    <row r="15685" spans="1:4" x14ac:dyDescent="0.2">
      <c r="A15685" t="str">
        <f>"15684"</f>
        <v>15684</v>
      </c>
      <c r="B15685" t="str">
        <f>"0.9"</f>
        <v>0.9</v>
      </c>
      <c r="C15685" t="str">
        <f>"30"</f>
        <v>30</v>
      </c>
      <c r="D15685" t="str">
        <f>"In the Name of Love: Africa Celebrates U2"</f>
        <v>In the Name of Love: Africa Celebrates U2</v>
      </c>
    </row>
    <row r="15686" spans="1:4" x14ac:dyDescent="0.2">
      <c r="A15686" t="str">
        <f>"15685"</f>
        <v>15685</v>
      </c>
      <c r="B15686" t="str">
        <f>"-0.81"</f>
        <v>-0.81</v>
      </c>
      <c r="C15686" t="str">
        <f>"28"</f>
        <v>28</v>
      </c>
      <c r="D15686" t="str">
        <f>"Reality Check"</f>
        <v>Reality Check</v>
      </c>
    </row>
    <row r="15687" spans="1:4" x14ac:dyDescent="0.2">
      <c r="A15687" t="str">
        <f>"15686"</f>
        <v>15686</v>
      </c>
      <c r="B15687" t="str">
        <f>"0.43"</f>
        <v>0.43</v>
      </c>
      <c r="C15687" t="str">
        <f>"92"</f>
        <v>92</v>
      </c>
      <c r="D15687" t="s">
        <v>502</v>
      </c>
    </row>
    <row r="15688" spans="1:4" x14ac:dyDescent="0.2">
      <c r="A15688" t="str">
        <f>"15687"</f>
        <v>15687</v>
      </c>
      <c r="B15688" t="str">
        <f>"0.46"</f>
        <v>0.46</v>
      </c>
      <c r="C15688" t="str">
        <f>"52"</f>
        <v>52</v>
      </c>
      <c r="D15688" t="str">
        <f>"Don't Stop: Recording Tap"</f>
        <v>Don't Stop: Recording Tap</v>
      </c>
    </row>
    <row r="15689" spans="1:4" x14ac:dyDescent="0.2">
      <c r="A15689" t="str">
        <f>"15688"</f>
        <v>15688</v>
      </c>
      <c r="B15689" t="str">
        <f>"0.24"</f>
        <v>0.24</v>
      </c>
      <c r="C15689" t="str">
        <f>"24"</f>
        <v>24</v>
      </c>
      <c r="D15689" t="str">
        <f>"Bäbytalk"</f>
        <v>Bäbytalk</v>
      </c>
    </row>
    <row r="15690" spans="1:4" x14ac:dyDescent="0.2">
      <c r="A15690" t="str">
        <f>"15689"</f>
        <v>15689</v>
      </c>
      <c r="B15690" t="str">
        <f>"0.43"</f>
        <v>0.43</v>
      </c>
      <c r="C15690" t="str">
        <f>"18"</f>
        <v>18</v>
      </c>
      <c r="D15690" t="str">
        <f>"Schmancey"</f>
        <v>Schmancey</v>
      </c>
    </row>
    <row r="15691" spans="1:4" x14ac:dyDescent="0.2">
      <c r="A15691" t="str">
        <f>"15690"</f>
        <v>15690</v>
      </c>
      <c r="B15691" t="str">
        <f>"0.67"</f>
        <v>0.67</v>
      </c>
      <c r="C15691" t="str">
        <f>"83"</f>
        <v>83</v>
      </c>
      <c r="D15691" t="str">
        <f>"Skin Turns to Glass"</f>
        <v>Skin Turns to Glass</v>
      </c>
    </row>
    <row r="15692" spans="1:4" x14ac:dyDescent="0.2">
      <c r="A15692" t="str">
        <f>"15691"</f>
        <v>15691</v>
      </c>
      <c r="B15692" t="str">
        <f>"0.32"</f>
        <v>0.32</v>
      </c>
      <c r="C15692" t="str">
        <f>"20"</f>
        <v>20</v>
      </c>
      <c r="D15692" t="str">
        <f>"Magnetic Morning EP"</f>
        <v>Magnetic Morning EP</v>
      </c>
    </row>
    <row r="15693" spans="1:4" x14ac:dyDescent="0.2">
      <c r="A15693" t="str">
        <f>"15692"</f>
        <v>15692</v>
      </c>
      <c r="B15693" t="str">
        <f>"-0.32"</f>
        <v>-0.32</v>
      </c>
      <c r="C15693" t="str">
        <f>"23"</f>
        <v>23</v>
      </c>
      <c r="D15693" t="str">
        <f>"We Appreciate You"</f>
        <v>We Appreciate You</v>
      </c>
    </row>
    <row r="15694" spans="1:4" x14ac:dyDescent="0.2">
      <c r="A15694" t="str">
        <f>"15693"</f>
        <v>15693</v>
      </c>
      <c r="B15694" t="str">
        <f>"-0.89"</f>
        <v>-0.89</v>
      </c>
      <c r="C15694" t="str">
        <f>"33"</f>
        <v>33</v>
      </c>
      <c r="D15694" t="str">
        <f>"The Show"</f>
        <v>The Show</v>
      </c>
    </row>
    <row r="15695" spans="1:4" x14ac:dyDescent="0.2">
      <c r="A15695" t="str">
        <f>"15694"</f>
        <v>15694</v>
      </c>
      <c r="B15695" t="str">
        <f>"0"</f>
        <v>0</v>
      </c>
      <c r="C15695" t="str">
        <f>"46"</f>
        <v>46</v>
      </c>
      <c r="D15695" t="str">
        <f>"So Embarrassing"</f>
        <v>So Embarrassing</v>
      </c>
    </row>
    <row r="15696" spans="1:4" x14ac:dyDescent="0.2">
      <c r="A15696" t="str">
        <f>"15695"</f>
        <v>15695</v>
      </c>
      <c r="B15696" t="str">
        <f>"0.81"</f>
        <v>0.81</v>
      </c>
      <c r="C15696" t="str">
        <f>"24"</f>
        <v>24</v>
      </c>
      <c r="D15696" t="str">
        <f>"Konk"</f>
        <v>Konk</v>
      </c>
    </row>
    <row r="15697" spans="1:4" x14ac:dyDescent="0.2">
      <c r="A15697" t="str">
        <f>"15696"</f>
        <v>15696</v>
      </c>
      <c r="B15697" t="str">
        <f>"0.54"</f>
        <v>0.54</v>
      </c>
      <c r="C15697" t="str">
        <f>"58"</f>
        <v>58</v>
      </c>
      <c r="D15697" t="str">
        <f>"SVN FNGRS"</f>
        <v>SVN FNGRS</v>
      </c>
    </row>
    <row r="15698" spans="1:4" x14ac:dyDescent="0.2">
      <c r="A15698" t="str">
        <f>"15697"</f>
        <v>15697</v>
      </c>
      <c r="B15698" t="str">
        <f>"0.16"</f>
        <v>0.16</v>
      </c>
      <c r="C15698" t="str">
        <f>"31"</f>
        <v>31</v>
      </c>
      <c r="D15698" t="str">
        <f>"Dazzle Ships"</f>
        <v>Dazzle Ships</v>
      </c>
    </row>
    <row r="15699" spans="1:4" x14ac:dyDescent="0.2">
      <c r="A15699" t="str">
        <f>"15698"</f>
        <v>15698</v>
      </c>
      <c r="B15699" t="str">
        <f>"-0.1"</f>
        <v>-0.1</v>
      </c>
      <c r="C15699" t="str">
        <f>"21"</f>
        <v>21</v>
      </c>
      <c r="D15699" t="str">
        <f>"Uneasy Flowers"</f>
        <v>Uneasy Flowers</v>
      </c>
    </row>
    <row r="15700" spans="1:4" x14ac:dyDescent="0.2">
      <c r="A15700" t="str">
        <f>"15699"</f>
        <v>15699</v>
      </c>
      <c r="B15700" t="str">
        <f>"-0.88"</f>
        <v>-0.88</v>
      </c>
      <c r="C15700" t="str">
        <f>"75"</f>
        <v>75</v>
      </c>
      <c r="D15700" t="str">
        <f>"The Blood Pressure Sessions"</f>
        <v>The Blood Pressure Sessions</v>
      </c>
    </row>
    <row r="15701" spans="1:4" x14ac:dyDescent="0.2">
      <c r="A15701" t="str">
        <f>"15700"</f>
        <v>15700</v>
      </c>
      <c r="B15701" t="str">
        <f>"1.04"</f>
        <v>1.04</v>
      </c>
      <c r="C15701" t="str">
        <f>"32"</f>
        <v>32</v>
      </c>
      <c r="D15701" t="str">
        <f>"H.A.A.R.P."</f>
        <v>H.A.A.R.P.</v>
      </c>
    </row>
    <row r="15702" spans="1:4" x14ac:dyDescent="0.2">
      <c r="A15702" t="str">
        <f>"15701"</f>
        <v>15701</v>
      </c>
      <c r="B15702" t="str">
        <f>"-0.33"</f>
        <v>-0.33</v>
      </c>
      <c r="C15702" t="str">
        <f>"37"</f>
        <v>37</v>
      </c>
      <c r="D15702" t="str">
        <f>"Red"</f>
        <v>Red</v>
      </c>
    </row>
    <row r="15703" spans="1:4" x14ac:dyDescent="0.2">
      <c r="A15703" t="str">
        <f>"15702"</f>
        <v>15702</v>
      </c>
      <c r="B15703" t="str">
        <f>"0.32"</f>
        <v>0.32</v>
      </c>
      <c r="C15703" t="str">
        <f>"30"</f>
        <v>30</v>
      </c>
      <c r="D15703" t="str">
        <f>"The Seldom Seen Kid"</f>
        <v>The Seldom Seen Kid</v>
      </c>
    </row>
    <row r="15704" spans="1:4" x14ac:dyDescent="0.2">
      <c r="A15704" t="str">
        <f>"15703"</f>
        <v>15703</v>
      </c>
      <c r="B15704" t="str">
        <f>"0.03"</f>
        <v>0.03</v>
      </c>
      <c r="C15704" t="str">
        <f>"23"</f>
        <v>23</v>
      </c>
      <c r="D15704" t="s">
        <v>503</v>
      </c>
    </row>
    <row r="15705" spans="1:4" x14ac:dyDescent="0.2">
      <c r="A15705" t="str">
        <f>"15704"</f>
        <v>15704</v>
      </c>
      <c r="B15705" t="str">
        <f>"-0.4"</f>
        <v>-0.4</v>
      </c>
      <c r="C15705" t="str">
        <f>"19"</f>
        <v>19</v>
      </c>
      <c r="D15705" t="s">
        <v>504</v>
      </c>
    </row>
    <row r="15706" spans="1:4" x14ac:dyDescent="0.2">
      <c r="A15706" t="str">
        <f>"15705"</f>
        <v>15705</v>
      </c>
      <c r="B15706" t="str">
        <f>"0.53"</f>
        <v>0.53</v>
      </c>
      <c r="C15706" t="str">
        <f>"41"</f>
        <v>41</v>
      </c>
      <c r="D15706" t="str">
        <f>"Saturdays=Youth"</f>
        <v>Saturdays=Youth</v>
      </c>
    </row>
    <row r="15707" spans="1:4" x14ac:dyDescent="0.2">
      <c r="A15707" t="str">
        <f>"15706"</f>
        <v>15706</v>
      </c>
      <c r="B15707" t="str">
        <f>"0.8"</f>
        <v>0.8</v>
      </c>
      <c r="C15707" t="str">
        <f>"27"</f>
        <v>27</v>
      </c>
      <c r="D15707" t="str">
        <f>"Remix Romance Vol. 1"</f>
        <v>Remix Romance Vol. 1</v>
      </c>
    </row>
    <row r="15708" spans="1:4" x14ac:dyDescent="0.2">
      <c r="A15708" t="str">
        <f>"15707"</f>
        <v>15707</v>
      </c>
      <c r="B15708" t="str">
        <f>"0.77"</f>
        <v>0.77</v>
      </c>
      <c r="C15708" t="str">
        <f>"24"</f>
        <v>24</v>
      </c>
      <c r="D15708" t="str">
        <f>"The Mande Variations"</f>
        <v>The Mande Variations</v>
      </c>
    </row>
    <row r="15709" spans="1:4" x14ac:dyDescent="0.2">
      <c r="A15709" t="str">
        <f>"15708"</f>
        <v>15708</v>
      </c>
      <c r="B15709" t="str">
        <f>"0.32"</f>
        <v>0.32</v>
      </c>
      <c r="C15709" t="str">
        <f>"17"</f>
        <v>17</v>
      </c>
      <c r="D15709" t="str">
        <f>"Everything's Perfect"</f>
        <v>Everything's Perfect</v>
      </c>
    </row>
    <row r="15710" spans="1:4" x14ac:dyDescent="0.2">
      <c r="A15710" t="str">
        <f>"15709"</f>
        <v>15709</v>
      </c>
      <c r="B15710" t="str">
        <f>"0.56"</f>
        <v>0.56</v>
      </c>
      <c r="C15710" t="str">
        <f>"15"</f>
        <v>15</v>
      </c>
      <c r="D15710" t="str">
        <f>"Beartrap Island"</f>
        <v>Beartrap Island</v>
      </c>
    </row>
    <row r="15711" spans="1:4" x14ac:dyDescent="0.2">
      <c r="A15711" t="str">
        <f>"15710"</f>
        <v>15710</v>
      </c>
      <c r="B15711" t="str">
        <f>"-0.68"</f>
        <v>-0.68</v>
      </c>
      <c r="C15711" t="str">
        <f>"45"</f>
        <v>45</v>
      </c>
      <c r="D15711" t="str">
        <f>"Wrenches: My Heart / Double Abacus"</f>
        <v>Wrenches: My Heart / Double Abacus</v>
      </c>
    </row>
    <row r="15712" spans="1:4" x14ac:dyDescent="0.2">
      <c r="A15712" t="str">
        <f>"15711"</f>
        <v>15711</v>
      </c>
      <c r="B15712" t="str">
        <f>"0.72"</f>
        <v>0.72</v>
      </c>
      <c r="C15712" t="str">
        <f>"25"</f>
        <v>25</v>
      </c>
      <c r="D15712" t="str">
        <f>"In Ghost Colours"</f>
        <v>In Ghost Colours</v>
      </c>
    </row>
    <row r="15713" spans="1:4" x14ac:dyDescent="0.2">
      <c r="A15713" t="str">
        <f>"15712"</f>
        <v>15712</v>
      </c>
      <c r="B15713" t="str">
        <f>"0.35"</f>
        <v>0.35</v>
      </c>
      <c r="C15713" t="str">
        <f>"28"</f>
        <v>28</v>
      </c>
      <c r="D15713" t="str">
        <f>"Midnight Organ Fight"</f>
        <v>Midnight Organ Fight</v>
      </c>
    </row>
    <row r="15714" spans="1:4" x14ac:dyDescent="0.2">
      <c r="A15714" t="str">
        <f>"15713"</f>
        <v>15713</v>
      </c>
      <c r="B15714" t="str">
        <f>"0.13"</f>
        <v>0.13</v>
      </c>
      <c r="C15714" t="str">
        <f>"19"</f>
        <v>19</v>
      </c>
      <c r="D15714" t="str">
        <f>"The Air Salesmen"</f>
        <v>The Air Salesmen</v>
      </c>
    </row>
    <row r="15715" spans="1:4" x14ac:dyDescent="0.2">
      <c r="A15715" t="str">
        <f>"15714"</f>
        <v>15714</v>
      </c>
      <c r="B15715" t="str">
        <f>"0.34"</f>
        <v>0.34</v>
      </c>
      <c r="C15715" t="str">
        <f>"25"</f>
        <v>25</v>
      </c>
      <c r="D15715" t="str">
        <f>"Soundboy Rock"</f>
        <v>Soundboy Rock</v>
      </c>
    </row>
    <row r="15716" spans="1:4" x14ac:dyDescent="0.2">
      <c r="A15716" t="str">
        <f>"15715"</f>
        <v>15715</v>
      </c>
      <c r="B15716" t="str">
        <f>"-0.43"</f>
        <v>-0.43</v>
      </c>
      <c r="C15716" t="str">
        <f>"119"</f>
        <v>119</v>
      </c>
      <c r="D15716" t="str">
        <f>"April"</f>
        <v>April</v>
      </c>
    </row>
    <row r="15717" spans="1:4" x14ac:dyDescent="0.2">
      <c r="A15717" t="str">
        <f>"15716"</f>
        <v>15716</v>
      </c>
      <c r="B15717" t="str">
        <f>"-0.46"</f>
        <v>-0.46</v>
      </c>
      <c r="C15717" t="str">
        <f>"39"</f>
        <v>39</v>
      </c>
      <c r="D15717" t="str">
        <f>"""Couples"""</f>
        <v>"Couples"</v>
      </c>
    </row>
    <row r="15718" spans="1:4" x14ac:dyDescent="0.2">
      <c r="A15718" t="str">
        <f>"15717"</f>
        <v>15717</v>
      </c>
      <c r="B15718" t="str">
        <f>"0.43"</f>
        <v>0.43</v>
      </c>
      <c r="C15718" t="str">
        <f>"22"</f>
        <v>22</v>
      </c>
      <c r="D15718" t="str">
        <f>"Keep Your Eyes Ahead"</f>
        <v>Keep Your Eyes Ahead</v>
      </c>
    </row>
    <row r="15719" spans="1:4" x14ac:dyDescent="0.2">
      <c r="A15719" t="str">
        <f>"15718"</f>
        <v>15718</v>
      </c>
      <c r="B15719" t="str">
        <f>"-0.86"</f>
        <v>-0.86</v>
      </c>
      <c r="C15719" t="str">
        <f>"20"</f>
        <v>20</v>
      </c>
      <c r="D15719" t="str">
        <f>"Pershing"</f>
        <v>Pershing</v>
      </c>
    </row>
    <row r="15720" spans="1:4" x14ac:dyDescent="0.2">
      <c r="A15720" t="str">
        <f>"15719"</f>
        <v>15719</v>
      </c>
      <c r="B15720" t="str">
        <f>"-0.03"</f>
        <v>-0.03</v>
      </c>
      <c r="C15720" t="str">
        <f>"34"</f>
        <v>34</v>
      </c>
      <c r="D15720" t="str">
        <f>"Feel Good Ghosts (Tea-Partying Through Tornadoes)"</f>
        <v>Feel Good Ghosts (Tea-Partying Through Tornadoes)</v>
      </c>
    </row>
    <row r="15721" spans="1:4" x14ac:dyDescent="0.2">
      <c r="A15721" t="str">
        <f>"15720"</f>
        <v>15720</v>
      </c>
      <c r="B15721" t="str">
        <f>"0.95"</f>
        <v>0.95</v>
      </c>
      <c r="C15721" t="str">
        <f>"117"</f>
        <v>117</v>
      </c>
      <c r="D15721" t="str">
        <f>"The Sound of Philadelphia: Gamble &amp; Huff's Greatest Hits"</f>
        <v>The Sound of Philadelphia: Gamble &amp; Huff's Greatest Hits</v>
      </c>
    </row>
    <row r="15722" spans="1:4" x14ac:dyDescent="0.2">
      <c r="A15722" t="str">
        <f>"15721"</f>
        <v>15721</v>
      </c>
      <c r="B15722" t="str">
        <f>"-0.37"</f>
        <v>-0.37</v>
      </c>
      <c r="C15722" t="str">
        <f>"30"</f>
        <v>30</v>
      </c>
      <c r="D15722" t="str">
        <f>"Walk It Off"</f>
        <v>Walk It Off</v>
      </c>
    </row>
    <row r="15723" spans="1:4" x14ac:dyDescent="0.2">
      <c r="A15723" t="str">
        <f>"15722"</f>
        <v>15722</v>
      </c>
      <c r="B15723" t="str">
        <f>"0.09"</f>
        <v>0.09</v>
      </c>
      <c r="C15723" t="str">
        <f>"41"</f>
        <v>41</v>
      </c>
      <c r="D15723" t="str">
        <f>"Antidotes"</f>
        <v>Antidotes</v>
      </c>
    </row>
    <row r="15724" spans="1:4" x14ac:dyDescent="0.2">
      <c r="A15724" t="str">
        <f>"15723"</f>
        <v>15723</v>
      </c>
      <c r="B15724" t="str">
        <f>"-1.04"</f>
        <v>-1.04</v>
      </c>
      <c r="C15724" t="str">
        <f>"23"</f>
        <v>23</v>
      </c>
      <c r="D15724" t="str">
        <f>"Music for Lamping"</f>
        <v>Music for Lamping</v>
      </c>
    </row>
    <row r="15725" spans="1:4" x14ac:dyDescent="0.2">
      <c r="A15725" t="str">
        <f>"15724"</f>
        <v>15724</v>
      </c>
      <c r="B15725" t="str">
        <f>"0.27"</f>
        <v>0.27</v>
      </c>
      <c r="C15725" t="str">
        <f>"21"</f>
        <v>21</v>
      </c>
      <c r="D15725" t="str">
        <f>"Neptune"</f>
        <v>Neptune</v>
      </c>
    </row>
    <row r="15726" spans="1:4" x14ac:dyDescent="0.2">
      <c r="A15726" t="str">
        <f>"15725"</f>
        <v>15725</v>
      </c>
      <c r="B15726" t="str">
        <f>"-1.04"</f>
        <v>-1.04</v>
      </c>
      <c r="C15726" t="str">
        <f>"32"</f>
        <v>32</v>
      </c>
      <c r="D15726" t="str">
        <f>"The Last Tycoon"</f>
        <v>The Last Tycoon</v>
      </c>
    </row>
    <row r="15727" spans="1:4" x14ac:dyDescent="0.2">
      <c r="A15727" t="str">
        <f>"15726"</f>
        <v>15726</v>
      </c>
      <c r="B15727" t="str">
        <f>"-0.26"</f>
        <v>-0.26</v>
      </c>
      <c r="C15727" t="str">
        <f>"45"</f>
        <v>45</v>
      </c>
      <c r="D15727" t="str">
        <f>"Piasa...Devourer of Men"</f>
        <v>Piasa...Devourer of Men</v>
      </c>
    </row>
    <row r="15728" spans="1:4" x14ac:dyDescent="0.2">
      <c r="A15728" t="str">
        <f>"15727"</f>
        <v>15727</v>
      </c>
      <c r="B15728" t="str">
        <f>"0.5"</f>
        <v>0.5</v>
      </c>
      <c r="C15728" t="str">
        <f>"25"</f>
        <v>25</v>
      </c>
      <c r="D15728" t="str">
        <f>"Mountain Battles"</f>
        <v>Mountain Battles</v>
      </c>
    </row>
    <row r="15729" spans="1:4" x14ac:dyDescent="0.2">
      <c r="A15729" t="str">
        <f>"15728"</f>
        <v>15728</v>
      </c>
      <c r="B15729" t="str">
        <f>"0.39"</f>
        <v>0.39</v>
      </c>
      <c r="C15729" t="str">
        <f>"62"</f>
        <v>62</v>
      </c>
      <c r="D15729" t="str">
        <f>"Asking for Flowers"</f>
        <v>Asking for Flowers</v>
      </c>
    </row>
    <row r="15730" spans="1:4" x14ac:dyDescent="0.2">
      <c r="A15730" t="str">
        <f>"15729"</f>
        <v>15729</v>
      </c>
      <c r="B15730" t="str">
        <f>"1.15"</f>
        <v>1.15</v>
      </c>
      <c r="C15730" t="str">
        <f>"28"</f>
        <v>28</v>
      </c>
      <c r="D15730" t="str">
        <f>"In Light"</f>
        <v>In Light</v>
      </c>
    </row>
    <row r="15731" spans="1:4" x14ac:dyDescent="0.2">
      <c r="A15731" t="str">
        <f>"15730"</f>
        <v>15730</v>
      </c>
      <c r="B15731" t="str">
        <f>"0.34"</f>
        <v>0.34</v>
      </c>
      <c r="C15731" t="str">
        <f>"44"</f>
        <v>44</v>
      </c>
      <c r="D15731" t="str">
        <f>"Sings Live!"</f>
        <v>Sings Live!</v>
      </c>
    </row>
    <row r="15732" spans="1:4" x14ac:dyDescent="0.2">
      <c r="A15732" t="str">
        <f>"15731"</f>
        <v>15731</v>
      </c>
      <c r="B15732" t="str">
        <f>"-0.47"</f>
        <v>-0.47</v>
      </c>
      <c r="C15732" t="str">
        <f>"28"</f>
        <v>28</v>
      </c>
      <c r="D15732" t="str">
        <f>"Rabbit Habits"</f>
        <v>Rabbit Habits</v>
      </c>
    </row>
    <row r="15733" spans="1:4" x14ac:dyDescent="0.2">
      <c r="A15733" t="str">
        <f>"15732"</f>
        <v>15732</v>
      </c>
      <c r="B15733" t="str">
        <f>"0.68"</f>
        <v>0.68</v>
      </c>
      <c r="C15733" t="str">
        <f>"26"</f>
        <v>26</v>
      </c>
      <c r="D15733" t="s">
        <v>505</v>
      </c>
    </row>
    <row r="15734" spans="1:4" x14ac:dyDescent="0.2">
      <c r="A15734" t="str">
        <f>"15733"</f>
        <v>15733</v>
      </c>
      <c r="B15734" t="str">
        <f>"-0.7"</f>
        <v>-0.7</v>
      </c>
      <c r="C15734" t="str">
        <f>"33"</f>
        <v>33</v>
      </c>
      <c r="D15734" t="s">
        <v>506</v>
      </c>
    </row>
    <row r="15735" spans="1:4" x14ac:dyDescent="0.2">
      <c r="A15735" t="str">
        <f>"15734"</f>
        <v>15734</v>
      </c>
      <c r="B15735" t="str">
        <f>"0.24"</f>
        <v>0.24</v>
      </c>
      <c r="C15735" t="str">
        <f>"34"</f>
        <v>34</v>
      </c>
      <c r="D15735" t="str">
        <f>"The Felice Brothers"</f>
        <v>The Felice Brothers</v>
      </c>
    </row>
    <row r="15736" spans="1:4" x14ac:dyDescent="0.2">
      <c r="A15736" t="str">
        <f>"15735"</f>
        <v>15735</v>
      </c>
      <c r="B15736" t="str">
        <f>"-0.57"</f>
        <v>-0.57</v>
      </c>
      <c r="C15736" t="str">
        <f>"35"</f>
        <v>35</v>
      </c>
      <c r="D15736" t="str">
        <f>"Dig!!! Lazarus Dig!!!"</f>
        <v>Dig!!! Lazarus Dig!!!</v>
      </c>
    </row>
    <row r="15737" spans="1:4" x14ac:dyDescent="0.2">
      <c r="A15737" t="str">
        <f>"15736"</f>
        <v>15736</v>
      </c>
      <c r="B15737" t="str">
        <f>"0.43"</f>
        <v>0.43</v>
      </c>
      <c r="C15737" t="str">
        <f>"23"</f>
        <v>23</v>
      </c>
      <c r="D15737" t="str">
        <f>"Do It!"</f>
        <v>Do It!</v>
      </c>
    </row>
    <row r="15738" spans="1:4" x14ac:dyDescent="0.2">
      <c r="A15738" t="str">
        <f>"15737"</f>
        <v>15737</v>
      </c>
      <c r="B15738" t="str">
        <f>"0.81"</f>
        <v>0.81</v>
      </c>
      <c r="C15738" t="str">
        <f>"29"</f>
        <v>29</v>
      </c>
      <c r="D15738" t="s">
        <v>507</v>
      </c>
    </row>
    <row r="15739" spans="1:4" x14ac:dyDescent="0.2">
      <c r="A15739" t="str">
        <f>"15738"</f>
        <v>15738</v>
      </c>
      <c r="B15739" t="str">
        <f>"0.41"</f>
        <v>0.41</v>
      </c>
      <c r="C15739" t="str">
        <f>"36"</f>
        <v>36</v>
      </c>
      <c r="D15739" t="str">
        <f>"Birds"</f>
        <v>Birds</v>
      </c>
    </row>
    <row r="15740" spans="1:4" x14ac:dyDescent="0.2">
      <c r="A15740" t="str">
        <f>"15739"</f>
        <v>15739</v>
      </c>
      <c r="B15740" t="str">
        <f>"-1.17"</f>
        <v>-1.17</v>
      </c>
      <c r="C15740" t="str">
        <f>"42"</f>
        <v>42</v>
      </c>
      <c r="D15740" t="str">
        <f>"Disintoxication"</f>
        <v>Disintoxication</v>
      </c>
    </row>
    <row r="15741" spans="1:4" x14ac:dyDescent="0.2">
      <c r="A15741" t="str">
        <f>"15740"</f>
        <v>15740</v>
      </c>
      <c r="B15741" t="str">
        <f>"0.38"</f>
        <v>0.38</v>
      </c>
      <c r="C15741" t="str">
        <f>"31"</f>
        <v>31</v>
      </c>
      <c r="D15741" t="str">
        <f>"The Glow Pt. 2"</f>
        <v>The Glow Pt. 2</v>
      </c>
    </row>
    <row r="15742" spans="1:4" x14ac:dyDescent="0.2">
      <c r="A15742" t="str">
        <f>"15741"</f>
        <v>15741</v>
      </c>
      <c r="B15742" t="str">
        <f>"0.27"</f>
        <v>0.27</v>
      </c>
      <c r="C15742" t="str">
        <f>"96"</f>
        <v>96</v>
      </c>
      <c r="D15742" t="str">
        <f>"One Hell of a Ride"</f>
        <v>One Hell of a Ride</v>
      </c>
    </row>
    <row r="15743" spans="1:4" x14ac:dyDescent="0.2">
      <c r="A15743" t="str">
        <f>"15742"</f>
        <v>15742</v>
      </c>
      <c r="B15743" t="str">
        <f>"0.67"</f>
        <v>0.67</v>
      </c>
      <c r="C15743" t="str">
        <f>"67"</f>
        <v>67</v>
      </c>
      <c r="D15743" t="str">
        <f>"Little Death"</f>
        <v>Little Death</v>
      </c>
    </row>
    <row r="15744" spans="1:4" x14ac:dyDescent="0.2">
      <c r="A15744" t="str">
        <f>"15743"</f>
        <v>15743</v>
      </c>
      <c r="B15744" t="str">
        <f>"0.97"</f>
        <v>0.97</v>
      </c>
      <c r="C15744" t="str">
        <f>"72"</f>
        <v>72</v>
      </c>
      <c r="D15744" t="str">
        <f>"A Sense of Purpose"</f>
        <v>A Sense of Purpose</v>
      </c>
    </row>
    <row r="15745" spans="1:4" x14ac:dyDescent="0.2">
      <c r="A15745" t="str">
        <f>"15744"</f>
        <v>15744</v>
      </c>
      <c r="B15745" t="str">
        <f>"-0.3"</f>
        <v>-0.3</v>
      </c>
      <c r="C15745" t="str">
        <f>"51"</f>
        <v>51</v>
      </c>
      <c r="D15745" t="str">
        <f>"Love Is Real"</f>
        <v>Love Is Real</v>
      </c>
    </row>
    <row r="15746" spans="1:4" x14ac:dyDescent="0.2">
      <c r="A15746" t="str">
        <f>"15745"</f>
        <v>15745</v>
      </c>
      <c r="B15746" t="str">
        <f>"0.41"</f>
        <v>0.41</v>
      </c>
      <c r="C15746" t="str">
        <f>"32"</f>
        <v>32</v>
      </c>
      <c r="D15746" t="str">
        <f>"Last Night"</f>
        <v>Last Night</v>
      </c>
    </row>
    <row r="15747" spans="1:4" x14ac:dyDescent="0.2">
      <c r="A15747" t="str">
        <f>"15746"</f>
        <v>15746</v>
      </c>
      <c r="B15747" t="str">
        <f>"1.13"</f>
        <v>1.13</v>
      </c>
      <c r="C15747" t="str">
        <f>"21"</f>
        <v>21</v>
      </c>
      <c r="D15747" t="str">
        <f>"Electronic Projects for Musicians"</f>
        <v>Electronic Projects for Musicians</v>
      </c>
    </row>
    <row r="15748" spans="1:4" x14ac:dyDescent="0.2">
      <c r="A15748" t="str">
        <f>"15747"</f>
        <v>15747</v>
      </c>
      <c r="B15748" t="str">
        <f>"0.5"</f>
        <v>0.5</v>
      </c>
      <c r="C15748" t="str">
        <f>"18"</f>
        <v>18</v>
      </c>
      <c r="D15748" t="str">
        <f>"Cold &amp; Kind"</f>
        <v>Cold &amp; Kind</v>
      </c>
    </row>
    <row r="15749" spans="1:4" x14ac:dyDescent="0.2">
      <c r="A15749" t="str">
        <f>"15748"</f>
        <v>15748</v>
      </c>
      <c r="B15749" t="str">
        <f>"1.67"</f>
        <v>1.67</v>
      </c>
      <c r="C15749" t="str">
        <f>"22"</f>
        <v>22</v>
      </c>
      <c r="D15749" t="str">
        <f>"The Garden of Forking Paths"</f>
        <v>The Garden of Forking Paths</v>
      </c>
    </row>
    <row r="15750" spans="1:4" x14ac:dyDescent="0.2">
      <c r="A15750" t="str">
        <f>"15749"</f>
        <v>15749</v>
      </c>
      <c r="B15750" t="str">
        <f>"-0.27"</f>
        <v>-0.27</v>
      </c>
      <c r="C15750" t="str">
        <f>"42"</f>
        <v>42</v>
      </c>
      <c r="D15750" t="str">
        <f>"Savage Life 2"</f>
        <v>Savage Life 2</v>
      </c>
    </row>
    <row r="15751" spans="1:4" x14ac:dyDescent="0.2">
      <c r="A15751" t="str">
        <f>"15750"</f>
        <v>15750</v>
      </c>
      <c r="B15751" t="str">
        <f>"0.54"</f>
        <v>0.54</v>
      </c>
      <c r="C15751" t="str">
        <f>"41"</f>
        <v>41</v>
      </c>
      <c r="D15751" t="str">
        <f>"Ghosts I-IV"</f>
        <v>Ghosts I-IV</v>
      </c>
    </row>
    <row r="15752" spans="1:4" x14ac:dyDescent="0.2">
      <c r="A15752" t="str">
        <f>"15751"</f>
        <v>15751</v>
      </c>
      <c r="B15752" t="str">
        <f>"-1.23"</f>
        <v>-1.23</v>
      </c>
      <c r="C15752" t="str">
        <f>"14"</f>
        <v>14</v>
      </c>
      <c r="D15752" t="str">
        <f>"59.59"</f>
        <v>59.59</v>
      </c>
    </row>
    <row r="15753" spans="1:4" x14ac:dyDescent="0.2">
      <c r="A15753" t="str">
        <f>"15752"</f>
        <v>15752</v>
      </c>
      <c r="B15753" t="str">
        <f>"-0.6"</f>
        <v>-0.6</v>
      </c>
      <c r="C15753" t="str">
        <f>"42"</f>
        <v>42</v>
      </c>
      <c r="D15753" t="str">
        <f>"Cover Up"</f>
        <v>Cover Up</v>
      </c>
    </row>
    <row r="15754" spans="1:4" x14ac:dyDescent="0.2">
      <c r="A15754" t="str">
        <f>"15753"</f>
        <v>15753</v>
      </c>
      <c r="B15754" t="str">
        <f>"-1.38"</f>
        <v>-1.38</v>
      </c>
      <c r="C15754" t="str">
        <f>"21"</f>
        <v>21</v>
      </c>
      <c r="D15754" t="str">
        <f>"Blood Moon"</f>
        <v>Blood Moon</v>
      </c>
    </row>
    <row r="15755" spans="1:4" x14ac:dyDescent="0.2">
      <c r="A15755" t="str">
        <f>"15754"</f>
        <v>15754</v>
      </c>
      <c r="B15755" t="str">
        <f>"-0.15"</f>
        <v>-0.15</v>
      </c>
      <c r="C15755" t="str">
        <f>"22"</f>
        <v>22</v>
      </c>
      <c r="D15755" t="str">
        <f>"Flock"</f>
        <v>Flock</v>
      </c>
    </row>
    <row r="15756" spans="1:4" x14ac:dyDescent="0.2">
      <c r="A15756" t="str">
        <f>"15755"</f>
        <v>15755</v>
      </c>
      <c r="B15756" t="str">
        <f>"0.49"</f>
        <v>0.49</v>
      </c>
      <c r="C15756" t="str">
        <f>"26"</f>
        <v>26</v>
      </c>
      <c r="D15756" t="str">
        <f>"Consolers of the Lonely"</f>
        <v>Consolers of the Lonely</v>
      </c>
    </row>
    <row r="15757" spans="1:4" x14ac:dyDescent="0.2">
      <c r="A15757" t="str">
        <f>"15756"</f>
        <v>15756</v>
      </c>
      <c r="B15757" t="str">
        <f>"-1.12"</f>
        <v>-1.12</v>
      </c>
      <c r="C15757" t="str">
        <f>"34"</f>
        <v>34</v>
      </c>
      <c r="D15757" t="str">
        <f>"Attack &amp; Release"</f>
        <v>Attack &amp; Release</v>
      </c>
    </row>
    <row r="15758" spans="1:4" x14ac:dyDescent="0.2">
      <c r="A15758" t="str">
        <f>"15757"</f>
        <v>15757</v>
      </c>
      <c r="B15758" t="str">
        <f>"0.77"</f>
        <v>0.77</v>
      </c>
      <c r="C15758" t="str">
        <f>"33"</f>
        <v>33</v>
      </c>
      <c r="D15758" t="str">
        <f>"Everywhere at Once"</f>
        <v>Everywhere at Once</v>
      </c>
    </row>
    <row r="15759" spans="1:4" x14ac:dyDescent="0.2">
      <c r="A15759" t="str">
        <f>"15758"</f>
        <v>15758</v>
      </c>
      <c r="B15759" t="str">
        <f>"0.03"</f>
        <v>0.03</v>
      </c>
      <c r="C15759" t="str">
        <f>"60"</f>
        <v>60</v>
      </c>
      <c r="D15759" t="str">
        <f>"Innocent Youths"</f>
        <v>Innocent Youths</v>
      </c>
    </row>
    <row r="15760" spans="1:4" x14ac:dyDescent="0.2">
      <c r="A15760" t="str">
        <f>"15759"</f>
        <v>15759</v>
      </c>
      <c r="B15760" t="str">
        <f>"0.09"</f>
        <v>0.09</v>
      </c>
      <c r="C15760" t="str">
        <f>"23"</f>
        <v>23</v>
      </c>
      <c r="D15760" t="str">
        <f>"Demonstration Tape (1997-2007)"</f>
        <v>Demonstration Tape (1997-2007)</v>
      </c>
    </row>
    <row r="15761" spans="1:4" x14ac:dyDescent="0.2">
      <c r="A15761" t="str">
        <f>"15760"</f>
        <v>15760</v>
      </c>
      <c r="B15761" t="str">
        <f>"0.38"</f>
        <v>0.38</v>
      </c>
      <c r="C15761" t="str">
        <f>"37"</f>
        <v>37</v>
      </c>
      <c r="D15761" t="str">
        <f>"Accelerate"</f>
        <v>Accelerate</v>
      </c>
    </row>
    <row r="15762" spans="1:4" x14ac:dyDescent="0.2">
      <c r="A15762" t="str">
        <f>"15761"</f>
        <v>15761</v>
      </c>
      <c r="B15762" t="str">
        <f>"0.71"</f>
        <v>0.71</v>
      </c>
      <c r="C15762" t="str">
        <f>"84"</f>
        <v>84</v>
      </c>
      <c r="D15762" t="str">
        <f>"Live 1969"</f>
        <v>Live 1969</v>
      </c>
    </row>
    <row r="15763" spans="1:4" x14ac:dyDescent="0.2">
      <c r="A15763" t="str">
        <f>"15762"</f>
        <v>15762</v>
      </c>
      <c r="B15763" t="str">
        <f>"0.71"</f>
        <v>0.71</v>
      </c>
      <c r="C15763" t="str">
        <f>"52"</f>
        <v>52</v>
      </c>
      <c r="D15763" t="str">
        <f>"No Disco Future"</f>
        <v>No Disco Future</v>
      </c>
    </row>
    <row r="15764" spans="1:4" x14ac:dyDescent="0.2">
      <c r="A15764" t="str">
        <f>"15763"</f>
        <v>15763</v>
      </c>
      <c r="B15764" t="str">
        <f>"-0.17"</f>
        <v>-0.17</v>
      </c>
      <c r="C15764" t="str">
        <f>"29"</f>
        <v>29</v>
      </c>
      <c r="D15764" t="str">
        <f>"Supercluster: The Big Dipper Anthology"</f>
        <v>Supercluster: The Big Dipper Anthology</v>
      </c>
    </row>
    <row r="15765" spans="1:4" x14ac:dyDescent="0.2">
      <c r="A15765" t="str">
        <f>"15764"</f>
        <v>15764</v>
      </c>
      <c r="B15765" t="str">
        <f>"0.56"</f>
        <v>0.56</v>
      </c>
      <c r="C15765" t="str">
        <f>"55"</f>
        <v>55</v>
      </c>
      <c r="D15765" t="str">
        <f>"Only as the Day Is Long"</f>
        <v>Only as the Day Is Long</v>
      </c>
    </row>
    <row r="15766" spans="1:4" x14ac:dyDescent="0.2">
      <c r="A15766" t="str">
        <f>"15765"</f>
        <v>15765</v>
      </c>
      <c r="B15766" t="str">
        <f>"-0.18"</f>
        <v>-0.18</v>
      </c>
      <c r="C15766" t="str">
        <f>"32"</f>
        <v>32</v>
      </c>
      <c r="D15766" t="str">
        <f>"It's a Shame About Ray [Collector's Edition]"</f>
        <v>It's a Shame About Ray [Collector's Edition]</v>
      </c>
    </row>
    <row r="15767" spans="1:4" x14ac:dyDescent="0.2">
      <c r="A15767" t="str">
        <f>"15766"</f>
        <v>15766</v>
      </c>
      <c r="B15767" t="str">
        <f>"1.41"</f>
        <v>1.41</v>
      </c>
      <c r="C15767" t="str">
        <f>"21"</f>
        <v>21</v>
      </c>
      <c r="D15767" t="str">
        <f>"Body Language 6"</f>
        <v>Body Language 6</v>
      </c>
    </row>
    <row r="15768" spans="1:4" x14ac:dyDescent="0.2">
      <c r="A15768" t="str">
        <f>"15767"</f>
        <v>15767</v>
      </c>
      <c r="B15768" t="str">
        <f>"0.6"</f>
        <v>0.6</v>
      </c>
      <c r="C15768" t="str">
        <f>"27"</f>
        <v>27</v>
      </c>
      <c r="D15768" t="str">
        <f>"Debt Dept"</f>
        <v>Debt Dept</v>
      </c>
    </row>
    <row r="15769" spans="1:4" x14ac:dyDescent="0.2">
      <c r="A15769" t="str">
        <f>"15768"</f>
        <v>15768</v>
      </c>
      <c r="B15769" t="str">
        <f>"-0.2"</f>
        <v>-0.2</v>
      </c>
      <c r="C15769" t="str">
        <f>"21"</f>
        <v>21</v>
      </c>
      <c r="D15769" t="str">
        <f>"Hawk Medicine"</f>
        <v>Hawk Medicine</v>
      </c>
    </row>
    <row r="15770" spans="1:4" x14ac:dyDescent="0.2">
      <c r="A15770" t="str">
        <f>"15769"</f>
        <v>15769</v>
      </c>
      <c r="B15770" t="str">
        <f>"0.53"</f>
        <v>0.53</v>
      </c>
      <c r="C15770" t="str">
        <f>"27"</f>
        <v>27</v>
      </c>
      <c r="D15770" t="str">
        <f>"Trilla"</f>
        <v>Trilla</v>
      </c>
    </row>
    <row r="15771" spans="1:4" x14ac:dyDescent="0.2">
      <c r="A15771" t="str">
        <f>"15770"</f>
        <v>15770</v>
      </c>
      <c r="B15771" t="str">
        <f>"0.89"</f>
        <v>0.89</v>
      </c>
      <c r="C15771" t="str">
        <f>"43"</f>
        <v>43</v>
      </c>
      <c r="D15771" t="str">
        <f>"Funplex"</f>
        <v>Funplex</v>
      </c>
    </row>
    <row r="15772" spans="1:4" x14ac:dyDescent="0.2">
      <c r="A15772" t="str">
        <f>"15771"</f>
        <v>15771</v>
      </c>
      <c r="B15772" t="str">
        <f>"0.73"</f>
        <v>0.73</v>
      </c>
      <c r="C15772" t="str">
        <f>"21"</f>
        <v>21</v>
      </c>
      <c r="D15772" t="str">
        <f>"Sessions"</f>
        <v>Sessions</v>
      </c>
    </row>
    <row r="15773" spans="1:4" x14ac:dyDescent="0.2">
      <c r="A15773" t="str">
        <f>"15772"</f>
        <v>15772</v>
      </c>
      <c r="B15773" t="str">
        <f>"-0.12"</f>
        <v>-0.12</v>
      </c>
      <c r="C15773" t="str">
        <f>"27"</f>
        <v>27</v>
      </c>
      <c r="D15773" t="str">
        <f>"At All Ends"</f>
        <v>At All Ends</v>
      </c>
    </row>
    <row r="15774" spans="1:4" x14ac:dyDescent="0.2">
      <c r="A15774" t="str">
        <f>"15773"</f>
        <v>15773</v>
      </c>
      <c r="B15774" t="str">
        <f>"0.01"</f>
        <v>0.01</v>
      </c>
      <c r="C15774" t="str">
        <f>"20"</f>
        <v>20</v>
      </c>
      <c r="D15774" t="str">
        <f>"J2"</f>
        <v>J2</v>
      </c>
    </row>
    <row r="15775" spans="1:4" x14ac:dyDescent="0.2">
      <c r="A15775" t="str">
        <f>"15774"</f>
        <v>15774</v>
      </c>
      <c r="B15775" t="str">
        <f>"-0.84"</f>
        <v>-0.84</v>
      </c>
      <c r="C15775" t="str">
        <f>"57"</f>
        <v>57</v>
      </c>
      <c r="D15775" t="str">
        <f>"On High"</f>
        <v>On High</v>
      </c>
    </row>
    <row r="15776" spans="1:4" x14ac:dyDescent="0.2">
      <c r="A15776" t="str">
        <f>"15775"</f>
        <v>15775</v>
      </c>
      <c r="B15776" t="str">
        <f>"-0.53"</f>
        <v>-0.53</v>
      </c>
      <c r="C15776" t="str">
        <f>"27"</f>
        <v>27</v>
      </c>
      <c r="D15776" t="str">
        <f>"The Odd Couple"</f>
        <v>The Odd Couple</v>
      </c>
    </row>
    <row r="15777" spans="1:4" x14ac:dyDescent="0.2">
      <c r="A15777" t="str">
        <f>"15776"</f>
        <v>15776</v>
      </c>
      <c r="B15777" t="str">
        <f>"-0.72"</f>
        <v>-0.72</v>
      </c>
      <c r="C15777" t="str">
        <f>"39"</f>
        <v>39</v>
      </c>
      <c r="D15777" t="str">
        <f>"13 Blues for Thirteen Moons"</f>
        <v>13 Blues for Thirteen Moons</v>
      </c>
    </row>
    <row r="15778" spans="1:4" x14ac:dyDescent="0.2">
      <c r="A15778" t="str">
        <f>"15777"</f>
        <v>15777</v>
      </c>
      <c r="B15778" t="str">
        <f>"1.2"</f>
        <v>1.2</v>
      </c>
      <c r="C15778" t="str">
        <f>"20"</f>
        <v>20</v>
      </c>
      <c r="D15778" t="str">
        <f>"Go Away White"</f>
        <v>Go Away White</v>
      </c>
    </row>
    <row r="15779" spans="1:4" x14ac:dyDescent="0.2">
      <c r="A15779" t="str">
        <f>"15778"</f>
        <v>15778</v>
      </c>
      <c r="B15779" t="str">
        <f>"-0.94"</f>
        <v>-0.94</v>
      </c>
      <c r="C15779" t="str">
        <f>"23"</f>
        <v>23</v>
      </c>
      <c r="D15779" t="str">
        <f>"Humanimals"</f>
        <v>Humanimals</v>
      </c>
    </row>
    <row r="15780" spans="1:4" x14ac:dyDescent="0.2">
      <c r="A15780" t="str">
        <f>"15779"</f>
        <v>15779</v>
      </c>
      <c r="B15780" t="str">
        <f>"-0.45"</f>
        <v>-0.45</v>
      </c>
      <c r="C15780" t="str">
        <f>"66"</f>
        <v>66</v>
      </c>
      <c r="D15780" t="str">
        <f>"Another Country"</f>
        <v>Another Country</v>
      </c>
    </row>
    <row r="15781" spans="1:4" x14ac:dyDescent="0.2">
      <c r="A15781" t="str">
        <f>"15780"</f>
        <v>15780</v>
      </c>
      <c r="B15781" t="str">
        <f>"-0.55"</f>
        <v>-0.55</v>
      </c>
      <c r="C15781" t="str">
        <f>"38"</f>
        <v>38</v>
      </c>
      <c r="D15781" t="str">
        <f>"Trouble in Dreams"</f>
        <v>Trouble in Dreams</v>
      </c>
    </row>
    <row r="15782" spans="1:4" x14ac:dyDescent="0.2">
      <c r="A15782" t="str">
        <f>"15781"</f>
        <v>15781</v>
      </c>
      <c r="B15782" t="str">
        <f>"-0.57"</f>
        <v>-0.57</v>
      </c>
      <c r="C15782" t="str">
        <f>"37"</f>
        <v>37</v>
      </c>
      <c r="D15782" t="str">
        <f>"You Have No Idea What You Are Getting Yourself Into"</f>
        <v>You Have No Idea What You Are Getting Yourself Into</v>
      </c>
    </row>
    <row r="15783" spans="1:4" x14ac:dyDescent="0.2">
      <c r="A15783" t="str">
        <f>"15782"</f>
        <v>15782</v>
      </c>
      <c r="B15783" t="str">
        <f>"-1.29"</f>
        <v>-1.29</v>
      </c>
      <c r="C15783" t="str">
        <f>"42"</f>
        <v>42</v>
      </c>
      <c r="D15783" t="str">
        <f>"Alogon"</f>
        <v>Alogon</v>
      </c>
    </row>
    <row r="15784" spans="1:4" x14ac:dyDescent="0.2">
      <c r="A15784" t="str">
        <f>"15783"</f>
        <v>15783</v>
      </c>
      <c r="B15784" t="str">
        <f>"0.22"</f>
        <v>0.22</v>
      </c>
      <c r="C15784" t="str">
        <f>"27"</f>
        <v>27</v>
      </c>
      <c r="D15784" t="str">
        <f>"Magnificent Fiend"</f>
        <v>Magnificent Fiend</v>
      </c>
    </row>
    <row r="15785" spans="1:4" x14ac:dyDescent="0.2">
      <c r="A15785" t="str">
        <f>"15784"</f>
        <v>15784</v>
      </c>
      <c r="B15785" t="str">
        <f>"-0.36"</f>
        <v>-0.36</v>
      </c>
      <c r="C15785" t="str">
        <f>"64"</f>
        <v>64</v>
      </c>
      <c r="D15785" t="str">
        <f>"Phylactery Factory"</f>
        <v>Phylactery Factory</v>
      </c>
    </row>
    <row r="15786" spans="1:4" x14ac:dyDescent="0.2">
      <c r="A15786" t="str">
        <f>"15785"</f>
        <v>15785</v>
      </c>
      <c r="B15786" t="str">
        <f>"0.66"</f>
        <v>0.66</v>
      </c>
      <c r="C15786" t="str">
        <f>"37"</f>
        <v>37</v>
      </c>
      <c r="D15786" t="s">
        <v>508</v>
      </c>
    </row>
    <row r="15787" spans="1:4" x14ac:dyDescent="0.2">
      <c r="A15787" t="str">
        <f>"15786"</f>
        <v>15786</v>
      </c>
      <c r="B15787" t="str">
        <f>"0.07"</f>
        <v>0.07</v>
      </c>
      <c r="C15787" t="str">
        <f>"24"</f>
        <v>24</v>
      </c>
      <c r="D15787" t="str">
        <f>"Retribution Gospel Choir"</f>
        <v>Retribution Gospel Choir</v>
      </c>
    </row>
    <row r="15788" spans="1:4" x14ac:dyDescent="0.2">
      <c r="A15788" t="str">
        <f>"15787"</f>
        <v>15787</v>
      </c>
      <c r="B15788" t="str">
        <f>"0.94"</f>
        <v>0.94</v>
      </c>
      <c r="C15788" t="str">
        <f>"68"</f>
        <v>68</v>
      </c>
      <c r="D15788" t="str">
        <f>"Sixes &amp; Sevens"</f>
        <v>Sixes &amp; Sevens</v>
      </c>
    </row>
    <row r="15789" spans="1:4" x14ac:dyDescent="0.2">
      <c r="A15789" t="str">
        <f>"15788"</f>
        <v>15788</v>
      </c>
      <c r="B15789" t="str">
        <f>"-0.25"</f>
        <v>-0.25</v>
      </c>
      <c r="C15789" t="str">
        <f>"22"</f>
        <v>22</v>
      </c>
      <c r="D15789" t="str">
        <f>"UnonoU"</f>
        <v>UnonoU</v>
      </c>
    </row>
    <row r="15790" spans="1:4" x14ac:dyDescent="0.2">
      <c r="A15790" t="str">
        <f>"15789"</f>
        <v>15789</v>
      </c>
      <c r="B15790" t="str">
        <f>"-0.24"</f>
        <v>-0.24</v>
      </c>
      <c r="C15790" t="str">
        <f>"78"</f>
        <v>78</v>
      </c>
      <c r="D15790" t="str">
        <f>"Golden Delicious"</f>
        <v>Golden Delicious</v>
      </c>
    </row>
    <row r="15791" spans="1:4" x14ac:dyDescent="0.2">
      <c r="A15791" t="str">
        <f>"15790"</f>
        <v>15790</v>
      </c>
      <c r="B15791" t="str">
        <f>"-0.21"</f>
        <v>-0.21</v>
      </c>
      <c r="C15791" t="str">
        <f>"17"</f>
        <v>17</v>
      </c>
      <c r="D15791" t="str">
        <f>"In a Cave"</f>
        <v>In a Cave</v>
      </c>
    </row>
    <row r="15792" spans="1:4" x14ac:dyDescent="0.2">
      <c r="A15792" t="str">
        <f>"15791"</f>
        <v>15791</v>
      </c>
      <c r="B15792" t="str">
        <f>"1.14"</f>
        <v>1.14</v>
      </c>
      <c r="C15792" t="str">
        <f>"23"</f>
        <v>23</v>
      </c>
      <c r="D15792" t="str">
        <f>"Visiter"</f>
        <v>Visiter</v>
      </c>
    </row>
    <row r="15793" spans="1:4" x14ac:dyDescent="0.2">
      <c r="A15793" t="str">
        <f>"15792"</f>
        <v>15792</v>
      </c>
      <c r="B15793" t="str">
        <f>"0.43"</f>
        <v>0.43</v>
      </c>
      <c r="C15793" t="str">
        <f>"26"</f>
        <v>26</v>
      </c>
      <c r="D15793" t="str">
        <f>"Love and Circuits: A Cardboard Records Compilation (From Aa To Zs)"</f>
        <v>Love and Circuits: A Cardboard Records Compilation (From Aa To Zs)</v>
      </c>
    </row>
    <row r="15794" spans="1:4" x14ac:dyDescent="0.2">
      <c r="A15794" t="str">
        <f>"15793"</f>
        <v>15793</v>
      </c>
      <c r="B15794" t="str">
        <f>"0.14"</f>
        <v>0.14</v>
      </c>
      <c r="C15794" t="str">
        <f>"59"</f>
        <v>59</v>
      </c>
      <c r="D15794" t="str">
        <f>"Alles Wieder Offen"</f>
        <v>Alles Wieder Offen</v>
      </c>
    </row>
    <row r="15795" spans="1:4" x14ac:dyDescent="0.2">
      <c r="A15795" t="str">
        <f>"15794"</f>
        <v>15794</v>
      </c>
      <c r="B15795" t="str">
        <f>"0.27"</f>
        <v>0.27</v>
      </c>
      <c r="C15795" t="str">
        <f>"29"</f>
        <v>29</v>
      </c>
      <c r="D15795" t="str">
        <f>"Venus on Earth"</f>
        <v>Venus on Earth</v>
      </c>
    </row>
    <row r="15796" spans="1:4" x14ac:dyDescent="0.2">
      <c r="A15796" t="str">
        <f>"15795"</f>
        <v>15795</v>
      </c>
      <c r="B15796" t="str">
        <f>"0.16"</f>
        <v>0.16</v>
      </c>
      <c r="C15796" t="str">
        <f>"25"</f>
        <v>25</v>
      </c>
      <c r="D15796" t="str">
        <f>"Midnight Boom"</f>
        <v>Midnight Boom</v>
      </c>
    </row>
    <row r="15797" spans="1:4" x14ac:dyDescent="0.2">
      <c r="A15797" t="str">
        <f>"15796"</f>
        <v>15796</v>
      </c>
      <c r="B15797" t="str">
        <f>"0.32"</f>
        <v>0.32</v>
      </c>
      <c r="C15797" t="str">
        <f>"19"</f>
        <v>19</v>
      </c>
      <c r="D15797" t="str">
        <f>"Brain Thrust Mastery"</f>
        <v>Brain Thrust Mastery</v>
      </c>
    </row>
    <row r="15798" spans="1:4" x14ac:dyDescent="0.2">
      <c r="A15798" t="str">
        <f>"15797"</f>
        <v>15797</v>
      </c>
      <c r="B15798" t="str">
        <f>"-1.7"</f>
        <v>-1.7</v>
      </c>
      <c r="C15798" t="str">
        <f>"38"</f>
        <v>38</v>
      </c>
      <c r="D15798" t="str">
        <f>"Hungry for Nothing"</f>
        <v>Hungry for Nothing</v>
      </c>
    </row>
    <row r="15799" spans="1:4" x14ac:dyDescent="0.2">
      <c r="A15799" t="str">
        <f>"15798"</f>
        <v>15798</v>
      </c>
      <c r="B15799" t="str">
        <f>"0.02"</f>
        <v>0.02</v>
      </c>
      <c r="C15799" t="str">
        <f>"24"</f>
        <v>24</v>
      </c>
      <c r="D15799" t="str">
        <f>"Annwn"</f>
        <v>Annwn</v>
      </c>
    </row>
    <row r="15800" spans="1:4" x14ac:dyDescent="0.2">
      <c r="A15800" t="str">
        <f>"15799"</f>
        <v>15799</v>
      </c>
      <c r="B15800" t="str">
        <f>"0"</f>
        <v>0</v>
      </c>
      <c r="C15800" t="str">
        <f>"33"</f>
        <v>33</v>
      </c>
      <c r="D15800" t="str">
        <f>"I Shall Exterminate Everything Around Me That Restricts Me From Being the Master"</f>
        <v>I Shall Exterminate Everything Around Me That Restricts Me From Being the Master</v>
      </c>
    </row>
    <row r="15801" spans="1:4" x14ac:dyDescent="0.2">
      <c r="A15801" t="str">
        <f>"15800"</f>
        <v>15800</v>
      </c>
      <c r="B15801" t="str">
        <f>"-0.35"</f>
        <v>-0.35</v>
      </c>
      <c r="C15801" t="str">
        <f>"24"</f>
        <v>24</v>
      </c>
      <c r="D15801" t="str">
        <f>"Get Awkward"</f>
        <v>Get Awkward</v>
      </c>
    </row>
    <row r="15802" spans="1:4" x14ac:dyDescent="0.2">
      <c r="A15802" t="str">
        <f>"15801"</f>
        <v>15801</v>
      </c>
      <c r="B15802" t="str">
        <f>"0"</f>
        <v>0</v>
      </c>
      <c r="C15802" t="str">
        <f>"34"</f>
        <v>34</v>
      </c>
      <c r="D15802" t="str">
        <f>"A Mad &amp; Faithful Telling"</f>
        <v>A Mad &amp; Faithful Telling</v>
      </c>
    </row>
    <row r="15803" spans="1:4" x14ac:dyDescent="0.2">
      <c r="A15803" t="str">
        <f>"15802"</f>
        <v>15802</v>
      </c>
      <c r="B15803" t="str">
        <f>"-0.68"</f>
        <v>-0.68</v>
      </c>
      <c r="C15803" t="str">
        <f>"21"</f>
        <v>21</v>
      </c>
      <c r="D15803" t="str">
        <f>"Angels of Destruction!"</f>
        <v>Angels of Destruction!</v>
      </c>
    </row>
    <row r="15804" spans="1:4" x14ac:dyDescent="0.2">
      <c r="A15804" t="str">
        <f>"15803"</f>
        <v>15803</v>
      </c>
      <c r="B15804" t="str">
        <f>"0.76"</f>
        <v>0.76</v>
      </c>
      <c r="C15804" t="str">
        <f>"70"</f>
        <v>70</v>
      </c>
      <c r="D15804" t="str">
        <f>"Two Rivers"</f>
        <v>Two Rivers</v>
      </c>
    </row>
    <row r="15805" spans="1:4" x14ac:dyDescent="0.2">
      <c r="A15805" t="str">
        <f>"15804"</f>
        <v>15804</v>
      </c>
      <c r="B15805" t="str">
        <f>"-0.34"</f>
        <v>-0.34</v>
      </c>
      <c r="C15805" t="str">
        <f>"34"</f>
        <v>34</v>
      </c>
      <c r="D15805" t="str">
        <f>"Just a Little Lovin'"</f>
        <v>Just a Little Lovin'</v>
      </c>
    </row>
    <row r="15806" spans="1:4" x14ac:dyDescent="0.2">
      <c r="A15806" t="str">
        <f>"15805"</f>
        <v>15805</v>
      </c>
      <c r="B15806" t="str">
        <f>"1.59"</f>
        <v>1.59</v>
      </c>
      <c r="C15806" t="str">
        <f>"26"</f>
        <v>26</v>
      </c>
      <c r="D15806" t="str">
        <f>"IV"</f>
        <v>IV</v>
      </c>
    </row>
    <row r="15807" spans="1:4" x14ac:dyDescent="0.2">
      <c r="A15807" t="str">
        <f>"15806"</f>
        <v>15806</v>
      </c>
      <c r="B15807" t="str">
        <f>"1.11"</f>
        <v>1.11</v>
      </c>
      <c r="C15807" t="str">
        <f>"29"</f>
        <v>29</v>
      </c>
      <c r="D15807" t="str">
        <f>"This Year's Model: Deluxe Edition"</f>
        <v>This Year's Model: Deluxe Edition</v>
      </c>
    </row>
    <row r="15808" spans="1:4" x14ac:dyDescent="0.2">
      <c r="A15808" t="str">
        <f>"15807"</f>
        <v>15807</v>
      </c>
      <c r="B15808" t="str">
        <f>"-0.19"</f>
        <v>-0.19</v>
      </c>
      <c r="C15808" t="str">
        <f>"19"</f>
        <v>19</v>
      </c>
      <c r="D15808" t="str">
        <f>"Beat Pyramid"</f>
        <v>Beat Pyramid</v>
      </c>
    </row>
    <row r="15809" spans="1:4" x14ac:dyDescent="0.2">
      <c r="A15809" t="str">
        <f>"15808"</f>
        <v>15808</v>
      </c>
      <c r="B15809" t="str">
        <f>"0.49"</f>
        <v>0.49</v>
      </c>
      <c r="C15809" t="str">
        <f>"57"</f>
        <v>57</v>
      </c>
      <c r="D15809" t="str">
        <f>"To Serve With Love"</f>
        <v>To Serve With Love</v>
      </c>
    </row>
    <row r="15810" spans="1:4" x14ac:dyDescent="0.2">
      <c r="A15810" t="str">
        <f>"15809"</f>
        <v>15809</v>
      </c>
      <c r="B15810" t="str">
        <f>"0.55"</f>
        <v>0.55</v>
      </c>
      <c r="C15810" t="str">
        <f>"24"</f>
        <v>24</v>
      </c>
      <c r="D15810" t="str">
        <f>"Pop Ambient 2008"</f>
        <v>Pop Ambient 2008</v>
      </c>
    </row>
    <row r="15811" spans="1:4" x14ac:dyDescent="0.2">
      <c r="A15811" t="str">
        <f>"15810"</f>
        <v>15810</v>
      </c>
      <c r="B15811" t="str">
        <f>"-0.18"</f>
        <v>-0.18</v>
      </c>
      <c r="C15811" t="str">
        <f>"25"</f>
        <v>25</v>
      </c>
      <c r="D15811" t="str">
        <f>"Street Horrrsing"</f>
        <v>Street Horrrsing</v>
      </c>
    </row>
    <row r="15812" spans="1:4" x14ac:dyDescent="0.2">
      <c r="A15812" t="str">
        <f>"15811"</f>
        <v>15811</v>
      </c>
      <c r="B15812" t="str">
        <f>"0.35"</f>
        <v>0.35</v>
      </c>
      <c r="C15812" t="str">
        <f>"60"</f>
        <v>60</v>
      </c>
      <c r="D15812" t="str">
        <f>"Crystal Castles"</f>
        <v>Crystal Castles</v>
      </c>
    </row>
    <row r="15813" spans="1:4" x14ac:dyDescent="0.2">
      <c r="A15813" t="str">
        <f>"15812"</f>
        <v>15812</v>
      </c>
      <c r="B15813" t="str">
        <f>"-0.29"</f>
        <v>-0.29</v>
      </c>
      <c r="C15813" t="str">
        <f>"34"</f>
        <v>34</v>
      </c>
      <c r="D15813" t="str">
        <f>"Overture: Live in Nippon Yusen Soko 2006"</f>
        <v>Overture: Live in Nippon Yusen Soko 2006</v>
      </c>
    </row>
    <row r="15814" spans="1:4" x14ac:dyDescent="0.2">
      <c r="A15814" t="str">
        <f>"15813"</f>
        <v>15813</v>
      </c>
      <c r="B15814" t="str">
        <f>"-0.69"</f>
        <v>-0.69</v>
      </c>
      <c r="C15814" t="str">
        <f>"51"</f>
        <v>51</v>
      </c>
      <c r="D15814" t="str">
        <f>"The Last Sucker"</f>
        <v>The Last Sucker</v>
      </c>
    </row>
    <row r="15815" spans="1:4" x14ac:dyDescent="0.2">
      <c r="A15815" t="str">
        <f>"15814"</f>
        <v>15814</v>
      </c>
      <c r="B15815" t="str">
        <f>"-0.26"</f>
        <v>-0.26</v>
      </c>
      <c r="C15815" t="str">
        <f>"15"</f>
        <v>15</v>
      </c>
      <c r="D15815" t="str">
        <f>"Sleep Forever"</f>
        <v>Sleep Forever</v>
      </c>
    </row>
    <row r="15816" spans="1:4" x14ac:dyDescent="0.2">
      <c r="A15816" t="str">
        <f>"15815"</f>
        <v>15815</v>
      </c>
      <c r="B15816" t="str">
        <f>"0.28"</f>
        <v>0.28</v>
      </c>
      <c r="C15816" t="str">
        <f>"35"</f>
        <v>35</v>
      </c>
      <c r="D15816" t="str">
        <f>"Stainless Style"</f>
        <v>Stainless Style</v>
      </c>
    </row>
    <row r="15817" spans="1:4" x14ac:dyDescent="0.2">
      <c r="A15817" t="str">
        <f>"15816"</f>
        <v>15816</v>
      </c>
      <c r="B15817" t="str">
        <f>"0.81"</f>
        <v>0.81</v>
      </c>
      <c r="C15817" t="str">
        <f>"42"</f>
        <v>42</v>
      </c>
      <c r="D15817" t="str">
        <f>"Ego Trippin'"</f>
        <v>Ego Trippin'</v>
      </c>
    </row>
    <row r="15818" spans="1:4" x14ac:dyDescent="0.2">
      <c r="A15818" t="str">
        <f>"15817"</f>
        <v>15817</v>
      </c>
      <c r="B15818" t="str">
        <f>"0.13"</f>
        <v>0.13</v>
      </c>
      <c r="C15818" t="str">
        <f>"56"</f>
        <v>56</v>
      </c>
      <c r="D15818" t="str">
        <f>"The LK vs. the Snow"</f>
        <v>The LK vs. the Snow</v>
      </c>
    </row>
    <row r="15819" spans="1:4" x14ac:dyDescent="0.2">
      <c r="A15819" t="str">
        <f>"15818"</f>
        <v>15818</v>
      </c>
      <c r="B15819" t="str">
        <f>"-0.59"</f>
        <v>-0.59</v>
      </c>
      <c r="C15819" t="str">
        <f>"26"</f>
        <v>26</v>
      </c>
      <c r="D15819" t="str">
        <f>"Autumn Response"</f>
        <v>Autumn Response</v>
      </c>
    </row>
    <row r="15820" spans="1:4" x14ac:dyDescent="0.2">
      <c r="A15820" t="str">
        <f>"15819"</f>
        <v>15819</v>
      </c>
      <c r="B15820" t="str">
        <f>"0.4"</f>
        <v>0.4</v>
      </c>
      <c r="C15820" t="str">
        <f>"75"</f>
        <v>75</v>
      </c>
      <c r="D15820" t="str">
        <f>"City of Microphones"</f>
        <v>City of Microphones</v>
      </c>
    </row>
    <row r="15821" spans="1:4" x14ac:dyDescent="0.2">
      <c r="A15821" t="str">
        <f>"15820"</f>
        <v>15820</v>
      </c>
      <c r="B15821" t="str">
        <f>"-0.31"</f>
        <v>-0.31</v>
      </c>
      <c r="C15821" t="str">
        <f>"82"</f>
        <v>82</v>
      </c>
      <c r="D15821" t="str">
        <f>"The 11th Hour"</f>
        <v>The 11th Hour</v>
      </c>
    </row>
    <row r="15822" spans="1:4" x14ac:dyDescent="0.2">
      <c r="A15822" t="str">
        <f>"15821"</f>
        <v>15821</v>
      </c>
      <c r="B15822" t="str">
        <f>"0.59"</f>
        <v>0.59</v>
      </c>
      <c r="C15822" t="str">
        <f>"79"</f>
        <v>79</v>
      </c>
      <c r="D15822" t="str">
        <f>"Parc Avenue"</f>
        <v>Parc Avenue</v>
      </c>
    </row>
    <row r="15823" spans="1:4" x14ac:dyDescent="0.2">
      <c r="A15823" t="str">
        <f>"15822"</f>
        <v>15822</v>
      </c>
      <c r="B15823" t="str">
        <f>"0.26"</f>
        <v>0.26</v>
      </c>
      <c r="C15823" t="str">
        <f>"69"</f>
        <v>69</v>
      </c>
      <c r="D15823" t="str">
        <f>"Cove"</f>
        <v>Cove</v>
      </c>
    </row>
    <row r="15824" spans="1:4" x14ac:dyDescent="0.2">
      <c r="A15824" t="str">
        <f>"15823"</f>
        <v>15823</v>
      </c>
      <c r="B15824" t="str">
        <f>"-0.33"</f>
        <v>-0.33</v>
      </c>
      <c r="C15824" t="str">
        <f>"16"</f>
        <v>16</v>
      </c>
      <c r="D15824" t="str">
        <f>"Grand Archives"</f>
        <v>Grand Archives</v>
      </c>
    </row>
    <row r="15825" spans="1:4" x14ac:dyDescent="0.2">
      <c r="A15825" t="str">
        <f>"15824"</f>
        <v>15824</v>
      </c>
      <c r="B15825" t="str">
        <f>"0.2"</f>
        <v>0.2</v>
      </c>
      <c r="C15825" t="str">
        <f>"77"</f>
        <v>77</v>
      </c>
      <c r="D15825" t="str">
        <f>"Return of the Giant Slits"</f>
        <v>Return of the Giant Slits</v>
      </c>
    </row>
    <row r="15826" spans="1:4" x14ac:dyDescent="0.2">
      <c r="A15826" t="str">
        <f>"15825"</f>
        <v>15825</v>
      </c>
      <c r="B15826" t="str">
        <f>"0.33"</f>
        <v>0.33</v>
      </c>
      <c r="C15826" t="str">
        <f>"42"</f>
        <v>42</v>
      </c>
      <c r="D15826" t="str">
        <f>"Hercules and Love Affair"</f>
        <v>Hercules and Love Affair</v>
      </c>
    </row>
    <row r="15827" spans="1:4" x14ac:dyDescent="0.2">
      <c r="A15827" t="str">
        <f>"15826"</f>
        <v>15826</v>
      </c>
      <c r="B15827" t="str">
        <f>"0.06"</f>
        <v>0.06</v>
      </c>
      <c r="C15827" t="str">
        <f>"103"</f>
        <v>103</v>
      </c>
      <c r="D15827" t="str">
        <f>"Strangers Almanac: Deluxe Edition"</f>
        <v>Strangers Almanac: Deluxe Edition</v>
      </c>
    </row>
    <row r="15828" spans="1:4" x14ac:dyDescent="0.2">
      <c r="A15828" t="str">
        <f>"15827"</f>
        <v>15827</v>
      </c>
      <c r="B15828" t="str">
        <f>"-0.22"</f>
        <v>-0.22</v>
      </c>
      <c r="C15828" t="str">
        <f>"69"</f>
        <v>69</v>
      </c>
      <c r="D15828" t="str">
        <f>"Fool's Gold"</f>
        <v>Fool's Gold</v>
      </c>
    </row>
    <row r="15829" spans="1:4" x14ac:dyDescent="0.2">
      <c r="A15829" t="str">
        <f>"15828"</f>
        <v>15828</v>
      </c>
      <c r="B15829" t="str">
        <f>"0.72"</f>
        <v>0.72</v>
      </c>
      <c r="C15829" t="str">
        <f>"20"</f>
        <v>20</v>
      </c>
      <c r="D15829" t="str">
        <f>"Love Goes On: A Tribute to Grant McLennan"</f>
        <v>Love Goes On: A Tribute to Grant McLennan</v>
      </c>
    </row>
    <row r="15830" spans="1:4" x14ac:dyDescent="0.2">
      <c r="A15830" t="str">
        <f>"15829"</f>
        <v>15829</v>
      </c>
      <c r="B15830" t="str">
        <f>"0.79"</f>
        <v>0.79</v>
      </c>
      <c r="C15830" t="str">
        <f>"20"</f>
        <v>20</v>
      </c>
      <c r="D15830" t="str">
        <f>"Come Into My House"</f>
        <v>Come Into My House</v>
      </c>
    </row>
    <row r="15831" spans="1:4" x14ac:dyDescent="0.2">
      <c r="A15831" t="str">
        <f>"15830"</f>
        <v>15830</v>
      </c>
      <c r="B15831" t="str">
        <f>"-0.7"</f>
        <v>-0.7</v>
      </c>
      <c r="C15831" t="str">
        <f>"41"</f>
        <v>41</v>
      </c>
      <c r="D15831" t="str">
        <f>"Alopecia"</f>
        <v>Alopecia</v>
      </c>
    </row>
    <row r="15832" spans="1:4" x14ac:dyDescent="0.2">
      <c r="A15832" t="str">
        <f>"15831"</f>
        <v>15831</v>
      </c>
      <c r="B15832" t="str">
        <f>"-0.39"</f>
        <v>-0.39</v>
      </c>
      <c r="C15832" t="str">
        <f>"55"</f>
        <v>55</v>
      </c>
      <c r="D15832" t="str">
        <f>"Guitar Trio Is My Life!"</f>
        <v>Guitar Trio Is My Life!</v>
      </c>
    </row>
    <row r="15833" spans="1:4" x14ac:dyDescent="0.2">
      <c r="A15833" t="str">
        <f>"15832"</f>
        <v>15832</v>
      </c>
      <c r="B15833" t="str">
        <f>"-0.55"</f>
        <v>-0.55</v>
      </c>
      <c r="C15833" t="str">
        <f>"67"</f>
        <v>67</v>
      </c>
      <c r="D15833" t="str">
        <f>"Precambrian"</f>
        <v>Precambrian</v>
      </c>
    </row>
    <row r="15834" spans="1:4" x14ac:dyDescent="0.2">
      <c r="A15834" t="str">
        <f>"15833"</f>
        <v>15833</v>
      </c>
      <c r="B15834" t="str">
        <f>"0.9"</f>
        <v>0.9</v>
      </c>
      <c r="C15834" t="str">
        <f>"23"</f>
        <v>23</v>
      </c>
      <c r="D15834" t="str">
        <f>"Basic Replay"</f>
        <v>Basic Replay</v>
      </c>
    </row>
    <row r="15835" spans="1:4" x14ac:dyDescent="0.2">
      <c r="A15835" t="str">
        <f>"15834"</f>
        <v>15834</v>
      </c>
      <c r="B15835" t="str">
        <f>"0.27"</f>
        <v>0.27</v>
      </c>
      <c r="C15835" t="str">
        <f>"57"</f>
        <v>57</v>
      </c>
      <c r="D15835" t="str">
        <f>"The Imagination Stage"</f>
        <v>The Imagination Stage</v>
      </c>
    </row>
    <row r="15836" spans="1:4" x14ac:dyDescent="0.2">
      <c r="A15836" t="str">
        <f>"15835"</f>
        <v>15835</v>
      </c>
      <c r="B15836" t="str">
        <f>"0.23"</f>
        <v>0.23</v>
      </c>
      <c r="C15836" t="str">
        <f>"30"</f>
        <v>30</v>
      </c>
      <c r="D15836" t="str">
        <f>"Volume One"</f>
        <v>Volume One</v>
      </c>
    </row>
    <row r="15837" spans="1:4" x14ac:dyDescent="0.2">
      <c r="A15837" t="str">
        <f>"15836"</f>
        <v>15836</v>
      </c>
      <c r="B15837" t="str">
        <f>"-0.84"</f>
        <v>-0.84</v>
      </c>
      <c r="C15837" t="str">
        <f>"21"</f>
        <v>21</v>
      </c>
      <c r="D15837" t="str">
        <f>"The Hits"</f>
        <v>The Hits</v>
      </c>
    </row>
    <row r="15838" spans="1:4" x14ac:dyDescent="0.2">
      <c r="A15838" t="str">
        <f>"15837"</f>
        <v>15837</v>
      </c>
      <c r="B15838" t="str">
        <f>"-0.72"</f>
        <v>-0.72</v>
      </c>
      <c r="C15838" t="str">
        <f>"19"</f>
        <v>19</v>
      </c>
      <c r="D15838" t="str">
        <f>"14 kt God"</f>
        <v>14 kt God</v>
      </c>
    </row>
    <row r="15839" spans="1:4" x14ac:dyDescent="0.2">
      <c r="A15839" t="str">
        <f>"15838"</f>
        <v>15838</v>
      </c>
      <c r="B15839" t="str">
        <f>"-0.43"</f>
        <v>-0.43</v>
      </c>
      <c r="C15839" t="str">
        <f>"21"</f>
        <v>21</v>
      </c>
      <c r="D15839" t="str">
        <f>"Longplay 2"</f>
        <v>Longplay 2</v>
      </c>
    </row>
    <row r="15840" spans="1:4" x14ac:dyDescent="0.2">
      <c r="A15840" t="str">
        <f>"15839"</f>
        <v>15839</v>
      </c>
      <c r="B15840" t="str">
        <f>"1.53"</f>
        <v>1.53</v>
      </c>
      <c r="C15840" t="str">
        <f>"78"</f>
        <v>78</v>
      </c>
      <c r="D15840" t="str">
        <f>"Lovers Prayers"</f>
        <v>Lovers Prayers</v>
      </c>
    </row>
    <row r="15841" spans="1:4" x14ac:dyDescent="0.2">
      <c r="A15841" t="str">
        <f>"15840"</f>
        <v>15840</v>
      </c>
      <c r="B15841" t="str">
        <f>"0.69"</f>
        <v>0.69</v>
      </c>
      <c r="C15841" t="str">
        <f>"18"</f>
        <v>18</v>
      </c>
      <c r="D15841" t="str">
        <f>"Sea Lion"</f>
        <v>Sea Lion</v>
      </c>
    </row>
    <row r="15842" spans="1:4" x14ac:dyDescent="0.2">
      <c r="A15842" t="str">
        <f>"15841"</f>
        <v>15841</v>
      </c>
      <c r="B15842" t="str">
        <f>"0.17"</f>
        <v>0.17</v>
      </c>
      <c r="C15842" t="str">
        <f>"25"</f>
        <v>25</v>
      </c>
      <c r="D15842" t="str">
        <f>"Migration"</f>
        <v>Migration</v>
      </c>
    </row>
    <row r="15843" spans="1:4" x14ac:dyDescent="0.2">
      <c r="A15843" t="str">
        <f>"15842"</f>
        <v>15842</v>
      </c>
      <c r="B15843" t="str">
        <f>"-1.96"</f>
        <v>-1.96</v>
      </c>
      <c r="C15843" t="str">
        <f>"24"</f>
        <v>24</v>
      </c>
      <c r="D15843" t="str">
        <f>"R.I.P."</f>
        <v>R.I.P.</v>
      </c>
    </row>
    <row r="15844" spans="1:4" x14ac:dyDescent="0.2">
      <c r="A15844" t="str">
        <f>"15843"</f>
        <v>15843</v>
      </c>
      <c r="B15844" t="str">
        <f>"-0.45"</f>
        <v>-0.45</v>
      </c>
      <c r="C15844" t="str">
        <f>"71"</f>
        <v>71</v>
      </c>
      <c r="D15844" t="str">
        <f>"Moonbeams"</f>
        <v>Moonbeams</v>
      </c>
    </row>
    <row r="15845" spans="1:4" x14ac:dyDescent="0.2">
      <c r="A15845" t="str">
        <f>"15844"</f>
        <v>15844</v>
      </c>
      <c r="B15845" t="str">
        <f>"-0.58"</f>
        <v>-0.58</v>
      </c>
      <c r="C15845" t="str">
        <f>"24"</f>
        <v>24</v>
      </c>
      <c r="D15845" t="str">
        <f>"Board Up the House"</f>
        <v>Board Up the House</v>
      </c>
    </row>
    <row r="15846" spans="1:4" x14ac:dyDescent="0.2">
      <c r="A15846" t="str">
        <f>"15845"</f>
        <v>15845</v>
      </c>
      <c r="B15846" t="str">
        <f>"0.06"</f>
        <v>0.06</v>
      </c>
      <c r="C15846" t="str">
        <f>"80"</f>
        <v>80</v>
      </c>
      <c r="D15846" t="str">
        <f>"Turning Dragon"</f>
        <v>Turning Dragon</v>
      </c>
    </row>
    <row r="15847" spans="1:4" x14ac:dyDescent="0.2">
      <c r="A15847" t="str">
        <f>"15846"</f>
        <v>15846</v>
      </c>
      <c r="B15847" t="str">
        <f>"0.41"</f>
        <v>0.41</v>
      </c>
      <c r="C15847" t="str">
        <f>"31"</f>
        <v>31</v>
      </c>
      <c r="D15847" t="s">
        <v>509</v>
      </c>
    </row>
    <row r="15848" spans="1:4" x14ac:dyDescent="0.2">
      <c r="A15848" t="str">
        <f>"15847"</f>
        <v>15847</v>
      </c>
      <c r="B15848" t="str">
        <f>"-0.45"</f>
        <v>-0.45</v>
      </c>
      <c r="C15848" t="str">
        <f>"24"</f>
        <v>24</v>
      </c>
      <c r="D15848" t="str">
        <f>"Transparent Knives"</f>
        <v>Transparent Knives</v>
      </c>
    </row>
    <row r="15849" spans="1:4" x14ac:dyDescent="0.2">
      <c r="A15849" t="str">
        <f>"15848"</f>
        <v>15848</v>
      </c>
      <c r="B15849" t="str">
        <f>"-0.58"</f>
        <v>-0.58</v>
      </c>
      <c r="C15849" t="str">
        <f>"18"</f>
        <v>18</v>
      </c>
      <c r="D15849" t="str">
        <f>"What Doesn't Kill Us"</f>
        <v>What Doesn't Kill Us</v>
      </c>
    </row>
    <row r="15850" spans="1:4" x14ac:dyDescent="0.2">
      <c r="A15850" t="str">
        <f>"15849"</f>
        <v>15849</v>
      </c>
      <c r="B15850" t="str">
        <f>"-0.67"</f>
        <v>-0.67</v>
      </c>
      <c r="C15850" t="str">
        <f>"19"</f>
        <v>19</v>
      </c>
      <c r="D15850" t="str">
        <f>"Residue Hymns EP"</f>
        <v>Residue Hymns EP</v>
      </c>
    </row>
    <row r="15851" spans="1:4" x14ac:dyDescent="0.2">
      <c r="A15851" t="str">
        <f>"15850"</f>
        <v>15850</v>
      </c>
      <c r="B15851" t="str">
        <f>"-0.35"</f>
        <v>-0.35</v>
      </c>
      <c r="C15851" t="str">
        <f>"108"</f>
        <v>108</v>
      </c>
      <c r="D15851" t="str">
        <f>"Quaristice"</f>
        <v>Quaristice</v>
      </c>
    </row>
    <row r="15852" spans="1:4" x14ac:dyDescent="0.2">
      <c r="A15852" t="str">
        <f>"15851"</f>
        <v>15851</v>
      </c>
      <c r="B15852" t="str">
        <f>"-0.09"</f>
        <v>-0.09</v>
      </c>
      <c r="C15852" t="str">
        <f>"23"</f>
        <v>23</v>
      </c>
      <c r="D15852" t="str">
        <f>"Robotique Majestique"</f>
        <v>Robotique Majestique</v>
      </c>
    </row>
    <row r="15853" spans="1:4" x14ac:dyDescent="0.2">
      <c r="A15853" t="str">
        <f>"15852"</f>
        <v>15852</v>
      </c>
      <c r="B15853" t="str">
        <f>"-0.25"</f>
        <v>-0.25</v>
      </c>
      <c r="C15853" t="str">
        <f>"19"</f>
        <v>19</v>
      </c>
      <c r="D15853" t="str">
        <f>"War Without End"</f>
        <v>War Without End</v>
      </c>
    </row>
    <row r="15854" spans="1:4" x14ac:dyDescent="0.2">
      <c r="A15854" t="str">
        <f>"15853"</f>
        <v>15853</v>
      </c>
      <c r="B15854" t="str">
        <f>"0.2"</f>
        <v>0.2</v>
      </c>
      <c r="C15854" t="str">
        <f>"58"</f>
        <v>58</v>
      </c>
      <c r="D15854" t="str">
        <f>"Mirror/Messenger"</f>
        <v>Mirror/Messenger</v>
      </c>
    </row>
    <row r="15855" spans="1:4" x14ac:dyDescent="0.2">
      <c r="A15855" t="str">
        <f>"15854"</f>
        <v>15854</v>
      </c>
      <c r="B15855" t="str">
        <f>"0.55"</f>
        <v>0.55</v>
      </c>
      <c r="C15855" t="str">
        <f>"58"</f>
        <v>58</v>
      </c>
      <c r="D15855" t="str">
        <f>"Little Happyness"</f>
        <v>Little Happyness</v>
      </c>
    </row>
    <row r="15856" spans="1:4" x14ac:dyDescent="0.2">
      <c r="A15856" t="str">
        <f>"15855"</f>
        <v>15855</v>
      </c>
      <c r="B15856" t="str">
        <f>"-0.72"</f>
        <v>-0.72</v>
      </c>
      <c r="C15856" t="str">
        <f>"81"</f>
        <v>81</v>
      </c>
      <c r="D15856" t="str">
        <f>"Saturnalia"</f>
        <v>Saturnalia</v>
      </c>
    </row>
    <row r="15857" spans="1:4" x14ac:dyDescent="0.2">
      <c r="A15857" t="str">
        <f>"15856"</f>
        <v>15856</v>
      </c>
      <c r="B15857" t="str">
        <f>"-0.18"</f>
        <v>-0.18</v>
      </c>
      <c r="C15857" t="str">
        <f>"36"</f>
        <v>36</v>
      </c>
      <c r="D15857" t="str">
        <f>"Afterparty Babies"</f>
        <v>Afterparty Babies</v>
      </c>
    </row>
    <row r="15858" spans="1:4" x14ac:dyDescent="0.2">
      <c r="A15858" t="str">
        <f>"15857"</f>
        <v>15857</v>
      </c>
      <c r="B15858" t="str">
        <f>"1.04"</f>
        <v>1.04</v>
      </c>
      <c r="C15858" t="str">
        <f>"37"</f>
        <v>37</v>
      </c>
      <c r="D15858" t="str">
        <f>"Nothing Is Underrated"</f>
        <v>Nothing Is Underrated</v>
      </c>
    </row>
    <row r="15859" spans="1:4" x14ac:dyDescent="0.2">
      <c r="A15859" t="str">
        <f>"15858"</f>
        <v>15858</v>
      </c>
      <c r="B15859" t="str">
        <f>"-0.88"</f>
        <v>-0.88</v>
      </c>
      <c r="C15859" t="str">
        <f>"22"</f>
        <v>22</v>
      </c>
      <c r="D15859" t="str">
        <f>"Liquidate Paris!"</f>
        <v>Liquidate Paris!</v>
      </c>
    </row>
    <row r="15860" spans="1:4" x14ac:dyDescent="0.2">
      <c r="A15860" t="str">
        <f>"15859"</f>
        <v>15859</v>
      </c>
      <c r="B15860" t="str">
        <f>"-0.19"</f>
        <v>-0.19</v>
      </c>
      <c r="C15860" t="str">
        <f>"29"</f>
        <v>29</v>
      </c>
      <c r="D15860" t="str">
        <f>"Matinée"</f>
        <v>Matinée</v>
      </c>
    </row>
    <row r="15861" spans="1:4" x14ac:dyDescent="0.2">
      <c r="A15861" t="str">
        <f>"15860"</f>
        <v>15860</v>
      </c>
      <c r="B15861" t="str">
        <f>"0.9"</f>
        <v>0.9</v>
      </c>
      <c r="C15861" t="str">
        <f>"38"</f>
        <v>38</v>
      </c>
      <c r="D15861" t="str">
        <f>"Real Emotional Trash"</f>
        <v>Real Emotional Trash</v>
      </c>
    </row>
    <row r="15862" spans="1:4" x14ac:dyDescent="0.2">
      <c r="A15862" t="str">
        <f>"15861"</f>
        <v>15861</v>
      </c>
      <c r="B15862" t="str">
        <f>"0.75"</f>
        <v>0.75</v>
      </c>
      <c r="C15862" t="str">
        <f>"33"</f>
        <v>33</v>
      </c>
      <c r="D15862" t="str">
        <f>"I Need You to Hold on While the Sky Is Falling"</f>
        <v>I Need You to Hold on While the Sky Is Falling</v>
      </c>
    </row>
    <row r="15863" spans="1:4" x14ac:dyDescent="0.2">
      <c r="A15863" t="str">
        <f>"15862"</f>
        <v>15862</v>
      </c>
      <c r="B15863" t="str">
        <f>"-0.59"</f>
        <v>-0.59</v>
      </c>
      <c r="C15863" t="str">
        <f>"76"</f>
        <v>76</v>
      </c>
      <c r="D15863" t="str">
        <f>"Belly"</f>
        <v>Belly</v>
      </c>
    </row>
    <row r="15864" spans="1:4" x14ac:dyDescent="0.2">
      <c r="A15864" t="str">
        <f>"15863"</f>
        <v>15863</v>
      </c>
      <c r="B15864" t="str">
        <f>"-0.46"</f>
        <v>-0.46</v>
      </c>
      <c r="C15864" t="str">
        <f>"30"</f>
        <v>30</v>
      </c>
      <c r="D15864" t="str">
        <f>"At War With Walls &amp; Mazes"</f>
        <v>At War With Walls &amp; Mazes</v>
      </c>
    </row>
    <row r="15865" spans="1:4" x14ac:dyDescent="0.2">
      <c r="A15865" t="str">
        <f>"15864"</f>
        <v>15864</v>
      </c>
      <c r="B15865" t="str">
        <f>"-0.2"</f>
        <v>-0.2</v>
      </c>
      <c r="C15865" t="str">
        <f>"42"</f>
        <v>42</v>
      </c>
      <c r="D15865" t="str">
        <f>"Another Sound Is Dying"</f>
        <v>Another Sound Is Dying</v>
      </c>
    </row>
    <row r="15866" spans="1:4" x14ac:dyDescent="0.2">
      <c r="A15866" t="str">
        <f>"15865"</f>
        <v>15865</v>
      </c>
      <c r="B15866" t="str">
        <f>"0.47"</f>
        <v>0.47</v>
      </c>
      <c r="C15866" t="str">
        <f>"81"</f>
        <v>81</v>
      </c>
      <c r="D15866" t="str">
        <f>"Sun Giant EP"</f>
        <v>Sun Giant EP</v>
      </c>
    </row>
    <row r="15867" spans="1:4" x14ac:dyDescent="0.2">
      <c r="A15867" t="str">
        <f>"15866"</f>
        <v>15866</v>
      </c>
      <c r="B15867" t="str">
        <f>"0.53"</f>
        <v>0.53</v>
      </c>
      <c r="C15867" t="str">
        <f>"83"</f>
        <v>83</v>
      </c>
      <c r="D15867" t="str">
        <f>"The Bees Made Honey in the Lion's Skull"</f>
        <v>The Bees Made Honey in the Lion's Skull</v>
      </c>
    </row>
    <row r="15868" spans="1:4" x14ac:dyDescent="0.2">
      <c r="A15868" t="str">
        <f>"15867"</f>
        <v>15867</v>
      </c>
      <c r="B15868" t="str">
        <f>"-0.96"</f>
        <v>-0.96</v>
      </c>
      <c r="C15868" t="str">
        <f>"25"</f>
        <v>25</v>
      </c>
      <c r="D15868" t="s">
        <v>510</v>
      </c>
    </row>
    <row r="15869" spans="1:4" x14ac:dyDescent="0.2">
      <c r="A15869" t="str">
        <f>"15868"</f>
        <v>15868</v>
      </c>
      <c r="B15869" t="str">
        <f>"0.03"</f>
        <v>0.03</v>
      </c>
      <c r="C15869" t="str">
        <f>"27"</f>
        <v>27</v>
      </c>
      <c r="D15869" t="str">
        <f>"We Have You Surrounded"</f>
        <v>We Have You Surrounded</v>
      </c>
    </row>
    <row r="15870" spans="1:4" x14ac:dyDescent="0.2">
      <c r="A15870" t="str">
        <f>"15869"</f>
        <v>15869</v>
      </c>
      <c r="B15870" t="str">
        <f>"0.61"</f>
        <v>0.61</v>
      </c>
      <c r="C15870" t="str">
        <f>"19"</f>
        <v>19</v>
      </c>
      <c r="D15870" t="str">
        <f>"Dusker"</f>
        <v>Dusker</v>
      </c>
    </row>
    <row r="15871" spans="1:4" x14ac:dyDescent="0.2">
      <c r="A15871" t="str">
        <f>"15870"</f>
        <v>15870</v>
      </c>
      <c r="B15871" t="str">
        <f>"0.14"</f>
        <v>0.14</v>
      </c>
      <c r="C15871" t="str">
        <f>"195"</f>
        <v>195</v>
      </c>
      <c r="D15871" t="s">
        <v>511</v>
      </c>
    </row>
    <row r="15872" spans="1:4" x14ac:dyDescent="0.2">
      <c r="A15872" t="str">
        <f>"15871"</f>
        <v>15871</v>
      </c>
      <c r="B15872" t="str">
        <f>"-0.47"</f>
        <v>-0.47</v>
      </c>
      <c r="C15872" t="str">
        <f>"80"</f>
        <v>80</v>
      </c>
      <c r="D15872" t="str">
        <f>"Naked Acid"</f>
        <v>Naked Acid</v>
      </c>
    </row>
    <row r="15873" spans="1:4" x14ac:dyDescent="0.2">
      <c r="A15873" t="str">
        <f>"15872"</f>
        <v>15872</v>
      </c>
      <c r="B15873" t="str">
        <f>"0.5"</f>
        <v>0.5</v>
      </c>
      <c r="C15873" t="str">
        <f>"30"</f>
        <v>30</v>
      </c>
      <c r="D15873" t="str">
        <f>"XMMER"</f>
        <v>XMMER</v>
      </c>
    </row>
    <row r="15874" spans="1:4" x14ac:dyDescent="0.2">
      <c r="A15874" t="str">
        <f>"15873"</f>
        <v>15873</v>
      </c>
      <c r="B15874" t="str">
        <f>"-0.68"</f>
        <v>-0.68</v>
      </c>
      <c r="C15874" t="str">
        <f>"20"</f>
        <v>20</v>
      </c>
      <c r="D15874" t="str">
        <f>"Ode to the Ghetto"</f>
        <v>Ode to the Ghetto</v>
      </c>
    </row>
    <row r="15875" spans="1:4" x14ac:dyDescent="0.2">
      <c r="A15875" t="str">
        <f>"15874"</f>
        <v>15874</v>
      </c>
      <c r="B15875" t="str">
        <f>"-0.81"</f>
        <v>-0.81</v>
      </c>
      <c r="C15875" t="str">
        <f>"25"</f>
        <v>25</v>
      </c>
      <c r="D15875" t="str">
        <f>"12 Crass Songs"</f>
        <v>12 Crass Songs</v>
      </c>
    </row>
    <row r="15876" spans="1:4" x14ac:dyDescent="0.2">
      <c r="A15876" t="str">
        <f>"15875"</f>
        <v>15875</v>
      </c>
      <c r="B15876" t="str">
        <f>"1.56"</f>
        <v>1.56</v>
      </c>
      <c r="C15876" t="str">
        <f>"33"</f>
        <v>33</v>
      </c>
      <c r="D15876" t="str">
        <f>"From the Valley to the Stars"</f>
        <v>From the Valley to the Stars</v>
      </c>
    </row>
    <row r="15877" spans="1:4" x14ac:dyDescent="0.2">
      <c r="A15877" t="str">
        <f>"15876"</f>
        <v>15876</v>
      </c>
      <c r="B15877" t="str">
        <f>"-0.18"</f>
        <v>-0.18</v>
      </c>
      <c r="C15877" t="str">
        <f>"23"</f>
        <v>23</v>
      </c>
      <c r="D15877" t="str">
        <f>"Red Yellow Blue"</f>
        <v>Red Yellow Blue</v>
      </c>
    </row>
    <row r="15878" spans="1:4" x14ac:dyDescent="0.2">
      <c r="A15878" t="str">
        <f>"15877"</f>
        <v>15877</v>
      </c>
      <c r="B15878" t="str">
        <f>"1.26"</f>
        <v>1.26</v>
      </c>
      <c r="C15878" t="str">
        <f>"72"</f>
        <v>72</v>
      </c>
      <c r="D15878" t="str">
        <f>"Kutiman"</f>
        <v>Kutiman</v>
      </c>
    </row>
    <row r="15879" spans="1:4" x14ac:dyDescent="0.2">
      <c r="A15879" t="str">
        <f>"15878"</f>
        <v>15878</v>
      </c>
      <c r="B15879" t="str">
        <f>"-0.45"</f>
        <v>-0.45</v>
      </c>
      <c r="C15879" t="str">
        <f>"28"</f>
        <v>28</v>
      </c>
      <c r="D15879" t="str">
        <f>"Ghost Dance"</f>
        <v>Ghost Dance</v>
      </c>
    </row>
    <row r="15880" spans="1:4" x14ac:dyDescent="0.2">
      <c r="A15880" t="str">
        <f>"15879"</f>
        <v>15879</v>
      </c>
      <c r="B15880" t="str">
        <f>"-0.63"</f>
        <v>-0.63</v>
      </c>
      <c r="C15880" t="str">
        <f>"27"</f>
        <v>27</v>
      </c>
      <c r="D15880" t="str">
        <f>"Some People Have Real Problems"</f>
        <v>Some People Have Real Problems</v>
      </c>
    </row>
    <row r="15881" spans="1:4" x14ac:dyDescent="0.2">
      <c r="A15881" t="str">
        <f>"15880"</f>
        <v>15880</v>
      </c>
      <c r="B15881" t="str">
        <f>"0.23"</f>
        <v>0.23</v>
      </c>
      <c r="C15881" t="str">
        <f>"55"</f>
        <v>55</v>
      </c>
      <c r="D15881" t="str">
        <f>"Devotion"</f>
        <v>Devotion</v>
      </c>
    </row>
    <row r="15882" spans="1:4" x14ac:dyDescent="0.2">
      <c r="A15882" t="str">
        <f>"15881"</f>
        <v>15881</v>
      </c>
      <c r="B15882" t="str">
        <f>"0.56"</f>
        <v>0.56</v>
      </c>
      <c r="C15882" t="str">
        <f>"25"</f>
        <v>25</v>
      </c>
      <c r="D15882" t="str">
        <f>"Safe &amp; Sound"</f>
        <v>Safe &amp; Sound</v>
      </c>
    </row>
    <row r="15883" spans="1:4" x14ac:dyDescent="0.2">
      <c r="A15883" t="str">
        <f>"15882"</f>
        <v>15882</v>
      </c>
      <c r="B15883" t="str">
        <f>"-0.54"</f>
        <v>-0.54</v>
      </c>
      <c r="C15883" t="str">
        <f>"24"</f>
        <v>24</v>
      </c>
      <c r="D15883" t="str">
        <f>"David Thomas Broughton vs. 7 Hertz"</f>
        <v>David Thomas Broughton vs. 7 Hertz</v>
      </c>
    </row>
    <row r="15884" spans="1:4" x14ac:dyDescent="0.2">
      <c r="A15884" t="str">
        <f>"15883"</f>
        <v>15883</v>
      </c>
      <c r="B15884" t="str">
        <f>"0.47"</f>
        <v>0.47</v>
      </c>
      <c r="C15884" t="str">
        <f>"64"</f>
        <v>64</v>
      </c>
      <c r="D15884" t="str">
        <f>"Glory Hope Mountain"</f>
        <v>Glory Hope Mountain</v>
      </c>
    </row>
    <row r="15885" spans="1:4" x14ac:dyDescent="0.2">
      <c r="A15885" t="str">
        <f>"15884"</f>
        <v>15884</v>
      </c>
      <c r="B15885" t="str">
        <f>"0.9"</f>
        <v>0.9</v>
      </c>
      <c r="C15885" t="str">
        <f>"18"</f>
        <v>18</v>
      </c>
      <c r="D15885" t="str">
        <f>"The Last Post"</f>
        <v>The Last Post</v>
      </c>
    </row>
    <row r="15886" spans="1:4" x14ac:dyDescent="0.2">
      <c r="A15886" t="str">
        <f>"15885"</f>
        <v>15885</v>
      </c>
      <c r="B15886" t="str">
        <f>"0.12"</f>
        <v>0.12</v>
      </c>
      <c r="C15886" t="str">
        <f>"28"</f>
        <v>28</v>
      </c>
      <c r="D15886" t="str">
        <f>"Seventh Tree"</f>
        <v>Seventh Tree</v>
      </c>
    </row>
    <row r="15887" spans="1:4" x14ac:dyDescent="0.2">
      <c r="A15887" t="str">
        <f>"15886"</f>
        <v>15886</v>
      </c>
      <c r="B15887" t="str">
        <f>"1.15"</f>
        <v>1.15</v>
      </c>
      <c r="C15887" t="str">
        <f>"24"</f>
        <v>24</v>
      </c>
      <c r="D15887" t="str">
        <f>"Living Bridge"</f>
        <v>Living Bridge</v>
      </c>
    </row>
    <row r="15888" spans="1:4" x14ac:dyDescent="0.2">
      <c r="A15888" t="str">
        <f>"15887"</f>
        <v>15887</v>
      </c>
      <c r="B15888" t="str">
        <f>"0.97"</f>
        <v>0.97</v>
      </c>
      <c r="C15888" t="str">
        <f>"38"</f>
        <v>38</v>
      </c>
      <c r="D15888" t="str">
        <f>"Daxaar"</f>
        <v>Daxaar</v>
      </c>
    </row>
    <row r="15889" spans="1:4" x14ac:dyDescent="0.2">
      <c r="A15889" t="str">
        <f>"15888"</f>
        <v>15888</v>
      </c>
      <c r="B15889" t="str">
        <f>"-0.58"</f>
        <v>-0.58</v>
      </c>
      <c r="C15889" t="str">
        <f>"62"</f>
        <v>62</v>
      </c>
      <c r="D15889" t="str">
        <f>"Unfamiliar Faces"</f>
        <v>Unfamiliar Faces</v>
      </c>
    </row>
    <row r="15890" spans="1:4" x14ac:dyDescent="0.2">
      <c r="A15890" t="str">
        <f>"15889"</f>
        <v>15889</v>
      </c>
      <c r="B15890" t="str">
        <f>"-0.7"</f>
        <v>-0.7</v>
      </c>
      <c r="C15890" t="str">
        <f>"24"</f>
        <v>24</v>
      </c>
      <c r="D15890" t="str">
        <f>"The Sky Behind the Sea"</f>
        <v>The Sky Behind the Sea</v>
      </c>
    </row>
    <row r="15891" spans="1:4" x14ac:dyDescent="0.2">
      <c r="A15891" t="str">
        <f>"15890"</f>
        <v>15890</v>
      </c>
      <c r="B15891" t="str">
        <f>"0.91"</f>
        <v>0.91</v>
      </c>
      <c r="C15891" t="str">
        <f>"87"</f>
        <v>87</v>
      </c>
      <c r="D15891" t="str">
        <f>"Alegranza!"</f>
        <v>Alegranza!</v>
      </c>
    </row>
    <row r="15892" spans="1:4" x14ac:dyDescent="0.2">
      <c r="A15892" t="str">
        <f>"15891"</f>
        <v>15891</v>
      </c>
      <c r="B15892" t="str">
        <f>"-0.23"</f>
        <v>-0.23</v>
      </c>
      <c r="C15892" t="str">
        <f>"26"</f>
        <v>26</v>
      </c>
      <c r="D15892" t="str">
        <f>"Colorloss Record EP"</f>
        <v>Colorloss Record EP</v>
      </c>
    </row>
    <row r="15893" spans="1:4" x14ac:dyDescent="0.2">
      <c r="A15893" t="str">
        <f>"15892"</f>
        <v>15892</v>
      </c>
      <c r="B15893" t="str">
        <f>"0.3"</f>
        <v>0.3</v>
      </c>
      <c r="C15893" t="str">
        <f>"108"</f>
        <v>108</v>
      </c>
      <c r="D15893" t="str">
        <f>"I Hate CDs! Norton 45s"</f>
        <v>I Hate CDs! Norton 45s</v>
      </c>
    </row>
    <row r="15894" spans="1:4" x14ac:dyDescent="0.2">
      <c r="A15894" t="str">
        <f>"15893"</f>
        <v>15893</v>
      </c>
      <c r="B15894" t="str">
        <f>"0.38"</f>
        <v>0.38</v>
      </c>
      <c r="C15894" t="str">
        <f>"56"</f>
        <v>56</v>
      </c>
      <c r="D15894" t="str">
        <f>"In Her Gentle Jaws"</f>
        <v>In Her Gentle Jaws</v>
      </c>
    </row>
    <row r="15895" spans="1:4" x14ac:dyDescent="0.2">
      <c r="A15895" t="str">
        <f>"15894"</f>
        <v>15894</v>
      </c>
      <c r="B15895" t="str">
        <f>"-0.45"</f>
        <v>-0.45</v>
      </c>
      <c r="C15895" t="str">
        <f>"73"</f>
        <v>73</v>
      </c>
      <c r="D15895" t="str">
        <f>"Trinity Revisited"</f>
        <v>Trinity Revisited</v>
      </c>
    </row>
    <row r="15896" spans="1:4" x14ac:dyDescent="0.2">
      <c r="A15896" t="str">
        <f>"15895"</f>
        <v>15895</v>
      </c>
      <c r="B15896" t="str">
        <f>"0.63"</f>
        <v>0.63</v>
      </c>
      <c r="C15896" t="str">
        <f>"58"</f>
        <v>58</v>
      </c>
      <c r="D15896" t="s">
        <v>512</v>
      </c>
    </row>
    <row r="15897" spans="1:4" x14ac:dyDescent="0.2">
      <c r="A15897" t="str">
        <f>"15896"</f>
        <v>15896</v>
      </c>
      <c r="B15897" t="str">
        <f>"-1.13"</f>
        <v>-1.13</v>
      </c>
      <c r="C15897" t="str">
        <f>"39"</f>
        <v>39</v>
      </c>
      <c r="D15897" t="str">
        <f>"Ire Works"</f>
        <v>Ire Works</v>
      </c>
    </row>
    <row r="15898" spans="1:4" x14ac:dyDescent="0.2">
      <c r="A15898" t="str">
        <f>"15897"</f>
        <v>15897</v>
      </c>
      <c r="B15898" t="str">
        <f>"0.13"</f>
        <v>0.13</v>
      </c>
      <c r="C15898" t="str">
        <f>"88"</f>
        <v>88</v>
      </c>
      <c r="D15898" t="str">
        <f>"Soundboy Punishments"</f>
        <v>Soundboy Punishments</v>
      </c>
    </row>
    <row r="15899" spans="1:4" x14ac:dyDescent="0.2">
      <c r="A15899" t="str">
        <f>"15898"</f>
        <v>15898</v>
      </c>
      <c r="B15899" t="str">
        <f>"-0.08"</f>
        <v>-0.08</v>
      </c>
      <c r="C15899" t="str">
        <f>"25"</f>
        <v>25</v>
      </c>
      <c r="D15899" t="str">
        <f>"Lies and Rhetoric"</f>
        <v>Lies and Rhetoric</v>
      </c>
    </row>
    <row r="15900" spans="1:4" x14ac:dyDescent="0.2">
      <c r="A15900" t="str">
        <f>"15899"</f>
        <v>15899</v>
      </c>
      <c r="B15900" t="str">
        <f>"0.37"</f>
        <v>0.37</v>
      </c>
      <c r="C15900" t="str">
        <f>"28"</f>
        <v>28</v>
      </c>
      <c r="D15900" t="str">
        <f>"Safe Inside the Day"</f>
        <v>Safe Inside the Day</v>
      </c>
    </row>
    <row r="15901" spans="1:4" x14ac:dyDescent="0.2">
      <c r="A15901" t="str">
        <f>"15900"</f>
        <v>15900</v>
      </c>
      <c r="B15901" t="str">
        <f>"0.01"</f>
        <v>0.01</v>
      </c>
      <c r="C15901" t="str">
        <f>"26"</f>
        <v>26</v>
      </c>
      <c r="D15901" t="str">
        <f>"The Golden Age"</f>
        <v>The Golden Age</v>
      </c>
    </row>
    <row r="15902" spans="1:4" x14ac:dyDescent="0.2">
      <c r="A15902" t="str">
        <f>"15901"</f>
        <v>15901</v>
      </c>
      <c r="B15902" t="str">
        <f>"0.2"</f>
        <v>0.2</v>
      </c>
      <c r="C15902" t="str">
        <f>"29"</f>
        <v>29</v>
      </c>
      <c r="D15902" t="str">
        <f>"Lust Lust Lust"</f>
        <v>Lust Lust Lust</v>
      </c>
    </row>
    <row r="15903" spans="1:4" x14ac:dyDescent="0.2">
      <c r="A15903" t="str">
        <f>"15902"</f>
        <v>15902</v>
      </c>
      <c r="B15903" t="str">
        <f>"-0.07"</f>
        <v>-0.07</v>
      </c>
      <c r="C15903" t="str">
        <f>"21"</f>
        <v>21</v>
      </c>
      <c r="D15903" t="str">
        <f>"Mission Control"</f>
        <v>Mission Control</v>
      </c>
    </row>
    <row r="15904" spans="1:4" x14ac:dyDescent="0.2">
      <c r="A15904" t="str">
        <f>"15903"</f>
        <v>15903</v>
      </c>
      <c r="B15904" t="str">
        <f>"0.83"</f>
        <v>0.83</v>
      </c>
      <c r="C15904" t="str">
        <f>"19"</f>
        <v>19</v>
      </c>
      <c r="D15904" t="str">
        <f>"Pillowface and His Airplane Chronicles"</f>
        <v>Pillowface and His Airplane Chronicles</v>
      </c>
    </row>
    <row r="15905" spans="1:4" x14ac:dyDescent="0.2">
      <c r="A15905" t="str">
        <f>"15904"</f>
        <v>15904</v>
      </c>
      <c r="B15905" t="str">
        <f>"1.15"</f>
        <v>1.15</v>
      </c>
      <c r="C15905" t="str">
        <f>"43"</f>
        <v>43</v>
      </c>
      <c r="D15905" t="str">
        <f>"Songs From The Bigtop"</f>
        <v>Songs From The Bigtop</v>
      </c>
    </row>
    <row r="15906" spans="1:4" x14ac:dyDescent="0.2">
      <c r="A15906" t="str">
        <f>"15905"</f>
        <v>15905</v>
      </c>
      <c r="B15906" t="str">
        <f>"-0.28"</f>
        <v>-0.28</v>
      </c>
      <c r="C15906" t="str">
        <f>"49"</f>
        <v>49</v>
      </c>
      <c r="D15906" t="str">
        <f>"Let the Blind Lead Those Who Can See But Cannot Feel"</f>
        <v>Let the Blind Lead Those Who Can See But Cannot Feel</v>
      </c>
    </row>
    <row r="15907" spans="1:4" x14ac:dyDescent="0.2">
      <c r="A15907" t="str">
        <f>"15906"</f>
        <v>15906</v>
      </c>
      <c r="B15907" t="str">
        <f>"1.29"</f>
        <v>1.29</v>
      </c>
      <c r="C15907" t="str">
        <f>"27"</f>
        <v>27</v>
      </c>
      <c r="D15907" t="s">
        <v>513</v>
      </c>
    </row>
    <row r="15908" spans="1:4" x14ac:dyDescent="0.2">
      <c r="A15908" t="str">
        <f>"15907"</f>
        <v>15907</v>
      </c>
      <c r="B15908" t="str">
        <f>"-0.93"</f>
        <v>-0.93</v>
      </c>
      <c r="C15908" t="str">
        <f>"26"</f>
        <v>26</v>
      </c>
      <c r="D15908" t="str">
        <f>"Suuto Breakor"</f>
        <v>Suuto Breakor</v>
      </c>
    </row>
    <row r="15909" spans="1:4" x14ac:dyDescent="0.2">
      <c r="A15909" t="str">
        <f>"15908"</f>
        <v>15908</v>
      </c>
      <c r="B15909" t="str">
        <f>"-0.42"</f>
        <v>-0.42</v>
      </c>
      <c r="C15909" t="str">
        <f>"17"</f>
        <v>17</v>
      </c>
      <c r="D15909" t="str">
        <f>"60 Watt Kid"</f>
        <v>60 Watt Kid</v>
      </c>
    </row>
    <row r="15910" spans="1:4" x14ac:dyDescent="0.2">
      <c r="A15910" t="str">
        <f>"15909"</f>
        <v>15909</v>
      </c>
      <c r="B15910" t="str">
        <f>"-1.42"</f>
        <v>-1.42</v>
      </c>
      <c r="C15910" t="str">
        <f>"22"</f>
        <v>22</v>
      </c>
      <c r="D15910" t="str">
        <f>"In Field &amp; Town"</f>
        <v>In Field &amp; Town</v>
      </c>
    </row>
    <row r="15911" spans="1:4" x14ac:dyDescent="0.2">
      <c r="A15911" t="str">
        <f>"15910"</f>
        <v>15910</v>
      </c>
      <c r="B15911" t="str">
        <f>"0"</f>
        <v>0</v>
      </c>
      <c r="C15911" t="str">
        <f>"46"</f>
        <v>46</v>
      </c>
      <c r="D15911" t="str">
        <f>"Heretic Pride"</f>
        <v>Heretic Pride</v>
      </c>
    </row>
    <row r="15912" spans="1:4" x14ac:dyDescent="0.2">
      <c r="A15912" t="str">
        <f>"15911"</f>
        <v>15911</v>
      </c>
      <c r="B15912" t="str">
        <f>"0.76"</f>
        <v>0.76</v>
      </c>
      <c r="C15912" t="str">
        <f>"36"</f>
        <v>36</v>
      </c>
      <c r="D15912" t="str">
        <f>"Jesus of Cool"</f>
        <v>Jesus of Cool</v>
      </c>
    </row>
    <row r="15913" spans="1:4" x14ac:dyDescent="0.2">
      <c r="A15913" t="str">
        <f>"15912"</f>
        <v>15912</v>
      </c>
      <c r="B15913" t="str">
        <f>"1.45"</f>
        <v>1.45</v>
      </c>
      <c r="C15913" t="str">
        <f>"50"</f>
        <v>50</v>
      </c>
      <c r="D15913" t="str">
        <f>"This Gift"</f>
        <v>This Gift</v>
      </c>
    </row>
    <row r="15914" spans="1:4" x14ac:dyDescent="0.2">
      <c r="A15914" t="str">
        <f>"15913"</f>
        <v>15913</v>
      </c>
      <c r="B15914" t="str">
        <f>"0.64"</f>
        <v>0.64</v>
      </c>
      <c r="C15914" t="str">
        <f>"67"</f>
        <v>67</v>
      </c>
      <c r="D15914" t="str">
        <f>"District Line"</f>
        <v>District Line</v>
      </c>
    </row>
    <row r="15915" spans="1:4" x14ac:dyDescent="0.2">
      <c r="A15915" t="str">
        <f>"15914"</f>
        <v>15914</v>
      </c>
      <c r="B15915" t="str">
        <f>"0.02"</f>
        <v>0.02</v>
      </c>
      <c r="C15915" t="str">
        <f>"25"</f>
        <v>25</v>
      </c>
      <c r="D15915" t="str">
        <f>"Circular Sounds"</f>
        <v>Circular Sounds</v>
      </c>
    </row>
    <row r="15916" spans="1:4" x14ac:dyDescent="0.2">
      <c r="A15916" t="str">
        <f>"15915"</f>
        <v>15915</v>
      </c>
      <c r="B15916" t="str">
        <f>"0.06"</f>
        <v>0.06</v>
      </c>
      <c r="C15916" t="str">
        <f>"43"</f>
        <v>43</v>
      </c>
      <c r="D15916" t="str">
        <f>"Thriller: 25th Anniversary Edition"</f>
        <v>Thriller: 25th Anniversary Edition</v>
      </c>
    </row>
    <row r="15917" spans="1:4" x14ac:dyDescent="0.2">
      <c r="A15917" t="str">
        <f>"15916"</f>
        <v>15916</v>
      </c>
      <c r="B15917" t="str">
        <f>"0.17"</f>
        <v>0.17</v>
      </c>
      <c r="C15917" t="str">
        <f>"25"</f>
        <v>25</v>
      </c>
      <c r="D15917" t="str">
        <f>"Live the Storm"</f>
        <v>Live the Storm</v>
      </c>
    </row>
    <row r="15918" spans="1:4" x14ac:dyDescent="0.2">
      <c r="A15918" t="str">
        <f>"15917"</f>
        <v>15917</v>
      </c>
      <c r="B15918" t="str">
        <f>"0.33"</f>
        <v>0.33</v>
      </c>
      <c r="C15918" t="str">
        <f>"25"</f>
        <v>25</v>
      </c>
      <c r="D15918" t="str">
        <f>"Rivers Arms"</f>
        <v>Rivers Arms</v>
      </c>
    </row>
    <row r="15919" spans="1:4" x14ac:dyDescent="0.2">
      <c r="A15919" t="str">
        <f>"15918"</f>
        <v>15918</v>
      </c>
      <c r="B15919" t="str">
        <f>"-1.18"</f>
        <v>-1.18</v>
      </c>
      <c r="C15919" t="str">
        <f>"57"</f>
        <v>57</v>
      </c>
      <c r="D15919" t="str">
        <f>"Into Abaddon"</f>
        <v>Into Abaddon</v>
      </c>
    </row>
    <row r="15920" spans="1:4" x14ac:dyDescent="0.2">
      <c r="A15920" t="str">
        <f>"15919"</f>
        <v>15919</v>
      </c>
      <c r="B15920" t="str">
        <f>"0.17"</f>
        <v>0.17</v>
      </c>
      <c r="C15920" t="str">
        <f>"25"</f>
        <v>25</v>
      </c>
      <c r="D15920" t="str">
        <f>"Black Habit"</f>
        <v>Black Habit</v>
      </c>
    </row>
    <row r="15921" spans="1:4" x14ac:dyDescent="0.2">
      <c r="A15921" t="str">
        <f>"15920"</f>
        <v>15920</v>
      </c>
      <c r="B15921" t="str">
        <f>"0.48"</f>
        <v>0.48</v>
      </c>
      <c r="C15921" t="str">
        <f>"120"</f>
        <v>120</v>
      </c>
      <c r="D15921" t="str">
        <f>"12 Great Remixes For 11 Great Artists 2001 - 2007"</f>
        <v>12 Great Remixes For 11 Great Artists 2001 - 2007</v>
      </c>
    </row>
    <row r="15922" spans="1:4" x14ac:dyDescent="0.2">
      <c r="A15922" t="str">
        <f>"15921"</f>
        <v>15921</v>
      </c>
      <c r="B15922" t="str">
        <f>"0.14"</f>
        <v>0.14</v>
      </c>
      <c r="C15922" t="str">
        <f>"16"</f>
        <v>16</v>
      </c>
      <c r="D15922" t="str">
        <f>"03/07 – 09/07"</f>
        <v>03/07 – 09/07</v>
      </c>
    </row>
    <row r="15923" spans="1:4" x14ac:dyDescent="0.2">
      <c r="A15923" t="str">
        <f>"15922"</f>
        <v>15922</v>
      </c>
      <c r="B15923" t="str">
        <f>"0.59"</f>
        <v>0.59</v>
      </c>
      <c r="C15923" t="str">
        <f>"24"</f>
        <v>24</v>
      </c>
      <c r="D15923" t="str">
        <f>"Coloured in Memory"</f>
        <v>Coloured in Memory</v>
      </c>
    </row>
    <row r="15924" spans="1:4" x14ac:dyDescent="0.2">
      <c r="A15924" t="str">
        <f>"15923"</f>
        <v>15923</v>
      </c>
      <c r="B15924" t="str">
        <f>"-0.13"</f>
        <v>-0.13</v>
      </c>
      <c r="C15924" t="str">
        <f>"24"</f>
        <v>24</v>
      </c>
      <c r="D15924" t="str">
        <f>"Wayfaring Strangers: Guitar Soli"</f>
        <v>Wayfaring Strangers: Guitar Soli</v>
      </c>
    </row>
    <row r="15925" spans="1:4" x14ac:dyDescent="0.2">
      <c r="A15925" t="str">
        <f>"15924"</f>
        <v>15924</v>
      </c>
      <c r="B15925" t="str">
        <f>"0.14"</f>
        <v>0.14</v>
      </c>
      <c r="C15925" t="str">
        <f>"59"</f>
        <v>59</v>
      </c>
      <c r="D15925" t="str">
        <f>"Catherine Avenue"</f>
        <v>Catherine Avenue</v>
      </c>
    </row>
    <row r="15926" spans="1:4" x14ac:dyDescent="0.2">
      <c r="A15926" t="str">
        <f>"15925"</f>
        <v>15925</v>
      </c>
      <c r="B15926" t="str">
        <f>"-1.03"</f>
        <v>-1.03</v>
      </c>
      <c r="C15926" t="str">
        <f>"72"</f>
        <v>72</v>
      </c>
      <c r="D15926" t="s">
        <v>514</v>
      </c>
    </row>
    <row r="15927" spans="1:4" x14ac:dyDescent="0.2">
      <c r="A15927" t="str">
        <f>"15926"</f>
        <v>15926</v>
      </c>
      <c r="B15927" t="str">
        <f>"-0.07"</f>
        <v>-0.07</v>
      </c>
      <c r="C15927" t="str">
        <f>"52"</f>
        <v>52</v>
      </c>
      <c r="D15927" t="str">
        <f>"Falling Off the Lavender Bridge"</f>
        <v>Falling Off the Lavender Bridge</v>
      </c>
    </row>
    <row r="15928" spans="1:4" x14ac:dyDescent="0.2">
      <c r="A15928" t="str">
        <f>"15927"</f>
        <v>15927</v>
      </c>
      <c r="B15928" t="str">
        <f>"-0.09"</f>
        <v>-0.09</v>
      </c>
      <c r="C15928" t="str">
        <f>"64"</f>
        <v>64</v>
      </c>
      <c r="D15928" t="str">
        <f>"The Company of Wolves"</f>
        <v>The Company of Wolves</v>
      </c>
    </row>
    <row r="15929" spans="1:4" x14ac:dyDescent="0.2">
      <c r="A15929" t="str">
        <f>"15928"</f>
        <v>15928</v>
      </c>
      <c r="B15929" t="str">
        <f>"1.18"</f>
        <v>1.18</v>
      </c>
      <c r="C15929" t="str">
        <f>"44"</f>
        <v>44</v>
      </c>
      <c r="D15929" t="str">
        <f>"Monstre Cosmic"</f>
        <v>Monstre Cosmic</v>
      </c>
    </row>
    <row r="15930" spans="1:4" x14ac:dyDescent="0.2">
      <c r="A15930" t="str">
        <f>"15929"</f>
        <v>15929</v>
      </c>
      <c r="B15930" t="str">
        <f>"0.5"</f>
        <v>0.5</v>
      </c>
      <c r="C15930" t="str">
        <f>"24"</f>
        <v>24</v>
      </c>
      <c r="D15930" t="str">
        <f>"Les Ondes Silencieuses"</f>
        <v>Les Ondes Silencieuses</v>
      </c>
    </row>
    <row r="15931" spans="1:4" x14ac:dyDescent="0.2">
      <c r="A15931" t="str">
        <f>"15930"</f>
        <v>15930</v>
      </c>
      <c r="B15931" t="str">
        <f>"0.07"</f>
        <v>0.07</v>
      </c>
      <c r="C15931" t="str">
        <f>"41"</f>
        <v>41</v>
      </c>
      <c r="D15931" t="str">
        <f>"Do You Like Rock Music?"</f>
        <v>Do You Like Rock Music?</v>
      </c>
    </row>
    <row r="15932" spans="1:4" x14ac:dyDescent="0.2">
      <c r="A15932" t="str">
        <f>"15931"</f>
        <v>15931</v>
      </c>
      <c r="B15932" t="str">
        <f>"-0.2"</f>
        <v>-0.2</v>
      </c>
      <c r="C15932" t="str">
        <f>"28"</f>
        <v>28</v>
      </c>
      <c r="D15932" t="str">
        <f>"HLLLYH"</f>
        <v>HLLLYH</v>
      </c>
    </row>
    <row r="15933" spans="1:4" x14ac:dyDescent="0.2">
      <c r="A15933" t="str">
        <f>"15932"</f>
        <v>15932</v>
      </c>
      <c r="B15933" t="str">
        <f>"-1.5"</f>
        <v>-1.5</v>
      </c>
      <c r="C15933" t="str">
        <f>"28"</f>
        <v>28</v>
      </c>
      <c r="D15933" t="str">
        <f>"Ghetto Extraordinary"</f>
        <v>Ghetto Extraordinary</v>
      </c>
    </row>
    <row r="15934" spans="1:4" x14ac:dyDescent="0.2">
      <c r="A15934" t="str">
        <f>"15933"</f>
        <v>15933</v>
      </c>
      <c r="B15934" t="str">
        <f>"0.63"</f>
        <v>0.63</v>
      </c>
      <c r="C15934" t="str">
        <f>"52"</f>
        <v>52</v>
      </c>
      <c r="D15934" t="str">
        <f>"The Busy Signals"</f>
        <v>The Busy Signals</v>
      </c>
    </row>
    <row r="15935" spans="1:4" x14ac:dyDescent="0.2">
      <c r="A15935" t="str">
        <f>"15934"</f>
        <v>15934</v>
      </c>
      <c r="B15935" t="str">
        <f>"-0.37"</f>
        <v>-0.37</v>
      </c>
      <c r="C15935" t="str">
        <f>"63"</f>
        <v>63</v>
      </c>
      <c r="D15935" t="str">
        <f>"Flowers Forever"</f>
        <v>Flowers Forever</v>
      </c>
    </row>
    <row r="15936" spans="1:4" x14ac:dyDescent="0.2">
      <c r="A15936" t="str">
        <f>"15935"</f>
        <v>15935</v>
      </c>
      <c r="B15936" t="str">
        <f>"1.04"</f>
        <v>1.04</v>
      </c>
      <c r="C15936" t="str">
        <f>"43"</f>
        <v>43</v>
      </c>
      <c r="D15936" t="str">
        <f>"Greatest"</f>
        <v>Greatest</v>
      </c>
    </row>
    <row r="15937" spans="1:4" x14ac:dyDescent="0.2">
      <c r="A15937" t="str">
        <f>"15936"</f>
        <v>15936</v>
      </c>
      <c r="B15937" t="str">
        <f>"0.33"</f>
        <v>0.33</v>
      </c>
      <c r="C15937" t="str">
        <f>"24"</f>
        <v>24</v>
      </c>
      <c r="D15937" t="str">
        <f>"Wai Notes"</f>
        <v>Wai Notes</v>
      </c>
    </row>
    <row r="15938" spans="1:4" x14ac:dyDescent="0.2">
      <c r="A15938" t="str">
        <f>"15937"</f>
        <v>15937</v>
      </c>
      <c r="B15938" t="str">
        <f>"0.01"</f>
        <v>0.01</v>
      </c>
      <c r="C15938" t="str">
        <f>"60"</f>
        <v>60</v>
      </c>
      <c r="D15938" t="str">
        <f>"Kontpab"</f>
        <v>Kontpab</v>
      </c>
    </row>
    <row r="15939" spans="1:4" x14ac:dyDescent="0.2">
      <c r="A15939" t="str">
        <f>"15938"</f>
        <v>15938</v>
      </c>
      <c r="B15939" t="str">
        <f>"-0.51"</f>
        <v>-0.51</v>
      </c>
      <c r="C15939" t="str">
        <f>"62"</f>
        <v>62</v>
      </c>
      <c r="D15939" t="str">
        <f>"Yea Big &amp; Kid Static"</f>
        <v>Yea Big &amp; Kid Static</v>
      </c>
    </row>
    <row r="15940" spans="1:4" x14ac:dyDescent="0.2">
      <c r="A15940" t="str">
        <f>"15939"</f>
        <v>15939</v>
      </c>
      <c r="B15940" t="str">
        <f>"-0.56"</f>
        <v>-0.56</v>
      </c>
      <c r="C15940" t="str">
        <f>"77"</f>
        <v>77</v>
      </c>
      <c r="D15940" t="str">
        <f>"Human Bell"</f>
        <v>Human Bell</v>
      </c>
    </row>
    <row r="15941" spans="1:4" x14ac:dyDescent="0.2">
      <c r="A15941" t="str">
        <f>"15940"</f>
        <v>15940</v>
      </c>
      <c r="B15941" t="str">
        <f>"0.38"</f>
        <v>0.38</v>
      </c>
      <c r="C15941" t="str">
        <f>"29"</f>
        <v>29</v>
      </c>
      <c r="D15941" t="str">
        <f>"Here's to Being Here"</f>
        <v>Here's to Being Here</v>
      </c>
    </row>
    <row r="15942" spans="1:4" x14ac:dyDescent="0.2">
      <c r="A15942" t="str">
        <f>"15941"</f>
        <v>15941</v>
      </c>
      <c r="B15942" t="str">
        <f>"-0.02"</f>
        <v>-0.02</v>
      </c>
      <c r="C15942" t="str">
        <f>"51"</f>
        <v>51</v>
      </c>
      <c r="D15942" t="str">
        <f>"Defective Epitaph"</f>
        <v>Defective Epitaph</v>
      </c>
    </row>
    <row r="15943" spans="1:4" x14ac:dyDescent="0.2">
      <c r="A15943" t="str">
        <f>"15942"</f>
        <v>15942</v>
      </c>
      <c r="B15943" t="str">
        <f>"0.56"</f>
        <v>0.56</v>
      </c>
      <c r="C15943" t="str">
        <f>"84"</f>
        <v>84</v>
      </c>
      <c r="D15943" t="str">
        <f>"All Is Well"</f>
        <v>All Is Well</v>
      </c>
    </row>
    <row r="15944" spans="1:4" x14ac:dyDescent="0.2">
      <c r="A15944" t="str">
        <f>"15943"</f>
        <v>15943</v>
      </c>
      <c r="B15944" t="str">
        <f>"-0.63"</f>
        <v>-0.63</v>
      </c>
      <c r="C15944" t="str">
        <f>"97"</f>
        <v>97</v>
      </c>
      <c r="D15944" t="str">
        <f>"Make It Stop! The Most of Ross Johnson"</f>
        <v>Make It Stop! The Most of Ross Johnson</v>
      </c>
    </row>
    <row r="15945" spans="1:4" x14ac:dyDescent="0.2">
      <c r="A15945" t="str">
        <f>"15944"</f>
        <v>15944</v>
      </c>
      <c r="B15945" t="str">
        <f>"0.12"</f>
        <v>0.12</v>
      </c>
      <c r="C15945" t="str">
        <f>"29"</f>
        <v>29</v>
      </c>
      <c r="D15945" t="str">
        <f>"Reunion Tour"</f>
        <v>Reunion Tour</v>
      </c>
    </row>
    <row r="15946" spans="1:4" x14ac:dyDescent="0.2">
      <c r="A15946" t="str">
        <f>"15945"</f>
        <v>15945</v>
      </c>
      <c r="B15946" t="str">
        <f>"0.4"</f>
        <v>0.4</v>
      </c>
      <c r="C15946" t="str">
        <f>"32"</f>
        <v>32</v>
      </c>
      <c r="D15946" t="str">
        <f>"Here Come the 123s"</f>
        <v>Here Come the 123s</v>
      </c>
    </row>
    <row r="15947" spans="1:4" x14ac:dyDescent="0.2">
      <c r="A15947" t="str">
        <f>"15946"</f>
        <v>15946</v>
      </c>
      <c r="B15947" t="str">
        <f>"-1.14"</f>
        <v>-1.14</v>
      </c>
      <c r="C15947" t="str">
        <f>"31"</f>
        <v>31</v>
      </c>
      <c r="D15947" t="str">
        <f>"Old Growth"</f>
        <v>Old Growth</v>
      </c>
    </row>
    <row r="15948" spans="1:4" x14ac:dyDescent="0.2">
      <c r="A15948" t="str">
        <f>"15947"</f>
        <v>15947</v>
      </c>
      <c r="B15948" t="str">
        <f>"0.12"</f>
        <v>0.12</v>
      </c>
      <c r="C15948" t="str">
        <f>"24"</f>
        <v>24</v>
      </c>
      <c r="D15948" t="str">
        <f>"Sex Death Cassette"</f>
        <v>Sex Death Cassette</v>
      </c>
    </row>
    <row r="15949" spans="1:4" x14ac:dyDescent="0.2">
      <c r="A15949" t="str">
        <f>"15948"</f>
        <v>15948</v>
      </c>
      <c r="B15949" t="str">
        <f>"0.52"</f>
        <v>0.52</v>
      </c>
      <c r="C15949" t="str">
        <f>"33"</f>
        <v>33</v>
      </c>
      <c r="D15949" t="str">
        <f>"Blade Runner Trilogy: 25th Anniversary"</f>
        <v>Blade Runner Trilogy: 25th Anniversary</v>
      </c>
    </row>
    <row r="15950" spans="1:4" x14ac:dyDescent="0.2">
      <c r="A15950" t="str">
        <f>"15949"</f>
        <v>15949</v>
      </c>
      <c r="B15950" t="str">
        <f>"-0.09"</f>
        <v>-0.09</v>
      </c>
      <c r="C15950" t="str">
        <f>"47"</f>
        <v>47</v>
      </c>
      <c r="D15950" t="str">
        <f>"Transmutations"</f>
        <v>Transmutations</v>
      </c>
    </row>
    <row r="15951" spans="1:4" x14ac:dyDescent="0.2">
      <c r="A15951" t="str">
        <f>"15950"</f>
        <v>15950</v>
      </c>
      <c r="B15951" t="str">
        <f>"0.18"</f>
        <v>0.18</v>
      </c>
      <c r="C15951" t="str">
        <f>"102"</f>
        <v>102</v>
      </c>
      <c r="D15951" t="str">
        <f>"Kitsuné BoomBox"</f>
        <v>Kitsuné BoomBox</v>
      </c>
    </row>
    <row r="15952" spans="1:4" x14ac:dyDescent="0.2">
      <c r="A15952" t="str">
        <f>"15951"</f>
        <v>15951</v>
      </c>
      <c r="B15952" t="str">
        <f>"-0.53"</f>
        <v>-0.53</v>
      </c>
      <c r="C15952" t="str">
        <f>"34"</f>
        <v>34</v>
      </c>
      <c r="D15952" t="str">
        <f>"The Bedlam in Goliath"</f>
        <v>The Bedlam in Goliath</v>
      </c>
    </row>
    <row r="15953" spans="1:4" x14ac:dyDescent="0.2">
      <c r="A15953" t="str">
        <f>"15952"</f>
        <v>15952</v>
      </c>
      <c r="B15953" t="str">
        <f>"-0.14"</f>
        <v>-0.14</v>
      </c>
      <c r="C15953" t="str">
        <f>"85"</f>
        <v>85</v>
      </c>
      <c r="D15953" t="str">
        <f>"First Night Forever"</f>
        <v>First Night Forever</v>
      </c>
    </row>
    <row r="15954" spans="1:4" x14ac:dyDescent="0.2">
      <c r="A15954" t="str">
        <f>"15953"</f>
        <v>15953</v>
      </c>
      <c r="B15954" t="str">
        <f>"0.04"</f>
        <v>0.04</v>
      </c>
      <c r="C15954" t="str">
        <f>"68"</f>
        <v>68</v>
      </c>
      <c r="D15954" t="str">
        <f>"The Lost One"</f>
        <v>The Lost One</v>
      </c>
    </row>
    <row r="15955" spans="1:4" x14ac:dyDescent="0.2">
      <c r="A15955" t="str">
        <f>"15954"</f>
        <v>15954</v>
      </c>
      <c r="B15955" t="str">
        <f>"-0.11"</f>
        <v>-0.11</v>
      </c>
      <c r="C15955" t="str">
        <f>"61"</f>
        <v>61</v>
      </c>
      <c r="D15955" t="str">
        <f>"The Cake Sale"</f>
        <v>The Cake Sale</v>
      </c>
    </row>
    <row r="15956" spans="1:4" x14ac:dyDescent="0.2">
      <c r="A15956" t="str">
        <f>"15955"</f>
        <v>15955</v>
      </c>
      <c r="B15956" t="str">
        <f>"0.58"</f>
        <v>0.58</v>
      </c>
      <c r="C15956" t="str">
        <f>"22"</f>
        <v>22</v>
      </c>
      <c r="D15956" t="str">
        <f>"Made in the Dark"</f>
        <v>Made in the Dark</v>
      </c>
    </row>
    <row r="15957" spans="1:4" x14ac:dyDescent="0.2">
      <c r="A15957" t="str">
        <f>"15956"</f>
        <v>15956</v>
      </c>
      <c r="B15957" t="str">
        <f>"1.15"</f>
        <v>1.15</v>
      </c>
      <c r="C15957" t="str">
        <f>"57"</f>
        <v>57</v>
      </c>
      <c r="D15957" t="str">
        <f>"Live at Couleur Cafe"</f>
        <v>Live at Couleur Cafe</v>
      </c>
    </row>
    <row r="15958" spans="1:4" x14ac:dyDescent="0.2">
      <c r="A15958" t="str">
        <f>"15957"</f>
        <v>15957</v>
      </c>
      <c r="B15958" t="str">
        <f>"-0.7"</f>
        <v>-0.7</v>
      </c>
      <c r="C15958" t="str">
        <f>"71"</f>
        <v>71</v>
      </c>
      <c r="D15958" t="str">
        <f>"Valley of Fire"</f>
        <v>Valley of Fire</v>
      </c>
    </row>
    <row r="15959" spans="1:4" x14ac:dyDescent="0.2">
      <c r="A15959" t="str">
        <f>"15958"</f>
        <v>15958</v>
      </c>
      <c r="B15959" t="str">
        <f>"1.31"</f>
        <v>1.31</v>
      </c>
      <c r="C15959" t="str">
        <f>"25"</f>
        <v>25</v>
      </c>
      <c r="D15959" t="str">
        <f>"I'll Be Lightning"</f>
        <v>I'll Be Lightning</v>
      </c>
    </row>
    <row r="15960" spans="1:4" x14ac:dyDescent="0.2">
      <c r="A15960" t="str">
        <f>"15959"</f>
        <v>15959</v>
      </c>
      <c r="B15960" t="str">
        <f>"-0.74"</f>
        <v>-0.74</v>
      </c>
      <c r="C15960" t="str">
        <f>"24"</f>
        <v>24</v>
      </c>
      <c r="D15960" t="str">
        <f>"P.D.A."</f>
        <v>P.D.A.</v>
      </c>
    </row>
    <row r="15961" spans="1:4" x14ac:dyDescent="0.2">
      <c r="A15961" t="str">
        <f>"15960"</f>
        <v>15960</v>
      </c>
      <c r="B15961" t="str">
        <f>"0.5"</f>
        <v>0.5</v>
      </c>
      <c r="C15961" t="str">
        <f>"40"</f>
        <v>40</v>
      </c>
      <c r="D15961" t="str">
        <f>"Greatest Hits"</f>
        <v>Greatest Hits</v>
      </c>
    </row>
    <row r="15962" spans="1:4" x14ac:dyDescent="0.2">
      <c r="A15962" t="str">
        <f>"15961"</f>
        <v>15961</v>
      </c>
      <c r="B15962" t="str">
        <f>"0.54"</f>
        <v>0.54</v>
      </c>
      <c r="C15962" t="str">
        <f>"62"</f>
        <v>62</v>
      </c>
      <c r="D15962" t="str">
        <f>"We Brave Bee Stings and All"</f>
        <v>We Brave Bee Stings and All</v>
      </c>
    </row>
    <row r="15963" spans="1:4" x14ac:dyDescent="0.2">
      <c r="A15963" t="str">
        <f>"15962"</f>
        <v>15962</v>
      </c>
      <c r="B15963" t="str">
        <f>"0.46"</f>
        <v>0.46</v>
      </c>
      <c r="C15963" t="str">
        <f>"23"</f>
        <v>23</v>
      </c>
      <c r="D15963" t="str">
        <f>"Beyond Even (1992-2006)"</f>
        <v>Beyond Even (1992-2006)</v>
      </c>
    </row>
    <row r="15964" spans="1:4" x14ac:dyDescent="0.2">
      <c r="A15964" t="str">
        <f>"15963"</f>
        <v>15963</v>
      </c>
      <c r="B15964" t="str">
        <f>"0.24"</f>
        <v>0.24</v>
      </c>
      <c r="C15964" t="str">
        <f>"31"</f>
        <v>31</v>
      </c>
      <c r="D15964" t="str">
        <f>"The Roundhouse Tapes"</f>
        <v>The Roundhouse Tapes</v>
      </c>
    </row>
    <row r="15965" spans="1:4" x14ac:dyDescent="0.2">
      <c r="A15965" t="str">
        <f>"15964"</f>
        <v>15964</v>
      </c>
      <c r="B15965" t="str">
        <f>"0.84"</f>
        <v>0.84</v>
      </c>
      <c r="C15965" t="str">
        <f>"17"</f>
        <v>17</v>
      </c>
      <c r="D15965" t="str">
        <f>"Like Bees EP"</f>
        <v>Like Bees EP</v>
      </c>
    </row>
    <row r="15966" spans="1:4" x14ac:dyDescent="0.2">
      <c r="A15966" t="str">
        <f>"15965"</f>
        <v>15965</v>
      </c>
      <c r="B15966" t="str">
        <f>"-0.49"</f>
        <v>-0.49</v>
      </c>
      <c r="C15966" t="str">
        <f>"16"</f>
        <v>16</v>
      </c>
      <c r="D15966" t="str">
        <f>"The Assassination of Jesse James by the Coward Robert Ford"</f>
        <v>The Assassination of Jesse James by the Coward Robert Ford</v>
      </c>
    </row>
    <row r="15967" spans="1:4" x14ac:dyDescent="0.2">
      <c r="A15967" t="str">
        <f>"15966"</f>
        <v>15966</v>
      </c>
      <c r="B15967" t="str">
        <f>"0.39"</f>
        <v>0.39</v>
      </c>
      <c r="C15967" t="str">
        <f>"23"</f>
        <v>23</v>
      </c>
      <c r="D15967" t="str">
        <f>"No Ground Under"</f>
        <v>No Ground Under</v>
      </c>
    </row>
    <row r="15968" spans="1:4" x14ac:dyDescent="0.2">
      <c r="A15968" t="str">
        <f>"15967"</f>
        <v>15967</v>
      </c>
      <c r="B15968" t="str">
        <f>"-0.48"</f>
        <v>-0.48</v>
      </c>
      <c r="C15968" t="str">
        <f>"35"</f>
        <v>35</v>
      </c>
      <c r="D15968" t="str">
        <f>"The Patron"</f>
        <v>The Patron</v>
      </c>
    </row>
    <row r="15969" spans="1:4" x14ac:dyDescent="0.2">
      <c r="A15969" t="str">
        <f>"15968"</f>
        <v>15968</v>
      </c>
      <c r="B15969" t="str">
        <f>"-0.61"</f>
        <v>-0.61</v>
      </c>
      <c r="C15969" t="str">
        <f>"74"</f>
        <v>74</v>
      </c>
      <c r="D15969" t="str">
        <f>"Always Lift Him Up: A Tribute to Blind Alfred Reed"</f>
        <v>Always Lift Him Up: A Tribute to Blind Alfred Reed</v>
      </c>
    </row>
    <row r="15970" spans="1:4" x14ac:dyDescent="0.2">
      <c r="A15970" t="str">
        <f>"15969"</f>
        <v>15969</v>
      </c>
      <c r="B15970" t="str">
        <f>"0.87"</f>
        <v>0.87</v>
      </c>
      <c r="C15970" t="str">
        <f>"37"</f>
        <v>37</v>
      </c>
      <c r="D15970" t="str">
        <f>"Snowbeast"</f>
        <v>Snowbeast</v>
      </c>
    </row>
    <row r="15971" spans="1:4" x14ac:dyDescent="0.2">
      <c r="A15971" t="str">
        <f>"15970"</f>
        <v>15970</v>
      </c>
      <c r="B15971" t="str">
        <f>"-1.72"</f>
        <v>-1.72</v>
      </c>
      <c r="C15971" t="str">
        <f>"24"</f>
        <v>24</v>
      </c>
      <c r="D15971" t="str">
        <f>"Slick Dogs and Ponies"</f>
        <v>Slick Dogs and Ponies</v>
      </c>
    </row>
    <row r="15972" spans="1:4" x14ac:dyDescent="0.2">
      <c r="A15972" t="str">
        <f>"15971"</f>
        <v>15971</v>
      </c>
      <c r="B15972" t="str">
        <f>"-0.06"</f>
        <v>-0.06</v>
      </c>
      <c r="C15972" t="str">
        <f>"24"</f>
        <v>24</v>
      </c>
      <c r="D15972" t="str">
        <f>"Field Manual"</f>
        <v>Field Manual</v>
      </c>
    </row>
    <row r="15973" spans="1:4" x14ac:dyDescent="0.2">
      <c r="A15973" t="str">
        <f>"15972"</f>
        <v>15972</v>
      </c>
      <c r="B15973" t="str">
        <f>"0.05"</f>
        <v>0.05</v>
      </c>
      <c r="C15973" t="str">
        <f>"68"</f>
        <v>68</v>
      </c>
      <c r="D15973" t="str">
        <f>"Hammer of the Gods"</f>
        <v>Hammer of the Gods</v>
      </c>
    </row>
    <row r="15974" spans="1:4" x14ac:dyDescent="0.2">
      <c r="A15974" t="str">
        <f>"15973"</f>
        <v>15973</v>
      </c>
      <c r="B15974" t="str">
        <f>"0.96"</f>
        <v>0.96</v>
      </c>
      <c r="C15974" t="str">
        <f>"21"</f>
        <v>21</v>
      </c>
      <c r="D15974" t="str">
        <f>"Gyllyng Street"</f>
        <v>Gyllyng Street</v>
      </c>
    </row>
    <row r="15975" spans="1:4" x14ac:dyDescent="0.2">
      <c r="A15975" t="str">
        <f>"15974"</f>
        <v>15974</v>
      </c>
      <c r="B15975" t="str">
        <f>"-0.33"</f>
        <v>-0.33</v>
      </c>
      <c r="C15975" t="str">
        <f>"21"</f>
        <v>21</v>
      </c>
      <c r="D15975" t="str">
        <f>"Terrific Seasons"</f>
        <v>Terrific Seasons</v>
      </c>
    </row>
    <row r="15976" spans="1:4" x14ac:dyDescent="0.2">
      <c r="A15976" t="str">
        <f>"15975"</f>
        <v>15975</v>
      </c>
      <c r="B15976" t="str">
        <f>"-0.06"</f>
        <v>-0.06</v>
      </c>
      <c r="C15976" t="str">
        <f>"65"</f>
        <v>65</v>
      </c>
      <c r="D15976" t="str">
        <f>"Songs From Purgatory: Cassette Recordings 1991-1996"</f>
        <v>Songs From Purgatory: Cassette Recordings 1991-1996</v>
      </c>
    </row>
    <row r="15977" spans="1:4" x14ac:dyDescent="0.2">
      <c r="A15977" t="str">
        <f>"15976"</f>
        <v>15976</v>
      </c>
      <c r="B15977" t="str">
        <f>"-0.75"</f>
        <v>-0.75</v>
      </c>
      <c r="C15977" t="str">
        <f>"25"</f>
        <v>25</v>
      </c>
      <c r="D15977" t="str">
        <f>"Women as Lovers"</f>
        <v>Women as Lovers</v>
      </c>
    </row>
    <row r="15978" spans="1:4" x14ac:dyDescent="0.2">
      <c r="A15978" t="str">
        <f>"15977"</f>
        <v>15977</v>
      </c>
      <c r="B15978" t="str">
        <f>"1.11"</f>
        <v>1.11</v>
      </c>
      <c r="C15978" t="str">
        <f>"33"</f>
        <v>33</v>
      </c>
      <c r="D15978" t="str">
        <f>"Most of the Remixes..."</f>
        <v>Most of the Remixes...</v>
      </c>
    </row>
    <row r="15979" spans="1:4" x14ac:dyDescent="0.2">
      <c r="A15979" t="str">
        <f>"15978"</f>
        <v>15978</v>
      </c>
      <c r="B15979" t="str">
        <f>"0"</f>
        <v>0</v>
      </c>
      <c r="C15979" t="str">
        <f>"65"</f>
        <v>65</v>
      </c>
      <c r="D15979" t="str">
        <f>"Eccentric Soul: The Outskirts of Deep City"</f>
        <v>Eccentric Soul: The Outskirts of Deep City</v>
      </c>
    </row>
    <row r="15980" spans="1:4" x14ac:dyDescent="0.2">
      <c r="A15980" t="str">
        <f>"15979"</f>
        <v>15979</v>
      </c>
      <c r="B15980" t="str">
        <f>"0.21"</f>
        <v>0.21</v>
      </c>
      <c r="C15980" t="str">
        <f>"31"</f>
        <v>31</v>
      </c>
      <c r="D15980" t="str">
        <f>"Live at Low End Theory"</f>
        <v>Live at Low End Theory</v>
      </c>
    </row>
    <row r="15981" spans="1:4" x14ac:dyDescent="0.2">
      <c r="A15981" t="str">
        <f>"15980"</f>
        <v>15980</v>
      </c>
      <c r="B15981" t="str">
        <f>"0.33"</f>
        <v>0.33</v>
      </c>
      <c r="C15981" t="str">
        <f>"18"</f>
        <v>18</v>
      </c>
      <c r="D15981" t="str">
        <f>"Dystopia"</f>
        <v>Dystopia</v>
      </c>
    </row>
    <row r="15982" spans="1:4" x14ac:dyDescent="0.2">
      <c r="A15982" t="str">
        <f>"15981"</f>
        <v>15981</v>
      </c>
      <c r="B15982" t="str">
        <f>"0.95"</f>
        <v>0.95</v>
      </c>
      <c r="C15982" t="str">
        <f>"36"</f>
        <v>36</v>
      </c>
      <c r="D15982" t="str">
        <f>"The Voice of Lightness"</f>
        <v>The Voice of Lightness</v>
      </c>
    </row>
    <row r="15983" spans="1:4" x14ac:dyDescent="0.2">
      <c r="A15983" t="str">
        <f>"15982"</f>
        <v>15982</v>
      </c>
      <c r="B15983" t="str">
        <f>"-0.6"</f>
        <v>-0.6</v>
      </c>
      <c r="C15983" t="str">
        <f>"46"</f>
        <v>46</v>
      </c>
      <c r="D15983" t="str">
        <f>"Odelay: Deluxe Edition"</f>
        <v>Odelay: Deluxe Edition</v>
      </c>
    </row>
    <row r="15984" spans="1:4" x14ac:dyDescent="0.2">
      <c r="A15984" t="str">
        <f>"15983"</f>
        <v>15983</v>
      </c>
      <c r="B15984" t="str">
        <f>"-0.74"</f>
        <v>-0.74</v>
      </c>
      <c r="C15984" t="str">
        <f>"20"</f>
        <v>20</v>
      </c>
      <c r="D15984" t="str">
        <f>"The Evening Descends"</f>
        <v>The Evening Descends</v>
      </c>
    </row>
    <row r="15985" spans="1:4" x14ac:dyDescent="0.2">
      <c r="A15985" t="str">
        <f>"15984"</f>
        <v>15984</v>
      </c>
      <c r="B15985" t="str">
        <f>"0.27"</f>
        <v>0.27</v>
      </c>
      <c r="C15985" t="str">
        <f>"56"</f>
        <v>56</v>
      </c>
      <c r="D15985" t="str">
        <f>"Take to the Skies"</f>
        <v>Take to the Skies</v>
      </c>
    </row>
    <row r="15986" spans="1:4" x14ac:dyDescent="0.2">
      <c r="A15986" t="str">
        <f>"15985"</f>
        <v>15985</v>
      </c>
      <c r="B15986" t="str">
        <f>"-0.71"</f>
        <v>-0.71</v>
      </c>
      <c r="C15986" t="str">
        <f>"64"</f>
        <v>64</v>
      </c>
      <c r="D15986" t="str">
        <f>"Auditorium"</f>
        <v>Auditorium</v>
      </c>
    </row>
    <row r="15987" spans="1:4" x14ac:dyDescent="0.2">
      <c r="A15987" t="str">
        <f>"15986"</f>
        <v>15986</v>
      </c>
      <c r="B15987" t="str">
        <f>"0.73"</f>
        <v>0.73</v>
      </c>
      <c r="C15987" t="str">
        <f>"50"</f>
        <v>50</v>
      </c>
      <c r="D15987" t="str">
        <f>"Vampire Weekend"</f>
        <v>Vampire Weekend</v>
      </c>
    </row>
    <row r="15988" spans="1:4" x14ac:dyDescent="0.2">
      <c r="A15988" t="str">
        <f>"15987"</f>
        <v>15987</v>
      </c>
      <c r="B15988" t="str">
        <f>"0.14"</f>
        <v>0.14</v>
      </c>
      <c r="C15988" t="str">
        <f>"20"</f>
        <v>20</v>
      </c>
      <c r="D15988" t="str">
        <f>"DJ-Kicks"</f>
        <v>DJ-Kicks</v>
      </c>
    </row>
    <row r="15989" spans="1:4" x14ac:dyDescent="0.2">
      <c r="A15989" t="str">
        <f>"15988"</f>
        <v>15988</v>
      </c>
      <c r="B15989" t="str">
        <f>"1.84"</f>
        <v>1.84</v>
      </c>
      <c r="C15989" t="str">
        <f>"22"</f>
        <v>22</v>
      </c>
      <c r="D15989" t="str">
        <f>"Superman Was a Rocker"</f>
        <v>Superman Was a Rocker</v>
      </c>
    </row>
    <row r="15990" spans="1:4" x14ac:dyDescent="0.2">
      <c r="A15990" t="str">
        <f>"15989"</f>
        <v>15989</v>
      </c>
      <c r="B15990" t="str">
        <f>"0.5"</f>
        <v>0.5</v>
      </c>
      <c r="C15990" t="str">
        <f>"24"</f>
        <v>24</v>
      </c>
      <c r="D15990" t="str">
        <f>"Little Eyes"</f>
        <v>Little Eyes</v>
      </c>
    </row>
    <row r="15991" spans="1:4" x14ac:dyDescent="0.2">
      <c r="A15991" t="str">
        <f>"15990"</f>
        <v>15990</v>
      </c>
      <c r="B15991" t="str">
        <f>"-0.57"</f>
        <v>-0.57</v>
      </c>
      <c r="C15991" t="str">
        <f>"56"</f>
        <v>56</v>
      </c>
      <c r="D15991" t="str">
        <f>"The Message Uni Versa"</f>
        <v>The Message Uni Versa</v>
      </c>
    </row>
    <row r="15992" spans="1:4" x14ac:dyDescent="0.2">
      <c r="A15992" t="str">
        <f>"15991"</f>
        <v>15991</v>
      </c>
      <c r="B15992" t="str">
        <f>"-0.01"</f>
        <v>-0.01</v>
      </c>
      <c r="C15992" t="str">
        <f>"20"</f>
        <v>20</v>
      </c>
      <c r="D15992" t="str">
        <f>"Brighter Than Creation's Dark"</f>
        <v>Brighter Than Creation's Dark</v>
      </c>
    </row>
    <row r="15993" spans="1:4" x14ac:dyDescent="0.2">
      <c r="A15993" t="str">
        <f>"15992"</f>
        <v>15992</v>
      </c>
      <c r="B15993" t="str">
        <f>"0.76"</f>
        <v>0.76</v>
      </c>
      <c r="C15993" t="str">
        <f>"31"</f>
        <v>31</v>
      </c>
      <c r="D15993" t="str">
        <f>"Light Works"</f>
        <v>Light Works</v>
      </c>
    </row>
    <row r="15994" spans="1:4" x14ac:dyDescent="0.2">
      <c r="A15994" t="str">
        <f>"15993"</f>
        <v>15993</v>
      </c>
      <c r="B15994" t="str">
        <f>"-0.62"</f>
        <v>-0.62</v>
      </c>
      <c r="C15994" t="str">
        <f>"67"</f>
        <v>67</v>
      </c>
      <c r="D15994" t="str">
        <f>"Early Works"</f>
        <v>Early Works</v>
      </c>
    </row>
    <row r="15995" spans="1:4" x14ac:dyDescent="0.2">
      <c r="A15995" t="str">
        <f>"15994"</f>
        <v>15994</v>
      </c>
      <c r="B15995" t="str">
        <f>"-0.36"</f>
        <v>-0.36</v>
      </c>
      <c r="C15995" t="str">
        <f>"17"</f>
        <v>17</v>
      </c>
      <c r="D15995" t="str">
        <f>"Arms"</f>
        <v>Arms</v>
      </c>
    </row>
    <row r="15996" spans="1:4" x14ac:dyDescent="0.2">
      <c r="A15996" t="str">
        <f>"15995"</f>
        <v>15995</v>
      </c>
      <c r="B15996" t="str">
        <f>"0.85"</f>
        <v>0.85</v>
      </c>
      <c r="C15996" t="str">
        <f>"12"</f>
        <v>12</v>
      </c>
      <c r="D15996" t="str">
        <f>"Science Fiction Illustrated"</f>
        <v>Science Fiction Illustrated</v>
      </c>
    </row>
    <row r="15997" spans="1:4" x14ac:dyDescent="0.2">
      <c r="A15997" t="str">
        <f>"15996"</f>
        <v>15996</v>
      </c>
      <c r="B15997" t="str">
        <f>"0.35"</f>
        <v>0.35</v>
      </c>
      <c r="C15997" t="str">
        <f>"26"</f>
        <v>26</v>
      </c>
      <c r="D15997" t="str">
        <f>"Mixed Up"</f>
        <v>Mixed Up</v>
      </c>
    </row>
    <row r="15998" spans="1:4" x14ac:dyDescent="0.2">
      <c r="A15998" t="str">
        <f>"15997"</f>
        <v>15997</v>
      </c>
      <c r="B15998" t="str">
        <f>"1.01"</f>
        <v>1.01</v>
      </c>
      <c r="C15998" t="str">
        <f>"25"</f>
        <v>25</v>
      </c>
      <c r="D15998" t="str">
        <f>"30"</f>
        <v>30</v>
      </c>
    </row>
    <row r="15999" spans="1:4" x14ac:dyDescent="0.2">
      <c r="A15999" t="str">
        <f>"15998"</f>
        <v>15998</v>
      </c>
      <c r="B15999" t="str">
        <f>"0.74"</f>
        <v>0.74</v>
      </c>
      <c r="C15999" t="str">
        <f>"25"</f>
        <v>25</v>
      </c>
      <c r="D15999" t="str">
        <f>"Parallel Suns"</f>
        <v>Parallel Suns</v>
      </c>
    </row>
    <row r="16000" spans="1:4" x14ac:dyDescent="0.2">
      <c r="A16000" t="str">
        <f>"15999"</f>
        <v>15999</v>
      </c>
      <c r="B16000" t="str">
        <f>"-0.21"</f>
        <v>-0.21</v>
      </c>
      <c r="C16000" t="str">
        <f>"61"</f>
        <v>61</v>
      </c>
      <c r="D16000" t="str">
        <f>"The Street Lights Have Been Turned Down"</f>
        <v>The Street Lights Have Been Turned Down</v>
      </c>
    </row>
    <row r="16001" spans="1:4" x14ac:dyDescent="0.2">
      <c r="A16001" t="str">
        <f>"16000"</f>
        <v>16000</v>
      </c>
      <c r="B16001" t="str">
        <f>"0.2"</f>
        <v>0.2</v>
      </c>
      <c r="C16001" t="str">
        <f>"27"</f>
        <v>27</v>
      </c>
      <c r="D16001" t="str">
        <f>"Sabotage Gigante"</f>
        <v>Sabotage Gigante</v>
      </c>
    </row>
    <row r="16002" spans="1:4" x14ac:dyDescent="0.2">
      <c r="A16002" t="str">
        <f>"16001"</f>
        <v>16001</v>
      </c>
      <c r="B16002" t="str">
        <f>"-0.47"</f>
        <v>-0.47</v>
      </c>
      <c r="C16002" t="str">
        <f>"31"</f>
        <v>31</v>
      </c>
      <c r="D16002" t="str">
        <f>"In the Future"</f>
        <v>In the Future</v>
      </c>
    </row>
    <row r="16003" spans="1:4" x14ac:dyDescent="0.2">
      <c r="A16003" t="str">
        <f>"16002"</f>
        <v>16002</v>
      </c>
      <c r="B16003" t="str">
        <f>"0.79"</f>
        <v>0.79</v>
      </c>
      <c r="C16003" t="str">
        <f>"39"</f>
        <v>39</v>
      </c>
      <c r="D16003" t="str">
        <f>"The Portrait Is Finished and I Have Failed to Capture Your Beauty..."</f>
        <v>The Portrait Is Finished and I Have Failed to Capture Your Beauty...</v>
      </c>
    </row>
    <row r="16004" spans="1:4" x14ac:dyDescent="0.2">
      <c r="A16004" t="str">
        <f>"16003"</f>
        <v>16003</v>
      </c>
      <c r="B16004" t="str">
        <f>"0.93"</f>
        <v>0.93</v>
      </c>
      <c r="C16004" t="str">
        <f>"96"</f>
        <v>96</v>
      </c>
      <c r="D16004" t="str">
        <f>"Black Mirror: Reflections in Global Music (1918-1955)"</f>
        <v>Black Mirror: Reflections in Global Music (1918-1955)</v>
      </c>
    </row>
    <row r="16005" spans="1:4" x14ac:dyDescent="0.2">
      <c r="A16005" t="str">
        <f>"16004"</f>
        <v>16004</v>
      </c>
      <c r="B16005" t="str">
        <f>"-1.03"</f>
        <v>-1.03</v>
      </c>
      <c r="C16005" t="str">
        <f>"13"</f>
        <v>13</v>
      </c>
      <c r="D16005" t="str">
        <f>"Quantum Fucking"</f>
        <v>Quantum Fucking</v>
      </c>
    </row>
    <row r="16006" spans="1:4" x14ac:dyDescent="0.2">
      <c r="A16006" t="str">
        <f>"16005"</f>
        <v>16005</v>
      </c>
      <c r="B16006" t="str">
        <f>"-0.07"</f>
        <v>-0.07</v>
      </c>
      <c r="C16006" t="str">
        <f>"55"</f>
        <v>55</v>
      </c>
      <c r="D16006" t="str">
        <f>"The Alchemist"</f>
        <v>The Alchemist</v>
      </c>
    </row>
    <row r="16007" spans="1:4" x14ac:dyDescent="0.2">
      <c r="A16007" t="str">
        <f>"16006"</f>
        <v>16006</v>
      </c>
      <c r="B16007" t="str">
        <f>"0.29"</f>
        <v>0.29</v>
      </c>
      <c r="C16007" t="str">
        <f>"22"</f>
        <v>22</v>
      </c>
      <c r="D16007" t="str">
        <f>"Lullaby for Liquid Pig"</f>
        <v>Lullaby for Liquid Pig</v>
      </c>
    </row>
    <row r="16008" spans="1:4" x14ac:dyDescent="0.2">
      <c r="A16008" t="str">
        <f>"16007"</f>
        <v>16007</v>
      </c>
      <c r="B16008" t="str">
        <f>"-0.38"</f>
        <v>-0.38</v>
      </c>
      <c r="C16008" t="str">
        <f>"22"</f>
        <v>22</v>
      </c>
      <c r="D16008" t="str">
        <f>"Rip It Off"</f>
        <v>Rip It Off</v>
      </c>
    </row>
    <row r="16009" spans="1:4" x14ac:dyDescent="0.2">
      <c r="A16009" t="str">
        <f>"16008"</f>
        <v>16008</v>
      </c>
      <c r="B16009" t="str">
        <f>"0.2"</f>
        <v>0.2</v>
      </c>
      <c r="C16009" t="str">
        <f>"87"</f>
        <v>87</v>
      </c>
      <c r="D16009" t="str">
        <f>"Gram Parsons Archives Volume 1: Gram Parsons with the Flying Burrito Brothers Live at the Avalon Ballroom 1969"</f>
        <v>Gram Parsons Archives Volume 1: Gram Parsons with the Flying Burrito Brothers Live at the Avalon Ballroom 1969</v>
      </c>
    </row>
    <row r="16010" spans="1:4" x14ac:dyDescent="0.2">
      <c r="A16010" t="str">
        <f>"16009"</f>
        <v>16009</v>
      </c>
      <c r="B16010" t="str">
        <f>"-0.14"</f>
        <v>-0.14</v>
      </c>
      <c r="C16010" t="str">
        <f>"51"</f>
        <v>51</v>
      </c>
      <c r="D16010" t="str">
        <f>"Cadenza Contemporary 01/Classics"</f>
        <v>Cadenza Contemporary 01/Classics</v>
      </c>
    </row>
    <row r="16011" spans="1:4" x14ac:dyDescent="0.2">
      <c r="A16011" t="str">
        <f>"16010"</f>
        <v>16010</v>
      </c>
      <c r="B16011" t="str">
        <f>"0"</f>
        <v>0</v>
      </c>
      <c r="C16011" t="str">
        <f>"22"</f>
        <v>22</v>
      </c>
      <c r="D16011" t="str">
        <f>"I'm Like a Virgin Losing a Child"</f>
        <v>I'm Like a Virgin Losing a Child</v>
      </c>
    </row>
    <row r="16012" spans="1:4" x14ac:dyDescent="0.2">
      <c r="A16012" t="str">
        <f>"16011"</f>
        <v>16011</v>
      </c>
      <c r="B16012" t="str">
        <f>"0.67"</f>
        <v>0.67</v>
      </c>
      <c r="C16012" t="str">
        <f>"100"</f>
        <v>100</v>
      </c>
      <c r="D16012" t="str">
        <f>"Jukebox"</f>
        <v>Jukebox</v>
      </c>
    </row>
    <row r="16013" spans="1:4" x14ac:dyDescent="0.2">
      <c r="A16013" t="str">
        <f>"16012"</f>
        <v>16012</v>
      </c>
      <c r="B16013" t="str">
        <f>"-0.29"</f>
        <v>-0.29</v>
      </c>
      <c r="C16013" t="str">
        <f>"22"</f>
        <v>22</v>
      </c>
      <c r="D16013" t="str">
        <f>"Liferz"</f>
        <v>Liferz</v>
      </c>
    </row>
    <row r="16014" spans="1:4" x14ac:dyDescent="0.2">
      <c r="A16014" t="str">
        <f>"16013"</f>
        <v>16013</v>
      </c>
      <c r="B16014" t="str">
        <f>"-0.66"</f>
        <v>-0.66</v>
      </c>
      <c r="C16014" t="str">
        <f>"58"</f>
        <v>58</v>
      </c>
      <c r="D16014" t="str">
        <f>"Ragged Rubble"</f>
        <v>Ragged Rubble</v>
      </c>
    </row>
    <row r="16015" spans="1:4" x14ac:dyDescent="0.2">
      <c r="A16015" t="str">
        <f>"16014"</f>
        <v>16014</v>
      </c>
      <c r="B16015" t="str">
        <f>"-0.55"</f>
        <v>-0.55</v>
      </c>
      <c r="C16015" t="str">
        <f>"54"</f>
        <v>54</v>
      </c>
      <c r="D16015" t="str">
        <f>"Epic Fits"</f>
        <v>Epic Fits</v>
      </c>
    </row>
    <row r="16016" spans="1:4" x14ac:dyDescent="0.2">
      <c r="A16016" t="str">
        <f>"16015"</f>
        <v>16015</v>
      </c>
      <c r="B16016" t="str">
        <f>"-0.32"</f>
        <v>-0.32</v>
      </c>
      <c r="C16016" t="str">
        <f>"67"</f>
        <v>67</v>
      </c>
      <c r="D16016" t="str">
        <f>"The Best of Lisa Gerrard"</f>
        <v>The Best of Lisa Gerrard</v>
      </c>
    </row>
    <row r="16017" spans="1:4" x14ac:dyDescent="0.2">
      <c r="A16017" t="str">
        <f>"16016"</f>
        <v>16016</v>
      </c>
      <c r="B16017" t="str">
        <f>"0.85"</f>
        <v>0.85</v>
      </c>
      <c r="C16017" t="str">
        <f>"27"</f>
        <v>27</v>
      </c>
      <c r="D16017" t="str">
        <f>"Boscoe"</f>
        <v>Boscoe</v>
      </c>
    </row>
    <row r="16018" spans="1:4" x14ac:dyDescent="0.2">
      <c r="A16018" t="str">
        <f>"16017"</f>
        <v>16017</v>
      </c>
      <c r="B16018" t="str">
        <f>"0.92"</f>
        <v>0.92</v>
      </c>
      <c r="C16018" t="str">
        <f>"49"</f>
        <v>49</v>
      </c>
      <c r="D16018" t="str">
        <f>"Soldier On EP"</f>
        <v>Soldier On EP</v>
      </c>
    </row>
    <row r="16019" spans="1:4" x14ac:dyDescent="0.2">
      <c r="A16019" t="str">
        <f>"16018"</f>
        <v>16018</v>
      </c>
      <c r="B16019" t="str">
        <f>"-0.1"</f>
        <v>-0.1</v>
      </c>
      <c r="C16019" t="str">
        <f>"46"</f>
        <v>46</v>
      </c>
      <c r="D16019" t="s">
        <v>515</v>
      </c>
    </row>
    <row r="16020" spans="1:4" x14ac:dyDescent="0.2">
      <c r="A16020" t="str">
        <f>"16019"</f>
        <v>16019</v>
      </c>
      <c r="B16020" t="str">
        <f>"0.38"</f>
        <v>0.38</v>
      </c>
      <c r="C16020" t="str">
        <f>"33"</f>
        <v>33</v>
      </c>
      <c r="D16020" t="str">
        <f>"Melodii Tuvi: Throat Songs and Folk Tunes from Tuva"</f>
        <v>Melodii Tuvi: Throat Songs and Folk Tunes from Tuva</v>
      </c>
    </row>
    <row r="16021" spans="1:4" x14ac:dyDescent="0.2">
      <c r="A16021" t="str">
        <f>"16020"</f>
        <v>16020</v>
      </c>
      <c r="B16021" t="str">
        <f>"-0.51"</f>
        <v>-0.51</v>
      </c>
      <c r="C16021" t="str">
        <f>"25"</f>
        <v>25</v>
      </c>
      <c r="D16021" t="str">
        <f>"Level Live Wires"</f>
        <v>Level Live Wires</v>
      </c>
    </row>
    <row r="16022" spans="1:4" x14ac:dyDescent="0.2">
      <c r="A16022" t="str">
        <f>"16021"</f>
        <v>16021</v>
      </c>
      <c r="B16022" t="str">
        <f>"-0.57"</f>
        <v>-0.57</v>
      </c>
      <c r="C16022" t="str">
        <f>"40"</f>
        <v>40</v>
      </c>
      <c r="D16022" t="str">
        <f>"The Leak EP"</f>
        <v>The Leak EP</v>
      </c>
    </row>
    <row r="16023" spans="1:4" x14ac:dyDescent="0.2">
      <c r="A16023" t="str">
        <f>"16022"</f>
        <v>16022</v>
      </c>
      <c r="B16023" t="str">
        <f>"-0.13"</f>
        <v>-0.13</v>
      </c>
      <c r="C16023" t="str">
        <f>"29"</f>
        <v>29</v>
      </c>
      <c r="D16023" t="str">
        <f>"Tank Tapes"</f>
        <v>Tank Tapes</v>
      </c>
    </row>
    <row r="16024" spans="1:4" x14ac:dyDescent="0.2">
      <c r="A16024" t="str">
        <f>"16023"</f>
        <v>16023</v>
      </c>
      <c r="B16024" t="str">
        <f>"-0.38"</f>
        <v>-0.38</v>
      </c>
      <c r="C16024" t="str">
        <f>"28"</f>
        <v>28</v>
      </c>
      <c r="D16024" t="s">
        <v>516</v>
      </c>
    </row>
    <row r="16025" spans="1:4" x14ac:dyDescent="0.2">
      <c r="A16025" t="str">
        <f>"16024"</f>
        <v>16024</v>
      </c>
      <c r="B16025" t="str">
        <f>"0.09"</f>
        <v>0.09</v>
      </c>
      <c r="C16025" t="str">
        <f>"53"</f>
        <v>53</v>
      </c>
      <c r="D16025" t="str">
        <f>"Juices!"</f>
        <v>Juices!</v>
      </c>
    </row>
    <row r="16026" spans="1:4" x14ac:dyDescent="0.2">
      <c r="A16026" t="str">
        <f>"16025"</f>
        <v>16025</v>
      </c>
      <c r="B16026" t="str">
        <f>"0.42"</f>
        <v>0.42</v>
      </c>
      <c r="C16026" t="str">
        <f>"24"</f>
        <v>24</v>
      </c>
      <c r="D16026" t="str">
        <f>"Blink of a Nihilist"</f>
        <v>Blink of a Nihilist</v>
      </c>
    </row>
    <row r="16027" spans="1:4" x14ac:dyDescent="0.2">
      <c r="A16027" t="str">
        <f>"16026"</f>
        <v>16026</v>
      </c>
      <c r="B16027" t="str">
        <f>"0.61"</f>
        <v>0.61</v>
      </c>
      <c r="C16027" t="str">
        <f>"29"</f>
        <v>29</v>
      </c>
      <c r="D16027" t="str">
        <f>"Sound of Light EP"</f>
        <v>Sound of Light EP</v>
      </c>
    </row>
    <row r="16028" spans="1:4" x14ac:dyDescent="0.2">
      <c r="A16028" t="str">
        <f>"16027"</f>
        <v>16027</v>
      </c>
      <c r="B16028" t="str">
        <f>"0.75"</f>
        <v>0.75</v>
      </c>
      <c r="C16028" t="str">
        <f>"39"</f>
        <v>39</v>
      </c>
      <c r="D16028" t="str">
        <f>"Four Songs by Arthur Russell"</f>
        <v>Four Songs by Arthur Russell</v>
      </c>
    </row>
    <row r="16029" spans="1:4" x14ac:dyDescent="0.2">
      <c r="A16029" t="str">
        <f>"16028"</f>
        <v>16028</v>
      </c>
      <c r="B16029" t="str">
        <f>"1.03"</f>
        <v>1.03</v>
      </c>
      <c r="C16029" t="str">
        <f>"23"</f>
        <v>23</v>
      </c>
      <c r="D16029" t="str">
        <f>"Run From Safety"</f>
        <v>Run From Safety</v>
      </c>
    </row>
    <row r="16030" spans="1:4" x14ac:dyDescent="0.2">
      <c r="A16030" t="str">
        <f>"16029"</f>
        <v>16029</v>
      </c>
      <c r="B16030" t="str">
        <f>"0.82"</f>
        <v>0.82</v>
      </c>
      <c r="C16030" t="str">
        <f>"18"</f>
        <v>18</v>
      </c>
      <c r="D16030" t="str">
        <f>"Ecstatic Eyes Glow Glossy"</f>
        <v>Ecstatic Eyes Glow Glossy</v>
      </c>
    </row>
    <row r="16031" spans="1:4" x14ac:dyDescent="0.2">
      <c r="A16031" t="str">
        <f>"16030"</f>
        <v>16030</v>
      </c>
      <c r="B16031" t="str">
        <f>"0.18"</f>
        <v>0.18</v>
      </c>
      <c r="C16031" t="str">
        <f>"24"</f>
        <v>24</v>
      </c>
      <c r="D16031" t="str">
        <f>"First Steps Into..."</f>
        <v>First Steps Into...</v>
      </c>
    </row>
    <row r="16032" spans="1:4" x14ac:dyDescent="0.2">
      <c r="A16032" t="str">
        <f>"16031"</f>
        <v>16031</v>
      </c>
      <c r="B16032" t="str">
        <f>"0.34"</f>
        <v>0.34</v>
      </c>
      <c r="C16032" t="str">
        <f>"34"</f>
        <v>34</v>
      </c>
      <c r="D16032" t="str">
        <f>"Meet the Eels: Essential Eels Vol. I"</f>
        <v>Meet the Eels: Essential Eels Vol. I</v>
      </c>
    </row>
    <row r="16033" spans="1:4" x14ac:dyDescent="0.2">
      <c r="A16033" t="str">
        <f>"16032"</f>
        <v>16032</v>
      </c>
      <c r="B16033" t="str">
        <f>"0.46"</f>
        <v>0.46</v>
      </c>
      <c r="C16033" t="str">
        <f>"26"</f>
        <v>26</v>
      </c>
      <c r="D16033" t="str">
        <f>"Sea From Shore"</f>
        <v>Sea From Shore</v>
      </c>
    </row>
    <row r="16034" spans="1:4" x14ac:dyDescent="0.2">
      <c r="A16034" t="str">
        <f>"16033"</f>
        <v>16033</v>
      </c>
      <c r="B16034" t="str">
        <f>"0.24"</f>
        <v>0.24</v>
      </c>
      <c r="C16034" t="str">
        <f>"54"</f>
        <v>54</v>
      </c>
      <c r="D16034" t="str">
        <f>"Ancestral Swamp"</f>
        <v>Ancestral Swamp</v>
      </c>
    </row>
    <row r="16035" spans="1:4" x14ac:dyDescent="0.2">
      <c r="A16035" t="str">
        <f>"16034"</f>
        <v>16034</v>
      </c>
      <c r="B16035" t="str">
        <f>"0.35"</f>
        <v>0.35</v>
      </c>
      <c r="C16035" t="str">
        <f>"85"</f>
        <v>85</v>
      </c>
      <c r="D16035" t="str">
        <f>"Hi-Teknology 3: Underground"</f>
        <v>Hi-Teknology 3: Underground</v>
      </c>
    </row>
    <row r="16036" spans="1:4" x14ac:dyDescent="0.2">
      <c r="A16036" t="str">
        <f>"16035"</f>
        <v>16035</v>
      </c>
      <c r="B16036" t="str">
        <f>"-0.73"</f>
        <v>-0.73</v>
      </c>
      <c r="C16036" t="str">
        <f>"19"</f>
        <v>19</v>
      </c>
      <c r="D16036" t="str">
        <f>"Silver Storms"</f>
        <v>Silver Storms</v>
      </c>
    </row>
    <row r="16037" spans="1:4" x14ac:dyDescent="0.2">
      <c r="A16037" t="str">
        <f>"16036"</f>
        <v>16036</v>
      </c>
      <c r="B16037" t="str">
        <f>"0.68"</f>
        <v>0.68</v>
      </c>
      <c r="C16037" t="str">
        <f>"26"</f>
        <v>26</v>
      </c>
      <c r="D16037" t="str">
        <f>"Distortion"</f>
        <v>Distortion</v>
      </c>
    </row>
    <row r="16038" spans="1:4" x14ac:dyDescent="0.2">
      <c r="A16038" t="str">
        <f>"16037"</f>
        <v>16037</v>
      </c>
      <c r="B16038" t="str">
        <f>"-0.18"</f>
        <v>-0.18</v>
      </c>
      <c r="C16038" t="str">
        <f>"18"</f>
        <v>18</v>
      </c>
      <c r="D16038" t="str">
        <f>"Private Times in Public Places"</f>
        <v>Private Times in Public Places</v>
      </c>
    </row>
    <row r="16039" spans="1:4" x14ac:dyDescent="0.2">
      <c r="A16039" t="str">
        <f>"16038"</f>
        <v>16038</v>
      </c>
      <c r="B16039" t="str">
        <f>"-0.3"</f>
        <v>-0.3</v>
      </c>
      <c r="C16039" t="str">
        <f>"88"</f>
        <v>88</v>
      </c>
      <c r="D16039" t="str">
        <f>"Strictly Leakage"</f>
        <v>Strictly Leakage</v>
      </c>
    </row>
    <row r="16040" spans="1:4" x14ac:dyDescent="0.2">
      <c r="A16040" t="str">
        <f>"16039"</f>
        <v>16039</v>
      </c>
      <c r="B16040" t="str">
        <f>"-0.28"</f>
        <v>-0.28</v>
      </c>
      <c r="C16040" t="str">
        <f>"17"</f>
        <v>17</v>
      </c>
      <c r="D16040" t="str">
        <f>"Deuteronomy"</f>
        <v>Deuteronomy</v>
      </c>
    </row>
    <row r="16041" spans="1:4" x14ac:dyDescent="0.2">
      <c r="A16041" t="str">
        <f>"16040"</f>
        <v>16040</v>
      </c>
      <c r="B16041" t="str">
        <f>"0.49"</f>
        <v>0.49</v>
      </c>
      <c r="C16041" t="str">
        <f>"31"</f>
        <v>31</v>
      </c>
      <c r="D16041" t="str">
        <f>"The Captain's Table"</f>
        <v>The Captain's Table</v>
      </c>
    </row>
    <row r="16042" spans="1:4" x14ac:dyDescent="0.2">
      <c r="A16042" t="str">
        <f>"16041"</f>
        <v>16041</v>
      </c>
      <c r="B16042" t="str">
        <f>"0.18"</f>
        <v>0.18</v>
      </c>
      <c r="C16042" t="str">
        <f>"26"</f>
        <v>26</v>
      </c>
      <c r="D16042" t="str">
        <f>"Englabörn"</f>
        <v>Englabörn</v>
      </c>
    </row>
    <row r="16043" spans="1:4" x14ac:dyDescent="0.2">
      <c r="A16043" t="str">
        <f>"16042"</f>
        <v>16042</v>
      </c>
      <c r="B16043" t="str">
        <f>"-0.64"</f>
        <v>-0.64</v>
      </c>
      <c r="C16043" t="str">
        <f>"37"</f>
        <v>37</v>
      </c>
      <c r="D16043" t="str">
        <f>"The Heavy Metal Box"</f>
        <v>The Heavy Metal Box</v>
      </c>
    </row>
    <row r="16044" spans="1:4" x14ac:dyDescent="0.2">
      <c r="A16044" t="str">
        <f>"16043"</f>
        <v>16043</v>
      </c>
      <c r="B16044" t="str">
        <f>"-0.39"</f>
        <v>-0.39</v>
      </c>
      <c r="C16044" t="str">
        <f>"31"</f>
        <v>31</v>
      </c>
      <c r="D16044" t="s">
        <v>517</v>
      </c>
    </row>
    <row r="16045" spans="1:4" x14ac:dyDescent="0.2">
      <c r="A16045" t="str">
        <f>"16044"</f>
        <v>16044</v>
      </c>
      <c r="B16045" t="str">
        <f>"0.13"</f>
        <v>0.13</v>
      </c>
      <c r="C16045" t="str">
        <f>"28"</f>
        <v>28</v>
      </c>
      <c r="D16045" t="str">
        <f>"Dark on Fire"</f>
        <v>Dark on Fire</v>
      </c>
    </row>
    <row r="16046" spans="1:4" x14ac:dyDescent="0.2">
      <c r="A16046" t="str">
        <f>"16045"</f>
        <v>16045</v>
      </c>
      <c r="B16046" t="str">
        <f>"-0.08"</f>
        <v>-0.08</v>
      </c>
      <c r="C16046" t="str">
        <f>"42"</f>
        <v>42</v>
      </c>
      <c r="D16046" t="str">
        <f>"Gangsta Grillz: The Album"</f>
        <v>Gangsta Grillz: The Album</v>
      </c>
    </row>
    <row r="16047" spans="1:4" x14ac:dyDescent="0.2">
      <c r="A16047" t="str">
        <f>"16046"</f>
        <v>16046</v>
      </c>
      <c r="B16047" t="str">
        <f>"0.49"</f>
        <v>0.49</v>
      </c>
      <c r="C16047" t="str">
        <f>"49"</f>
        <v>49</v>
      </c>
      <c r="D16047" t="str">
        <f>"...And All the Pieces Matter: Five Years of Music From The Wire"</f>
        <v>...And All the Pieces Matter: Five Years of Music From The Wire</v>
      </c>
    </row>
    <row r="16048" spans="1:4" x14ac:dyDescent="0.2">
      <c r="A16048" t="str">
        <f>"16047"</f>
        <v>16047</v>
      </c>
      <c r="B16048" t="str">
        <f>"-0.45"</f>
        <v>-0.45</v>
      </c>
      <c r="C16048" t="str">
        <f>"46"</f>
        <v>46</v>
      </c>
      <c r="D16048" t="str">
        <f>"Here Comes the Future"</f>
        <v>Here Comes the Future</v>
      </c>
    </row>
    <row r="16049" spans="1:4" x14ac:dyDescent="0.2">
      <c r="A16049" t="str">
        <f>"16048"</f>
        <v>16048</v>
      </c>
      <c r="B16049" t="str">
        <f>"0.77"</f>
        <v>0.77</v>
      </c>
      <c r="C16049" t="str">
        <f>"68"</f>
        <v>68</v>
      </c>
      <c r="D16049" t="s">
        <v>518</v>
      </c>
    </row>
    <row r="16050" spans="1:4" x14ac:dyDescent="0.2">
      <c r="A16050" t="str">
        <f>"16049"</f>
        <v>16049</v>
      </c>
      <c r="B16050" t="str">
        <f>"-0.17"</f>
        <v>-0.17</v>
      </c>
      <c r="C16050" t="str">
        <f>"51"</f>
        <v>51</v>
      </c>
      <c r="D16050" t="str">
        <f>"Nothing Is Free"</f>
        <v>Nothing Is Free</v>
      </c>
    </row>
    <row r="16051" spans="1:4" x14ac:dyDescent="0.2">
      <c r="A16051" t="str">
        <f>"16050"</f>
        <v>16050</v>
      </c>
      <c r="B16051" t="str">
        <f>"-0.08"</f>
        <v>-0.08</v>
      </c>
      <c r="C16051" t="str">
        <f>"21"</f>
        <v>21</v>
      </c>
      <c r="D16051" t="str">
        <f>"Anyway You Choose to Give It EP"</f>
        <v>Anyway You Choose to Give It EP</v>
      </c>
    </row>
    <row r="16052" spans="1:4" x14ac:dyDescent="0.2">
      <c r="A16052" t="str">
        <f>"16051"</f>
        <v>16051</v>
      </c>
      <c r="B16052" t="str">
        <f>"0.24"</f>
        <v>0.24</v>
      </c>
      <c r="C16052" t="str">
        <f>"30"</f>
        <v>30</v>
      </c>
      <c r="D16052" t="str">
        <f>"Death Is This Communion"</f>
        <v>Death Is This Communion</v>
      </c>
    </row>
    <row r="16053" spans="1:4" x14ac:dyDescent="0.2">
      <c r="A16053" t="str">
        <f>"16052"</f>
        <v>16052</v>
      </c>
      <c r="B16053" t="str">
        <f>"0.57"</f>
        <v>0.57</v>
      </c>
      <c r="C16053" t="str">
        <f>"55"</f>
        <v>55</v>
      </c>
      <c r="D16053" t="str">
        <f>"Sandwiches &amp; Cats"</f>
        <v>Sandwiches &amp; Cats</v>
      </c>
    </row>
    <row r="16054" spans="1:4" x14ac:dyDescent="0.2">
      <c r="A16054" t="str">
        <f>"16053"</f>
        <v>16053</v>
      </c>
      <c r="B16054" t="str">
        <f>"-1.06"</f>
        <v>-1.06</v>
      </c>
      <c r="C16054" t="str">
        <f>"52"</f>
        <v>52</v>
      </c>
      <c r="D16054" t="str">
        <f>"Let's Talk About It EP"</f>
        <v>Let's Talk About It EP</v>
      </c>
    </row>
    <row r="16055" spans="1:4" x14ac:dyDescent="0.2">
      <c r="A16055" t="str">
        <f>"16054"</f>
        <v>16054</v>
      </c>
      <c r="B16055" t="str">
        <f>"1.09"</f>
        <v>1.09</v>
      </c>
      <c r="C16055" t="str">
        <f>"52"</f>
        <v>52</v>
      </c>
      <c r="D16055" t="str">
        <f>"595"</f>
        <v>595</v>
      </c>
    </row>
    <row r="16056" spans="1:4" x14ac:dyDescent="0.2">
      <c r="A16056" t="str">
        <f>"16055"</f>
        <v>16055</v>
      </c>
      <c r="B16056" t="str">
        <f>"0.63"</f>
        <v>0.63</v>
      </c>
      <c r="C16056" t="str">
        <f>"48"</f>
        <v>48</v>
      </c>
      <c r="D16056" t="str">
        <f>"Wedding Day EP"</f>
        <v>Wedding Day EP</v>
      </c>
    </row>
    <row r="16057" spans="1:4" x14ac:dyDescent="0.2">
      <c r="A16057" t="str">
        <f>"16056"</f>
        <v>16056</v>
      </c>
      <c r="B16057" t="str">
        <f>"-0.12"</f>
        <v>-0.12</v>
      </c>
      <c r="C16057" t="str">
        <f>"43"</f>
        <v>43</v>
      </c>
      <c r="D16057" t="str">
        <f>"The Cool"</f>
        <v>The Cool</v>
      </c>
    </row>
    <row r="16058" spans="1:4" x14ac:dyDescent="0.2">
      <c r="A16058" t="str">
        <f>"16057"</f>
        <v>16057</v>
      </c>
      <c r="B16058" t="str">
        <f>"-0.16"</f>
        <v>-0.16</v>
      </c>
      <c r="C16058" t="str">
        <f>"51"</f>
        <v>51</v>
      </c>
      <c r="D16058" t="str">
        <f>"Frelen Mas: Be He Me B-Sides"</f>
        <v>Frelen Mas: Be He Me B-Sides</v>
      </c>
    </row>
    <row r="16059" spans="1:4" x14ac:dyDescent="0.2">
      <c r="A16059" t="str">
        <f>"16058"</f>
        <v>16058</v>
      </c>
      <c r="B16059" t="str">
        <f>"0.23"</f>
        <v>0.23</v>
      </c>
      <c r="C16059" t="str">
        <f>"29"</f>
        <v>29</v>
      </c>
      <c r="D16059" t="str">
        <f>"Super Gangster (Extraordinary Gentleman)"</f>
        <v>Super Gangster (Extraordinary Gentleman)</v>
      </c>
    </row>
    <row r="16060" spans="1:4" x14ac:dyDescent="0.2">
      <c r="A16060" t="str">
        <f>"16059"</f>
        <v>16059</v>
      </c>
      <c r="B16060" t="str">
        <f>"-0.69"</f>
        <v>-0.69</v>
      </c>
      <c r="C16060" t="str">
        <f>"49"</f>
        <v>49</v>
      </c>
      <c r="D16060" t="str">
        <f>"Endless Coast"</f>
        <v>Endless Coast</v>
      </c>
    </row>
    <row r="16061" spans="1:4" x14ac:dyDescent="0.2">
      <c r="A16061" t="str">
        <f>"16060"</f>
        <v>16060</v>
      </c>
      <c r="B16061" t="str">
        <f>"1.46"</f>
        <v>1.46</v>
      </c>
      <c r="C16061" t="str">
        <f>"20"</f>
        <v>20</v>
      </c>
      <c r="D16061" t="str">
        <f>"Little Hours"</f>
        <v>Little Hours</v>
      </c>
    </row>
    <row r="16062" spans="1:4" x14ac:dyDescent="0.2">
      <c r="A16062" t="str">
        <f>"16061"</f>
        <v>16061</v>
      </c>
      <c r="B16062" t="str">
        <f>"0.41"</f>
        <v>0.41</v>
      </c>
      <c r="C16062" t="str">
        <f>"34"</f>
        <v>34</v>
      </c>
      <c r="D16062" t="str">
        <f>"Rufus Does Judy Live at Carnegie Hall"</f>
        <v>Rufus Does Judy Live at Carnegie Hall</v>
      </c>
    </row>
    <row r="16063" spans="1:4" x14ac:dyDescent="0.2">
      <c r="A16063" t="str">
        <f>"16062"</f>
        <v>16062</v>
      </c>
      <c r="B16063" t="str">
        <f>"0.22"</f>
        <v>0.22</v>
      </c>
      <c r="C16063" t="str">
        <f>"19"</f>
        <v>19</v>
      </c>
      <c r="D16063" t="str">
        <f>"Downtown 81 OST"</f>
        <v>Downtown 81 OST</v>
      </c>
    </row>
    <row r="16064" spans="1:4" x14ac:dyDescent="0.2">
      <c r="A16064" t="str">
        <f>"16063"</f>
        <v>16063</v>
      </c>
      <c r="B16064" t="str">
        <f>"-0.48"</f>
        <v>-0.48</v>
      </c>
      <c r="C16064" t="str">
        <f>"42"</f>
        <v>42</v>
      </c>
      <c r="D16064" t="str">
        <f>"Life Goes On"</f>
        <v>Life Goes On</v>
      </c>
    </row>
    <row r="16065" spans="1:4" x14ac:dyDescent="0.2">
      <c r="A16065" t="str">
        <f>"16064"</f>
        <v>16064</v>
      </c>
      <c r="B16065" t="str">
        <f>"1.1"</f>
        <v>1.1</v>
      </c>
      <c r="C16065" t="str">
        <f>"18"</f>
        <v>18</v>
      </c>
      <c r="D16065" t="str">
        <f>"The Boy Who Couldn't Stop Dreaming"</f>
        <v>The Boy Who Couldn't Stop Dreaming</v>
      </c>
    </row>
    <row r="16066" spans="1:4" x14ac:dyDescent="0.2">
      <c r="A16066" t="str">
        <f>"16065"</f>
        <v>16065</v>
      </c>
      <c r="B16066" t="str">
        <f>"1.23"</f>
        <v>1.23</v>
      </c>
      <c r="C16066" t="str">
        <f>"22"</f>
        <v>22</v>
      </c>
      <c r="D16066" t="str">
        <f>"Prints"</f>
        <v>Prints</v>
      </c>
    </row>
    <row r="16067" spans="1:4" x14ac:dyDescent="0.2">
      <c r="A16067" t="str">
        <f>"16066"</f>
        <v>16066</v>
      </c>
      <c r="B16067" t="str">
        <f>"0"</f>
        <v>0</v>
      </c>
      <c r="C16067" t="str">
        <f>"19"</f>
        <v>19</v>
      </c>
      <c r="D16067" t="str">
        <f>"Testify"</f>
        <v>Testify</v>
      </c>
    </row>
    <row r="16068" spans="1:4" x14ac:dyDescent="0.2">
      <c r="A16068" t="str">
        <f>"16067"</f>
        <v>16067</v>
      </c>
      <c r="B16068" t="str">
        <f>"-0.29"</f>
        <v>-0.29</v>
      </c>
      <c r="C16068" t="str">
        <f>"20"</f>
        <v>20</v>
      </c>
      <c r="D16068" t="str">
        <f>"Krankenhaus? EP"</f>
        <v>Krankenhaus? EP</v>
      </c>
    </row>
    <row r="16069" spans="1:4" x14ac:dyDescent="0.2">
      <c r="A16069" t="str">
        <f>"16068"</f>
        <v>16068</v>
      </c>
      <c r="B16069" t="str">
        <f>"-1.31"</f>
        <v>-1.31</v>
      </c>
      <c r="C16069" t="str">
        <f>"37"</f>
        <v>37</v>
      </c>
      <c r="D16069" t="str">
        <f>"Sole and the Skyrider Band"</f>
        <v>Sole and the Skyrider Band</v>
      </c>
    </row>
    <row r="16070" spans="1:4" x14ac:dyDescent="0.2">
      <c r="A16070" t="str">
        <f>"16069"</f>
        <v>16069</v>
      </c>
      <c r="B16070" t="str">
        <f>"-1.14"</f>
        <v>-1.14</v>
      </c>
      <c r="C16070" t="str">
        <f>"66"</f>
        <v>66</v>
      </c>
      <c r="D16070" t="str">
        <f>"Scared Famous"</f>
        <v>Scared Famous</v>
      </c>
    </row>
    <row r="16071" spans="1:4" x14ac:dyDescent="0.2">
      <c r="A16071" t="str">
        <f>"16070"</f>
        <v>16070</v>
      </c>
      <c r="B16071" t="str">
        <f>"-0.01"</f>
        <v>-0.01</v>
      </c>
      <c r="C16071" t="str">
        <f>"48"</f>
        <v>48</v>
      </c>
      <c r="D16071" t="str">
        <f>"Summer Above"</f>
        <v>Summer Above</v>
      </c>
    </row>
    <row r="16072" spans="1:4" x14ac:dyDescent="0.2">
      <c r="A16072" t="str">
        <f>"16071"</f>
        <v>16071</v>
      </c>
      <c r="B16072" t="str">
        <f>"-0.02"</f>
        <v>-0.02</v>
      </c>
      <c r="C16072" t="str">
        <f>"65"</f>
        <v>65</v>
      </c>
      <c r="D16072" t="str">
        <f>"Y34RZ3R0R3M1X3D"</f>
        <v>Y34RZ3R0R3M1X3D</v>
      </c>
    </row>
    <row r="16073" spans="1:4" x14ac:dyDescent="0.2">
      <c r="A16073" t="str">
        <f>"16072"</f>
        <v>16072</v>
      </c>
      <c r="B16073" t="str">
        <f>"0.81"</f>
        <v>0.81</v>
      </c>
      <c r="C16073" t="str">
        <f>"142"</f>
        <v>142</v>
      </c>
      <c r="D16073" t="str">
        <f>"The Very Best of Ethiopiques: Hypnotic Grooves From the Legendary Series"</f>
        <v>The Very Best of Ethiopiques: Hypnotic Grooves From the Legendary Series</v>
      </c>
    </row>
    <row r="16074" spans="1:4" x14ac:dyDescent="0.2">
      <c r="A16074" t="str">
        <f>"16073"</f>
        <v>16073</v>
      </c>
      <c r="B16074" t="str">
        <f>"-0.64"</f>
        <v>-0.64</v>
      </c>
      <c r="C16074" t="str">
        <f>"35"</f>
        <v>35</v>
      </c>
      <c r="D16074" t="str">
        <f>"MADE"</f>
        <v>MADE</v>
      </c>
    </row>
    <row r="16075" spans="1:4" x14ac:dyDescent="0.2">
      <c r="A16075" t="str">
        <f>"16074"</f>
        <v>16074</v>
      </c>
      <c r="B16075" t="str">
        <f>"-0.98"</f>
        <v>-0.98</v>
      </c>
      <c r="C16075" t="str">
        <f>"63"</f>
        <v>63</v>
      </c>
      <c r="D16075" t="str">
        <f>"Change!"</f>
        <v>Change!</v>
      </c>
    </row>
    <row r="16076" spans="1:4" x14ac:dyDescent="0.2">
      <c r="A16076" t="str">
        <f>"16075"</f>
        <v>16075</v>
      </c>
      <c r="B16076" t="str">
        <f>"0.96"</f>
        <v>0.96</v>
      </c>
      <c r="C16076" t="str">
        <f>"21"</f>
        <v>21</v>
      </c>
      <c r="D16076" t="str">
        <f>"Teardrop Sweetheart"</f>
        <v>Teardrop Sweetheart</v>
      </c>
    </row>
    <row r="16077" spans="1:4" x14ac:dyDescent="0.2">
      <c r="A16077" t="str">
        <f>"16076"</f>
        <v>16076</v>
      </c>
      <c r="B16077" t="str">
        <f>"-0.42"</f>
        <v>-0.42</v>
      </c>
      <c r="C16077" t="str">
        <f>"19"</f>
        <v>19</v>
      </c>
      <c r="D16077" t="str">
        <f>"There Will Be Blood OST"</f>
        <v>There Will Be Blood OST</v>
      </c>
    </row>
    <row r="16078" spans="1:4" x14ac:dyDescent="0.2">
      <c r="A16078" t="str">
        <f>"16077"</f>
        <v>16077</v>
      </c>
      <c r="B16078" t="str">
        <f>"-0.14"</f>
        <v>-0.14</v>
      </c>
      <c r="C16078" t="str">
        <f>"23"</f>
        <v>23</v>
      </c>
      <c r="D16078" t="s">
        <v>519</v>
      </c>
    </row>
    <row r="16079" spans="1:4" x14ac:dyDescent="0.2">
      <c r="A16079" t="str">
        <f>"16078"</f>
        <v>16078</v>
      </c>
      <c r="B16079" t="str">
        <f>"0.98"</f>
        <v>0.98</v>
      </c>
      <c r="C16079" t="str">
        <f>"50"</f>
        <v>50</v>
      </c>
      <c r="D16079" t="str">
        <f>"A Brighter Beat"</f>
        <v>A Brighter Beat</v>
      </c>
    </row>
    <row r="16080" spans="1:4" x14ac:dyDescent="0.2">
      <c r="A16080" t="str">
        <f>"16079"</f>
        <v>16079</v>
      </c>
      <c r="B16080" t="str">
        <f>"0.12"</f>
        <v>0.12</v>
      </c>
      <c r="C16080" t="str">
        <f>"23"</f>
        <v>23</v>
      </c>
      <c r="D16080" t="str">
        <f>"Strangers in Our House"</f>
        <v>Strangers in Our House</v>
      </c>
    </row>
    <row r="16081" spans="1:4" x14ac:dyDescent="0.2">
      <c r="A16081" t="str">
        <f>"16080"</f>
        <v>16080</v>
      </c>
      <c r="B16081" t="str">
        <f>"0.07"</f>
        <v>0.07</v>
      </c>
      <c r="C16081" t="str">
        <f>"21"</f>
        <v>21</v>
      </c>
      <c r="D16081" t="str">
        <f>"Polysics or Die!!! Vista"</f>
        <v>Polysics or Die!!! Vista</v>
      </c>
    </row>
    <row r="16082" spans="1:4" x14ac:dyDescent="0.2">
      <c r="A16082" t="str">
        <f>"16081"</f>
        <v>16081</v>
      </c>
      <c r="B16082" t="str">
        <f>"-0.43"</f>
        <v>-0.43</v>
      </c>
      <c r="C16082" t="str">
        <f>"28"</f>
        <v>28</v>
      </c>
      <c r="D16082" t="str">
        <f>"In Rainbows [CD 2]"</f>
        <v>In Rainbows [CD 2]</v>
      </c>
    </row>
    <row r="16083" spans="1:4" x14ac:dyDescent="0.2">
      <c r="A16083" t="str">
        <f>"16082"</f>
        <v>16082</v>
      </c>
      <c r="B16083" t="str">
        <f>"0.85"</f>
        <v>0.85</v>
      </c>
      <c r="C16083" t="str">
        <f>"211"</f>
        <v>211</v>
      </c>
      <c r="D16083" t="s">
        <v>520</v>
      </c>
    </row>
    <row r="16084" spans="1:4" x14ac:dyDescent="0.2">
      <c r="A16084" t="str">
        <f>"16083"</f>
        <v>16083</v>
      </c>
      <c r="B16084" t="str">
        <f>"-0.45"</f>
        <v>-0.45</v>
      </c>
      <c r="C16084" t="str">
        <f>"37"</f>
        <v>37</v>
      </c>
      <c r="D16084" t="str">
        <f>"Two Hunters"</f>
        <v>Two Hunters</v>
      </c>
    </row>
    <row r="16085" spans="1:4" x14ac:dyDescent="0.2">
      <c r="A16085" t="str">
        <f>"16084"</f>
        <v>16084</v>
      </c>
      <c r="B16085" t="str">
        <f>"-0.25"</f>
        <v>-0.25</v>
      </c>
      <c r="C16085" t="str">
        <f>"60"</f>
        <v>60</v>
      </c>
      <c r="D16085" t="str">
        <f>"Leaves in the River"</f>
        <v>Leaves in the River</v>
      </c>
    </row>
    <row r="16086" spans="1:4" x14ac:dyDescent="0.2">
      <c r="A16086" t="str">
        <f>"16085"</f>
        <v>16085</v>
      </c>
      <c r="B16086" t="str">
        <f>"0.51"</f>
        <v>0.51</v>
      </c>
      <c r="C16086" t="str">
        <f>"25"</f>
        <v>25</v>
      </c>
      <c r="D16086" t="str">
        <f>"This Fool Can Die Now"</f>
        <v>This Fool Can Die Now</v>
      </c>
    </row>
    <row r="16087" spans="1:4" x14ac:dyDescent="0.2">
      <c r="A16087" t="str">
        <f>"16086"</f>
        <v>16086</v>
      </c>
      <c r="B16087" t="str">
        <f>"0.86"</f>
        <v>0.86</v>
      </c>
      <c r="C16087" t="str">
        <f>"24"</f>
        <v>24</v>
      </c>
      <c r="D16087" t="str">
        <f>"Corn Meal Dance"</f>
        <v>Corn Meal Dance</v>
      </c>
    </row>
    <row r="16088" spans="1:4" x14ac:dyDescent="0.2">
      <c r="A16088" t="str">
        <f>"16087"</f>
        <v>16087</v>
      </c>
      <c r="B16088" t="str">
        <f>"0.3"</f>
        <v>0.3</v>
      </c>
      <c r="C16088" t="str">
        <f>"45"</f>
        <v>45</v>
      </c>
      <c r="D16088" t="str">
        <f>"Alone: The Home Recordings of Rivers Cuomo"</f>
        <v>Alone: The Home Recordings of Rivers Cuomo</v>
      </c>
    </row>
    <row r="16089" spans="1:4" x14ac:dyDescent="0.2">
      <c r="A16089" t="str">
        <f>"16088"</f>
        <v>16088</v>
      </c>
      <c r="B16089" t="str">
        <f>"0.28"</f>
        <v>0.28</v>
      </c>
      <c r="C16089" t="str">
        <f>"73"</f>
        <v>73</v>
      </c>
      <c r="D16089" t="str">
        <f>"The Big Stiff Box Set"</f>
        <v>The Big Stiff Box Set</v>
      </c>
    </row>
    <row r="16090" spans="1:4" x14ac:dyDescent="0.2">
      <c r="A16090" t="str">
        <f>"16089"</f>
        <v>16089</v>
      </c>
      <c r="B16090" t="str">
        <f>"-0.91"</f>
        <v>-0.91</v>
      </c>
      <c r="C16090" t="str">
        <f>"36"</f>
        <v>36</v>
      </c>
      <c r="D16090" t="str">
        <f>"Walkin' Bank Roll"</f>
        <v>Walkin' Bank Roll</v>
      </c>
    </row>
    <row r="16091" spans="1:4" x14ac:dyDescent="0.2">
      <c r="A16091" t="str">
        <f>"16090"</f>
        <v>16090</v>
      </c>
      <c r="B16091" t="str">
        <f>"-0.02"</f>
        <v>-0.02</v>
      </c>
      <c r="C16091" t="str">
        <f>"26"</f>
        <v>26</v>
      </c>
      <c r="D16091" t="str">
        <f>"Ditherer"</f>
        <v>Ditherer</v>
      </c>
    </row>
    <row r="16092" spans="1:4" x14ac:dyDescent="0.2">
      <c r="A16092" t="str">
        <f>"16091"</f>
        <v>16091</v>
      </c>
      <c r="B16092" t="str">
        <f>"1.26"</f>
        <v>1.26</v>
      </c>
      <c r="C16092" t="str">
        <f>"40"</f>
        <v>40</v>
      </c>
      <c r="D16092" t="str">
        <f>"Plum"</f>
        <v>Plum</v>
      </c>
    </row>
    <row r="16093" spans="1:4" x14ac:dyDescent="0.2">
      <c r="A16093" t="str">
        <f>"16092"</f>
        <v>16092</v>
      </c>
      <c r="B16093" t="str">
        <f>"0.61"</f>
        <v>0.61</v>
      </c>
      <c r="C16093" t="str">
        <f>"36"</f>
        <v>36</v>
      </c>
      <c r="D16093" t="str">
        <f>"Bionik"</f>
        <v>Bionik</v>
      </c>
    </row>
    <row r="16094" spans="1:4" x14ac:dyDescent="0.2">
      <c r="A16094" t="str">
        <f>"16093"</f>
        <v>16093</v>
      </c>
      <c r="B16094" t="str">
        <f>"0.63"</f>
        <v>0.63</v>
      </c>
      <c r="C16094" t="str">
        <f>"22"</f>
        <v>22</v>
      </c>
      <c r="D16094" t="str">
        <f>"EP of Bees EP"</f>
        <v>EP of Bees EP</v>
      </c>
    </row>
    <row r="16095" spans="1:4" x14ac:dyDescent="0.2">
      <c r="A16095" t="str">
        <f>"16094"</f>
        <v>16094</v>
      </c>
      <c r="B16095" t="str">
        <f>"-0.88"</f>
        <v>-0.88</v>
      </c>
      <c r="C16095" t="str">
        <f>"25"</f>
        <v>25</v>
      </c>
      <c r="D16095" t="str">
        <f>"Heaven"</f>
        <v>Heaven</v>
      </c>
    </row>
    <row r="16096" spans="1:4" x14ac:dyDescent="0.2">
      <c r="A16096" t="str">
        <f>"16095"</f>
        <v>16095</v>
      </c>
      <c r="B16096" t="str">
        <f>"0.38"</f>
        <v>0.38</v>
      </c>
      <c r="C16096" t="str">
        <f>"66"</f>
        <v>66</v>
      </c>
      <c r="D16096" t="str">
        <f>"4th &amp; Wall"</f>
        <v>4th &amp; Wall</v>
      </c>
    </row>
    <row r="16097" spans="1:4" x14ac:dyDescent="0.2">
      <c r="A16097" t="str">
        <f>"16096"</f>
        <v>16096</v>
      </c>
      <c r="B16097" t="str">
        <f>"0.8"</f>
        <v>0.8</v>
      </c>
      <c r="C16097" t="str">
        <f>"131"</f>
        <v>131</v>
      </c>
      <c r="D16097" t="str">
        <f>"Brazil 70: After Tropicália – New Directions in Brazilian Music in the 1970s"</f>
        <v>Brazil 70: After Tropicália – New Directions in Brazilian Music in the 1970s</v>
      </c>
    </row>
    <row r="16098" spans="1:4" x14ac:dyDescent="0.2">
      <c r="A16098" t="str">
        <f>"16097"</f>
        <v>16097</v>
      </c>
      <c r="B16098" t="str">
        <f>"-0.54"</f>
        <v>-0.54</v>
      </c>
      <c r="C16098" t="str">
        <f>"134"</f>
        <v>134</v>
      </c>
      <c r="D16098" t="str">
        <f>"8 Diagrams"</f>
        <v>8 Diagrams</v>
      </c>
    </row>
    <row r="16099" spans="1:4" x14ac:dyDescent="0.2">
      <c r="A16099" t="str">
        <f>"16098"</f>
        <v>16098</v>
      </c>
      <c r="B16099" t="str">
        <f>"-0.2"</f>
        <v>-0.2</v>
      </c>
      <c r="C16099" t="str">
        <f>"92"</f>
        <v>92</v>
      </c>
      <c r="D16099" t="str">
        <f>"Saw a Halo"</f>
        <v>Saw a Halo</v>
      </c>
    </row>
    <row r="16100" spans="1:4" x14ac:dyDescent="0.2">
      <c r="A16100" t="str">
        <f>"16099"</f>
        <v>16099</v>
      </c>
      <c r="B16100" t="str">
        <f>"-0.95"</f>
        <v>-0.95</v>
      </c>
      <c r="C16100" t="str">
        <f>"21"</f>
        <v>21</v>
      </c>
      <c r="D16100" t="str">
        <f>"Nightly Things"</f>
        <v>Nightly Things</v>
      </c>
    </row>
    <row r="16101" spans="1:4" x14ac:dyDescent="0.2">
      <c r="A16101" t="str">
        <f>"16100"</f>
        <v>16100</v>
      </c>
      <c r="B16101" t="str">
        <f>"0.3"</f>
        <v>0.3</v>
      </c>
      <c r="C16101" t="str">
        <f>"17"</f>
        <v>17</v>
      </c>
      <c r="D16101" t="str">
        <f>"Say Something"</f>
        <v>Say Something</v>
      </c>
    </row>
    <row r="16102" spans="1:4" x14ac:dyDescent="0.2">
      <c r="A16102" t="str">
        <f>"16101"</f>
        <v>16101</v>
      </c>
      <c r="B16102" t="str">
        <f>"0.4"</f>
        <v>0.4</v>
      </c>
      <c r="C16102" t="str">
        <f>"94"</f>
        <v>94</v>
      </c>
      <c r="D16102" t="s">
        <v>521</v>
      </c>
    </row>
    <row r="16103" spans="1:4" x14ac:dyDescent="0.2">
      <c r="A16103" t="str">
        <f>"16102"</f>
        <v>16102</v>
      </c>
      <c r="B16103" t="str">
        <f>"0.53"</f>
        <v>0.53</v>
      </c>
      <c r="C16103" t="str">
        <f>"29"</f>
        <v>29</v>
      </c>
      <c r="D16103" t="s">
        <v>522</v>
      </c>
    </row>
    <row r="16104" spans="1:4" x14ac:dyDescent="0.2">
      <c r="A16104" t="str">
        <f>"16103"</f>
        <v>16103</v>
      </c>
      <c r="B16104" t="str">
        <f>"0.5"</f>
        <v>0.5</v>
      </c>
      <c r="C16104" t="str">
        <f>"92"</f>
        <v>92</v>
      </c>
      <c r="D16104" t="str">
        <f>"Spring a Leak"</f>
        <v>Spring a Leak</v>
      </c>
    </row>
    <row r="16105" spans="1:4" x14ac:dyDescent="0.2">
      <c r="A16105" t="str">
        <f>"16104"</f>
        <v>16104</v>
      </c>
      <c r="B16105" t="str">
        <f>"0.95"</f>
        <v>0.95</v>
      </c>
      <c r="C16105" t="str">
        <f>"20"</f>
        <v>20</v>
      </c>
      <c r="D16105" t="str">
        <f>"The Forms"</f>
        <v>The Forms</v>
      </c>
    </row>
    <row r="16106" spans="1:4" x14ac:dyDescent="0.2">
      <c r="A16106" t="str">
        <f>"16105"</f>
        <v>16105</v>
      </c>
      <c r="B16106" t="str">
        <f>"-0.51"</f>
        <v>-0.51</v>
      </c>
      <c r="C16106" t="str">
        <f>"13"</f>
        <v>13</v>
      </c>
      <c r="D16106" t="str">
        <f>"Cavalier"</f>
        <v>Cavalier</v>
      </c>
    </row>
    <row r="16107" spans="1:4" x14ac:dyDescent="0.2">
      <c r="A16107" t="str">
        <f>"16106"</f>
        <v>16106</v>
      </c>
      <c r="B16107" t="str">
        <f>"0.49"</f>
        <v>0.49</v>
      </c>
      <c r="C16107" t="str">
        <f>"31"</f>
        <v>31</v>
      </c>
      <c r="D16107" t="str">
        <f>"Exodus: 30th Anniversary Edition"</f>
        <v>Exodus: 30th Anniversary Edition</v>
      </c>
    </row>
    <row r="16108" spans="1:4" x14ac:dyDescent="0.2">
      <c r="A16108" t="str">
        <f>"16107"</f>
        <v>16107</v>
      </c>
      <c r="B16108" t="str">
        <f>"-1.04"</f>
        <v>-1.04</v>
      </c>
      <c r="C16108" t="str">
        <f>"45"</f>
        <v>45</v>
      </c>
      <c r="D16108" t="str">
        <f>"The Solution"</f>
        <v>The Solution</v>
      </c>
    </row>
    <row r="16109" spans="1:4" x14ac:dyDescent="0.2">
      <c r="A16109" t="str">
        <f>"16108"</f>
        <v>16108</v>
      </c>
      <c r="B16109" t="str">
        <f>"-0.01"</f>
        <v>-0.01</v>
      </c>
      <c r="C16109" t="str">
        <f>"25"</f>
        <v>25</v>
      </c>
      <c r="D16109" t="str">
        <f>"Cotton Eyed Joe: The Loop Tapes - Live in Boulder - 1962"</f>
        <v>Cotton Eyed Joe: The Loop Tapes - Live in Boulder - 1962</v>
      </c>
    </row>
    <row r="16110" spans="1:4" x14ac:dyDescent="0.2">
      <c r="A16110" t="str">
        <f>"16109"</f>
        <v>16109</v>
      </c>
      <c r="B16110" t="str">
        <f>"0.45"</f>
        <v>0.45</v>
      </c>
      <c r="C16110" t="str">
        <f>"51"</f>
        <v>51</v>
      </c>
      <c r="D16110" t="str">
        <f>"Take Music"</f>
        <v>Take Music</v>
      </c>
    </row>
    <row r="16111" spans="1:4" x14ac:dyDescent="0.2">
      <c r="A16111" t="str">
        <f>"16110"</f>
        <v>16110</v>
      </c>
      <c r="B16111" t="str">
        <f>"-0.45"</f>
        <v>-0.45</v>
      </c>
      <c r="C16111" t="str">
        <f>"24"</f>
        <v>24</v>
      </c>
      <c r="D16111" t="str">
        <f>"Catch the Brass Ring"</f>
        <v>Catch the Brass Ring</v>
      </c>
    </row>
    <row r="16112" spans="1:4" x14ac:dyDescent="0.2">
      <c r="A16112" t="str">
        <f>"16111"</f>
        <v>16111</v>
      </c>
      <c r="B16112" t="str">
        <f>"-0.72"</f>
        <v>-0.72</v>
      </c>
      <c r="C16112" t="str">
        <f>"103"</f>
        <v>103</v>
      </c>
      <c r="D16112" t="str">
        <f>"The Big Doe Rehab"</f>
        <v>The Big Doe Rehab</v>
      </c>
    </row>
    <row r="16113" spans="1:4" x14ac:dyDescent="0.2">
      <c r="A16113" t="str">
        <f>"16112"</f>
        <v>16112</v>
      </c>
      <c r="B16113" t="str">
        <f>"0.97"</f>
        <v>0.97</v>
      </c>
      <c r="C16113" t="str">
        <f>"84"</f>
        <v>84</v>
      </c>
      <c r="D16113" t="str">
        <f>"The Knee Plays"</f>
        <v>The Knee Plays</v>
      </c>
    </row>
    <row r="16114" spans="1:4" x14ac:dyDescent="0.2">
      <c r="A16114" t="str">
        <f>"16113"</f>
        <v>16113</v>
      </c>
      <c r="B16114" t="str">
        <f>"0.12"</f>
        <v>0.12</v>
      </c>
      <c r="C16114" t="str">
        <f>"33"</f>
        <v>33</v>
      </c>
      <c r="D16114" t="str">
        <f>"Spinning Pieces"</f>
        <v>Spinning Pieces</v>
      </c>
    </row>
    <row r="16115" spans="1:4" x14ac:dyDescent="0.2">
      <c r="A16115" t="str">
        <f>"16114"</f>
        <v>16114</v>
      </c>
      <c r="B16115" t="str">
        <f>"-0.41"</f>
        <v>-0.41</v>
      </c>
      <c r="C16115" t="str">
        <f>"30"</f>
        <v>30</v>
      </c>
      <c r="D16115" t="str">
        <f>"How You Sell Soul to a Souless People Who Sold Their Soul???"</f>
        <v>How You Sell Soul to a Souless People Who Sold Their Soul???</v>
      </c>
    </row>
    <row r="16116" spans="1:4" x14ac:dyDescent="0.2">
      <c r="A16116" t="str">
        <f>"16115"</f>
        <v>16115</v>
      </c>
      <c r="B16116" t="str">
        <f>"-0.39"</f>
        <v>-0.39</v>
      </c>
      <c r="C16116" t="str">
        <f>"29"</f>
        <v>29</v>
      </c>
      <c r="D16116" t="str">
        <f>"Elegies to Lessons Learnt"</f>
        <v>Elegies to Lessons Learnt</v>
      </c>
    </row>
    <row r="16117" spans="1:4" x14ac:dyDescent="0.2">
      <c r="A16117" t="str">
        <f>"16116"</f>
        <v>16116</v>
      </c>
      <c r="B16117" t="str">
        <f>"0.43"</f>
        <v>0.43</v>
      </c>
      <c r="C16117" t="str">
        <f>"24"</f>
        <v>24</v>
      </c>
      <c r="D16117" t="str">
        <f>"Live"</f>
        <v>Live</v>
      </c>
    </row>
    <row r="16118" spans="1:4" x14ac:dyDescent="0.2">
      <c r="A16118" t="str">
        <f>"16117"</f>
        <v>16117</v>
      </c>
      <c r="B16118" t="str">
        <f>"-0.27"</f>
        <v>-0.27</v>
      </c>
      <c r="C16118" t="str">
        <f>"19"</f>
        <v>19</v>
      </c>
      <c r="D16118" t="str">
        <f>"Marina Gasolina EP"</f>
        <v>Marina Gasolina EP</v>
      </c>
    </row>
    <row r="16119" spans="1:4" x14ac:dyDescent="0.2">
      <c r="A16119" t="str">
        <f>"16118"</f>
        <v>16118</v>
      </c>
      <c r="B16119" t="str">
        <f>"-0.54"</f>
        <v>-0.54</v>
      </c>
      <c r="C16119" t="str">
        <f>"58"</f>
        <v>58</v>
      </c>
      <c r="D16119" t="str">
        <f>"Babylon Rules"</f>
        <v>Babylon Rules</v>
      </c>
    </row>
    <row r="16120" spans="1:4" x14ac:dyDescent="0.2">
      <c r="A16120" t="str">
        <f>"16119"</f>
        <v>16119</v>
      </c>
      <c r="B16120" t="str">
        <f>"1.4"</f>
        <v>1.4</v>
      </c>
      <c r="C16120" t="str">
        <f>"24"</f>
        <v>24</v>
      </c>
      <c r="D16120" t="str">
        <f>"Ask Forgiveness"</f>
        <v>Ask Forgiveness</v>
      </c>
    </row>
    <row r="16121" spans="1:4" x14ac:dyDescent="0.2">
      <c r="A16121" t="str">
        <f>"16120"</f>
        <v>16120</v>
      </c>
      <c r="B16121" t="str">
        <f>"0.02"</f>
        <v>0.02</v>
      </c>
      <c r="C16121" t="str">
        <f>"65"</f>
        <v>65</v>
      </c>
      <c r="D16121" t="str">
        <f>"Causes 1"</f>
        <v>Causes 1</v>
      </c>
    </row>
    <row r="16122" spans="1:4" x14ac:dyDescent="0.2">
      <c r="A16122" t="str">
        <f>"16121"</f>
        <v>16121</v>
      </c>
      <c r="B16122" t="str">
        <f>"-0.59"</f>
        <v>-0.59</v>
      </c>
      <c r="C16122" t="str">
        <f>"54"</f>
        <v>54</v>
      </c>
      <c r="D16122" t="str">
        <f>"Red Bloom of the Boom"</f>
        <v>Red Bloom of the Boom</v>
      </c>
    </row>
    <row r="16123" spans="1:4" x14ac:dyDescent="0.2">
      <c r="A16123" t="str">
        <f>"16122"</f>
        <v>16122</v>
      </c>
      <c r="B16123" t="str">
        <f>"-0.11"</f>
        <v>-0.11</v>
      </c>
      <c r="C16123" t="str">
        <f>"20"</f>
        <v>20</v>
      </c>
      <c r="D16123" t="str">
        <f>"Teenager"</f>
        <v>Teenager</v>
      </c>
    </row>
    <row r="16124" spans="1:4" x14ac:dyDescent="0.2">
      <c r="A16124" t="str">
        <f>"16123"</f>
        <v>16123</v>
      </c>
      <c r="B16124" t="str">
        <f>"0.2"</f>
        <v>0.2</v>
      </c>
      <c r="C16124" t="str">
        <f>"21"</f>
        <v>21</v>
      </c>
      <c r="D16124" t="str">
        <f>"My Last Day"</f>
        <v>My Last Day</v>
      </c>
    </row>
    <row r="16125" spans="1:4" x14ac:dyDescent="0.2">
      <c r="A16125" t="str">
        <f>"16124"</f>
        <v>16124</v>
      </c>
      <c r="B16125" t="str">
        <f>"0.61"</f>
        <v>0.61</v>
      </c>
      <c r="C16125" t="str">
        <f>"63"</f>
        <v>63</v>
      </c>
      <c r="D16125" t="str">
        <f>"Close to Paradise"</f>
        <v>Close to Paradise</v>
      </c>
    </row>
    <row r="16126" spans="1:4" x14ac:dyDescent="0.2">
      <c r="A16126" t="str">
        <f>"16125"</f>
        <v>16125</v>
      </c>
      <c r="B16126" t="str">
        <f>"0.56"</f>
        <v>0.56</v>
      </c>
      <c r="C16126" t="str">
        <f>"27"</f>
        <v>27</v>
      </c>
      <c r="D16126" t="str">
        <f>"Time for Heroes: The Best of The Libertines"</f>
        <v>Time for Heroes: The Best of The Libertines</v>
      </c>
    </row>
    <row r="16127" spans="1:4" x14ac:dyDescent="0.2">
      <c r="A16127" t="str">
        <f>"16126"</f>
        <v>16126</v>
      </c>
      <c r="B16127" t="str">
        <f>"-1.45"</f>
        <v>-1.45</v>
      </c>
      <c r="C16127" t="str">
        <f>"27"</f>
        <v>27</v>
      </c>
      <c r="D16127" t="str">
        <f>"Free at Last"</f>
        <v>Free at Last</v>
      </c>
    </row>
    <row r="16128" spans="1:4" x14ac:dyDescent="0.2">
      <c r="A16128" t="str">
        <f>"16127"</f>
        <v>16127</v>
      </c>
      <c r="B16128" t="str">
        <f>"0.18"</f>
        <v>0.18</v>
      </c>
      <c r="C16128" t="str">
        <f>"21"</f>
        <v>21</v>
      </c>
      <c r="D16128" t="str">
        <f>"Dance Party in the Balkans"</f>
        <v>Dance Party in the Balkans</v>
      </c>
    </row>
    <row r="16129" spans="1:4" x14ac:dyDescent="0.2">
      <c r="A16129" t="str">
        <f>"16128"</f>
        <v>16128</v>
      </c>
      <c r="B16129" t="str">
        <f>"1.03"</f>
        <v>1.03</v>
      </c>
      <c r="C16129" t="str">
        <f>"23"</f>
        <v>23</v>
      </c>
      <c r="D16129" t="str">
        <f>"The Syliphone Years"</f>
        <v>The Syliphone Years</v>
      </c>
    </row>
    <row r="16130" spans="1:4" x14ac:dyDescent="0.2">
      <c r="A16130" t="str">
        <f>"16129"</f>
        <v>16129</v>
      </c>
      <c r="B16130" t="str">
        <f>"0.02"</f>
        <v>0.02</v>
      </c>
      <c r="C16130" t="str">
        <f>"21"</f>
        <v>21</v>
      </c>
      <c r="D16130" t="str">
        <f>"The Hunt for the Gingerbread Man"</f>
        <v>The Hunt for the Gingerbread Man</v>
      </c>
    </row>
    <row r="16131" spans="1:4" x14ac:dyDescent="0.2">
      <c r="A16131" t="str">
        <f>"16130"</f>
        <v>16130</v>
      </c>
      <c r="B16131" t="str">
        <f>"0.99"</f>
        <v>0.99</v>
      </c>
      <c r="C16131" t="str">
        <f>"38"</f>
        <v>38</v>
      </c>
      <c r="D16131" t="str">
        <f>"The Joshua Tree: Deluxe Edition"</f>
        <v>The Joshua Tree: Deluxe Edition</v>
      </c>
    </row>
    <row r="16132" spans="1:4" x14ac:dyDescent="0.2">
      <c r="A16132" t="str">
        <f>"16131"</f>
        <v>16131</v>
      </c>
      <c r="B16132" t="str">
        <f>"-0.96"</f>
        <v>-0.96</v>
      </c>
      <c r="C16132" t="str">
        <f>"26"</f>
        <v>26</v>
      </c>
      <c r="D16132" t="str">
        <f>"B/E/A/T/B/O/X"</f>
        <v>B/E/A/T/B/O/X</v>
      </c>
    </row>
    <row r="16133" spans="1:4" x14ac:dyDescent="0.2">
      <c r="A16133" t="str">
        <f>"16132"</f>
        <v>16132</v>
      </c>
      <c r="B16133" t="str">
        <f>"-0.43"</f>
        <v>-0.43</v>
      </c>
      <c r="C16133" t="str">
        <f>"27"</f>
        <v>27</v>
      </c>
      <c r="D16133" t="str">
        <f>"8"</f>
        <v>8</v>
      </c>
    </row>
    <row r="16134" spans="1:4" x14ac:dyDescent="0.2">
      <c r="A16134" t="str">
        <f>"16133"</f>
        <v>16133</v>
      </c>
      <c r="B16134" t="str">
        <f>"0.86"</f>
        <v>0.86</v>
      </c>
      <c r="C16134" t="str">
        <f>"24"</f>
        <v>24</v>
      </c>
      <c r="D16134" t="str">
        <f>"Collected Works"</f>
        <v>Collected Works</v>
      </c>
    </row>
    <row r="16135" spans="1:4" x14ac:dyDescent="0.2">
      <c r="A16135" t="str">
        <f>"16134"</f>
        <v>16134</v>
      </c>
      <c r="B16135" t="str">
        <f>"0.75"</f>
        <v>0.75</v>
      </c>
      <c r="C16135" t="str">
        <f>"25"</f>
        <v>25</v>
      </c>
      <c r="D16135" t="str">
        <f>"The London Book of the Dead"</f>
        <v>The London Book of the Dead</v>
      </c>
    </row>
    <row r="16136" spans="1:4" x14ac:dyDescent="0.2">
      <c r="A16136" t="str">
        <f>"16135"</f>
        <v>16135</v>
      </c>
      <c r="B16136" t="str">
        <f>"-0.32"</f>
        <v>-0.32</v>
      </c>
      <c r="C16136" t="str">
        <f>"29"</f>
        <v>29</v>
      </c>
      <c r="D16136" t="str">
        <f>"Radiance of Shadows"</f>
        <v>Radiance of Shadows</v>
      </c>
    </row>
    <row r="16137" spans="1:4" x14ac:dyDescent="0.2">
      <c r="A16137" t="str">
        <f>"16136"</f>
        <v>16136</v>
      </c>
      <c r="B16137" t="str">
        <f>"-0.04"</f>
        <v>-0.04</v>
      </c>
      <c r="C16137" t="str">
        <f>"40"</f>
        <v>40</v>
      </c>
      <c r="D16137" t="str">
        <f>"I Wanna Go Backwards"</f>
        <v>I Wanna Go Backwards</v>
      </c>
    </row>
    <row r="16138" spans="1:4" x14ac:dyDescent="0.2">
      <c r="A16138" t="str">
        <f>"16137"</f>
        <v>16137</v>
      </c>
      <c r="B16138" t="str">
        <f>"0.79"</f>
        <v>0.79</v>
      </c>
      <c r="C16138" t="str">
        <f>"41"</f>
        <v>41</v>
      </c>
      <c r="D16138" t="str">
        <f>"X"</f>
        <v>X</v>
      </c>
    </row>
    <row r="16139" spans="1:4" x14ac:dyDescent="0.2">
      <c r="A16139" t="str">
        <f>"16138"</f>
        <v>16138</v>
      </c>
      <c r="B16139" t="str">
        <f>"-1.78"</f>
        <v>-1.78</v>
      </c>
      <c r="C16139" t="str">
        <f>"32"</f>
        <v>32</v>
      </c>
      <c r="D16139" t="str">
        <f>"Jukebox Explosion Rockin' Mid-90s Punkers!"</f>
        <v>Jukebox Explosion Rockin' Mid-90s Punkers!</v>
      </c>
    </row>
    <row r="16140" spans="1:4" x14ac:dyDescent="0.2">
      <c r="A16140" t="str">
        <f>"16139"</f>
        <v>16139</v>
      </c>
      <c r="B16140" t="str">
        <f>"0.51"</f>
        <v>0.51</v>
      </c>
      <c r="C16140" t="str">
        <f>"65"</f>
        <v>65</v>
      </c>
      <c r="D16140" t="str">
        <f>"Through the Wilderness: A Tribute to Madonna"</f>
        <v>Through the Wilderness: A Tribute to Madonna</v>
      </c>
    </row>
    <row r="16141" spans="1:4" x14ac:dyDescent="0.2">
      <c r="A16141" t="str">
        <f>"16140"</f>
        <v>16140</v>
      </c>
      <c r="B16141" t="str">
        <f>"0.14"</f>
        <v>0.14</v>
      </c>
      <c r="C16141" t="str">
        <f>"37"</f>
        <v>37</v>
      </c>
      <c r="D16141" t="str">
        <f>"Believo!"</f>
        <v>Believo!</v>
      </c>
    </row>
    <row r="16142" spans="1:4" x14ac:dyDescent="0.2">
      <c r="A16142" t="str">
        <f>"16141"</f>
        <v>16141</v>
      </c>
      <c r="B16142" t="str">
        <f>"0.62"</f>
        <v>0.62</v>
      </c>
      <c r="C16142" t="str">
        <f>"92"</f>
        <v>92</v>
      </c>
      <c r="D16142" t="str">
        <f>"Thisisme Then: The Best of Common"</f>
        <v>Thisisme Then: The Best of Common</v>
      </c>
    </row>
    <row r="16143" spans="1:4" x14ac:dyDescent="0.2">
      <c r="A16143" t="str">
        <f>"16142"</f>
        <v>16142</v>
      </c>
      <c r="B16143" t="str">
        <f>"0.13"</f>
        <v>0.13</v>
      </c>
      <c r="C16143" t="str">
        <f>"31"</f>
        <v>31</v>
      </c>
      <c r="D16143" t="str">
        <f>"Iron Curtain Innocence"</f>
        <v>Iron Curtain Innocence</v>
      </c>
    </row>
    <row r="16144" spans="1:4" x14ac:dyDescent="0.2">
      <c r="A16144" t="str">
        <f>"16143"</f>
        <v>16143</v>
      </c>
      <c r="B16144" t="str">
        <f>"-0.28"</f>
        <v>-0.28</v>
      </c>
      <c r="C16144" t="str">
        <f>"18"</f>
        <v>18</v>
      </c>
      <c r="D16144" t="str">
        <f>"Out There"</f>
        <v>Out There</v>
      </c>
    </row>
    <row r="16145" spans="1:4" x14ac:dyDescent="0.2">
      <c r="A16145" t="str">
        <f>"16144"</f>
        <v>16144</v>
      </c>
      <c r="B16145" t="str">
        <f>"0.68"</f>
        <v>0.68</v>
      </c>
      <c r="C16145" t="str">
        <f>"56"</f>
        <v>56</v>
      </c>
      <c r="D16145" t="str">
        <f>"I Was Submerged"</f>
        <v>I Was Submerged</v>
      </c>
    </row>
    <row r="16146" spans="1:4" x14ac:dyDescent="0.2">
      <c r="A16146" t="str">
        <f>"16145"</f>
        <v>16145</v>
      </c>
      <c r="B16146" t="str">
        <f>"0.14"</f>
        <v>0.14</v>
      </c>
      <c r="C16146" t="str">
        <f>"36"</f>
        <v>36</v>
      </c>
      <c r="D16146" t="str">
        <f>"David Bowie Box"</f>
        <v>David Bowie Box</v>
      </c>
    </row>
    <row r="16147" spans="1:4" x14ac:dyDescent="0.2">
      <c r="A16147" t="str">
        <f>"16146"</f>
        <v>16146</v>
      </c>
      <c r="B16147" t="str">
        <f>"0.48"</f>
        <v>0.48</v>
      </c>
      <c r="C16147" t="str">
        <f>"41"</f>
        <v>41</v>
      </c>
      <c r="D16147" t="str">
        <f>"Gyrate Plus"</f>
        <v>Gyrate Plus</v>
      </c>
    </row>
    <row r="16148" spans="1:4" x14ac:dyDescent="0.2">
      <c r="A16148" t="str">
        <f>"16147"</f>
        <v>16147</v>
      </c>
      <c r="B16148" t="str">
        <f>"0"</f>
        <v>0</v>
      </c>
      <c r="C16148" t="str">
        <f>"62"</f>
        <v>62</v>
      </c>
      <c r="D16148" t="str">
        <f>"Cry-Baby"</f>
        <v>Cry-Baby</v>
      </c>
    </row>
    <row r="16149" spans="1:4" x14ac:dyDescent="0.2">
      <c r="A16149" t="str">
        <f>"16148"</f>
        <v>16148</v>
      </c>
      <c r="B16149" t="str">
        <f>"1.78"</f>
        <v>1.78</v>
      </c>
      <c r="C16149" t="str">
        <f>"17"</f>
        <v>17</v>
      </c>
      <c r="D16149" t="str">
        <f>"Aluminum Lake"</f>
        <v>Aluminum Lake</v>
      </c>
    </row>
    <row r="16150" spans="1:4" x14ac:dyDescent="0.2">
      <c r="A16150" t="str">
        <f>"16149"</f>
        <v>16149</v>
      </c>
      <c r="B16150" t="str">
        <f>"-0.35"</f>
        <v>-0.35</v>
      </c>
      <c r="C16150" t="str">
        <f>"17"</f>
        <v>17</v>
      </c>
      <c r="D16150" t="str">
        <f>"Gone Faded"</f>
        <v>Gone Faded</v>
      </c>
    </row>
    <row r="16151" spans="1:4" x14ac:dyDescent="0.2">
      <c r="A16151" t="str">
        <f>"16150"</f>
        <v>16150</v>
      </c>
      <c r="B16151" t="str">
        <f>"-0.56"</f>
        <v>-0.56</v>
      </c>
      <c r="C16151" t="str">
        <f>"83"</f>
        <v>83</v>
      </c>
      <c r="D16151" t="str">
        <f>"Sawdust"</f>
        <v>Sawdust</v>
      </c>
    </row>
    <row r="16152" spans="1:4" x14ac:dyDescent="0.2">
      <c r="A16152" t="str">
        <f>"16151"</f>
        <v>16151</v>
      </c>
      <c r="B16152" t="str">
        <f>"-0.33"</f>
        <v>-0.33</v>
      </c>
      <c r="C16152" t="str">
        <f>"31"</f>
        <v>31</v>
      </c>
      <c r="D16152" t="str">
        <f>"The Hollows EP"</f>
        <v>The Hollows EP</v>
      </c>
    </row>
    <row r="16153" spans="1:4" x14ac:dyDescent="0.2">
      <c r="A16153" t="str">
        <f>"16152"</f>
        <v>16152</v>
      </c>
      <c r="B16153" t="str">
        <f>"1.49"</f>
        <v>1.49</v>
      </c>
      <c r="C16153" t="str">
        <f>"67"</f>
        <v>67</v>
      </c>
      <c r="D16153" t="s">
        <v>523</v>
      </c>
    </row>
    <row r="16154" spans="1:4" x14ac:dyDescent="0.2">
      <c r="A16154" t="str">
        <f>"16153"</f>
        <v>16153</v>
      </c>
      <c r="B16154" t="str">
        <f>"0.34"</f>
        <v>0.34</v>
      </c>
      <c r="C16154" t="str">
        <f>"18"</f>
        <v>18</v>
      </c>
      <c r="D16154" t="str">
        <f>"Pale Young Gentlemen"</f>
        <v>Pale Young Gentlemen</v>
      </c>
    </row>
    <row r="16155" spans="1:4" x14ac:dyDescent="0.2">
      <c r="A16155" t="str">
        <f>"16154"</f>
        <v>16154</v>
      </c>
      <c r="B16155" t="str">
        <f>"0.27"</f>
        <v>0.27</v>
      </c>
      <c r="C16155" t="str">
        <f>"23"</f>
        <v>23</v>
      </c>
      <c r="D16155" t="str">
        <f>"Placelessness"</f>
        <v>Placelessness</v>
      </c>
    </row>
    <row r="16156" spans="1:4" x14ac:dyDescent="0.2">
      <c r="A16156" t="str">
        <f>"16155"</f>
        <v>16155</v>
      </c>
      <c r="B16156" t="str">
        <f>"0.48"</f>
        <v>0.48</v>
      </c>
      <c r="C16156" t="str">
        <f>"49"</f>
        <v>49</v>
      </c>
      <c r="D16156" t="s">
        <v>524</v>
      </c>
    </row>
    <row r="16157" spans="1:4" x14ac:dyDescent="0.2">
      <c r="A16157" t="str">
        <f>"16156"</f>
        <v>16156</v>
      </c>
      <c r="B16157" t="str">
        <f>"0.47"</f>
        <v>0.47</v>
      </c>
      <c r="C16157" t="str">
        <f>"91"</f>
        <v>91</v>
      </c>
      <c r="D16157" t="str">
        <f>"Shelter From the Ash"</f>
        <v>Shelter From the Ash</v>
      </c>
    </row>
    <row r="16158" spans="1:4" x14ac:dyDescent="0.2">
      <c r="A16158" t="str">
        <f>"16157"</f>
        <v>16157</v>
      </c>
      <c r="B16158" t="str">
        <f>"0.73"</f>
        <v>0.73</v>
      </c>
      <c r="C16158" t="str">
        <f>"24"</f>
        <v>24</v>
      </c>
      <c r="D16158" t="str">
        <f>"The Valerie Project"</f>
        <v>The Valerie Project</v>
      </c>
    </row>
    <row r="16159" spans="1:4" x14ac:dyDescent="0.2">
      <c r="A16159" t="str">
        <f>"16158"</f>
        <v>16158</v>
      </c>
      <c r="B16159" t="str">
        <f>"0.72"</f>
        <v>0.72</v>
      </c>
      <c r="C16159" t="str">
        <f>"60"</f>
        <v>60</v>
      </c>
      <c r="D16159" t="str">
        <f>"Places"</f>
        <v>Places</v>
      </c>
    </row>
    <row r="16160" spans="1:4" x14ac:dyDescent="0.2">
      <c r="A16160" t="str">
        <f>"16159"</f>
        <v>16159</v>
      </c>
      <c r="B16160" t="str">
        <f>"0.3"</f>
        <v>0.3</v>
      </c>
      <c r="C16160" t="str">
        <f>"16"</f>
        <v>16</v>
      </c>
      <c r="D16160" t="str">
        <f>"Getback"</f>
        <v>Getback</v>
      </c>
    </row>
    <row r="16161" spans="1:4" x14ac:dyDescent="0.2">
      <c r="A16161" t="str">
        <f>"16160"</f>
        <v>16160</v>
      </c>
      <c r="B16161" t="str">
        <f>"0.45"</f>
        <v>0.45</v>
      </c>
      <c r="C16161" t="str">
        <f>"38"</f>
        <v>38</v>
      </c>
      <c r="D16161" t="str">
        <f>"Alive 2007"</f>
        <v>Alive 2007</v>
      </c>
    </row>
    <row r="16162" spans="1:4" x14ac:dyDescent="0.2">
      <c r="A16162" t="str">
        <f>"16161"</f>
        <v>16161</v>
      </c>
      <c r="B16162" t="str">
        <f>"-0.48"</f>
        <v>-0.48</v>
      </c>
      <c r="C16162" t="str">
        <f>"31"</f>
        <v>31</v>
      </c>
      <c r="D16162" t="str">
        <f>"Red Carpet Massacre"</f>
        <v>Red Carpet Massacre</v>
      </c>
    </row>
    <row r="16163" spans="1:4" x14ac:dyDescent="0.2">
      <c r="A16163" t="str">
        <f>"16162"</f>
        <v>16162</v>
      </c>
      <c r="B16163" t="str">
        <f>"0.8"</f>
        <v>0.8</v>
      </c>
      <c r="C16163" t="str">
        <f>"27"</f>
        <v>27</v>
      </c>
      <c r="D16163" t="str">
        <f>"Parades"</f>
        <v>Parades</v>
      </c>
    </row>
    <row r="16164" spans="1:4" x14ac:dyDescent="0.2">
      <c r="A16164" t="str">
        <f>"16163"</f>
        <v>16163</v>
      </c>
      <c r="B16164" t="str">
        <f>"0.48"</f>
        <v>0.48</v>
      </c>
      <c r="C16164" t="str">
        <f>"29"</f>
        <v>29</v>
      </c>
      <c r="D16164" t="str">
        <f>"Prism of the Eternal Now"</f>
        <v>Prism of the Eternal Now</v>
      </c>
    </row>
    <row r="16165" spans="1:4" x14ac:dyDescent="0.2">
      <c r="A16165" t="str">
        <f>"16164"</f>
        <v>16164</v>
      </c>
      <c r="B16165" t="str">
        <f>"-1.02"</f>
        <v>-1.02</v>
      </c>
      <c r="C16165" t="str">
        <f>"18"</f>
        <v>18</v>
      </c>
      <c r="D16165" t="str">
        <f>"Hexes For Exes"</f>
        <v>Hexes For Exes</v>
      </c>
    </row>
    <row r="16166" spans="1:4" x14ac:dyDescent="0.2">
      <c r="A16166" t="str">
        <f>"16165"</f>
        <v>16165</v>
      </c>
      <c r="B16166" t="str">
        <f>"-0.27"</f>
        <v>-0.27</v>
      </c>
      <c r="C16166" t="str">
        <f>"19"</f>
        <v>19</v>
      </c>
      <c r="D16166" t="str">
        <f>"11:11"</f>
        <v>11:11</v>
      </c>
    </row>
    <row r="16167" spans="1:4" x14ac:dyDescent="0.2">
      <c r="A16167" t="str">
        <f>"16166"</f>
        <v>16166</v>
      </c>
      <c r="B16167" t="str">
        <f>"0.67"</f>
        <v>0.67</v>
      </c>
      <c r="C16167" t="str">
        <f>"19"</f>
        <v>19</v>
      </c>
      <c r="D16167" t="str">
        <f>"D Sides"</f>
        <v>D Sides</v>
      </c>
    </row>
    <row r="16168" spans="1:4" x14ac:dyDescent="0.2">
      <c r="A16168" t="str">
        <f>"16167"</f>
        <v>16167</v>
      </c>
      <c r="B16168" t="str">
        <f>"0.96"</f>
        <v>0.96</v>
      </c>
      <c r="C16168" t="str">
        <f>"25"</f>
        <v>25</v>
      </c>
      <c r="D16168" t="str">
        <f>"Discovered: A Collection of Daft Funk Samples"</f>
        <v>Discovered: A Collection of Daft Funk Samples</v>
      </c>
    </row>
    <row r="16169" spans="1:4" x14ac:dyDescent="0.2">
      <c r="A16169" t="str">
        <f>"16168"</f>
        <v>16168</v>
      </c>
      <c r="B16169" t="str">
        <f>"-0.32"</f>
        <v>-0.32</v>
      </c>
      <c r="C16169" t="str">
        <f>"24"</f>
        <v>24</v>
      </c>
      <c r="D16169" t="str">
        <f>"Neighbor Singing"</f>
        <v>Neighbor Singing</v>
      </c>
    </row>
    <row r="16170" spans="1:4" x14ac:dyDescent="0.2">
      <c r="A16170" t="str">
        <f>"16169"</f>
        <v>16169</v>
      </c>
      <c r="B16170" t="str">
        <f>"-1.23"</f>
        <v>-1.23</v>
      </c>
      <c r="C16170" t="str">
        <f>"17"</f>
        <v>17</v>
      </c>
      <c r="D16170" t="str">
        <f>"Beyond the Neighbourhood"</f>
        <v>Beyond the Neighbourhood</v>
      </c>
    </row>
    <row r="16171" spans="1:4" x14ac:dyDescent="0.2">
      <c r="A16171" t="str">
        <f>"16170"</f>
        <v>16170</v>
      </c>
      <c r="B16171" t="str">
        <f>"-0.03"</f>
        <v>-0.03</v>
      </c>
      <c r="C16171" t="str">
        <f>"27"</f>
        <v>27</v>
      </c>
      <c r="D16171" t="str">
        <f>"The Black and White Album"</f>
        <v>The Black and White Album</v>
      </c>
    </row>
    <row r="16172" spans="1:4" x14ac:dyDescent="0.2">
      <c r="A16172" t="str">
        <f>"16171"</f>
        <v>16171</v>
      </c>
      <c r="B16172" t="str">
        <f>"-0.36"</f>
        <v>-0.36</v>
      </c>
      <c r="C16172" t="str">
        <f>"63"</f>
        <v>63</v>
      </c>
      <c r="D16172" t="str">
        <f>"Read &amp; Burn 03"</f>
        <v>Read &amp; Burn 03</v>
      </c>
    </row>
    <row r="16173" spans="1:4" x14ac:dyDescent="0.2">
      <c r="A16173" t="str">
        <f>"16172"</f>
        <v>16172</v>
      </c>
      <c r="B16173" t="str">
        <f>"-1.24"</f>
        <v>-1.24</v>
      </c>
      <c r="C16173" t="str">
        <f>"23"</f>
        <v>23</v>
      </c>
      <c r="D16173" t="str">
        <f>"Black Hollywood"</f>
        <v>Black Hollywood</v>
      </c>
    </row>
    <row r="16174" spans="1:4" x14ac:dyDescent="0.2">
      <c r="A16174" t="str">
        <f>"16173"</f>
        <v>16173</v>
      </c>
      <c r="B16174" t="str">
        <f>"-0.17"</f>
        <v>-0.17</v>
      </c>
      <c r="C16174" t="str">
        <f>"32"</f>
        <v>32</v>
      </c>
      <c r="D16174" t="str">
        <f>"To All Dead Sailors"</f>
        <v>To All Dead Sailors</v>
      </c>
    </row>
    <row r="16175" spans="1:4" x14ac:dyDescent="0.2">
      <c r="A16175" t="str">
        <f>"16174"</f>
        <v>16174</v>
      </c>
      <c r="B16175" t="str">
        <f>"-0.41"</f>
        <v>-0.41</v>
      </c>
      <c r="C16175" t="str">
        <f>"26"</f>
        <v>26</v>
      </c>
      <c r="D16175" t="str">
        <f>"Mountain Home"</f>
        <v>Mountain Home</v>
      </c>
    </row>
    <row r="16176" spans="1:4" x14ac:dyDescent="0.2">
      <c r="A16176" t="str">
        <f>"16175"</f>
        <v>16175</v>
      </c>
      <c r="B16176" t="str">
        <f>"0.13"</f>
        <v>0.13</v>
      </c>
      <c r="C16176" t="str">
        <f>"45"</f>
        <v>45</v>
      </c>
      <c r="D16176" t="str">
        <f>"The Complete On the Corner Sessions"</f>
        <v>The Complete On the Corner Sessions</v>
      </c>
    </row>
    <row r="16177" spans="1:4" x14ac:dyDescent="0.2">
      <c r="A16177" t="str">
        <f>"16176"</f>
        <v>16176</v>
      </c>
      <c r="B16177" t="str">
        <f>"-0.21"</f>
        <v>-0.21</v>
      </c>
      <c r="C16177" t="str">
        <f>"100"</f>
        <v>100</v>
      </c>
      <c r="D16177" t="str">
        <f>"Public Enemy #1"</f>
        <v>Public Enemy #1</v>
      </c>
    </row>
    <row r="16178" spans="1:4" x14ac:dyDescent="0.2">
      <c r="A16178" t="str">
        <f>"16177"</f>
        <v>16177</v>
      </c>
      <c r="B16178" t="str">
        <f>"0.28"</f>
        <v>0.28</v>
      </c>
      <c r="C16178" t="str">
        <f>"37"</f>
        <v>37</v>
      </c>
      <c r="D16178" t="str">
        <f>"Mount Eerie Pts. 6 &amp; 7"</f>
        <v>Mount Eerie Pts. 6 &amp; 7</v>
      </c>
    </row>
    <row r="16179" spans="1:4" x14ac:dyDescent="0.2">
      <c r="A16179" t="str">
        <f>"16178"</f>
        <v>16178</v>
      </c>
      <c r="B16179" t="str">
        <f>"-0.35"</f>
        <v>-0.35</v>
      </c>
      <c r="C16179" t="str">
        <f>"32"</f>
        <v>32</v>
      </c>
      <c r="D16179" t="str">
        <f>"Shooting Spires"</f>
        <v>Shooting Spires</v>
      </c>
    </row>
    <row r="16180" spans="1:4" x14ac:dyDescent="0.2">
      <c r="A16180" t="str">
        <f>"16179"</f>
        <v>16179</v>
      </c>
      <c r="B16180" t="str">
        <f>"0.09"</f>
        <v>0.09</v>
      </c>
      <c r="C16180" t="str">
        <f>"21"</f>
        <v>21</v>
      </c>
      <c r="D16180" t="str">
        <f>"Heavy Deavy Skull Lover"</f>
        <v>Heavy Deavy Skull Lover</v>
      </c>
    </row>
    <row r="16181" spans="1:4" x14ac:dyDescent="0.2">
      <c r="A16181" t="str">
        <f>"16180"</f>
        <v>16180</v>
      </c>
      <c r="B16181" t="str">
        <f>"-0.15"</f>
        <v>-0.15</v>
      </c>
      <c r="C16181" t="str">
        <f>"19"</f>
        <v>19</v>
      </c>
      <c r="D16181" t="str">
        <f>"Galactic Zoo Dossier #7: Teenage Meadows of Infinity: Rare Psychs and Stomps / From the Ashes Perfect Attainment Shall Be: Modern Freaked Sounds"</f>
        <v>Galactic Zoo Dossier #7: Teenage Meadows of Infinity: Rare Psychs and Stomps / From the Ashes Perfect Attainment Shall Be: Modern Freaked Sounds</v>
      </c>
    </row>
    <row r="16182" spans="1:4" x14ac:dyDescent="0.2">
      <c r="A16182" t="str">
        <f>"16181"</f>
        <v>16181</v>
      </c>
      <c r="B16182" t="str">
        <f>"0.06"</f>
        <v>0.06</v>
      </c>
      <c r="C16182" t="str">
        <f>"119"</f>
        <v>119</v>
      </c>
      <c r="D16182" t="str">
        <f>"Fruit Tree"</f>
        <v>Fruit Tree</v>
      </c>
    </row>
    <row r="16183" spans="1:4" x14ac:dyDescent="0.2">
      <c r="A16183" t="str">
        <f>"16182"</f>
        <v>16182</v>
      </c>
      <c r="B16183" t="str">
        <f>"-0.69"</f>
        <v>-0.69</v>
      </c>
      <c r="C16183" t="str">
        <f>"23"</f>
        <v>23</v>
      </c>
      <c r="D16183" t="str">
        <f>"Frank"</f>
        <v>Frank</v>
      </c>
    </row>
    <row r="16184" spans="1:4" x14ac:dyDescent="0.2">
      <c r="A16184" t="str">
        <f>"16183"</f>
        <v>16183</v>
      </c>
      <c r="B16184" t="str">
        <f>"1.1"</f>
        <v>1.1</v>
      </c>
      <c r="C16184" t="str">
        <f>"41"</f>
        <v>41</v>
      </c>
      <c r="D16184" t="str">
        <f>"LP"</f>
        <v>LP</v>
      </c>
    </row>
    <row r="16185" spans="1:4" x14ac:dyDescent="0.2">
      <c r="A16185" t="str">
        <f>"16184"</f>
        <v>16184</v>
      </c>
      <c r="B16185" t="str">
        <f>"0.49"</f>
        <v>0.49</v>
      </c>
      <c r="C16185" t="str">
        <f>"28"</f>
        <v>28</v>
      </c>
      <c r="D16185" t="str">
        <f>"Waitin' Our Turn"</f>
        <v>Waitin' Our Turn</v>
      </c>
    </row>
    <row r="16186" spans="1:4" x14ac:dyDescent="0.2">
      <c r="A16186" t="str">
        <f>"16185"</f>
        <v>16185</v>
      </c>
      <c r="B16186" t="str">
        <f>"-0.38"</f>
        <v>-0.38</v>
      </c>
      <c r="C16186" t="str">
        <f>"16"</f>
        <v>16</v>
      </c>
      <c r="D16186" t="str">
        <f>"Volume 1"</f>
        <v>Volume 1</v>
      </c>
    </row>
    <row r="16187" spans="1:4" x14ac:dyDescent="0.2">
      <c r="A16187" t="str">
        <f>"16186"</f>
        <v>16186</v>
      </c>
      <c r="B16187" t="str">
        <f>"-0.37"</f>
        <v>-0.37</v>
      </c>
      <c r="C16187" t="str">
        <f>"52"</f>
        <v>52</v>
      </c>
      <c r="D16187" t="str">
        <f>"Untrue"</f>
        <v>Untrue</v>
      </c>
    </row>
    <row r="16188" spans="1:4" x14ac:dyDescent="0.2">
      <c r="A16188" t="str">
        <f>"16187"</f>
        <v>16187</v>
      </c>
      <c r="B16188" t="str">
        <f>"-0.43"</f>
        <v>-0.43</v>
      </c>
      <c r="C16188" t="str">
        <f>"25"</f>
        <v>25</v>
      </c>
      <c r="D16188" t="str">
        <f>"Home Blitz"</f>
        <v>Home Blitz</v>
      </c>
    </row>
    <row r="16189" spans="1:4" x14ac:dyDescent="0.2">
      <c r="A16189" t="str">
        <f>"16188"</f>
        <v>16188</v>
      </c>
      <c r="B16189" t="str">
        <f>"-0.56"</f>
        <v>-0.56</v>
      </c>
      <c r="C16189" t="str">
        <f>"22"</f>
        <v>22</v>
      </c>
      <c r="D16189" t="str">
        <f>"Hangin' Nothin' But Our Hands Down"</f>
        <v>Hangin' Nothin' But Our Hands Down</v>
      </c>
    </row>
    <row r="16190" spans="1:4" x14ac:dyDescent="0.2">
      <c r="A16190" t="str">
        <f>"16189"</f>
        <v>16189</v>
      </c>
      <c r="B16190" t="str">
        <f>"-0.49"</f>
        <v>-0.49</v>
      </c>
      <c r="C16190" t="str">
        <f>"17"</f>
        <v>17</v>
      </c>
      <c r="D16190" t="str">
        <f>"Threads Rope Spell Making Your Bones"</f>
        <v>Threads Rope Spell Making Your Bones</v>
      </c>
    </row>
    <row r="16191" spans="1:4" x14ac:dyDescent="0.2">
      <c r="A16191" t="str">
        <f>"16190"</f>
        <v>16190</v>
      </c>
      <c r="B16191" t="str">
        <f>"0.05"</f>
        <v>0.05</v>
      </c>
      <c r="C16191" t="str">
        <f>"31"</f>
        <v>31</v>
      </c>
      <c r="D16191" t="str">
        <f>"Greatest Hits"</f>
        <v>Greatest Hits</v>
      </c>
    </row>
    <row r="16192" spans="1:4" x14ac:dyDescent="0.2">
      <c r="A16192" t="str">
        <f>"16191"</f>
        <v>16191</v>
      </c>
      <c r="B16192" t="str">
        <f>"-0.07"</f>
        <v>-0.07</v>
      </c>
      <c r="C16192" t="str">
        <f>"17"</f>
        <v>17</v>
      </c>
      <c r="D16192" t="str">
        <f>"Mothership"</f>
        <v>Mothership</v>
      </c>
    </row>
    <row r="16193" spans="1:4" x14ac:dyDescent="0.2">
      <c r="A16193" t="str">
        <f>"16192"</f>
        <v>16192</v>
      </c>
      <c r="B16193" t="str">
        <f>"-0.52"</f>
        <v>-0.52</v>
      </c>
      <c r="C16193" t="str">
        <f>"76"</f>
        <v>76</v>
      </c>
      <c r="D16193" t="str">
        <f>"Karhunainen"</f>
        <v>Karhunainen</v>
      </c>
    </row>
    <row r="16194" spans="1:4" x14ac:dyDescent="0.2">
      <c r="A16194" t="str">
        <f>"16193"</f>
        <v>16193</v>
      </c>
      <c r="B16194" t="str">
        <f>"-0.74"</f>
        <v>-0.74</v>
      </c>
      <c r="C16194" t="str">
        <f>"18"</f>
        <v>18</v>
      </c>
      <c r="D16194" t="str">
        <f>"Emotionalism"</f>
        <v>Emotionalism</v>
      </c>
    </row>
    <row r="16195" spans="1:4" x14ac:dyDescent="0.2">
      <c r="A16195" t="str">
        <f>"16194"</f>
        <v>16194</v>
      </c>
      <c r="B16195" t="str">
        <f>"-1.05"</f>
        <v>-1.05</v>
      </c>
      <c r="C16195" t="str">
        <f>"23"</f>
        <v>23</v>
      </c>
      <c r="D16195" t="str">
        <f>"Sweep the Leg"</f>
        <v>Sweep the Leg</v>
      </c>
    </row>
    <row r="16196" spans="1:4" x14ac:dyDescent="0.2">
      <c r="A16196" t="str">
        <f>"16195"</f>
        <v>16195</v>
      </c>
      <c r="B16196" t="str">
        <f>"0.46"</f>
        <v>0.46</v>
      </c>
      <c r="C16196" t="str">
        <f>"34"</f>
        <v>34</v>
      </c>
      <c r="D16196" t="str">
        <f>"The Virginian"</f>
        <v>The Virginian</v>
      </c>
    </row>
    <row r="16197" spans="1:4" x14ac:dyDescent="0.2">
      <c r="A16197" t="str">
        <f>"16196"</f>
        <v>16196</v>
      </c>
      <c r="B16197" t="str">
        <f>"-0.64"</f>
        <v>-0.64</v>
      </c>
      <c r="C16197" t="str">
        <f>"35"</f>
        <v>35</v>
      </c>
      <c r="D16197" t="str">
        <f>"The Inevitable Rise and Liberation of NiggyTardust!"</f>
        <v>The Inevitable Rise and Liberation of NiggyTardust!</v>
      </c>
    </row>
    <row r="16198" spans="1:4" x14ac:dyDescent="0.2">
      <c r="A16198" t="str">
        <f>"16197"</f>
        <v>16197</v>
      </c>
      <c r="B16198" t="str">
        <f>"-0.27"</f>
        <v>-0.27</v>
      </c>
      <c r="C16198" t="str">
        <f>"36"</f>
        <v>36</v>
      </c>
      <c r="D16198" t="str">
        <f>"Situation"</f>
        <v>Situation</v>
      </c>
    </row>
    <row r="16199" spans="1:4" x14ac:dyDescent="0.2">
      <c r="A16199" t="str">
        <f>"16198"</f>
        <v>16198</v>
      </c>
      <c r="B16199" t="str">
        <f>"-0.46"</f>
        <v>-0.46</v>
      </c>
      <c r="C16199" t="str">
        <f>"17"</f>
        <v>17</v>
      </c>
      <c r="D16199" t="str">
        <f>"Everyone Wore White"</f>
        <v>Everyone Wore White</v>
      </c>
    </row>
    <row r="16200" spans="1:4" x14ac:dyDescent="0.2">
      <c r="A16200" t="str">
        <f>"16199"</f>
        <v>16199</v>
      </c>
      <c r="B16200" t="str">
        <f>"0.26"</f>
        <v>0.26</v>
      </c>
      <c r="C16200" t="str">
        <f>"21"</f>
        <v>21</v>
      </c>
      <c r="D16200" t="str">
        <f>"We Sing of Only Blood or Love"</f>
        <v>We Sing of Only Blood or Love</v>
      </c>
    </row>
    <row r="16201" spans="1:4" x14ac:dyDescent="0.2">
      <c r="A16201" t="str">
        <f>"16200"</f>
        <v>16200</v>
      </c>
      <c r="B16201" t="str">
        <f>"-0.58"</f>
        <v>-0.58</v>
      </c>
      <c r="C16201" t="str">
        <f>"45"</f>
        <v>45</v>
      </c>
      <c r="D16201" t="str">
        <f>"American Gangster"</f>
        <v>American Gangster</v>
      </c>
    </row>
    <row r="16202" spans="1:4" x14ac:dyDescent="0.2">
      <c r="A16202" t="str">
        <f>"16201"</f>
        <v>16201</v>
      </c>
      <c r="B16202" t="str">
        <f>"-0.23"</f>
        <v>-0.23</v>
      </c>
      <c r="C16202" t="str">
        <f>"19"</f>
        <v>19</v>
      </c>
      <c r="D16202" t="str">
        <f>"Smith EP"</f>
        <v>Smith EP</v>
      </c>
    </row>
    <row r="16203" spans="1:4" x14ac:dyDescent="0.2">
      <c r="A16203" t="str">
        <f>"16202"</f>
        <v>16202</v>
      </c>
      <c r="B16203" t="str">
        <f>"-1.14"</f>
        <v>-1.14</v>
      </c>
      <c r="C16203" t="str">
        <f>"27"</f>
        <v>27</v>
      </c>
      <c r="D16203" t="str">
        <f>"Through the Panama"</f>
        <v>Through the Panama</v>
      </c>
    </row>
    <row r="16204" spans="1:4" x14ac:dyDescent="0.2">
      <c r="A16204" t="str">
        <f>"16203"</f>
        <v>16203</v>
      </c>
      <c r="B16204" t="str">
        <f>"0.67"</f>
        <v>0.67</v>
      </c>
      <c r="C16204" t="str">
        <f>"53"</f>
        <v>53</v>
      </c>
      <c r="D16204" t="str">
        <f>"The World Is Yours"</f>
        <v>The World Is Yours</v>
      </c>
    </row>
    <row r="16205" spans="1:4" x14ac:dyDescent="0.2">
      <c r="A16205" t="str">
        <f>"16204"</f>
        <v>16204</v>
      </c>
      <c r="B16205" t="str">
        <f>"-0.02"</f>
        <v>-0.02</v>
      </c>
      <c r="C16205" t="str">
        <f>"33"</f>
        <v>33</v>
      </c>
      <c r="D16205" t="str">
        <f>"Randall of Nazareth"</f>
        <v>Randall of Nazareth</v>
      </c>
    </row>
    <row r="16206" spans="1:4" x14ac:dyDescent="0.2">
      <c r="A16206" t="str">
        <f>"16205"</f>
        <v>16205</v>
      </c>
      <c r="B16206" t="str">
        <f>"0.35"</f>
        <v>0.35</v>
      </c>
      <c r="C16206" t="str">
        <f>"85"</f>
        <v>85</v>
      </c>
      <c r="D16206" t="str">
        <f>"Hvarf/Heim"</f>
        <v>Hvarf/Heim</v>
      </c>
    </row>
    <row r="16207" spans="1:4" x14ac:dyDescent="0.2">
      <c r="A16207" t="str">
        <f>"16206"</f>
        <v>16206</v>
      </c>
      <c r="B16207" t="str">
        <f>"0.76"</f>
        <v>0.76</v>
      </c>
      <c r="C16207" t="str">
        <f>"31"</f>
        <v>31</v>
      </c>
      <c r="D16207" t="str">
        <f>"Businessmen &amp; Ghosts"</f>
        <v>Businessmen &amp; Ghosts</v>
      </c>
    </row>
    <row r="16208" spans="1:4" x14ac:dyDescent="0.2">
      <c r="A16208" t="str">
        <f>"16207"</f>
        <v>16207</v>
      </c>
      <c r="B16208" t="str">
        <f>"-0.1"</f>
        <v>-0.1</v>
      </c>
      <c r="C16208" t="str">
        <f>"40"</f>
        <v>40</v>
      </c>
      <c r="D16208" t="str">
        <f>"Guns Babes Lemonade"</f>
        <v>Guns Babes Lemonade</v>
      </c>
    </row>
    <row r="16209" spans="1:4" x14ac:dyDescent="0.2">
      <c r="A16209" t="str">
        <f>"16208"</f>
        <v>16208</v>
      </c>
      <c r="B16209" t="str">
        <f>"-0.04"</f>
        <v>-0.04</v>
      </c>
      <c r="C16209" t="str">
        <f>"27"</f>
        <v>27</v>
      </c>
      <c r="D16209" t="str">
        <f>"Well Deep: Ten Years of Big Dada Recordings"</f>
        <v>Well Deep: Ten Years of Big Dada Recordings</v>
      </c>
    </row>
    <row r="16210" spans="1:4" x14ac:dyDescent="0.2">
      <c r="A16210" t="str">
        <f>"16209"</f>
        <v>16209</v>
      </c>
      <c r="B16210" t="str">
        <f>"0.7"</f>
        <v>0.7</v>
      </c>
      <c r="C16210" t="str">
        <f>"33"</f>
        <v>33</v>
      </c>
      <c r="D16210" t="str">
        <f>"Hera Ma Nono"</f>
        <v>Hera Ma Nono</v>
      </c>
    </row>
    <row r="16211" spans="1:4" x14ac:dyDescent="0.2">
      <c r="A16211" t="str">
        <f>"16210"</f>
        <v>16210</v>
      </c>
      <c r="B16211" t="str">
        <f>"-0.02"</f>
        <v>-0.02</v>
      </c>
      <c r="C16211" t="str">
        <f>"77"</f>
        <v>77</v>
      </c>
      <c r="D16211" t="str">
        <f>"Friend EP"</f>
        <v>Friend EP</v>
      </c>
    </row>
    <row r="16212" spans="1:4" x14ac:dyDescent="0.2">
      <c r="A16212" t="str">
        <f>"16211"</f>
        <v>16211</v>
      </c>
      <c r="B16212" t="str">
        <f>"0.26"</f>
        <v>0.26</v>
      </c>
      <c r="C16212" t="str">
        <f>"34"</f>
        <v>34</v>
      </c>
      <c r="D16212" t="str">
        <f>"Little Kingdom"</f>
        <v>Little Kingdom</v>
      </c>
    </row>
    <row r="16213" spans="1:4" x14ac:dyDescent="0.2">
      <c r="A16213" t="str">
        <f>"16212"</f>
        <v>16212</v>
      </c>
      <c r="B16213" t="str">
        <f>"0.28"</f>
        <v>0.28</v>
      </c>
      <c r="C16213" t="str">
        <f>"24"</f>
        <v>24</v>
      </c>
      <c r="D16213" t="str">
        <f>"Hungry Beat"</f>
        <v>Hungry Beat</v>
      </c>
    </row>
    <row r="16214" spans="1:4" x14ac:dyDescent="0.2">
      <c r="A16214" t="str">
        <f>"16213"</f>
        <v>16213</v>
      </c>
      <c r="B16214" t="str">
        <f>"-0.18"</f>
        <v>-0.18</v>
      </c>
      <c r="C16214" t="str">
        <f>"19"</f>
        <v>19</v>
      </c>
      <c r="D16214" t="str">
        <f>"15 Again"</f>
        <v>15 Again</v>
      </c>
    </row>
    <row r="16215" spans="1:4" x14ac:dyDescent="0.2">
      <c r="A16215" t="str">
        <f>"16214"</f>
        <v>16214</v>
      </c>
      <c r="B16215" t="str">
        <f>"-1.23"</f>
        <v>-1.23</v>
      </c>
      <c r="C16215" t="str">
        <f>"16"</f>
        <v>16</v>
      </c>
      <c r="D16215" t="str">
        <f>"Fresh Rot"</f>
        <v>Fresh Rot</v>
      </c>
    </row>
    <row r="16216" spans="1:4" x14ac:dyDescent="0.2">
      <c r="A16216" t="str">
        <f>"16215"</f>
        <v>16215</v>
      </c>
      <c r="B16216" t="str">
        <f>"-0.47"</f>
        <v>-0.47</v>
      </c>
      <c r="C16216" t="str">
        <f>"55"</f>
        <v>55</v>
      </c>
      <c r="D16216" t="str">
        <f>"Big Change: Songs for FINCA"</f>
        <v>Big Change: Songs for FINCA</v>
      </c>
    </row>
    <row r="16217" spans="1:4" x14ac:dyDescent="0.2">
      <c r="A16217" t="str">
        <f>"16216"</f>
        <v>16216</v>
      </c>
      <c r="B16217" t="str">
        <f>"-0.44"</f>
        <v>-0.44</v>
      </c>
      <c r="C16217" t="str">
        <f>"18"</f>
        <v>18</v>
      </c>
      <c r="D16217" t="str">
        <f>"HEALTH"</f>
        <v>HEALTH</v>
      </c>
    </row>
    <row r="16218" spans="1:4" x14ac:dyDescent="0.2">
      <c r="A16218" t="str">
        <f>"16217"</f>
        <v>16217</v>
      </c>
      <c r="B16218" t="str">
        <f>"-1.5"</f>
        <v>-1.5</v>
      </c>
      <c r="C16218" t="str">
        <f>"26"</f>
        <v>26</v>
      </c>
      <c r="D16218" t="str">
        <f>"Red State"</f>
        <v>Red State</v>
      </c>
    </row>
    <row r="16219" spans="1:4" x14ac:dyDescent="0.2">
      <c r="A16219" t="str">
        <f>"16218"</f>
        <v>16218</v>
      </c>
      <c r="B16219" t="str">
        <f>"0.48"</f>
        <v>0.48</v>
      </c>
      <c r="C16219" t="str">
        <f>"18"</f>
        <v>18</v>
      </c>
      <c r="D16219" t="str">
        <f>"Brought to You By Nebraskafish"</f>
        <v>Brought to You By Nebraskafish</v>
      </c>
    </row>
    <row r="16220" spans="1:4" x14ac:dyDescent="0.2">
      <c r="A16220" t="str">
        <f>"16219"</f>
        <v>16219</v>
      </c>
      <c r="B16220" t="str">
        <f>"0.92"</f>
        <v>0.92</v>
      </c>
      <c r="C16220" t="str">
        <f>"33"</f>
        <v>33</v>
      </c>
      <c r="D16220" t="str">
        <f>"Make Sure They See My Face"</f>
        <v>Make Sure They See My Face</v>
      </c>
    </row>
    <row r="16221" spans="1:4" x14ac:dyDescent="0.2">
      <c r="A16221" t="str">
        <f>"16220"</f>
        <v>16220</v>
      </c>
      <c r="B16221" t="str">
        <f>"-1.38"</f>
        <v>-1.38</v>
      </c>
      <c r="C16221" t="str">
        <f>"20"</f>
        <v>20</v>
      </c>
      <c r="D16221" t="str">
        <f>"Tonto+ EP"</f>
        <v>Tonto+ EP</v>
      </c>
    </row>
    <row r="16222" spans="1:4" x14ac:dyDescent="0.2">
      <c r="A16222" t="str">
        <f>"16221"</f>
        <v>16221</v>
      </c>
      <c r="B16222" t="str">
        <f>"-0.25"</f>
        <v>-0.25</v>
      </c>
      <c r="C16222" t="str">
        <f>"47"</f>
        <v>47</v>
      </c>
      <c r="D16222" t="str">
        <f>"BBC Radio 1: Established 1967"</f>
        <v>BBC Radio 1: Established 1967</v>
      </c>
    </row>
    <row r="16223" spans="1:4" x14ac:dyDescent="0.2">
      <c r="A16223" t="str">
        <f>"16222"</f>
        <v>16222</v>
      </c>
      <c r="B16223" t="str">
        <f>"0.81"</f>
        <v>0.81</v>
      </c>
      <c r="C16223" t="str">
        <f>"58"</f>
        <v>58</v>
      </c>
      <c r="D16223" t="str">
        <f>"Kings of Electro"</f>
        <v>Kings of Electro</v>
      </c>
    </row>
    <row r="16224" spans="1:4" x14ac:dyDescent="0.2">
      <c r="A16224" t="str">
        <f>"16223"</f>
        <v>16223</v>
      </c>
      <c r="B16224" t="str">
        <f>"-0.3"</f>
        <v>-0.3</v>
      </c>
      <c r="C16224" t="str">
        <f>"60"</f>
        <v>60</v>
      </c>
      <c r="D16224" t="str">
        <f>"American Hearts"</f>
        <v>American Hearts</v>
      </c>
    </row>
    <row r="16225" spans="1:4" x14ac:dyDescent="0.2">
      <c r="A16225" t="str">
        <f>"16224"</f>
        <v>16224</v>
      </c>
      <c r="B16225" t="str">
        <f>"-0.55"</f>
        <v>-0.55</v>
      </c>
      <c r="C16225" t="str">
        <f>"20"</f>
        <v>20</v>
      </c>
      <c r="D16225" t="str">
        <f>"Couples Therapy EP"</f>
        <v>Couples Therapy EP</v>
      </c>
    </row>
    <row r="16226" spans="1:4" x14ac:dyDescent="0.2">
      <c r="A16226" t="str">
        <f>"16225"</f>
        <v>16225</v>
      </c>
      <c r="B16226" t="str">
        <f>"-0.66"</f>
        <v>-0.66</v>
      </c>
      <c r="C16226" t="str">
        <f>"36"</f>
        <v>36</v>
      </c>
      <c r="D16226" t="str">
        <f>"Smoke"</f>
        <v>Smoke</v>
      </c>
    </row>
    <row r="16227" spans="1:4" x14ac:dyDescent="0.2">
      <c r="A16227" t="str">
        <f>"16226"</f>
        <v>16226</v>
      </c>
      <c r="B16227" t="str">
        <f>"1.2"</f>
        <v>1.2</v>
      </c>
      <c r="C16227" t="str">
        <f>"28"</f>
        <v>28</v>
      </c>
      <c r="D16227" t="str">
        <f>"Twilight &amp; Ghost Stories"</f>
        <v>Twilight &amp; Ghost Stories</v>
      </c>
    </row>
    <row r="16228" spans="1:4" x14ac:dyDescent="0.2">
      <c r="A16228" t="str">
        <f>"16227"</f>
        <v>16227</v>
      </c>
      <c r="B16228" t="str">
        <f>"-0.21"</f>
        <v>-0.21</v>
      </c>
      <c r="C16228" t="str">
        <f>"33"</f>
        <v>33</v>
      </c>
      <c r="D16228" t="str">
        <f>"Worried Noodles"</f>
        <v>Worried Noodles</v>
      </c>
    </row>
    <row r="16229" spans="1:4" x14ac:dyDescent="0.2">
      <c r="A16229" t="str">
        <f>"16228"</f>
        <v>16228</v>
      </c>
      <c r="B16229" t="str">
        <f>"0.96"</f>
        <v>0.96</v>
      </c>
      <c r="C16229" t="str">
        <f>"56"</f>
        <v>56</v>
      </c>
      <c r="D16229" t="s">
        <v>525</v>
      </c>
    </row>
    <row r="16230" spans="1:4" x14ac:dyDescent="0.2">
      <c r="A16230" t="str">
        <f>"16229"</f>
        <v>16229</v>
      </c>
      <c r="B16230" t="str">
        <f>"0.14"</f>
        <v>0.14</v>
      </c>
      <c r="C16230" t="str">
        <f>"39"</f>
        <v>39</v>
      </c>
      <c r="D16230" t="str">
        <f>"I Created Disco"</f>
        <v>I Created Disco</v>
      </c>
    </row>
    <row r="16231" spans="1:4" x14ac:dyDescent="0.2">
      <c r="A16231" t="str">
        <f>"16230"</f>
        <v>16230</v>
      </c>
      <c r="B16231" t="str">
        <f>"0.39"</f>
        <v>0.39</v>
      </c>
      <c r="C16231" t="str">
        <f>"25"</f>
        <v>25</v>
      </c>
      <c r="D16231" t="s">
        <v>146</v>
      </c>
    </row>
    <row r="16232" spans="1:4" x14ac:dyDescent="0.2">
      <c r="A16232" t="str">
        <f>"16231"</f>
        <v>16231</v>
      </c>
      <c r="B16232" t="str">
        <f>"0.93"</f>
        <v>0.93</v>
      </c>
      <c r="C16232" t="str">
        <f>"23"</f>
        <v>23</v>
      </c>
      <c r="D16232" t="str">
        <f>"V Live"</f>
        <v>V Live</v>
      </c>
    </row>
    <row r="16233" spans="1:4" x14ac:dyDescent="0.2">
      <c r="A16233" t="str">
        <f>"16232"</f>
        <v>16232</v>
      </c>
      <c r="B16233" t="str">
        <f>"0.28"</f>
        <v>0.28</v>
      </c>
      <c r="C16233" t="str">
        <f>"27"</f>
        <v>27</v>
      </c>
      <c r="D16233" t="str">
        <f>"Fill Up the Room"</f>
        <v>Fill Up the Room</v>
      </c>
    </row>
    <row r="16234" spans="1:4" x14ac:dyDescent="0.2">
      <c r="A16234" t="str">
        <f>"16233"</f>
        <v>16233</v>
      </c>
      <c r="B16234" t="str">
        <f>"0.88"</f>
        <v>0.88</v>
      </c>
      <c r="C16234" t="str">
        <f>"50"</f>
        <v>50</v>
      </c>
      <c r="D16234" t="str">
        <f>"La Cucaracha"</f>
        <v>La Cucaracha</v>
      </c>
    </row>
    <row r="16235" spans="1:4" x14ac:dyDescent="0.2">
      <c r="A16235" t="str">
        <f>"16234"</f>
        <v>16234</v>
      </c>
      <c r="B16235" t="str">
        <f>"0.09"</f>
        <v>0.09</v>
      </c>
      <c r="C16235" t="str">
        <f>"39"</f>
        <v>39</v>
      </c>
      <c r="D16235" t="str">
        <f>"Pride"</f>
        <v>Pride</v>
      </c>
    </row>
    <row r="16236" spans="1:4" x14ac:dyDescent="0.2">
      <c r="A16236" t="str">
        <f>"16235"</f>
        <v>16235</v>
      </c>
      <c r="B16236" t="str">
        <f>"-0.11"</f>
        <v>-0.11</v>
      </c>
      <c r="C16236" t="str">
        <f>"52"</f>
        <v>52</v>
      </c>
      <c r="D16236" t="str">
        <f>"The Modern Tribe"</f>
        <v>The Modern Tribe</v>
      </c>
    </row>
    <row r="16237" spans="1:4" x14ac:dyDescent="0.2">
      <c r="A16237" t="str">
        <f>"16236"</f>
        <v>16236</v>
      </c>
      <c r="B16237" t="str">
        <f>"1.4"</f>
        <v>1.4</v>
      </c>
      <c r="C16237" t="str">
        <f>"19"</f>
        <v>19</v>
      </c>
      <c r="D16237" t="str">
        <f>"Oracular Spectacular"</f>
        <v>Oracular Spectacular</v>
      </c>
    </row>
    <row r="16238" spans="1:4" x14ac:dyDescent="0.2">
      <c r="A16238" t="str">
        <f>"16237"</f>
        <v>16237</v>
      </c>
      <c r="B16238" t="str">
        <f>"-1"</f>
        <v>-1</v>
      </c>
      <c r="C16238" t="str">
        <f>"33"</f>
        <v>33</v>
      </c>
      <c r="D16238" t="str">
        <f>"Grimwood"</f>
        <v>Grimwood</v>
      </c>
    </row>
    <row r="16239" spans="1:4" x14ac:dyDescent="0.2">
      <c r="A16239" t="str">
        <f>"16238"</f>
        <v>16238</v>
      </c>
      <c r="B16239" t="str">
        <f>"0.54"</f>
        <v>0.54</v>
      </c>
      <c r="C16239" t="str">
        <f>"32"</f>
        <v>32</v>
      </c>
      <c r="D16239" t="str">
        <f>"A New Chance"</f>
        <v>A New Chance</v>
      </c>
    </row>
    <row r="16240" spans="1:4" x14ac:dyDescent="0.2">
      <c r="A16240" t="str">
        <f>"16239"</f>
        <v>16239</v>
      </c>
      <c r="B16240" t="str">
        <f>"0.84"</f>
        <v>0.84</v>
      </c>
      <c r="C16240" t="str">
        <f>"19"</f>
        <v>19</v>
      </c>
      <c r="D16240" t="str">
        <f>"Soft Pow'r"</f>
        <v>Soft Pow'r</v>
      </c>
    </row>
    <row r="16241" spans="1:4" x14ac:dyDescent="0.2">
      <c r="A16241" t="str">
        <f>"16240"</f>
        <v>16240</v>
      </c>
      <c r="B16241" t="str">
        <f>"-0.56"</f>
        <v>-0.56</v>
      </c>
      <c r="C16241" t="str">
        <f>"76"</f>
        <v>76</v>
      </c>
      <c r="D16241" t="str">
        <f>"Jack of Diamonds"</f>
        <v>Jack of Diamonds</v>
      </c>
    </row>
    <row r="16242" spans="1:4" x14ac:dyDescent="0.2">
      <c r="A16242" t="str">
        <f>"16241"</f>
        <v>16241</v>
      </c>
      <c r="B16242" t="str">
        <f>"0.09"</f>
        <v>0.09</v>
      </c>
      <c r="C16242" t="str">
        <f>"51"</f>
        <v>51</v>
      </c>
      <c r="D16242" t="str">
        <f>"Anthology"</f>
        <v>Anthology</v>
      </c>
    </row>
    <row r="16243" spans="1:4" x14ac:dyDescent="0.2">
      <c r="A16243" t="str">
        <f>"16242"</f>
        <v>16242</v>
      </c>
      <c r="B16243" t="str">
        <f>"0.61"</f>
        <v>0.61</v>
      </c>
      <c r="C16243" t="str">
        <f>"92"</f>
        <v>92</v>
      </c>
      <c r="D16243" t="str">
        <f>"I'm Not There OST"</f>
        <v>I'm Not There OST</v>
      </c>
    </row>
    <row r="16244" spans="1:4" x14ac:dyDescent="0.2">
      <c r="A16244" t="str">
        <f>"16243"</f>
        <v>16243</v>
      </c>
      <c r="B16244" t="str">
        <f>"-0.49"</f>
        <v>-0.49</v>
      </c>
      <c r="C16244" t="str">
        <f>"20"</f>
        <v>20</v>
      </c>
      <c r="D16244" t="str">
        <f>"In the Vines"</f>
        <v>In the Vines</v>
      </c>
    </row>
    <row r="16245" spans="1:4" x14ac:dyDescent="0.2">
      <c r="A16245" t="str">
        <f>"16244"</f>
        <v>16244</v>
      </c>
      <c r="B16245" t="str">
        <f>"-0.53"</f>
        <v>-0.53</v>
      </c>
      <c r="C16245" t="str">
        <f>"12"</f>
        <v>12</v>
      </c>
      <c r="D16245" t="str">
        <f>"Population"</f>
        <v>Population</v>
      </c>
    </row>
    <row r="16246" spans="1:4" x14ac:dyDescent="0.2">
      <c r="A16246" t="str">
        <f>"16245"</f>
        <v>16245</v>
      </c>
      <c r="B16246" t="str">
        <f>"-1.16"</f>
        <v>-1.16</v>
      </c>
      <c r="C16246" t="str">
        <f>"17"</f>
        <v>17</v>
      </c>
      <c r="D16246" t="str">
        <f>"Hideout"</f>
        <v>Hideout</v>
      </c>
    </row>
    <row r="16247" spans="1:4" x14ac:dyDescent="0.2">
      <c r="A16247" t="str">
        <f>"16246"</f>
        <v>16246</v>
      </c>
      <c r="B16247" t="str">
        <f>"-0.26"</f>
        <v>-0.26</v>
      </c>
      <c r="C16247" t="str">
        <f>"147"</f>
        <v>147</v>
      </c>
      <c r="D16247" t="str">
        <f>"Unknown Pleasures"</f>
        <v>Unknown Pleasures</v>
      </c>
    </row>
    <row r="16248" spans="1:4" x14ac:dyDescent="0.2">
      <c r="A16248" t="str">
        <f>"16247"</f>
        <v>16247</v>
      </c>
      <c r="B16248" t="str">
        <f>"0.36"</f>
        <v>0.36</v>
      </c>
      <c r="C16248" t="str">
        <f>"21"</f>
        <v>21</v>
      </c>
      <c r="D16248" t="str">
        <f>"Likeness"</f>
        <v>Likeness</v>
      </c>
    </row>
    <row r="16249" spans="1:4" x14ac:dyDescent="0.2">
      <c r="A16249" t="str">
        <f>"16248"</f>
        <v>16248</v>
      </c>
      <c r="B16249" t="str">
        <f>"0.43"</f>
        <v>0.43</v>
      </c>
      <c r="C16249" t="str">
        <f>"36"</f>
        <v>36</v>
      </c>
      <c r="D16249" t="str">
        <f>"Environ Maiden"</f>
        <v>Environ Maiden</v>
      </c>
    </row>
    <row r="16250" spans="1:4" x14ac:dyDescent="0.2">
      <c r="A16250" t="str">
        <f>"16249"</f>
        <v>16249</v>
      </c>
      <c r="B16250" t="str">
        <f>"0.61"</f>
        <v>0.61</v>
      </c>
      <c r="C16250" t="str">
        <f>"24"</f>
        <v>24</v>
      </c>
      <c r="D16250" t="str">
        <f>"Necessary Evil"</f>
        <v>Necessary Evil</v>
      </c>
    </row>
    <row r="16251" spans="1:4" x14ac:dyDescent="0.2">
      <c r="A16251" t="str">
        <f>"16250"</f>
        <v>16250</v>
      </c>
      <c r="B16251" t="str">
        <f>"0.41"</f>
        <v>0.41</v>
      </c>
      <c r="C16251" t="str">
        <f>"30"</f>
        <v>30</v>
      </c>
      <c r="D16251" t="s">
        <v>526</v>
      </c>
    </row>
    <row r="16252" spans="1:4" x14ac:dyDescent="0.2">
      <c r="A16252" t="str">
        <f>"16251"</f>
        <v>16251</v>
      </c>
      <c r="B16252" t="str">
        <f>"-0.67"</f>
        <v>-0.67</v>
      </c>
      <c r="C16252" t="str">
        <f>"23"</f>
        <v>23</v>
      </c>
      <c r="D16252" t="str">
        <f>"Load Blown"</f>
        <v>Load Blown</v>
      </c>
    </row>
    <row r="16253" spans="1:4" x14ac:dyDescent="0.2">
      <c r="A16253" t="str">
        <f>"16252"</f>
        <v>16252</v>
      </c>
      <c r="B16253" t="str">
        <f>"0.31"</f>
        <v>0.31</v>
      </c>
      <c r="C16253" t="str">
        <f>"29"</f>
        <v>29</v>
      </c>
      <c r="D16253" t="str">
        <f>"Oblivion With Bells"</f>
        <v>Oblivion With Bells</v>
      </c>
    </row>
    <row r="16254" spans="1:4" x14ac:dyDescent="0.2">
      <c r="A16254" t="str">
        <f>"16253"</f>
        <v>16253</v>
      </c>
      <c r="B16254" t="str">
        <f>"-1.24"</f>
        <v>-1.24</v>
      </c>
      <c r="C16254" t="str">
        <f>"26"</f>
        <v>26</v>
      </c>
      <c r="D16254" t="str">
        <f>"The Dream Merchant 2"</f>
        <v>The Dream Merchant 2</v>
      </c>
    </row>
    <row r="16255" spans="1:4" x14ac:dyDescent="0.2">
      <c r="A16255" t="str">
        <f>"16254"</f>
        <v>16254</v>
      </c>
      <c r="B16255" t="str">
        <f>"0.16"</f>
        <v>0.16</v>
      </c>
      <c r="C16255" t="str">
        <f>"18"</f>
        <v>18</v>
      </c>
      <c r="D16255" t="str">
        <f>"Once Upon a Time in the West"</f>
        <v>Once Upon a Time in the West</v>
      </c>
    </row>
    <row r="16256" spans="1:4" x14ac:dyDescent="0.2">
      <c r="A16256" t="str">
        <f>"16255"</f>
        <v>16255</v>
      </c>
      <c r="B16256" t="str">
        <f>"-0.55"</f>
        <v>-0.55</v>
      </c>
      <c r="C16256" t="str">
        <f>"19"</f>
        <v>19</v>
      </c>
      <c r="D16256" t="str">
        <f>"Misbegotten Man"</f>
        <v>Misbegotten Man</v>
      </c>
    </row>
    <row r="16257" spans="1:4" x14ac:dyDescent="0.2">
      <c r="A16257" t="str">
        <f>"16256"</f>
        <v>16256</v>
      </c>
      <c r="B16257" t="str">
        <f>"0.2"</f>
        <v>0.2</v>
      </c>
      <c r="C16257" t="str">
        <f>"62"</f>
        <v>62</v>
      </c>
      <c r="D16257" t="str">
        <f>"All Hour Cymbals"</f>
        <v>All Hour Cymbals</v>
      </c>
    </row>
    <row r="16258" spans="1:4" x14ac:dyDescent="0.2">
      <c r="A16258" t="str">
        <f>"16257"</f>
        <v>16257</v>
      </c>
      <c r="B16258" t="str">
        <f>"0.21"</f>
        <v>0.21</v>
      </c>
      <c r="C16258" t="str">
        <f>"26"</f>
        <v>26</v>
      </c>
      <c r="D16258" t="str">
        <f>"Hourglass"</f>
        <v>Hourglass</v>
      </c>
    </row>
    <row r="16259" spans="1:4" x14ac:dyDescent="0.2">
      <c r="A16259" t="str">
        <f>"16258"</f>
        <v>16258</v>
      </c>
      <c r="B16259" t="str">
        <f>"0.79"</f>
        <v>0.79</v>
      </c>
      <c r="C16259" t="str">
        <f>"17"</f>
        <v>17</v>
      </c>
      <c r="D16259" t="s">
        <v>527</v>
      </c>
    </row>
    <row r="16260" spans="1:4" x14ac:dyDescent="0.2">
      <c r="A16260" t="str">
        <f>"16259"</f>
        <v>16259</v>
      </c>
      <c r="B16260" t="str">
        <f>"0.14"</f>
        <v>0.14</v>
      </c>
      <c r="C16260" t="str">
        <f>"22"</f>
        <v>22</v>
      </c>
      <c r="D16260" t="str">
        <f>"Even in the Midst..."</f>
        <v>Even in the Midst...</v>
      </c>
    </row>
    <row r="16261" spans="1:4" x14ac:dyDescent="0.2">
      <c r="A16261" t="str">
        <f>"16260"</f>
        <v>16260</v>
      </c>
      <c r="B16261" t="str">
        <f>"0.79"</f>
        <v>0.79</v>
      </c>
      <c r="C16261" t="str">
        <f>"25"</f>
        <v>25</v>
      </c>
      <c r="D16261" t="str">
        <f>"Gettin' Gone"</f>
        <v>Gettin' Gone</v>
      </c>
    </row>
    <row r="16262" spans="1:4" x14ac:dyDescent="0.2">
      <c r="A16262" t="str">
        <f>"16261"</f>
        <v>16261</v>
      </c>
      <c r="B16262" t="str">
        <f>"-0.75"</f>
        <v>-0.75</v>
      </c>
      <c r="C16262" t="str">
        <f>"64"</f>
        <v>64</v>
      </c>
      <c r="D16262" t="str">
        <f>"Shotters Nation"</f>
        <v>Shotters Nation</v>
      </c>
    </row>
    <row r="16263" spans="1:4" x14ac:dyDescent="0.2">
      <c r="A16263" t="str">
        <f>"16262"</f>
        <v>16262</v>
      </c>
      <c r="B16263" t="str">
        <f>"0.69"</f>
        <v>0.69</v>
      </c>
      <c r="C16263" t="str">
        <f>"30"</f>
        <v>30</v>
      </c>
      <c r="D16263" t="str">
        <f>"Some Things Just Stick In Your Mind: Singles and Demos: 1964 to 1967"</f>
        <v>Some Things Just Stick In Your Mind: Singles and Demos: 1964 to 1967</v>
      </c>
    </row>
    <row r="16264" spans="1:4" x14ac:dyDescent="0.2">
      <c r="A16264" t="str">
        <f>"16263"</f>
        <v>16263</v>
      </c>
      <c r="B16264" t="str">
        <f>"0.97"</f>
        <v>0.97</v>
      </c>
      <c r="C16264" t="str">
        <f>"26"</f>
        <v>26</v>
      </c>
      <c r="D16264" t="str">
        <f>"Sologne"</f>
        <v>Sologne</v>
      </c>
    </row>
    <row r="16265" spans="1:4" x14ac:dyDescent="0.2">
      <c r="A16265" t="str">
        <f>"16264"</f>
        <v>16264</v>
      </c>
      <c r="B16265" t="str">
        <f>"-0.17"</f>
        <v>-0.17</v>
      </c>
      <c r="C16265" t="str">
        <f>"23"</f>
        <v>23</v>
      </c>
      <c r="D16265" t="str">
        <f>"Peanut Butter Wolf Presents 2K8: B-Ball Zombie War"</f>
        <v>Peanut Butter Wolf Presents 2K8: B-Ball Zombie War</v>
      </c>
    </row>
    <row r="16266" spans="1:4" x14ac:dyDescent="0.2">
      <c r="A16266" t="str">
        <f>"16265"</f>
        <v>16265</v>
      </c>
      <c r="B16266" t="str">
        <f>"-0.15"</f>
        <v>-0.15</v>
      </c>
      <c r="C16266" t="str">
        <f>"24"</f>
        <v>24</v>
      </c>
      <c r="D16266" t="str">
        <f>"War Elephant"</f>
        <v>War Elephant</v>
      </c>
    </row>
    <row r="16267" spans="1:4" x14ac:dyDescent="0.2">
      <c r="A16267" t="str">
        <f>"16266"</f>
        <v>16266</v>
      </c>
      <c r="B16267" t="str">
        <f>"-0.45"</f>
        <v>-0.45</v>
      </c>
      <c r="C16267" t="str">
        <f>"83"</f>
        <v>83</v>
      </c>
      <c r="D16267" t="str">
        <f>"Preparations"</f>
        <v>Preparations</v>
      </c>
    </row>
    <row r="16268" spans="1:4" x14ac:dyDescent="0.2">
      <c r="A16268" t="str">
        <f>"16267"</f>
        <v>16267</v>
      </c>
      <c r="B16268" t="str">
        <f>"0.97"</f>
        <v>0.97</v>
      </c>
      <c r="C16268" t="str">
        <f>"81"</f>
        <v>81</v>
      </c>
      <c r="D16268" t="str">
        <f>"Follow the Lights EP"</f>
        <v>Follow the Lights EP</v>
      </c>
    </row>
    <row r="16269" spans="1:4" x14ac:dyDescent="0.2">
      <c r="A16269" t="str">
        <f>"16268"</f>
        <v>16268</v>
      </c>
      <c r="B16269" t="str">
        <f>"-0.67"</f>
        <v>-0.67</v>
      </c>
      <c r="C16269" t="str">
        <f>"29"</f>
        <v>29</v>
      </c>
      <c r="D16269" t="str">
        <f>"Two Sevens Clash: The 30th Anniversary Edition"</f>
        <v>Two Sevens Clash: The 30th Anniversary Edition</v>
      </c>
    </row>
    <row r="16270" spans="1:4" x14ac:dyDescent="0.2">
      <c r="A16270" t="str">
        <f>"16269"</f>
        <v>16269</v>
      </c>
      <c r="B16270" t="str">
        <f>"-1.32"</f>
        <v>-1.32</v>
      </c>
      <c r="C16270" t="str">
        <f>"32"</f>
        <v>32</v>
      </c>
      <c r="D16270" t="s">
        <v>528</v>
      </c>
    </row>
    <row r="16271" spans="1:4" x14ac:dyDescent="0.2">
      <c r="A16271" t="str">
        <f>"16270"</f>
        <v>16270</v>
      </c>
      <c r="B16271" t="str">
        <f>"-0.39"</f>
        <v>-0.39</v>
      </c>
      <c r="C16271" t="str">
        <f>"29"</f>
        <v>29</v>
      </c>
      <c r="D16271" t="str">
        <f>"Fire Escape"</f>
        <v>Fire Escape</v>
      </c>
    </row>
    <row r="16272" spans="1:4" x14ac:dyDescent="0.2">
      <c r="A16272" t="str">
        <f>"16271"</f>
        <v>16271</v>
      </c>
      <c r="B16272" t="str">
        <f>"-0.28"</f>
        <v>-0.28</v>
      </c>
      <c r="C16272" t="str">
        <f>"83"</f>
        <v>83</v>
      </c>
      <c r="D16272" t="str">
        <f>"The Oxford American Music Issue 2007"</f>
        <v>The Oxford American Music Issue 2007</v>
      </c>
    </row>
    <row r="16273" spans="1:4" x14ac:dyDescent="0.2">
      <c r="A16273" t="str">
        <f>"16272"</f>
        <v>16272</v>
      </c>
      <c r="B16273" t="str">
        <f>"-1.01"</f>
        <v>-1.01</v>
      </c>
      <c r="C16273" t="str">
        <f>"19"</f>
        <v>19</v>
      </c>
      <c r="D16273" t="str">
        <f>"Catharsis in Crisis"</f>
        <v>Catharsis in Crisis</v>
      </c>
    </row>
    <row r="16274" spans="1:4" x14ac:dyDescent="0.2">
      <c r="A16274" t="str">
        <f>"16273"</f>
        <v>16273</v>
      </c>
      <c r="B16274" t="str">
        <f>"0.02"</f>
        <v>0.02</v>
      </c>
      <c r="C16274" t="str">
        <f>"27"</f>
        <v>27</v>
      </c>
      <c r="D16274" t="str">
        <f>"Draw Breath"</f>
        <v>Draw Breath</v>
      </c>
    </row>
    <row r="16275" spans="1:4" x14ac:dyDescent="0.2">
      <c r="A16275" t="str">
        <f>"16274"</f>
        <v>16274</v>
      </c>
      <c r="B16275" t="str">
        <f>"0.65"</f>
        <v>0.65</v>
      </c>
      <c r="C16275" t="str">
        <f>"25"</f>
        <v>25</v>
      </c>
      <c r="D16275" t="str">
        <f>"Lightning Strikes"</f>
        <v>Lightning Strikes</v>
      </c>
    </row>
    <row r="16276" spans="1:4" x14ac:dyDescent="0.2">
      <c r="A16276" t="str">
        <f>"16275"</f>
        <v>16275</v>
      </c>
      <c r="B16276" t="str">
        <f>"0.22"</f>
        <v>0.22</v>
      </c>
      <c r="C16276" t="str">
        <f>"27"</f>
        <v>27</v>
      </c>
      <c r="D16276" t="str">
        <f>"Overpowered"</f>
        <v>Overpowered</v>
      </c>
    </row>
    <row r="16277" spans="1:4" x14ac:dyDescent="0.2">
      <c r="A16277" t="str">
        <f>"16276"</f>
        <v>16276</v>
      </c>
      <c r="B16277" t="str">
        <f>"1.13"</f>
        <v>1.13</v>
      </c>
      <c r="C16277" t="str">
        <f>"24"</f>
        <v>24</v>
      </c>
      <c r="D16277" t="str">
        <f>"Lady's Bridge"</f>
        <v>Lady's Bridge</v>
      </c>
    </row>
    <row r="16278" spans="1:4" x14ac:dyDescent="0.2">
      <c r="A16278" t="str">
        <f>"16277"</f>
        <v>16277</v>
      </c>
      <c r="B16278" t="str">
        <f>"0.01"</f>
        <v>0.01</v>
      </c>
      <c r="C16278" t="str">
        <f>"21"</f>
        <v>21</v>
      </c>
      <c r="D16278" t="str">
        <f>"Total Magique"</f>
        <v>Total Magique</v>
      </c>
    </row>
    <row r="16279" spans="1:4" x14ac:dyDescent="0.2">
      <c r="A16279" t="str">
        <f>"16278"</f>
        <v>16278</v>
      </c>
      <c r="B16279" t="str">
        <f>"-1"</f>
        <v>-1</v>
      </c>
      <c r="C16279" t="str">
        <f>"24"</f>
        <v>24</v>
      </c>
      <c r="D16279" t="str">
        <f>"God Luck and Good Speed"</f>
        <v>God Luck and Good Speed</v>
      </c>
    </row>
    <row r="16280" spans="1:4" x14ac:dyDescent="0.2">
      <c r="A16280" t="str">
        <f>"16279"</f>
        <v>16279</v>
      </c>
      <c r="B16280" t="str">
        <f>"-0.82"</f>
        <v>-0.82</v>
      </c>
      <c r="C16280" t="str">
        <f>"23"</f>
        <v>23</v>
      </c>
      <c r="D16280" t="str">
        <f>"Adrenaline Rush 2007"</f>
        <v>Adrenaline Rush 2007</v>
      </c>
    </row>
    <row r="16281" spans="1:4" x14ac:dyDescent="0.2">
      <c r="A16281" t="str">
        <f>"16280"</f>
        <v>16280</v>
      </c>
      <c r="B16281" t="str">
        <f>"-0.08"</f>
        <v>-0.08</v>
      </c>
      <c r="C16281" t="str">
        <f>"28"</f>
        <v>28</v>
      </c>
      <c r="D16281" t="str">
        <f>"Chrome Dreams II"</f>
        <v>Chrome Dreams II</v>
      </c>
    </row>
    <row r="16282" spans="1:4" x14ac:dyDescent="0.2">
      <c r="A16282" t="str">
        <f>"16281"</f>
        <v>16281</v>
      </c>
      <c r="B16282" t="str">
        <f>"0.56"</f>
        <v>0.56</v>
      </c>
      <c r="C16282" t="str">
        <f>"42"</f>
        <v>42</v>
      </c>
      <c r="D16282" t="str">
        <f>"The Trentemøller Chronicles"</f>
        <v>The Trentemøller Chronicles</v>
      </c>
    </row>
    <row r="16283" spans="1:4" x14ac:dyDescent="0.2">
      <c r="A16283" t="str">
        <f>"16282"</f>
        <v>16282</v>
      </c>
      <c r="B16283" t="str">
        <f>"0.8"</f>
        <v>0.8</v>
      </c>
      <c r="C16283" t="str">
        <f>"40"</f>
        <v>40</v>
      </c>
      <c r="D16283" t="str">
        <f>"Paris-Berlin"</f>
        <v>Paris-Berlin</v>
      </c>
    </row>
    <row r="16284" spans="1:4" x14ac:dyDescent="0.2">
      <c r="A16284" t="str">
        <f>"16283"</f>
        <v>16283</v>
      </c>
      <c r="B16284" t="str">
        <f>"-0.17"</f>
        <v>-0.17</v>
      </c>
      <c r="C16284" t="str">
        <f>"24"</f>
        <v>24</v>
      </c>
      <c r="D16284" t="str">
        <f>"Carrion EP"</f>
        <v>Carrion EP</v>
      </c>
    </row>
    <row r="16285" spans="1:4" x14ac:dyDescent="0.2">
      <c r="A16285" t="str">
        <f>"16284"</f>
        <v>16284</v>
      </c>
      <c r="B16285" t="str">
        <f>"-0.52"</f>
        <v>-0.52</v>
      </c>
      <c r="C16285" t="str">
        <f>"49"</f>
        <v>49</v>
      </c>
      <c r="D16285" t="str">
        <f>"The Kush"</f>
        <v>The Kush</v>
      </c>
    </row>
    <row r="16286" spans="1:4" x14ac:dyDescent="0.2">
      <c r="A16286" t="str">
        <f>"16285"</f>
        <v>16285</v>
      </c>
      <c r="B16286" t="str">
        <f>"0.97"</f>
        <v>0.97</v>
      </c>
      <c r="C16286" t="str">
        <f>"29"</f>
        <v>29</v>
      </c>
      <c r="D16286" t="str">
        <f>"Live From Austin TX"</f>
        <v>Live From Austin TX</v>
      </c>
    </row>
    <row r="16287" spans="1:4" x14ac:dyDescent="0.2">
      <c r="A16287" t="str">
        <f>"16286"</f>
        <v>16286</v>
      </c>
      <c r="B16287" t="str">
        <f>"-0.49"</f>
        <v>-0.49</v>
      </c>
      <c r="C16287" t="str">
        <f>"28"</f>
        <v>28</v>
      </c>
      <c r="D16287" t="str">
        <f>"Live"</f>
        <v>Live</v>
      </c>
    </row>
    <row r="16288" spans="1:4" x14ac:dyDescent="0.2">
      <c r="A16288" t="str">
        <f>"16287"</f>
        <v>16287</v>
      </c>
      <c r="B16288" t="str">
        <f>"-0.63"</f>
        <v>-0.63</v>
      </c>
      <c r="C16288" t="str">
        <f>"17"</f>
        <v>17</v>
      </c>
      <c r="D16288" t="str">
        <f>"Coronation Thieves"</f>
        <v>Coronation Thieves</v>
      </c>
    </row>
    <row r="16289" spans="1:4" x14ac:dyDescent="0.2">
      <c r="A16289" t="str">
        <f>"16288"</f>
        <v>16288</v>
      </c>
      <c r="B16289" t="str">
        <f>"0.32"</f>
        <v>0.32</v>
      </c>
      <c r="C16289" t="str">
        <f>"28"</f>
        <v>28</v>
      </c>
      <c r="D16289" t="str">
        <f>"Ordination of the Globetrotting Conscripts"</f>
        <v>Ordination of the Globetrotting Conscripts</v>
      </c>
    </row>
    <row r="16290" spans="1:4" x14ac:dyDescent="0.2">
      <c r="A16290" t="str">
        <f>"16289"</f>
        <v>16289</v>
      </c>
      <c r="B16290" t="str">
        <f>"-0.43"</f>
        <v>-0.43</v>
      </c>
      <c r="C16290" t="str">
        <f>"27"</f>
        <v>27</v>
      </c>
      <c r="D16290" t="str">
        <f>"Adrian Orange &amp; Her Band"</f>
        <v>Adrian Orange &amp; Her Band</v>
      </c>
    </row>
    <row r="16291" spans="1:4" x14ac:dyDescent="0.2">
      <c r="A16291" t="str">
        <f>"16290"</f>
        <v>16290</v>
      </c>
      <c r="B16291" t="str">
        <f>"0.56"</f>
        <v>0.56</v>
      </c>
      <c r="C16291" t="str">
        <f>"54"</f>
        <v>54</v>
      </c>
      <c r="D16291" t="str">
        <f>"In Rainbows"</f>
        <v>In Rainbows</v>
      </c>
    </row>
    <row r="16292" spans="1:4" x14ac:dyDescent="0.2">
      <c r="A16292" t="str">
        <f>"16291"</f>
        <v>16291</v>
      </c>
      <c r="B16292" t="str">
        <f>"-0.03"</f>
        <v>-0.03</v>
      </c>
      <c r="C16292" t="str">
        <f>"36"</f>
        <v>36</v>
      </c>
      <c r="D16292" t="str">
        <f>"Grass Geysers... Carbon Clouds"</f>
        <v>Grass Geysers... Carbon Clouds</v>
      </c>
    </row>
    <row r="16293" spans="1:4" x14ac:dyDescent="0.2">
      <c r="A16293" t="str">
        <f>"16292"</f>
        <v>16292</v>
      </c>
      <c r="B16293" t="str">
        <f>"1.14"</f>
        <v>1.14</v>
      </c>
      <c r="C16293" t="str">
        <f>"28"</f>
        <v>28</v>
      </c>
      <c r="D16293" t="str">
        <f>"Heresy and the Hotel Choir"</f>
        <v>Heresy and the Hotel Choir</v>
      </c>
    </row>
    <row r="16294" spans="1:4" x14ac:dyDescent="0.2">
      <c r="A16294" t="str">
        <f>"16293"</f>
        <v>16293</v>
      </c>
      <c r="B16294" t="str">
        <f>"0.74"</f>
        <v>0.74</v>
      </c>
      <c r="C16294" t="str">
        <f>"29"</f>
        <v>29</v>
      </c>
      <c r="D16294" t="str">
        <f>"Turn My Teeth Up!"</f>
        <v>Turn My Teeth Up!</v>
      </c>
    </row>
    <row r="16295" spans="1:4" x14ac:dyDescent="0.2">
      <c r="A16295" t="str">
        <f>"16294"</f>
        <v>16294</v>
      </c>
      <c r="B16295" t="str">
        <f>"-0.02"</f>
        <v>-0.02</v>
      </c>
      <c r="C16295" t="str">
        <f>"20"</f>
        <v>20</v>
      </c>
      <c r="D16295" t="str">
        <f>"Now You Are This"</f>
        <v>Now You Are This</v>
      </c>
    </row>
    <row r="16296" spans="1:4" x14ac:dyDescent="0.2">
      <c r="A16296" t="str">
        <f>"16295"</f>
        <v>16295</v>
      </c>
      <c r="B16296" t="str">
        <f>"-0.52"</f>
        <v>-0.52</v>
      </c>
      <c r="C16296" t="str">
        <f>"31"</f>
        <v>31</v>
      </c>
      <c r="D16296" t="str">
        <f>"Digital Shades Vol. 1"</f>
        <v>Digital Shades Vol. 1</v>
      </c>
    </row>
    <row r="16297" spans="1:4" x14ac:dyDescent="0.2">
      <c r="A16297" t="str">
        <f>"16296"</f>
        <v>16296</v>
      </c>
      <c r="B16297" t="str">
        <f>"1.09"</f>
        <v>1.09</v>
      </c>
      <c r="C16297" t="str">
        <f>"53"</f>
        <v>53</v>
      </c>
      <c r="D16297" t="str">
        <f>"Lady Day: The Master Takes and Singles"</f>
        <v>Lady Day: The Master Takes and Singles</v>
      </c>
    </row>
    <row r="16298" spans="1:4" x14ac:dyDescent="0.2">
      <c r="A16298" t="str">
        <f>"16297"</f>
        <v>16297</v>
      </c>
      <c r="B16298" t="str">
        <f>"-0.53"</f>
        <v>-0.53</v>
      </c>
      <c r="C16298" t="str">
        <f>"18"</f>
        <v>18</v>
      </c>
      <c r="D16298" t="str">
        <f>"The Sultanic Verses"</f>
        <v>The Sultanic Verses</v>
      </c>
    </row>
    <row r="16299" spans="1:4" x14ac:dyDescent="0.2">
      <c r="A16299" t="str">
        <f>"16298"</f>
        <v>16298</v>
      </c>
      <c r="B16299" t="str">
        <f>"-0.41"</f>
        <v>-0.41</v>
      </c>
      <c r="C16299" t="str">
        <f>"24"</f>
        <v>24</v>
      </c>
      <c r="D16299" t="str">
        <f>"Populations"</f>
        <v>Populations</v>
      </c>
    </row>
    <row r="16300" spans="1:4" x14ac:dyDescent="0.2">
      <c r="A16300" t="str">
        <f>"16299"</f>
        <v>16299</v>
      </c>
      <c r="B16300" t="str">
        <f>"-0.56"</f>
        <v>-0.56</v>
      </c>
      <c r="C16300" t="str">
        <f>"82"</f>
        <v>82</v>
      </c>
      <c r="D16300" t="str">
        <f>"Washington Square Serenade"</f>
        <v>Washington Square Serenade</v>
      </c>
    </row>
    <row r="16301" spans="1:4" x14ac:dyDescent="0.2">
      <c r="A16301" t="str">
        <f>"16300"</f>
        <v>16300</v>
      </c>
      <c r="B16301" t="str">
        <f>"0.34"</f>
        <v>0.34</v>
      </c>
      <c r="C16301" t="str">
        <f>"95"</f>
        <v>95</v>
      </c>
      <c r="D16301" t="str">
        <f>"Night Drive"</f>
        <v>Night Drive</v>
      </c>
    </row>
    <row r="16302" spans="1:4" x14ac:dyDescent="0.2">
      <c r="A16302" t="str">
        <f>"16301"</f>
        <v>16301</v>
      </c>
      <c r="B16302" t="str">
        <f>"0.74"</f>
        <v>0.74</v>
      </c>
      <c r="C16302" t="str">
        <f>"27"</f>
        <v>27</v>
      </c>
      <c r="D16302" t="str">
        <f>"Lifeline"</f>
        <v>Lifeline</v>
      </c>
    </row>
    <row r="16303" spans="1:4" x14ac:dyDescent="0.2">
      <c r="A16303" t="str">
        <f>"16302"</f>
        <v>16302</v>
      </c>
      <c r="B16303" t="str">
        <f>"-1.09"</f>
        <v>-1.09</v>
      </c>
      <c r="C16303" t="str">
        <f>"24"</f>
        <v>24</v>
      </c>
      <c r="D16303" t="str">
        <f>"The Ortolan"</f>
        <v>The Ortolan</v>
      </c>
    </row>
    <row r="16304" spans="1:4" x14ac:dyDescent="0.2">
      <c r="A16304" t="str">
        <f>"16303"</f>
        <v>16303</v>
      </c>
      <c r="B16304" t="str">
        <f>"0.83"</f>
        <v>0.83</v>
      </c>
      <c r="C16304" t="str">
        <f>"18"</f>
        <v>18</v>
      </c>
      <c r="D16304" t="str">
        <f>"Further North"</f>
        <v>Further North</v>
      </c>
    </row>
    <row r="16305" spans="1:4" x14ac:dyDescent="0.2">
      <c r="A16305" t="str">
        <f>"16304"</f>
        <v>16304</v>
      </c>
      <c r="B16305" t="str">
        <f>"0.14"</f>
        <v>0.14</v>
      </c>
      <c r="C16305" t="str">
        <f>"15"</f>
        <v>15</v>
      </c>
      <c r="D16305" t="str">
        <f>"Wooden Shjips"</f>
        <v>Wooden Shjips</v>
      </c>
    </row>
    <row r="16306" spans="1:4" x14ac:dyDescent="0.2">
      <c r="A16306" t="str">
        <f>"16305"</f>
        <v>16305</v>
      </c>
      <c r="B16306" t="str">
        <f>"1.86"</f>
        <v>1.86</v>
      </c>
      <c r="C16306" t="str">
        <f>"29"</f>
        <v>29</v>
      </c>
      <c r="D16306" t="str">
        <f>"A Bunch of Stuff EP"</f>
        <v>A Bunch of Stuff EP</v>
      </c>
    </row>
    <row r="16307" spans="1:4" x14ac:dyDescent="0.2">
      <c r="A16307" t="str">
        <f>"16306"</f>
        <v>16306</v>
      </c>
      <c r="B16307" t="str">
        <f>"-0.24"</f>
        <v>-0.24</v>
      </c>
      <c r="C16307" t="str">
        <f>"25"</f>
        <v>25</v>
      </c>
      <c r="D16307" t="str">
        <f>"Widow City"</f>
        <v>Widow City</v>
      </c>
    </row>
    <row r="16308" spans="1:4" x14ac:dyDescent="0.2">
      <c r="A16308" t="str">
        <f>"16307"</f>
        <v>16307</v>
      </c>
      <c r="B16308" t="str">
        <f>"-0.75"</f>
        <v>-0.75</v>
      </c>
      <c r="C16308" t="str">
        <f>"29"</f>
        <v>29</v>
      </c>
      <c r="D16308" t="str">
        <f>"Dropping the Writ"</f>
        <v>Dropping the Writ</v>
      </c>
    </row>
    <row r="16309" spans="1:4" x14ac:dyDescent="0.2">
      <c r="A16309" t="str">
        <f>"16308"</f>
        <v>16308</v>
      </c>
      <c r="B16309" t="str">
        <f>"0.14"</f>
        <v>0.14</v>
      </c>
      <c r="C16309" t="str">
        <f>"26"</f>
        <v>26</v>
      </c>
      <c r="D16309" t="str">
        <f>"The Classic Guinean Guitar Group"</f>
        <v>The Classic Guinean Guitar Group</v>
      </c>
    </row>
    <row r="16310" spans="1:4" x14ac:dyDescent="0.2">
      <c r="A16310" t="str">
        <f>"16309"</f>
        <v>16309</v>
      </c>
      <c r="B16310" t="str">
        <f>"-0.51"</f>
        <v>-0.51</v>
      </c>
      <c r="C16310" t="str">
        <f>"26"</f>
        <v>26</v>
      </c>
      <c r="D16310" t="str">
        <f>"Kemialliset Ystävät"</f>
        <v>Kemialliset Ystävät</v>
      </c>
    </row>
    <row r="16311" spans="1:4" x14ac:dyDescent="0.2">
      <c r="A16311" t="str">
        <f>"16310"</f>
        <v>16310</v>
      </c>
      <c r="B16311" t="str">
        <f>"1.4"</f>
        <v>1.4</v>
      </c>
      <c r="C16311" t="str">
        <f>"24"</f>
        <v>24</v>
      </c>
      <c r="D16311" t="str">
        <f>"The Flying Club Cup"</f>
        <v>The Flying Club Cup</v>
      </c>
    </row>
    <row r="16312" spans="1:4" x14ac:dyDescent="0.2">
      <c r="A16312" t="str">
        <f>"16311"</f>
        <v>16311</v>
      </c>
      <c r="B16312" t="str">
        <f>"-0.93"</f>
        <v>-0.93</v>
      </c>
      <c r="C16312" t="str">
        <f>"41"</f>
        <v>41</v>
      </c>
      <c r="D16312" t="str">
        <f>"Comicopera"</f>
        <v>Comicopera</v>
      </c>
    </row>
    <row r="16313" spans="1:4" x14ac:dyDescent="0.2">
      <c r="A16313" t="str">
        <f>"16312"</f>
        <v>16312</v>
      </c>
      <c r="B16313" t="str">
        <f>"0.1"</f>
        <v>0.1</v>
      </c>
      <c r="C16313" t="str">
        <f>"28"</f>
        <v>28</v>
      </c>
      <c r="D16313" t="str">
        <f>"Block Ice &amp; Propane"</f>
        <v>Block Ice &amp; Propane</v>
      </c>
    </row>
    <row r="16314" spans="1:4" x14ac:dyDescent="0.2">
      <c r="A16314" t="str">
        <f>"16313"</f>
        <v>16313</v>
      </c>
      <c r="B16314" t="str">
        <f>"0.2"</f>
        <v>0.2</v>
      </c>
      <c r="C16314" t="str">
        <f>"22"</f>
        <v>22</v>
      </c>
      <c r="D16314" t="str">
        <f>"Pieces of Peace"</f>
        <v>Pieces of Peace</v>
      </c>
    </row>
    <row r="16315" spans="1:4" x14ac:dyDescent="0.2">
      <c r="A16315" t="str">
        <f>"16314"</f>
        <v>16314</v>
      </c>
      <c r="B16315" t="str">
        <f>"-0.06"</f>
        <v>-0.06</v>
      </c>
      <c r="C16315" t="str">
        <f>"22"</f>
        <v>22</v>
      </c>
      <c r="D16315" t="str">
        <f>"Good Arrows"</f>
        <v>Good Arrows</v>
      </c>
    </row>
    <row r="16316" spans="1:4" x14ac:dyDescent="0.2">
      <c r="A16316" t="str">
        <f>"16315"</f>
        <v>16315</v>
      </c>
      <c r="B16316" t="str">
        <f>"0.04"</f>
        <v>0.04</v>
      </c>
      <c r="C16316" t="str">
        <f>"67"</f>
        <v>67</v>
      </c>
      <c r="D16316" t="str">
        <f>"Cease to Begin"</f>
        <v>Cease to Begin</v>
      </c>
    </row>
    <row r="16317" spans="1:4" x14ac:dyDescent="0.2">
      <c r="A16317" t="str">
        <f>"16316"</f>
        <v>16316</v>
      </c>
      <c r="B16317" t="str">
        <f>"0.79"</f>
        <v>0.79</v>
      </c>
      <c r="C16317" t="str">
        <f>"25"</f>
        <v>25</v>
      </c>
      <c r="D16317" t="str">
        <f>"Coast to Coast Carpet of Love"</f>
        <v>Coast to Coast Carpet of Love</v>
      </c>
    </row>
    <row r="16318" spans="1:4" x14ac:dyDescent="0.2">
      <c r="A16318" t="str">
        <f>"16317"</f>
        <v>16317</v>
      </c>
      <c r="B16318" t="str">
        <f>"0.39"</f>
        <v>0.39</v>
      </c>
      <c r="C16318" t="str">
        <f>"41"</f>
        <v>41</v>
      </c>
      <c r="D16318" t="str">
        <f>"The Scene of the Crime"</f>
        <v>The Scene of the Crime</v>
      </c>
    </row>
    <row r="16319" spans="1:4" x14ac:dyDescent="0.2">
      <c r="A16319" t="str">
        <f>"16318"</f>
        <v>16318</v>
      </c>
      <c r="B16319" t="str">
        <f>"-0.6"</f>
        <v>-0.6</v>
      </c>
      <c r="C16319" t="str">
        <f>"18"</f>
        <v>18</v>
      </c>
      <c r="D16319" t="str">
        <f>"We Are"</f>
        <v>We Are</v>
      </c>
    </row>
    <row r="16320" spans="1:4" x14ac:dyDescent="0.2">
      <c r="A16320" t="str">
        <f>"16319"</f>
        <v>16319</v>
      </c>
      <c r="B16320" t="str">
        <f>"-0.64"</f>
        <v>-0.64</v>
      </c>
      <c r="C16320" t="str">
        <f>"21"</f>
        <v>21</v>
      </c>
      <c r="D16320" t="str">
        <f>"Bitchin'"</f>
        <v>Bitchin'</v>
      </c>
    </row>
    <row r="16321" spans="1:4" x14ac:dyDescent="0.2">
      <c r="A16321" t="str">
        <f>"16320"</f>
        <v>16320</v>
      </c>
      <c r="B16321" t="str">
        <f>"0.06"</f>
        <v>0.06</v>
      </c>
      <c r="C16321" t="str">
        <f>"34"</f>
        <v>34</v>
      </c>
      <c r="D16321" t="str">
        <f>"Wizard of Ahhhs EP"</f>
        <v>Wizard of Ahhhs EP</v>
      </c>
    </row>
    <row r="16322" spans="1:4" x14ac:dyDescent="0.2">
      <c r="A16322" t="str">
        <f>"16321"</f>
        <v>16321</v>
      </c>
      <c r="B16322" t="str">
        <f>"0.17"</f>
        <v>0.17</v>
      </c>
      <c r="C16322" t="str">
        <f>"82"</f>
        <v>82</v>
      </c>
      <c r="D16322" t="str">
        <f>"Save the World"</f>
        <v>Save the World</v>
      </c>
    </row>
    <row r="16323" spans="1:4" x14ac:dyDescent="0.2">
      <c r="A16323" t="str">
        <f>"16322"</f>
        <v>16322</v>
      </c>
      <c r="B16323" t="str">
        <f>"-0.88"</f>
        <v>-0.88</v>
      </c>
      <c r="C16323" t="str">
        <f>"25"</f>
        <v>25</v>
      </c>
      <c r="D16323" t="str">
        <f>"The Throne of the Third Heaven of the Nations Millennium General Assembly"</f>
        <v>The Throne of the Third Heaven of the Nations Millennium General Assembly</v>
      </c>
    </row>
    <row r="16324" spans="1:4" x14ac:dyDescent="0.2">
      <c r="A16324" t="str">
        <f>"16323"</f>
        <v>16323</v>
      </c>
      <c r="B16324" t="str">
        <f>"-0.51"</f>
        <v>-0.51</v>
      </c>
      <c r="C16324" t="str">
        <f>"19"</f>
        <v>19</v>
      </c>
      <c r="D16324" t="str">
        <f>"Last Light"</f>
        <v>Last Light</v>
      </c>
    </row>
    <row r="16325" spans="1:4" x14ac:dyDescent="0.2">
      <c r="A16325" t="str">
        <f>"16324"</f>
        <v>16324</v>
      </c>
      <c r="B16325" t="str">
        <f>"0.88"</f>
        <v>0.88</v>
      </c>
      <c r="C16325" t="str">
        <f>"75"</f>
        <v>75</v>
      </c>
      <c r="D16325" t="str">
        <f>"Age Old Hunger"</f>
        <v>Age Old Hunger</v>
      </c>
    </row>
    <row r="16326" spans="1:4" x14ac:dyDescent="0.2">
      <c r="A16326" t="str">
        <f>"16325"</f>
        <v>16325</v>
      </c>
      <c r="B16326" t="str">
        <f>"-0.68"</f>
        <v>-0.68</v>
      </c>
      <c r="C16326" t="str">
        <f>"38"</f>
        <v>38</v>
      </c>
      <c r="D16326" t="str">
        <f>"DYLAN"</f>
        <v>DYLAN</v>
      </c>
    </row>
    <row r="16327" spans="1:4" x14ac:dyDescent="0.2">
      <c r="A16327" t="str">
        <f>"16326"</f>
        <v>16326</v>
      </c>
      <c r="B16327" t="str">
        <f>"-0.78"</f>
        <v>-0.78</v>
      </c>
      <c r="C16327" t="str">
        <f>"22"</f>
        <v>22</v>
      </c>
      <c r="D16327" t="s">
        <v>529</v>
      </c>
    </row>
    <row r="16328" spans="1:4" x14ac:dyDescent="0.2">
      <c r="A16328" t="str">
        <f>"16327"</f>
        <v>16327</v>
      </c>
      <c r="B16328" t="str">
        <f>"-0.25"</f>
        <v>-0.25</v>
      </c>
      <c r="C16328" t="str">
        <f>"30"</f>
        <v>30</v>
      </c>
      <c r="D16328" t="str">
        <f>"BOSS"</f>
        <v>BOSS</v>
      </c>
    </row>
    <row r="16329" spans="1:4" x14ac:dyDescent="0.2">
      <c r="A16329" t="str">
        <f>"16328"</f>
        <v>16328</v>
      </c>
      <c r="B16329" t="str">
        <f>"-0.27"</f>
        <v>-0.27</v>
      </c>
      <c r="C16329" t="str">
        <f>"21"</f>
        <v>21</v>
      </c>
      <c r="D16329" t="str">
        <f>"Zamazu"</f>
        <v>Zamazu</v>
      </c>
    </row>
    <row r="16330" spans="1:4" x14ac:dyDescent="0.2">
      <c r="A16330" t="str">
        <f>"16329"</f>
        <v>16329</v>
      </c>
      <c r="B16330" t="str">
        <f>"1.06"</f>
        <v>1.06</v>
      </c>
      <c r="C16330" t="str">
        <f>"18"</f>
        <v>18</v>
      </c>
      <c r="D16330" t="str">
        <f>"Eulogies"</f>
        <v>Eulogies</v>
      </c>
    </row>
    <row r="16331" spans="1:4" x14ac:dyDescent="0.2">
      <c r="A16331" t="str">
        <f>"16330"</f>
        <v>16330</v>
      </c>
      <c r="B16331" t="str">
        <f>"-0.41"</f>
        <v>-0.41</v>
      </c>
      <c r="C16331" t="str">
        <f>"45"</f>
        <v>45</v>
      </c>
      <c r="D16331" t="str">
        <f>"IV"</f>
        <v>IV</v>
      </c>
    </row>
    <row r="16332" spans="1:4" x14ac:dyDescent="0.2">
      <c r="A16332" t="str">
        <f>"16331"</f>
        <v>16331</v>
      </c>
      <c r="B16332" t="str">
        <f>"0.25"</f>
        <v>0.25</v>
      </c>
      <c r="C16332" t="str">
        <f>"111"</f>
        <v>111</v>
      </c>
      <c r="D16332" t="str">
        <f>"Magic"</f>
        <v>Magic</v>
      </c>
    </row>
    <row r="16333" spans="1:4" x14ac:dyDescent="0.2">
      <c r="A16333" t="str">
        <f>"16332"</f>
        <v>16332</v>
      </c>
      <c r="B16333" t="str">
        <f>"-0.32"</f>
        <v>-0.32</v>
      </c>
      <c r="C16333" t="str">
        <f>"22"</f>
        <v>22</v>
      </c>
      <c r="D16333" t="str">
        <f>"Virgo Blaktro and the Movie Disco"</f>
        <v>Virgo Blaktro and the Movie Disco</v>
      </c>
    </row>
    <row r="16334" spans="1:4" x14ac:dyDescent="0.2">
      <c r="A16334" t="str">
        <f>"16333"</f>
        <v>16333</v>
      </c>
      <c r="B16334" t="str">
        <f>"0.58"</f>
        <v>0.58</v>
      </c>
      <c r="C16334" t="str">
        <f>"20"</f>
        <v>20</v>
      </c>
      <c r="D16334" t="str">
        <f>"Mabused"</f>
        <v>Mabused</v>
      </c>
    </row>
    <row r="16335" spans="1:4" x14ac:dyDescent="0.2">
      <c r="A16335" t="str">
        <f>"16334"</f>
        <v>16334</v>
      </c>
      <c r="B16335" t="str">
        <f>"1.08"</f>
        <v>1.08</v>
      </c>
      <c r="C16335" t="str">
        <f>"15"</f>
        <v>15</v>
      </c>
      <c r="D16335" t="str">
        <f>"Drug Rug"</f>
        <v>Drug Rug</v>
      </c>
    </row>
    <row r="16336" spans="1:4" x14ac:dyDescent="0.2">
      <c r="A16336" t="str">
        <f>"16335"</f>
        <v>16335</v>
      </c>
      <c r="B16336" t="str">
        <f>"0.13"</f>
        <v>0.13</v>
      </c>
      <c r="C16336" t="str">
        <f>"53"</f>
        <v>53</v>
      </c>
      <c r="D16336" t="str">
        <f>"And Who Shall Go to the Ball? And What Shall Go to the Ball?"</f>
        <v>And Who Shall Go to the Ball? And What Shall Go to the Ball?</v>
      </c>
    </row>
    <row r="16337" spans="1:4" x14ac:dyDescent="0.2">
      <c r="A16337" t="str">
        <f>"16336"</f>
        <v>16336</v>
      </c>
      <c r="B16337" t="str">
        <f>"0.65"</f>
        <v>0.65</v>
      </c>
      <c r="C16337" t="str">
        <f>"23"</f>
        <v>23</v>
      </c>
      <c r="D16337" t="str">
        <f>"Obligatory Villagers"</f>
        <v>Obligatory Villagers</v>
      </c>
    </row>
    <row r="16338" spans="1:4" x14ac:dyDescent="0.2">
      <c r="A16338" t="str">
        <f>"16337"</f>
        <v>16337</v>
      </c>
      <c r="B16338" t="str">
        <f>"0.73"</f>
        <v>0.73</v>
      </c>
      <c r="C16338" t="str">
        <f>"19"</f>
        <v>19</v>
      </c>
      <c r="D16338" t="str">
        <f>"La Vie d'Artiste OST"</f>
        <v>La Vie d'Artiste OST</v>
      </c>
    </row>
    <row r="16339" spans="1:4" x14ac:dyDescent="0.2">
      <c r="A16339" t="str">
        <f>"16338"</f>
        <v>16338</v>
      </c>
      <c r="B16339" t="str">
        <f>"1.21"</f>
        <v>1.21</v>
      </c>
      <c r="C16339" t="str">
        <f>"22"</f>
        <v>22</v>
      </c>
      <c r="D16339" t="str">
        <f>"A Night at the Ritz"</f>
        <v>A Night at the Ritz</v>
      </c>
    </row>
    <row r="16340" spans="1:4" x14ac:dyDescent="0.2">
      <c r="A16340" t="str">
        <f>"16339"</f>
        <v>16339</v>
      </c>
      <c r="B16340" t="str">
        <f>"0.29"</f>
        <v>0.29</v>
      </c>
      <c r="C16340" t="str">
        <f>"20"</f>
        <v>20</v>
      </c>
      <c r="D16340" t="str">
        <f>"The Movie"</f>
        <v>The Movie</v>
      </c>
    </row>
    <row r="16341" spans="1:4" x14ac:dyDescent="0.2">
      <c r="A16341" t="str">
        <f>"16340"</f>
        <v>16340</v>
      </c>
      <c r="B16341" t="str">
        <f>"-0.23"</f>
        <v>-0.23</v>
      </c>
      <c r="C16341" t="str">
        <f>"28"</f>
        <v>28</v>
      </c>
      <c r="D16341" t="str">
        <f>"Random Spirit Lover"</f>
        <v>Random Spirit Lover</v>
      </c>
    </row>
    <row r="16342" spans="1:4" x14ac:dyDescent="0.2">
      <c r="A16342" t="str">
        <f>"16341"</f>
        <v>16341</v>
      </c>
      <c r="B16342" t="str">
        <f>"0.36"</f>
        <v>0.36</v>
      </c>
      <c r="C16342" t="str">
        <f>"32"</f>
        <v>32</v>
      </c>
      <c r="D16342" t="str">
        <f>"My Aim Is True [Deluxe Edition]"</f>
        <v>My Aim Is True [Deluxe Edition]</v>
      </c>
    </row>
    <row r="16343" spans="1:4" x14ac:dyDescent="0.2">
      <c r="A16343" t="str">
        <f>"16342"</f>
        <v>16342</v>
      </c>
      <c r="B16343" t="str">
        <f>"1.32"</f>
        <v>1.32</v>
      </c>
      <c r="C16343" t="str">
        <f>"26"</f>
        <v>26</v>
      </c>
      <c r="D16343" t="str">
        <f>"Polytheistic Fragments"</f>
        <v>Polytheistic Fragments</v>
      </c>
    </row>
    <row r="16344" spans="1:4" x14ac:dyDescent="0.2">
      <c r="A16344" t="str">
        <f>"16343"</f>
        <v>16343</v>
      </c>
      <c r="B16344" t="str">
        <f>"-0.97"</f>
        <v>-0.97</v>
      </c>
      <c r="C16344" t="str">
        <f>"30"</f>
        <v>30</v>
      </c>
      <c r="D16344" t="str">
        <f>"North Star Deserter"</f>
        <v>North Star Deserter</v>
      </c>
    </row>
    <row r="16345" spans="1:4" x14ac:dyDescent="0.2">
      <c r="A16345" t="str">
        <f>"16344"</f>
        <v>16344</v>
      </c>
      <c r="B16345" t="str">
        <f>"-0.08"</f>
        <v>-0.08</v>
      </c>
      <c r="C16345" t="str">
        <f>"25"</f>
        <v>25</v>
      </c>
      <c r="D16345" t="str">
        <f>"The Western Lands"</f>
        <v>The Western Lands</v>
      </c>
    </row>
    <row r="16346" spans="1:4" x14ac:dyDescent="0.2">
      <c r="A16346" t="str">
        <f>"16345"</f>
        <v>16345</v>
      </c>
      <c r="B16346" t="str">
        <f>"0"</f>
        <v>0</v>
      </c>
      <c r="C16346" t="str">
        <f>"77"</f>
        <v>77</v>
      </c>
      <c r="D16346" t="str">
        <f>"In Our Nature"</f>
        <v>In Our Nature</v>
      </c>
    </row>
    <row r="16347" spans="1:4" x14ac:dyDescent="0.2">
      <c r="A16347" t="str">
        <f>"16346"</f>
        <v>16346</v>
      </c>
      <c r="B16347" t="str">
        <f>"0.31"</f>
        <v>0.31</v>
      </c>
      <c r="C16347" t="str">
        <f>"27"</f>
        <v>27</v>
      </c>
      <c r="D16347" t="str">
        <f>"Black Madonna"</f>
        <v>Black Madonna</v>
      </c>
    </row>
    <row r="16348" spans="1:4" x14ac:dyDescent="0.2">
      <c r="A16348" t="str">
        <f>"16347"</f>
        <v>16347</v>
      </c>
      <c r="B16348" t="str">
        <f>"-0.51"</f>
        <v>-0.51</v>
      </c>
      <c r="C16348" t="str">
        <f>"37"</f>
        <v>37</v>
      </c>
      <c r="D16348" t="str">
        <f>"Home Again"</f>
        <v>Home Again</v>
      </c>
    </row>
    <row r="16349" spans="1:4" x14ac:dyDescent="0.2">
      <c r="A16349" t="str">
        <f>"16348"</f>
        <v>16348</v>
      </c>
      <c r="B16349" t="str">
        <f>"-0.28"</f>
        <v>-0.28</v>
      </c>
      <c r="C16349" t="str">
        <f>"25"</f>
        <v>25</v>
      </c>
      <c r="D16349" t="str">
        <f>"Watch the Fireworks"</f>
        <v>Watch the Fireworks</v>
      </c>
    </row>
    <row r="16350" spans="1:4" x14ac:dyDescent="0.2">
      <c r="A16350" t="str">
        <f>"16349"</f>
        <v>16349</v>
      </c>
      <c r="B16350" t="str">
        <f>"-0.24"</f>
        <v>-0.24</v>
      </c>
      <c r="C16350" t="str">
        <f>"20"</f>
        <v>20</v>
      </c>
      <c r="D16350" t="str">
        <f>"Bolts of Melody"</f>
        <v>Bolts of Melody</v>
      </c>
    </row>
    <row r="16351" spans="1:4" x14ac:dyDescent="0.2">
      <c r="A16351" t="str">
        <f>"16350"</f>
        <v>16350</v>
      </c>
      <c r="B16351" t="str">
        <f>"-0.04"</f>
        <v>-0.04</v>
      </c>
      <c r="C16351" t="str">
        <f>"29"</f>
        <v>29</v>
      </c>
      <c r="D16351" t="str">
        <f>"Curses"</f>
        <v>Curses</v>
      </c>
    </row>
    <row r="16352" spans="1:4" x14ac:dyDescent="0.2">
      <c r="A16352" t="str">
        <f>"16351"</f>
        <v>16351</v>
      </c>
      <c r="B16352" t="str">
        <f>"0.03"</f>
        <v>0.03</v>
      </c>
      <c r="C16352" t="str">
        <f>"46"</f>
        <v>46</v>
      </c>
      <c r="D16352" t="str">
        <f>"Shocking Pinks"</f>
        <v>Shocking Pinks</v>
      </c>
    </row>
    <row r="16353" spans="1:4" x14ac:dyDescent="0.2">
      <c r="A16353" t="str">
        <f>"16352"</f>
        <v>16352</v>
      </c>
      <c r="B16353" t="str">
        <f>"-0.53"</f>
        <v>-0.53</v>
      </c>
      <c r="C16353" t="str">
        <f>"39"</f>
        <v>39</v>
      </c>
      <c r="D16353" t="str">
        <f>"Pilgrimage"</f>
        <v>Pilgrimage</v>
      </c>
    </row>
    <row r="16354" spans="1:4" x14ac:dyDescent="0.2">
      <c r="A16354" t="str">
        <f>"16353"</f>
        <v>16353</v>
      </c>
      <c r="B16354" t="str">
        <f>"-0.77"</f>
        <v>-0.77</v>
      </c>
      <c r="C16354" t="str">
        <f>"25"</f>
        <v>25</v>
      </c>
      <c r="D16354" t="str">
        <f>"Going Way Out With Heavy Trash"</f>
        <v>Going Way Out With Heavy Trash</v>
      </c>
    </row>
    <row r="16355" spans="1:4" x14ac:dyDescent="0.2">
      <c r="A16355" t="str">
        <f>"16354"</f>
        <v>16354</v>
      </c>
      <c r="B16355" t="str">
        <f>"0.69"</f>
        <v>0.69</v>
      </c>
      <c r="C16355" t="str">
        <f>"62"</f>
        <v>62</v>
      </c>
      <c r="D16355" t="str">
        <f>"The Historical Conquests of Josh Ritter"</f>
        <v>The Historical Conquests of Josh Ritter</v>
      </c>
    </row>
    <row r="16356" spans="1:4" x14ac:dyDescent="0.2">
      <c r="A16356" t="str">
        <f>"16355"</f>
        <v>16355</v>
      </c>
      <c r="B16356" t="str">
        <f>"-0.12"</f>
        <v>-0.12</v>
      </c>
      <c r="C16356" t="str">
        <f>"25"</f>
        <v>25</v>
      </c>
      <c r="D16356" t="s">
        <v>530</v>
      </c>
    </row>
    <row r="16357" spans="1:4" x14ac:dyDescent="0.2">
      <c r="A16357" t="str">
        <f>"16356"</f>
        <v>16356</v>
      </c>
      <c r="B16357" t="str">
        <f>"-0.09"</f>
        <v>-0.09</v>
      </c>
      <c r="C16357" t="str">
        <f>"41"</f>
        <v>41</v>
      </c>
      <c r="D16357" t="str">
        <f>"Fabric 36"</f>
        <v>Fabric 36</v>
      </c>
    </row>
    <row r="16358" spans="1:4" x14ac:dyDescent="0.2">
      <c r="A16358" t="str">
        <f>"16357"</f>
        <v>16357</v>
      </c>
      <c r="B16358" t="str">
        <f>"-0.34"</f>
        <v>-0.34</v>
      </c>
      <c r="C16358" t="str">
        <f>"14"</f>
        <v>14</v>
      </c>
      <c r="D16358" t="str">
        <f>"RAWWAR EP"</f>
        <v>RAWWAR EP</v>
      </c>
    </row>
    <row r="16359" spans="1:4" x14ac:dyDescent="0.2">
      <c r="A16359" t="str">
        <f>"16358"</f>
        <v>16358</v>
      </c>
      <c r="B16359" t="str">
        <f>"-0.14"</f>
        <v>-0.14</v>
      </c>
      <c r="C16359" t="str">
        <f>"14"</f>
        <v>14</v>
      </c>
      <c r="D16359" t="str">
        <f>"Invitation Songs"</f>
        <v>Invitation Songs</v>
      </c>
    </row>
    <row r="16360" spans="1:4" x14ac:dyDescent="0.2">
      <c r="A16360" t="str">
        <f>"16359"</f>
        <v>16359</v>
      </c>
      <c r="B16360" t="str">
        <f>"-0.39"</f>
        <v>-0.39</v>
      </c>
      <c r="C16360" t="str">
        <f>"23"</f>
        <v>23</v>
      </c>
      <c r="D16360" t="str">
        <f>"Between the Devil and the Sea EP"</f>
        <v>Between the Devil and the Sea EP</v>
      </c>
    </row>
    <row r="16361" spans="1:4" x14ac:dyDescent="0.2">
      <c r="A16361" t="str">
        <f>"16360"</f>
        <v>16360</v>
      </c>
      <c r="B16361" t="str">
        <f>"1.11"</f>
        <v>1.11</v>
      </c>
      <c r="C16361" t="str">
        <f>"53"</f>
        <v>53</v>
      </c>
      <c r="D16361" t="str">
        <f>"The Shepherd's Dog"</f>
        <v>The Shepherd's Dog</v>
      </c>
    </row>
    <row r="16362" spans="1:4" x14ac:dyDescent="0.2">
      <c r="A16362" t="str">
        <f>"16361"</f>
        <v>16361</v>
      </c>
      <c r="B16362" t="str">
        <f>"-0.65"</f>
        <v>-0.65</v>
      </c>
      <c r="C16362" t="str">
        <f>"22"</f>
        <v>22</v>
      </c>
      <c r="D16362" t="str">
        <f>"Two Gallants"</f>
        <v>Two Gallants</v>
      </c>
    </row>
    <row r="16363" spans="1:4" x14ac:dyDescent="0.2">
      <c r="A16363" t="str">
        <f>"16362"</f>
        <v>16362</v>
      </c>
      <c r="B16363" t="str">
        <f>"1.13"</f>
        <v>1.13</v>
      </c>
      <c r="C16363" t="str">
        <f>"21"</f>
        <v>21</v>
      </c>
      <c r="D16363" t="str">
        <f>"I'll Follow You"</f>
        <v>I'll Follow You</v>
      </c>
    </row>
    <row r="16364" spans="1:4" x14ac:dyDescent="0.2">
      <c r="A16364" t="str">
        <f>"16363"</f>
        <v>16363</v>
      </c>
      <c r="B16364" t="str">
        <f>"-0.63"</f>
        <v>-0.63</v>
      </c>
      <c r="C16364" t="str">
        <f>"29"</f>
        <v>29</v>
      </c>
      <c r="D16364" t="str">
        <f>"Höstluft"</f>
        <v>Höstluft</v>
      </c>
    </row>
    <row r="16365" spans="1:4" x14ac:dyDescent="0.2">
      <c r="A16365" t="str">
        <f>"16364"</f>
        <v>16364</v>
      </c>
      <c r="B16365" t="str">
        <f>"-1.01"</f>
        <v>-1.01</v>
      </c>
      <c r="C16365" t="str">
        <f>"18"</f>
        <v>18</v>
      </c>
      <c r="D16365" t="str">
        <f>"Only Trying to Help"</f>
        <v>Only Trying to Help</v>
      </c>
    </row>
    <row r="16366" spans="1:4" x14ac:dyDescent="0.2">
      <c r="A16366" t="str">
        <f>"16365"</f>
        <v>16365</v>
      </c>
      <c r="B16366" t="str">
        <f>"-1.22"</f>
        <v>-1.22</v>
      </c>
      <c r="C16366" t="str">
        <f>"63"</f>
        <v>63</v>
      </c>
      <c r="D16366" t="str">
        <f>"White Chalk"</f>
        <v>White Chalk</v>
      </c>
    </row>
    <row r="16367" spans="1:4" x14ac:dyDescent="0.2">
      <c r="A16367" t="str">
        <f>"16366"</f>
        <v>16366</v>
      </c>
      <c r="B16367" t="str">
        <f>"1.05"</f>
        <v>1.05</v>
      </c>
      <c r="C16367" t="str">
        <f>"24"</f>
        <v>24</v>
      </c>
      <c r="D16367" t="str">
        <f>"Go Go Smear the Poison Ivy"</f>
        <v>Go Go Smear the Poison Ivy</v>
      </c>
    </row>
    <row r="16368" spans="1:4" x14ac:dyDescent="0.2">
      <c r="A16368" t="str">
        <f>"16367"</f>
        <v>16367</v>
      </c>
      <c r="B16368" t="str">
        <f>"0.75"</f>
        <v>0.75</v>
      </c>
      <c r="C16368" t="str">
        <f>"12"</f>
        <v>12</v>
      </c>
      <c r="D16368" t="str">
        <f>"There the Open Spaces"</f>
        <v>There the Open Spaces</v>
      </c>
    </row>
    <row r="16369" spans="1:4" x14ac:dyDescent="0.2">
      <c r="A16369" t="str">
        <f>"16368"</f>
        <v>16368</v>
      </c>
      <c r="B16369" t="str">
        <f>"-0.06"</f>
        <v>-0.06</v>
      </c>
      <c r="C16369" t="str">
        <f>"58"</f>
        <v>58</v>
      </c>
      <c r="D16369" t="str">
        <f>"Gueen's Head"</f>
        <v>Gueen's Head</v>
      </c>
    </row>
    <row r="16370" spans="1:4" x14ac:dyDescent="0.2">
      <c r="A16370" t="str">
        <f>"16369"</f>
        <v>16369</v>
      </c>
      <c r="B16370" t="str">
        <f>"-0.47"</f>
        <v>-0.47</v>
      </c>
      <c r="C16370" t="str">
        <f>"31"</f>
        <v>31</v>
      </c>
      <c r="D16370" t="str">
        <f>"Civilians"</f>
        <v>Civilians</v>
      </c>
    </row>
    <row r="16371" spans="1:4" x14ac:dyDescent="0.2">
      <c r="A16371" t="str">
        <f>"16370"</f>
        <v>16370</v>
      </c>
      <c r="B16371" t="str">
        <f>"0.26"</f>
        <v>0.26</v>
      </c>
      <c r="C16371" t="str">
        <f>"29"</f>
        <v>29</v>
      </c>
      <c r="D16371" t="str">
        <f>"Smokey Rolls Down Thunder Canyon"</f>
        <v>Smokey Rolls Down Thunder Canyon</v>
      </c>
    </row>
    <row r="16372" spans="1:4" x14ac:dyDescent="0.2">
      <c r="A16372" t="str">
        <f>"16371"</f>
        <v>16371</v>
      </c>
      <c r="B16372" t="str">
        <f>"0.63"</f>
        <v>0.63</v>
      </c>
      <c r="C16372" t="str">
        <f>"178"</f>
        <v>178</v>
      </c>
      <c r="D16372" t="str">
        <f>"Love Is the Song We Sing: San Francisco Nuggets 1965-1970"</f>
        <v>Love Is the Song We Sing: San Francisco Nuggets 1965-1970</v>
      </c>
    </row>
    <row r="16373" spans="1:4" x14ac:dyDescent="0.2">
      <c r="A16373" t="str">
        <f>"16372"</f>
        <v>16372</v>
      </c>
      <c r="B16373" t="str">
        <f>"0.66"</f>
        <v>0.66</v>
      </c>
      <c r="C16373" t="str">
        <f>"27"</f>
        <v>27</v>
      </c>
      <c r="D16373" t="s">
        <v>531</v>
      </c>
    </row>
    <row r="16374" spans="1:4" x14ac:dyDescent="0.2">
      <c r="A16374" t="str">
        <f>"16373"</f>
        <v>16373</v>
      </c>
      <c r="B16374" t="str">
        <f>"-0.52"</f>
        <v>-0.52</v>
      </c>
      <c r="C16374" t="str">
        <f>"23"</f>
        <v>23</v>
      </c>
      <c r="D16374" t="str">
        <f>"Pseudosix"</f>
        <v>Pseudosix</v>
      </c>
    </row>
    <row r="16375" spans="1:4" x14ac:dyDescent="0.2">
      <c r="A16375" t="str">
        <f>"16374"</f>
        <v>16374</v>
      </c>
      <c r="B16375" t="str">
        <f>"-0.77"</f>
        <v>-0.77</v>
      </c>
      <c r="C16375" t="str">
        <f>"26"</f>
        <v>26</v>
      </c>
      <c r="D16375" t="str">
        <f>"A Love of Shared Disasters"</f>
        <v>A Love of Shared Disasters</v>
      </c>
    </row>
    <row r="16376" spans="1:4" x14ac:dyDescent="0.2">
      <c r="A16376" t="str">
        <f>"16375"</f>
        <v>16375</v>
      </c>
      <c r="B16376" t="str">
        <f>"1.1"</f>
        <v>1.1</v>
      </c>
      <c r="C16376" t="str">
        <f>"27"</f>
        <v>27</v>
      </c>
      <c r="D16376" t="str">
        <f>"Love Is Simple"</f>
        <v>Love Is Simple</v>
      </c>
    </row>
    <row r="16377" spans="1:4" x14ac:dyDescent="0.2">
      <c r="A16377" t="str">
        <f>"16376"</f>
        <v>16376</v>
      </c>
      <c r="B16377" t="str">
        <f>"1.17"</f>
        <v>1.17</v>
      </c>
      <c r="C16377" t="str">
        <f>"24"</f>
        <v>24</v>
      </c>
      <c r="D16377" t="str">
        <f>"Love's Miracle"</f>
        <v>Love's Miracle</v>
      </c>
    </row>
    <row r="16378" spans="1:4" x14ac:dyDescent="0.2">
      <c r="A16378" t="str">
        <f>"16377"</f>
        <v>16377</v>
      </c>
      <c r="B16378" t="str">
        <f>"0.19"</f>
        <v>0.19</v>
      </c>
      <c r="C16378" t="str">
        <f>"81"</f>
        <v>81</v>
      </c>
      <c r="D16378" t="str">
        <f>"Red Album"</f>
        <v>Red Album</v>
      </c>
    </row>
    <row r="16379" spans="1:4" x14ac:dyDescent="0.2">
      <c r="A16379" t="str">
        <f>"16378"</f>
        <v>16378</v>
      </c>
      <c r="B16379" t="str">
        <f>"0.79"</f>
        <v>0.79</v>
      </c>
      <c r="C16379" t="str">
        <f>"29"</f>
        <v>29</v>
      </c>
      <c r="D16379" t="str">
        <f>"You're Gonna Miss Me OST"</f>
        <v>You're Gonna Miss Me OST</v>
      </c>
    </row>
    <row r="16380" spans="1:4" x14ac:dyDescent="0.2">
      <c r="A16380" t="str">
        <f>"16379"</f>
        <v>16379</v>
      </c>
      <c r="B16380" t="str">
        <f>"-0.29"</f>
        <v>-0.29</v>
      </c>
      <c r="C16380" t="str">
        <f>"22"</f>
        <v>22</v>
      </c>
      <c r="D16380" t="str">
        <f>"The International"</f>
        <v>The International</v>
      </c>
    </row>
    <row r="16381" spans="1:4" x14ac:dyDescent="0.2">
      <c r="A16381" t="str">
        <f>"16380"</f>
        <v>16380</v>
      </c>
      <c r="B16381" t="str">
        <f>"-0.25"</f>
        <v>-0.25</v>
      </c>
      <c r="C16381" t="str">
        <f>"50"</f>
        <v>50</v>
      </c>
      <c r="D16381" t="str">
        <f>"Trees Outside the Academy"</f>
        <v>Trees Outside the Academy</v>
      </c>
    </row>
    <row r="16382" spans="1:4" x14ac:dyDescent="0.2">
      <c r="A16382" t="str">
        <f>"16381"</f>
        <v>16381</v>
      </c>
      <c r="B16382" t="str">
        <f>"0.4"</f>
        <v>0.4</v>
      </c>
      <c r="C16382" t="str">
        <f>"28"</f>
        <v>28</v>
      </c>
      <c r="D16382" t="str">
        <f>"Our Ill Wills"</f>
        <v>Our Ill Wills</v>
      </c>
    </row>
    <row r="16383" spans="1:4" x14ac:dyDescent="0.2">
      <c r="A16383" t="str">
        <f>"16382"</f>
        <v>16382</v>
      </c>
      <c r="B16383" t="str">
        <f>"1.27"</f>
        <v>1.27</v>
      </c>
      <c r="C16383" t="str">
        <f>"37"</f>
        <v>37</v>
      </c>
      <c r="D16383" t="str">
        <f>"Piece Work"</f>
        <v>Piece Work</v>
      </c>
    </row>
    <row r="16384" spans="1:4" x14ac:dyDescent="0.2">
      <c r="A16384" t="str">
        <f>"16383"</f>
        <v>16383</v>
      </c>
      <c r="B16384" t="str">
        <f>"-0.08"</f>
        <v>-0.08</v>
      </c>
      <c r="C16384" t="str">
        <f>"29"</f>
        <v>29</v>
      </c>
      <c r="D16384" t="str">
        <f>"Ulual Yyy"</f>
        <v>Ulual Yyy</v>
      </c>
    </row>
    <row r="16385" spans="1:4" x14ac:dyDescent="0.2">
      <c r="A16385" t="str">
        <f>"16384"</f>
        <v>16384</v>
      </c>
      <c r="B16385" t="str">
        <f>"-0.74"</f>
        <v>-0.74</v>
      </c>
      <c r="C16385" t="str">
        <f>"23"</f>
        <v>23</v>
      </c>
      <c r="D16385" t="str">
        <f>"Our Way Is Revenge"</f>
        <v>Our Way Is Revenge</v>
      </c>
    </row>
    <row r="16386" spans="1:4" x14ac:dyDescent="0.2">
      <c r="A16386" t="str">
        <f>"16385"</f>
        <v>16385</v>
      </c>
      <c r="B16386" t="str">
        <f>"0.57"</f>
        <v>0.57</v>
      </c>
      <c r="C16386" t="str">
        <f>"35"</f>
        <v>35</v>
      </c>
      <c r="D16386" t="str">
        <f>"Let's Stay Friends"</f>
        <v>Let's Stay Friends</v>
      </c>
    </row>
    <row r="16387" spans="1:4" x14ac:dyDescent="0.2">
      <c r="A16387" t="str">
        <f>"16386"</f>
        <v>16386</v>
      </c>
      <c r="B16387" t="str">
        <f>"-0.51"</f>
        <v>-0.51</v>
      </c>
      <c r="C16387" t="str">
        <f>"43"</f>
        <v>43</v>
      </c>
      <c r="D16387" t="str">
        <f>"The Piper at the Gates of Dawn  [40th Anniversary Edition]"</f>
        <v>The Piper at the Gates of Dawn  [40th Anniversary Edition]</v>
      </c>
    </row>
    <row r="16388" spans="1:4" x14ac:dyDescent="0.2">
      <c r="A16388" t="str">
        <f>"16387"</f>
        <v>16387</v>
      </c>
      <c r="B16388" t="str">
        <f>"-0.46"</f>
        <v>-0.46</v>
      </c>
      <c r="C16388" t="str">
        <f>"21"</f>
        <v>21</v>
      </c>
      <c r="D16388" t="str">
        <f>"Whore Luck"</f>
        <v>Whore Luck</v>
      </c>
    </row>
    <row r="16389" spans="1:4" x14ac:dyDescent="0.2">
      <c r="A16389" t="str">
        <f>"16388"</f>
        <v>16388</v>
      </c>
      <c r="B16389" t="str">
        <f>"0.01"</f>
        <v>0.01</v>
      </c>
      <c r="C16389" t="str">
        <f>"36"</f>
        <v>36</v>
      </c>
      <c r="D16389" t="str">
        <f>"Rap Music"</f>
        <v>Rap Music</v>
      </c>
    </row>
    <row r="16390" spans="1:4" x14ac:dyDescent="0.2">
      <c r="A16390" t="str">
        <f>"16389"</f>
        <v>16389</v>
      </c>
      <c r="B16390" t="str">
        <f>"-0.43"</f>
        <v>-0.43</v>
      </c>
      <c r="C16390" t="str">
        <f>"24"</f>
        <v>24</v>
      </c>
      <c r="D16390" t="str">
        <f>"Sighs Trapped by Liars"</f>
        <v>Sighs Trapped by Liars</v>
      </c>
    </row>
    <row r="16391" spans="1:4" x14ac:dyDescent="0.2">
      <c r="A16391" t="str">
        <f>"16390"</f>
        <v>16390</v>
      </c>
      <c r="B16391" t="str">
        <f>"-0.46"</f>
        <v>-0.46</v>
      </c>
      <c r="C16391" t="str">
        <f>"100"</f>
        <v>100</v>
      </c>
      <c r="D16391" t="str">
        <f>"Spirit If..."</f>
        <v>Spirit If...</v>
      </c>
    </row>
    <row r="16392" spans="1:4" x14ac:dyDescent="0.2">
      <c r="A16392" t="str">
        <f>"16391"</f>
        <v>16391</v>
      </c>
      <c r="B16392" t="str">
        <f>"0.24"</f>
        <v>0.24</v>
      </c>
      <c r="C16392" t="str">
        <f>"75"</f>
        <v>75</v>
      </c>
      <c r="D16392" t="str">
        <f>"Happy Birthday!"</f>
        <v>Happy Birthday!</v>
      </c>
    </row>
    <row r="16393" spans="1:4" x14ac:dyDescent="0.2">
      <c r="A16393" t="str">
        <f>"16392"</f>
        <v>16392</v>
      </c>
      <c r="B16393" t="str">
        <f>"1.2"</f>
        <v>1.2</v>
      </c>
      <c r="C16393" t="str">
        <f>"18"</f>
        <v>18</v>
      </c>
      <c r="D16393" t="str">
        <f>"Allure EP"</f>
        <v>Allure EP</v>
      </c>
    </row>
    <row r="16394" spans="1:4" x14ac:dyDescent="0.2">
      <c r="A16394" t="str">
        <f>"16393"</f>
        <v>16393</v>
      </c>
      <c r="B16394" t="str">
        <f>"-0.72"</f>
        <v>-0.72</v>
      </c>
      <c r="C16394" t="str">
        <f>"63"</f>
        <v>63</v>
      </c>
      <c r="D16394" t="str">
        <f>"The Wind and the Swell"</f>
        <v>The Wind and the Swell</v>
      </c>
    </row>
    <row r="16395" spans="1:4" x14ac:dyDescent="0.2">
      <c r="A16395" t="str">
        <f>"16394"</f>
        <v>16394</v>
      </c>
      <c r="B16395" t="str">
        <f>"0.49"</f>
        <v>0.49</v>
      </c>
      <c r="C16395" t="str">
        <f>"27"</f>
        <v>27</v>
      </c>
      <c r="D16395" t="str">
        <f>"Polluted Water"</f>
        <v>Polluted Water</v>
      </c>
    </row>
    <row r="16396" spans="1:4" x14ac:dyDescent="0.2">
      <c r="A16396" t="str">
        <f>"16395"</f>
        <v>16395</v>
      </c>
      <c r="B16396" t="str">
        <f>"1.3"</f>
        <v>1.3</v>
      </c>
      <c r="C16396" t="str">
        <f>"43"</f>
        <v>43</v>
      </c>
      <c r="D16396" t="str">
        <f>"The Modern Lovers"</f>
        <v>The Modern Lovers</v>
      </c>
    </row>
    <row r="16397" spans="1:4" x14ac:dyDescent="0.2">
      <c r="A16397" t="str">
        <f>"16396"</f>
        <v>16396</v>
      </c>
      <c r="B16397" t="str">
        <f>"0.39"</f>
        <v>0.39</v>
      </c>
      <c r="C16397" t="str">
        <f>"49"</f>
        <v>49</v>
      </c>
      <c r="D16397" t="str">
        <f>"Asleep at Heaven's Gate"</f>
        <v>Asleep at Heaven's Gate</v>
      </c>
    </row>
    <row r="16398" spans="1:4" x14ac:dyDescent="0.2">
      <c r="A16398" t="str">
        <f>"16397"</f>
        <v>16397</v>
      </c>
      <c r="B16398" t="str">
        <f>"0.17"</f>
        <v>0.17</v>
      </c>
      <c r="C16398" t="str">
        <f>"65"</f>
        <v>65</v>
      </c>
      <c r="D16398" t="str">
        <f>"In a Nutshell"</f>
        <v>In a Nutshell</v>
      </c>
    </row>
    <row r="16399" spans="1:4" x14ac:dyDescent="0.2">
      <c r="A16399" t="str">
        <f>"16398"</f>
        <v>16398</v>
      </c>
      <c r="B16399" t="str">
        <f>"0.33"</f>
        <v>0.33</v>
      </c>
      <c r="C16399" t="str">
        <f>"29"</f>
        <v>29</v>
      </c>
      <c r="D16399" t="str">
        <f>"Solo"</f>
        <v>Solo</v>
      </c>
    </row>
    <row r="16400" spans="1:4" x14ac:dyDescent="0.2">
      <c r="A16400" t="str">
        <f>"16399"</f>
        <v>16399</v>
      </c>
      <c r="B16400" t="str">
        <f>"-0.3"</f>
        <v>-0.3</v>
      </c>
      <c r="C16400" t="str">
        <f>"15"</f>
        <v>15</v>
      </c>
      <c r="D16400" t="str">
        <f>"Jackals and Vipers in Envy of Man"</f>
        <v>Jackals and Vipers in Envy of Man</v>
      </c>
    </row>
    <row r="16401" spans="1:4" x14ac:dyDescent="0.2">
      <c r="A16401" t="str">
        <f>"16400"</f>
        <v>16400</v>
      </c>
      <c r="B16401" t="str">
        <f>"0.15"</f>
        <v>0.15</v>
      </c>
      <c r="C16401" t="str">
        <f>"17"</f>
        <v>17</v>
      </c>
      <c r="D16401" t="str">
        <f>"Kurt Cobain About a Son"</f>
        <v>Kurt Cobain About a Son</v>
      </c>
    </row>
    <row r="16402" spans="1:4" x14ac:dyDescent="0.2">
      <c r="A16402" t="str">
        <f>"16401"</f>
        <v>16401</v>
      </c>
      <c r="B16402" t="str">
        <f>"0.48"</f>
        <v>0.48</v>
      </c>
      <c r="C16402" t="str">
        <f>"23"</f>
        <v>23</v>
      </c>
      <c r="D16402" t="str">
        <f>"Happiness Ltd."</f>
        <v>Happiness Ltd.</v>
      </c>
    </row>
    <row r="16403" spans="1:4" x14ac:dyDescent="0.2">
      <c r="A16403" t="str">
        <f>"16402"</f>
        <v>16402</v>
      </c>
      <c r="B16403" t="str">
        <f>"0.53"</f>
        <v>0.53</v>
      </c>
      <c r="C16403" t="str">
        <f>"25"</f>
        <v>25</v>
      </c>
      <c r="D16403" t="str">
        <f>"Supermoon"</f>
        <v>Supermoon</v>
      </c>
    </row>
    <row r="16404" spans="1:4" x14ac:dyDescent="0.2">
      <c r="A16404" t="str">
        <f>"16403"</f>
        <v>16403</v>
      </c>
      <c r="B16404" t="str">
        <f>"0.19"</f>
        <v>0.19</v>
      </c>
      <c r="C16404" t="str">
        <f>"23"</f>
        <v>23</v>
      </c>
      <c r="D16404" t="str">
        <f>"Map of Africa"</f>
        <v>Map of Africa</v>
      </c>
    </row>
    <row r="16405" spans="1:4" x14ac:dyDescent="0.2">
      <c r="A16405" t="str">
        <f>"16404"</f>
        <v>16404</v>
      </c>
      <c r="B16405" t="str">
        <f>"0.09"</f>
        <v>0.09</v>
      </c>
      <c r="C16405" t="str">
        <f>"27"</f>
        <v>27</v>
      </c>
      <c r="D16405" t="str">
        <f>"Kurr"</f>
        <v>Kurr</v>
      </c>
    </row>
    <row r="16406" spans="1:4" x14ac:dyDescent="0.2">
      <c r="A16406" t="str">
        <f>"16405"</f>
        <v>16405</v>
      </c>
      <c r="B16406" t="str">
        <f>"-0.86"</f>
        <v>-0.86</v>
      </c>
      <c r="C16406" t="str">
        <f>"29"</f>
        <v>29</v>
      </c>
      <c r="D16406" t="str">
        <f>"Proof of Youth"</f>
        <v>Proof of Youth</v>
      </c>
    </row>
    <row r="16407" spans="1:4" x14ac:dyDescent="0.2">
      <c r="A16407" t="str">
        <f>"16406"</f>
        <v>16406</v>
      </c>
      <c r="B16407" t="str">
        <f>"0.24"</f>
        <v>0.24</v>
      </c>
      <c r="C16407" t="str">
        <f>"24"</f>
        <v>24</v>
      </c>
      <c r="D16407" t="str">
        <f>"Autumn of the Seraphs"</f>
        <v>Autumn of the Seraphs</v>
      </c>
    </row>
    <row r="16408" spans="1:4" x14ac:dyDescent="0.2">
      <c r="A16408" t="str">
        <f>"16407"</f>
        <v>16407</v>
      </c>
      <c r="B16408" t="str">
        <f>"0.43"</f>
        <v>0.43</v>
      </c>
      <c r="C16408" t="str">
        <f>"59"</f>
        <v>59</v>
      </c>
      <c r="D16408" t="str">
        <f>"Simple Love"</f>
        <v>Simple Love</v>
      </c>
    </row>
    <row r="16409" spans="1:4" x14ac:dyDescent="0.2">
      <c r="A16409" t="str">
        <f>"16408"</f>
        <v>16408</v>
      </c>
      <c r="B16409" t="str">
        <f>"-0.46"</f>
        <v>-0.46</v>
      </c>
      <c r="C16409" t="str">
        <f>"22"</f>
        <v>22</v>
      </c>
      <c r="D16409" t="str">
        <f>"Sgt. Disco"</f>
        <v>Sgt. Disco</v>
      </c>
    </row>
    <row r="16410" spans="1:4" x14ac:dyDescent="0.2">
      <c r="A16410" t="str">
        <f>"16409"</f>
        <v>16409</v>
      </c>
      <c r="B16410" t="str">
        <f>"-0.11"</f>
        <v>-0.11</v>
      </c>
      <c r="C16410" t="str">
        <f>"24"</f>
        <v>24</v>
      </c>
      <c r="D16410" t="str">
        <f>"Best Friends in Love"</f>
        <v>Best Friends in Love</v>
      </c>
    </row>
    <row r="16411" spans="1:4" x14ac:dyDescent="0.2">
      <c r="A16411" t="str">
        <f>"16410"</f>
        <v>16410</v>
      </c>
      <c r="B16411" t="str">
        <f>"-0.8"</f>
        <v>-0.8</v>
      </c>
      <c r="C16411" t="str">
        <f>"20"</f>
        <v>20</v>
      </c>
      <c r="D16411" t="str">
        <f>"A"</f>
        <v>A</v>
      </c>
    </row>
    <row r="16412" spans="1:4" x14ac:dyDescent="0.2">
      <c r="A16412" t="str">
        <f>"16411"</f>
        <v>16411</v>
      </c>
      <c r="B16412" t="str">
        <f>"0.29"</f>
        <v>0.29</v>
      </c>
      <c r="C16412" t="str">
        <f>"96"</f>
        <v>96</v>
      </c>
      <c r="D16412" t="str">
        <f>"Graduation"</f>
        <v>Graduation</v>
      </c>
    </row>
    <row r="16413" spans="1:4" x14ac:dyDescent="0.2">
      <c r="A16413" t="str">
        <f>"16412"</f>
        <v>16412</v>
      </c>
      <c r="B16413" t="str">
        <f>"-0.06"</f>
        <v>-0.06</v>
      </c>
      <c r="C16413" t="str">
        <f>"108"</f>
        <v>108</v>
      </c>
      <c r="D16413" t="str">
        <f>"Curtis"</f>
        <v>Curtis</v>
      </c>
    </row>
    <row r="16414" spans="1:4" x14ac:dyDescent="0.2">
      <c r="A16414" t="str">
        <f>"16413"</f>
        <v>16413</v>
      </c>
      <c r="B16414" t="str">
        <f>"0.43"</f>
        <v>0.43</v>
      </c>
      <c r="C16414" t="str">
        <f>"25"</f>
        <v>25</v>
      </c>
      <c r="D16414" t="str">
        <f>"24-&gt;24 Music"</f>
        <v>24-&gt;24 Music</v>
      </c>
    </row>
    <row r="16415" spans="1:4" x14ac:dyDescent="0.2">
      <c r="A16415" t="str">
        <f>"16414"</f>
        <v>16414</v>
      </c>
      <c r="B16415" t="str">
        <f>"-0.46"</f>
        <v>-0.46</v>
      </c>
      <c r="C16415" t="str">
        <f>"49"</f>
        <v>49</v>
      </c>
      <c r="D16415" t="str">
        <f>"Made of Bricks"</f>
        <v>Made of Bricks</v>
      </c>
    </row>
    <row r="16416" spans="1:4" x14ac:dyDescent="0.2">
      <c r="A16416" t="str">
        <f>"16415"</f>
        <v>16415</v>
      </c>
      <c r="B16416" t="str">
        <f>"0.42"</f>
        <v>0.42</v>
      </c>
      <c r="C16416" t="str">
        <f>"44"</f>
        <v>44</v>
      </c>
      <c r="D16416" t="str">
        <f>"Strawberry Jam"</f>
        <v>Strawberry Jam</v>
      </c>
    </row>
    <row r="16417" spans="1:4" x14ac:dyDescent="0.2">
      <c r="A16417" t="str">
        <f>"16416"</f>
        <v>16416</v>
      </c>
      <c r="B16417" t="str">
        <f>"0.48"</f>
        <v>0.48</v>
      </c>
      <c r="C16417" t="str">
        <f>"25"</f>
        <v>25</v>
      </c>
      <c r="D16417" t="str">
        <f>"Help Wanted Nights"</f>
        <v>Help Wanted Nights</v>
      </c>
    </row>
    <row r="16418" spans="1:4" x14ac:dyDescent="0.2">
      <c r="A16418" t="str">
        <f>"16417"</f>
        <v>16417</v>
      </c>
      <c r="B16418" t="str">
        <f>"0.93"</f>
        <v>0.93</v>
      </c>
      <c r="C16418" t="str">
        <f>"37"</f>
        <v>37</v>
      </c>
      <c r="D16418" t="str">
        <f>"Home Schooled: The ABCs of Kid Soul"</f>
        <v>Home Schooled: The ABCs of Kid Soul</v>
      </c>
    </row>
    <row r="16419" spans="1:4" x14ac:dyDescent="0.2">
      <c r="A16419" t="str">
        <f>"16418"</f>
        <v>16418</v>
      </c>
      <c r="B16419" t="str">
        <f>"-0.13"</f>
        <v>-0.13</v>
      </c>
      <c r="C16419" t="str">
        <f>"95"</f>
        <v>95</v>
      </c>
      <c r="D16419" t="str">
        <f>"London Town"</f>
        <v>London Town</v>
      </c>
    </row>
    <row r="16420" spans="1:4" x14ac:dyDescent="0.2">
      <c r="A16420" t="str">
        <f>"16419"</f>
        <v>16419</v>
      </c>
      <c r="B16420" t="str">
        <f>"-0.96"</f>
        <v>-0.96</v>
      </c>
      <c r="C16420" t="str">
        <f>"28"</f>
        <v>28</v>
      </c>
      <c r="D16420" t="str">
        <f>"Bring on the Comets"</f>
        <v>Bring on the Comets</v>
      </c>
    </row>
    <row r="16421" spans="1:4" x14ac:dyDescent="0.2">
      <c r="A16421" t="str">
        <f>"16420"</f>
        <v>16420</v>
      </c>
      <c r="B16421" t="str">
        <f>"-0.94"</f>
        <v>-0.94</v>
      </c>
      <c r="C16421" t="str">
        <f>"32"</f>
        <v>32</v>
      </c>
      <c r="D16421" t="str">
        <f>"Rise Above"</f>
        <v>Rise Above</v>
      </c>
    </row>
    <row r="16422" spans="1:4" x14ac:dyDescent="0.2">
      <c r="A16422" t="str">
        <f>"16421"</f>
        <v>16421</v>
      </c>
      <c r="B16422" t="str">
        <f>"-0.22"</f>
        <v>-0.22</v>
      </c>
      <c r="C16422" t="str">
        <f>"27"</f>
        <v>27</v>
      </c>
      <c r="D16422" t="str">
        <f>"From Dubplate to Download: The Best of Greensleeves Records"</f>
        <v>From Dubplate to Download: The Best of Greensleeves Records</v>
      </c>
    </row>
    <row r="16423" spans="1:4" x14ac:dyDescent="0.2">
      <c r="A16423" t="str">
        <f>"16422"</f>
        <v>16422</v>
      </c>
      <c r="B16423" t="str">
        <f>"-0.07"</f>
        <v>-0.07</v>
      </c>
      <c r="C16423" t="str">
        <f>"28"</f>
        <v>28</v>
      </c>
      <c r="D16423" t="s">
        <v>532</v>
      </c>
    </row>
    <row r="16424" spans="1:4" x14ac:dyDescent="0.2">
      <c r="A16424" t="str">
        <f>"16423"</f>
        <v>16423</v>
      </c>
      <c r="B16424" t="str">
        <f>"0.89"</f>
        <v>0.89</v>
      </c>
      <c r="C16424" t="str">
        <f>"61"</f>
        <v>61</v>
      </c>
      <c r="D16424" t="str">
        <f>"The Budos Band II"</f>
        <v>The Budos Band II</v>
      </c>
    </row>
    <row r="16425" spans="1:4" x14ac:dyDescent="0.2">
      <c r="A16425" t="str">
        <f>"16424"</f>
        <v>16424</v>
      </c>
      <c r="B16425" t="str">
        <f>"0.81"</f>
        <v>0.81</v>
      </c>
      <c r="C16425" t="str">
        <f>"21"</f>
        <v>21</v>
      </c>
      <c r="D16425" t="str">
        <f>"Two of Diamonds"</f>
        <v>Two of Diamonds</v>
      </c>
    </row>
    <row r="16426" spans="1:4" x14ac:dyDescent="0.2">
      <c r="A16426" t="str">
        <f>"16425"</f>
        <v>16425</v>
      </c>
      <c r="B16426" t="str">
        <f>"-0.43"</f>
        <v>-0.43</v>
      </c>
      <c r="C16426" t="str">
        <f>"23"</f>
        <v>23</v>
      </c>
      <c r="D16426" t="str">
        <f>"Good Bad Not Evil"</f>
        <v>Good Bad Not Evil</v>
      </c>
    </row>
    <row r="16427" spans="1:4" x14ac:dyDescent="0.2">
      <c r="A16427" t="str">
        <f>"16426"</f>
        <v>16426</v>
      </c>
      <c r="B16427" t="str">
        <f>"-0.9"</f>
        <v>-0.9</v>
      </c>
      <c r="C16427" t="str">
        <f>"42"</f>
        <v>42</v>
      </c>
      <c r="D16427" t="str">
        <f>"Scum: 20th Anniversary Edition"</f>
        <v>Scum: 20th Anniversary Edition</v>
      </c>
    </row>
    <row r="16428" spans="1:4" x14ac:dyDescent="0.2">
      <c r="A16428" t="str">
        <f>"16427"</f>
        <v>16427</v>
      </c>
      <c r="B16428" t="str">
        <f>"-0.08"</f>
        <v>-0.08</v>
      </c>
      <c r="C16428" t="str">
        <f>"88"</f>
        <v>88</v>
      </c>
      <c r="D16428" t="str">
        <f>"La Radiolina"</f>
        <v>La Radiolina</v>
      </c>
    </row>
    <row r="16429" spans="1:4" x14ac:dyDescent="0.2">
      <c r="A16429" t="str">
        <f>"16428"</f>
        <v>16428</v>
      </c>
      <c r="B16429" t="str">
        <f>"1.77"</f>
        <v>1.77</v>
      </c>
      <c r="C16429" t="str">
        <f>"17"</f>
        <v>17</v>
      </c>
      <c r="D16429" t="str">
        <f>"City Morning Song"</f>
        <v>City Morning Song</v>
      </c>
    </row>
    <row r="16430" spans="1:4" x14ac:dyDescent="0.2">
      <c r="A16430" t="str">
        <f>"16429"</f>
        <v>16429</v>
      </c>
      <c r="B16430" t="str">
        <f>"-0.73"</f>
        <v>-0.73</v>
      </c>
      <c r="C16430" t="str">
        <f>"21"</f>
        <v>21</v>
      </c>
      <c r="D16430" t="str">
        <f>"The Battle of Sealand"</f>
        <v>The Battle of Sealand</v>
      </c>
    </row>
    <row r="16431" spans="1:4" x14ac:dyDescent="0.2">
      <c r="A16431" t="str">
        <f>"16430"</f>
        <v>16430</v>
      </c>
      <c r="B16431" t="str">
        <f>"0.92"</f>
        <v>0.92</v>
      </c>
      <c r="C16431" t="str">
        <f>"63"</f>
        <v>63</v>
      </c>
      <c r="D16431" t="str">
        <f>"Night Falls Over Kortedala"</f>
        <v>Night Falls Over Kortedala</v>
      </c>
    </row>
    <row r="16432" spans="1:4" x14ac:dyDescent="0.2">
      <c r="A16432" t="str">
        <f>"16431"</f>
        <v>16431</v>
      </c>
      <c r="B16432" t="str">
        <f>"0.35"</f>
        <v>0.35</v>
      </c>
      <c r="C16432" t="str">
        <f>"87"</f>
        <v>87</v>
      </c>
      <c r="D16432" t="str">
        <f>"Bluefinger"</f>
        <v>Bluefinger</v>
      </c>
    </row>
    <row r="16433" spans="1:4" x14ac:dyDescent="0.2">
      <c r="A16433" t="str">
        <f>"16432"</f>
        <v>16432</v>
      </c>
      <c r="B16433" t="str">
        <f>"0.35"</f>
        <v>0.35</v>
      </c>
      <c r="C16433" t="str">
        <f>"38"</f>
        <v>38</v>
      </c>
      <c r="D16433" t="str">
        <f>"Hands Across the Void"</f>
        <v>Hands Across the Void</v>
      </c>
    </row>
    <row r="16434" spans="1:4" x14ac:dyDescent="0.2">
      <c r="A16434" t="str">
        <f>"16433"</f>
        <v>16433</v>
      </c>
      <c r="B16434" t="str">
        <f>"1.53"</f>
        <v>1.53</v>
      </c>
      <c r="C16434" t="str">
        <f>"27"</f>
        <v>27</v>
      </c>
      <c r="D16434" t="str">
        <f>"A Hawk and a Hacksaw and the Hun Hangár Ensemble"</f>
        <v>A Hawk and a Hacksaw and the Hun Hangár Ensemble</v>
      </c>
    </row>
    <row r="16435" spans="1:4" x14ac:dyDescent="0.2">
      <c r="A16435" t="str">
        <f>"16434"</f>
        <v>16434</v>
      </c>
      <c r="B16435" t="str">
        <f>"0.67"</f>
        <v>0.67</v>
      </c>
      <c r="C16435" t="str">
        <f>"28"</f>
        <v>28</v>
      </c>
      <c r="D16435" t="str">
        <f>"An Unknown Spring"</f>
        <v>An Unknown Spring</v>
      </c>
    </row>
    <row r="16436" spans="1:4" x14ac:dyDescent="0.2">
      <c r="A16436" t="str">
        <f>"16435"</f>
        <v>16435</v>
      </c>
      <c r="B16436" t="str">
        <f>"0.54"</f>
        <v>0.54</v>
      </c>
      <c r="C16436" t="str">
        <f>"44"</f>
        <v>44</v>
      </c>
      <c r="D16436" t="str">
        <f>"Hey Venus!"</f>
        <v>Hey Venus!</v>
      </c>
    </row>
    <row r="16437" spans="1:4" x14ac:dyDescent="0.2">
      <c r="A16437" t="str">
        <f>"16436"</f>
        <v>16436</v>
      </c>
      <c r="B16437" t="str">
        <f>"0.38"</f>
        <v>0.38</v>
      </c>
      <c r="C16437" t="str">
        <f>"32"</f>
        <v>32</v>
      </c>
      <c r="D16437" t="str">
        <f>"Mantaray"</f>
        <v>Mantaray</v>
      </c>
    </row>
    <row r="16438" spans="1:4" x14ac:dyDescent="0.2">
      <c r="A16438" t="str">
        <f>"16437"</f>
        <v>16437</v>
      </c>
      <c r="B16438" t="str">
        <f>"-0.13"</f>
        <v>-0.13</v>
      </c>
      <c r="C16438" t="str">
        <f>"36"</f>
        <v>36</v>
      </c>
      <c r="D16438" t="str">
        <f>"One Man Band Man"</f>
        <v>One Man Band Man</v>
      </c>
    </row>
    <row r="16439" spans="1:4" x14ac:dyDescent="0.2">
      <c r="A16439" t="str">
        <f>"16438"</f>
        <v>16438</v>
      </c>
      <c r="B16439" t="str">
        <f>"-0.18"</f>
        <v>-0.18</v>
      </c>
      <c r="C16439" t="str">
        <f>"18"</f>
        <v>18</v>
      </c>
      <c r="D16439" t="str">
        <f>"Down Below It's Chaos"</f>
        <v>Down Below It's Chaos</v>
      </c>
    </row>
    <row r="16440" spans="1:4" x14ac:dyDescent="0.2">
      <c r="A16440" t="str">
        <f>"16439"</f>
        <v>16439</v>
      </c>
      <c r="B16440" t="str">
        <f>"0.45"</f>
        <v>0.45</v>
      </c>
      <c r="C16440" t="str">
        <f>"16"</f>
        <v>16</v>
      </c>
      <c r="D16440" t="str">
        <f>"Have Mercy"</f>
        <v>Have Mercy</v>
      </c>
    </row>
    <row r="16441" spans="1:4" x14ac:dyDescent="0.2">
      <c r="A16441" t="str">
        <f>"16440"</f>
        <v>16440</v>
      </c>
      <c r="B16441" t="str">
        <f>"0.2"</f>
        <v>0.2</v>
      </c>
      <c r="C16441" t="str">
        <f>"37"</f>
        <v>37</v>
      </c>
      <c r="D16441" t="str">
        <f>"A Place to Bury Strangers"</f>
        <v>A Place to Bury Strangers</v>
      </c>
    </row>
    <row r="16442" spans="1:4" x14ac:dyDescent="0.2">
      <c r="A16442" t="str">
        <f>"16441"</f>
        <v>16441</v>
      </c>
      <c r="B16442" t="str">
        <f>"0.29"</f>
        <v>0.29</v>
      </c>
      <c r="C16442" t="str">
        <f>"31"</f>
        <v>31</v>
      </c>
      <c r="D16442" t="str">
        <f>"Wattstax"</f>
        <v>Wattstax</v>
      </c>
    </row>
    <row r="16443" spans="1:4" x14ac:dyDescent="0.2">
      <c r="A16443" t="str">
        <f>"16442"</f>
        <v>16442</v>
      </c>
      <c r="B16443" t="str">
        <f>"0.75"</f>
        <v>0.75</v>
      </c>
      <c r="C16443" t="str">
        <f>"82"</f>
        <v>82</v>
      </c>
      <c r="D16443" t="str">
        <f>"Fabric 34"</f>
        <v>Fabric 34</v>
      </c>
    </row>
    <row r="16444" spans="1:4" x14ac:dyDescent="0.2">
      <c r="A16444" t="str">
        <f>"16443"</f>
        <v>16443</v>
      </c>
      <c r="B16444" t="str">
        <f>"0.65"</f>
        <v>0.65</v>
      </c>
      <c r="C16444" t="str">
        <f>"26"</f>
        <v>26</v>
      </c>
      <c r="D16444" t="str">
        <f>"Versatile Heart"</f>
        <v>Versatile Heart</v>
      </c>
    </row>
    <row r="16445" spans="1:4" x14ac:dyDescent="0.2">
      <c r="A16445" t="str">
        <f>"16444"</f>
        <v>16444</v>
      </c>
      <c r="B16445" t="str">
        <f>"-0.63"</f>
        <v>-0.63</v>
      </c>
      <c r="C16445" t="str">
        <f>"19"</f>
        <v>19</v>
      </c>
      <c r="D16445" t="str">
        <f>"Gauntlet"</f>
        <v>Gauntlet</v>
      </c>
    </row>
    <row r="16446" spans="1:4" x14ac:dyDescent="0.2">
      <c r="A16446" t="str">
        <f>"16445"</f>
        <v>16445</v>
      </c>
      <c r="B16446" t="str">
        <f>"0.06"</f>
        <v>0.06</v>
      </c>
      <c r="C16446" t="str">
        <f>"75"</f>
        <v>75</v>
      </c>
      <c r="D16446" t="str">
        <f>"Guilt by Association"</f>
        <v>Guilt by Association</v>
      </c>
    </row>
    <row r="16447" spans="1:4" x14ac:dyDescent="0.2">
      <c r="A16447" t="str">
        <f>"16446"</f>
        <v>16446</v>
      </c>
      <c r="B16447" t="str">
        <f>"-0.47"</f>
        <v>-0.47</v>
      </c>
      <c r="C16447" t="str">
        <f>"77"</f>
        <v>77</v>
      </c>
      <c r="D16447" t="str">
        <f>"Prinzhorn Dance School"</f>
        <v>Prinzhorn Dance School</v>
      </c>
    </row>
    <row r="16448" spans="1:4" x14ac:dyDescent="0.2">
      <c r="A16448" t="str">
        <f>"16447"</f>
        <v>16447</v>
      </c>
      <c r="B16448" t="str">
        <f>"-0.7"</f>
        <v>-0.7</v>
      </c>
      <c r="C16448" t="str">
        <f>"66"</f>
        <v>66</v>
      </c>
      <c r="D16448" t="str">
        <f>"30 Year Low/Final Remarks of the Legendary Malcontent"</f>
        <v>30 Year Low/Final Remarks of the Legendary Malcontent</v>
      </c>
    </row>
    <row r="16449" spans="1:4" x14ac:dyDescent="0.2">
      <c r="A16449" t="str">
        <f>"16448"</f>
        <v>16448</v>
      </c>
      <c r="B16449" t="str">
        <f>"-0.01"</f>
        <v>-0.01</v>
      </c>
      <c r="C16449" t="str">
        <f>"71"</f>
        <v>71</v>
      </c>
      <c r="D16449" t="str">
        <f>"The Hymn of the North Star"</f>
        <v>The Hymn of the North Star</v>
      </c>
    </row>
    <row r="16450" spans="1:4" x14ac:dyDescent="0.2">
      <c r="A16450" t="str">
        <f>"16449"</f>
        <v>16449</v>
      </c>
      <c r="B16450" t="str">
        <f>"1.52"</f>
        <v>1.52</v>
      </c>
      <c r="C16450" t="str">
        <f>"17"</f>
        <v>17</v>
      </c>
      <c r="D16450" t="str">
        <f>"The Miracle Inn"</f>
        <v>The Miracle Inn</v>
      </c>
    </row>
    <row r="16451" spans="1:4" x14ac:dyDescent="0.2">
      <c r="A16451" t="str">
        <f>"16450"</f>
        <v>16450</v>
      </c>
      <c r="B16451" t="str">
        <f>"0.24"</f>
        <v>0.24</v>
      </c>
      <c r="C16451" t="str">
        <f>"17"</f>
        <v>17</v>
      </c>
      <c r="D16451" t="str">
        <f>"Rumble in the Jungle"</f>
        <v>Rumble in the Jungle</v>
      </c>
    </row>
    <row r="16452" spans="1:4" x14ac:dyDescent="0.2">
      <c r="A16452" t="str">
        <f>"16451"</f>
        <v>16451</v>
      </c>
      <c r="B16452" t="str">
        <f>"0.37"</f>
        <v>0.37</v>
      </c>
      <c r="C16452" t="str">
        <f>"29"</f>
        <v>29</v>
      </c>
      <c r="D16452" t="str">
        <f>"Eardrum"</f>
        <v>Eardrum</v>
      </c>
    </row>
    <row r="16453" spans="1:4" x14ac:dyDescent="0.2">
      <c r="A16453" t="str">
        <f>"16452"</f>
        <v>16452</v>
      </c>
      <c r="B16453" t="str">
        <f>"0.87"</f>
        <v>0.87</v>
      </c>
      <c r="C16453" t="str">
        <f>"44"</f>
        <v>44</v>
      </c>
      <c r="D16453" t="str">
        <f>"Steve McQueen [Legacy Edition]"</f>
        <v>Steve McQueen [Legacy Edition]</v>
      </c>
    </row>
    <row r="16454" spans="1:4" x14ac:dyDescent="0.2">
      <c r="A16454" t="str">
        <f>"16453"</f>
        <v>16453</v>
      </c>
      <c r="B16454" t="str">
        <f>"-0.61"</f>
        <v>-0.61</v>
      </c>
      <c r="C16454" t="str">
        <f>"16"</f>
        <v>16</v>
      </c>
      <c r="D16454" t="str">
        <f>"XI"</f>
        <v>XI</v>
      </c>
    </row>
    <row r="16455" spans="1:4" x14ac:dyDescent="0.2">
      <c r="A16455" t="str">
        <f>"16454"</f>
        <v>16454</v>
      </c>
      <c r="B16455" t="str">
        <f>"1.22"</f>
        <v>1.22</v>
      </c>
      <c r="C16455" t="str">
        <f>"17"</f>
        <v>17</v>
      </c>
      <c r="D16455" t="str">
        <f>"Cozy Endings"</f>
        <v>Cozy Endings</v>
      </c>
    </row>
    <row r="16456" spans="1:4" x14ac:dyDescent="0.2">
      <c r="A16456" t="str">
        <f>"16455"</f>
        <v>16455</v>
      </c>
      <c r="B16456" t="str">
        <f>"-0.23"</f>
        <v>-0.23</v>
      </c>
      <c r="C16456" t="str">
        <f>"90"</f>
        <v>90</v>
      </c>
      <c r="D16456" t="str">
        <f>"None Shall Pass"</f>
        <v>None Shall Pass</v>
      </c>
    </row>
    <row r="16457" spans="1:4" x14ac:dyDescent="0.2">
      <c r="A16457" t="str">
        <f>"16456"</f>
        <v>16456</v>
      </c>
      <c r="B16457" t="str">
        <f>"1.16"</f>
        <v>1.16</v>
      </c>
      <c r="C16457" t="str">
        <f>"86"</f>
        <v>86</v>
      </c>
      <c r="D16457" t="str">
        <f>"Because I Love It"</f>
        <v>Because I Love It</v>
      </c>
    </row>
    <row r="16458" spans="1:4" x14ac:dyDescent="0.2">
      <c r="A16458" t="str">
        <f>"16457"</f>
        <v>16457</v>
      </c>
      <c r="B16458" t="str">
        <f>"1.03"</f>
        <v>1.03</v>
      </c>
      <c r="C16458" t="str">
        <f>"28"</f>
        <v>28</v>
      </c>
      <c r="D16458" t="str">
        <f>"Heavenly Pop Hits: The Best of the Chills"</f>
        <v>Heavenly Pop Hits: The Best of the Chills</v>
      </c>
    </row>
    <row r="16459" spans="1:4" x14ac:dyDescent="0.2">
      <c r="A16459" t="str">
        <f>"16458"</f>
        <v>16458</v>
      </c>
      <c r="B16459" t="str">
        <f>"0.61"</f>
        <v>0.61</v>
      </c>
      <c r="C16459" t="str">
        <f>"24"</f>
        <v>24</v>
      </c>
      <c r="D16459" t="str">
        <f>"Perseverance"</f>
        <v>Perseverance</v>
      </c>
    </row>
    <row r="16460" spans="1:4" x14ac:dyDescent="0.2">
      <c r="A16460" t="str">
        <f>"16459"</f>
        <v>16459</v>
      </c>
      <c r="B16460" t="str">
        <f>"0.69"</f>
        <v>0.69</v>
      </c>
      <c r="C16460" t="str">
        <f>"51"</f>
        <v>51</v>
      </c>
      <c r="D16460" t="str">
        <f>"Grand Animals"</f>
        <v>Grand Animals</v>
      </c>
    </row>
    <row r="16461" spans="1:4" x14ac:dyDescent="0.2">
      <c r="A16461" t="str">
        <f>"16460"</f>
        <v>16460</v>
      </c>
      <c r="B16461" t="str">
        <f>"-1.41"</f>
        <v>-1.41</v>
      </c>
      <c r="C16461" t="str">
        <f>"37"</f>
        <v>37</v>
      </c>
      <c r="D16461" t="str">
        <f>"Liars"</f>
        <v>Liars</v>
      </c>
    </row>
    <row r="16462" spans="1:4" x14ac:dyDescent="0.2">
      <c r="A16462" t="str">
        <f>"16461"</f>
        <v>16461</v>
      </c>
      <c r="B16462" t="str">
        <f>"0.56"</f>
        <v>0.56</v>
      </c>
      <c r="C16462" t="str">
        <f>"21"</f>
        <v>21</v>
      </c>
      <c r="D16462" t="str">
        <f>"Mentor Tormentor"</f>
        <v>Mentor Tormentor</v>
      </c>
    </row>
    <row r="16463" spans="1:4" x14ac:dyDescent="0.2">
      <c r="A16463" t="str">
        <f>"16462"</f>
        <v>16462</v>
      </c>
      <c r="B16463" t="str">
        <f>"0.35"</f>
        <v>0.35</v>
      </c>
      <c r="C16463" t="str">
        <f>"31"</f>
        <v>31</v>
      </c>
      <c r="D16463" t="str">
        <f>"Real Life"</f>
        <v>Real Life</v>
      </c>
    </row>
    <row r="16464" spans="1:4" x14ac:dyDescent="0.2">
      <c r="A16464" t="str">
        <f>"16463"</f>
        <v>16463</v>
      </c>
      <c r="B16464" t="str">
        <f>"0.84"</f>
        <v>0.84</v>
      </c>
      <c r="C16464" t="str">
        <f>"23"</f>
        <v>23</v>
      </c>
      <c r="D16464" t="str">
        <f>"Summer Records Anthology 1974-1988"</f>
        <v>Summer Records Anthology 1974-1988</v>
      </c>
    </row>
    <row r="16465" spans="1:4" x14ac:dyDescent="0.2">
      <c r="A16465" t="str">
        <f>"16464"</f>
        <v>16464</v>
      </c>
      <c r="B16465" t="str">
        <f>"-0.14"</f>
        <v>-0.14</v>
      </c>
      <c r="C16465" t="str">
        <f>"35"</f>
        <v>35</v>
      </c>
      <c r="D16465" t="str">
        <f>"Gangsta for Life: The Symphony of David Brooks"</f>
        <v>Gangsta for Life: The Symphony of David Brooks</v>
      </c>
    </row>
    <row r="16466" spans="1:4" x14ac:dyDescent="0.2">
      <c r="A16466" t="str">
        <f>"16465"</f>
        <v>16465</v>
      </c>
      <c r="B16466" t="str">
        <f>"0.27"</f>
        <v>0.27</v>
      </c>
      <c r="C16466" t="str">
        <f>"81"</f>
        <v>81</v>
      </c>
      <c r="D16466" t="str">
        <f>"All Y'all"</f>
        <v>All Y'all</v>
      </c>
    </row>
    <row r="16467" spans="1:4" x14ac:dyDescent="0.2">
      <c r="A16467" t="str">
        <f>"16466"</f>
        <v>16466</v>
      </c>
      <c r="B16467" t="str">
        <f>"-1.08"</f>
        <v>-1.08</v>
      </c>
      <c r="C16467" t="str">
        <f>"86"</f>
        <v>86</v>
      </c>
      <c r="D16467" t="str">
        <f>"Natural"</f>
        <v>Natural</v>
      </c>
    </row>
    <row r="16468" spans="1:4" x14ac:dyDescent="0.2">
      <c r="A16468" t="str">
        <f>"16467"</f>
        <v>16467</v>
      </c>
      <c r="B16468" t="str">
        <f>"-0.03"</f>
        <v>-0.03</v>
      </c>
      <c r="C16468" t="str">
        <f>"92"</f>
        <v>92</v>
      </c>
      <c r="D16468" t="str">
        <f>"Crickets: The Best of the Fading Captain Series 1999 - 2007"</f>
        <v>Crickets: The Best of the Fading Captain Series 1999 - 2007</v>
      </c>
    </row>
    <row r="16469" spans="1:4" x14ac:dyDescent="0.2">
      <c r="A16469" t="str">
        <f>"16468"</f>
        <v>16468</v>
      </c>
      <c r="B16469" t="str">
        <f>"0.29"</f>
        <v>0.29</v>
      </c>
      <c r="C16469" t="str">
        <f>"24"</f>
        <v>24</v>
      </c>
      <c r="D16469" t="str">
        <f>"Future Rock"</f>
        <v>Future Rock</v>
      </c>
    </row>
    <row r="16470" spans="1:4" x14ac:dyDescent="0.2">
      <c r="A16470" t="str">
        <f>"16469"</f>
        <v>16469</v>
      </c>
      <c r="B16470" t="str">
        <f>"0.38"</f>
        <v>0.38</v>
      </c>
      <c r="C16470" t="str">
        <f>"29"</f>
        <v>29</v>
      </c>
      <c r="D16470" t="str">
        <f>"Twilight of the Innocents"</f>
        <v>Twilight of the Innocents</v>
      </c>
    </row>
    <row r="16471" spans="1:4" x14ac:dyDescent="0.2">
      <c r="A16471" t="str">
        <f>"16470"</f>
        <v>16470</v>
      </c>
      <c r="B16471" t="str">
        <f>"0.14"</f>
        <v>0.14</v>
      </c>
      <c r="C16471" t="str">
        <f>"36"</f>
        <v>36</v>
      </c>
      <c r="D16471" t="str">
        <f>"Andorra"</f>
        <v>Andorra</v>
      </c>
    </row>
    <row r="16472" spans="1:4" x14ac:dyDescent="0.2">
      <c r="A16472" t="str">
        <f>"16471"</f>
        <v>16471</v>
      </c>
      <c r="B16472" t="str">
        <f>"-0.12"</f>
        <v>-0.12</v>
      </c>
      <c r="C16472" t="str">
        <f>"25"</f>
        <v>25</v>
      </c>
      <c r="D16472" t="str">
        <f>"Places Like This"</f>
        <v>Places Like This</v>
      </c>
    </row>
    <row r="16473" spans="1:4" x14ac:dyDescent="0.2">
      <c r="A16473" t="str">
        <f>"16472"</f>
        <v>16472</v>
      </c>
      <c r="B16473" t="str">
        <f>"1.59"</f>
        <v>1.59</v>
      </c>
      <c r="C16473" t="str">
        <f>"29"</f>
        <v>29</v>
      </c>
      <c r="D16473" t="str">
        <f>"KMH"</f>
        <v>KMH</v>
      </c>
    </row>
    <row r="16474" spans="1:4" x14ac:dyDescent="0.2">
      <c r="A16474" t="str">
        <f>"16473"</f>
        <v>16473</v>
      </c>
      <c r="B16474" t="str">
        <f>"-0.23"</f>
        <v>-0.23</v>
      </c>
      <c r="C16474" t="str">
        <f>"28"</f>
        <v>28</v>
      </c>
      <c r="D16474" t="str">
        <f>"Howl on the Haunted Beat You Ride"</f>
        <v>Howl on the Haunted Beat You Ride</v>
      </c>
    </row>
    <row r="16475" spans="1:4" x14ac:dyDescent="0.2">
      <c r="A16475" t="str">
        <f>"16474"</f>
        <v>16474</v>
      </c>
      <c r="B16475" t="str">
        <f>"1.25"</f>
        <v>1.25</v>
      </c>
      <c r="C16475" t="str">
        <f>"25"</f>
        <v>25</v>
      </c>
      <c r="D16475" t="s">
        <v>533</v>
      </c>
    </row>
    <row r="16476" spans="1:4" x14ac:dyDescent="0.2">
      <c r="A16476" t="str">
        <f>"16475"</f>
        <v>16475</v>
      </c>
      <c r="B16476" t="str">
        <f>"0.14"</f>
        <v>0.14</v>
      </c>
      <c r="C16476" t="str">
        <f>"20"</f>
        <v>20</v>
      </c>
      <c r="D16476" t="str">
        <f>"The Shining Path"</f>
        <v>The Shining Path</v>
      </c>
    </row>
    <row r="16477" spans="1:4" x14ac:dyDescent="0.2">
      <c r="A16477" t="str">
        <f>"16476"</f>
        <v>16476</v>
      </c>
      <c r="B16477" t="str">
        <f>"-0.59"</f>
        <v>-0.59</v>
      </c>
      <c r="C16477" t="str">
        <f>"47"</f>
        <v>47</v>
      </c>
      <c r="D16477" t="str">
        <f>"This Is Next"</f>
        <v>This Is Next</v>
      </c>
    </row>
    <row r="16478" spans="1:4" x14ac:dyDescent="0.2">
      <c r="A16478" t="str">
        <f>"16477"</f>
        <v>16477</v>
      </c>
      <c r="B16478" t="str">
        <f>"-0.42"</f>
        <v>-0.42</v>
      </c>
      <c r="C16478" t="str">
        <f>"98"</f>
        <v>98</v>
      </c>
      <c r="D16478" t="str">
        <f>"Under the Blacklight"</f>
        <v>Under the Blacklight</v>
      </c>
    </row>
    <row r="16479" spans="1:4" x14ac:dyDescent="0.2">
      <c r="A16479" t="str">
        <f>"16478"</f>
        <v>16478</v>
      </c>
      <c r="B16479" t="str">
        <f>"-0.17"</f>
        <v>-0.17</v>
      </c>
      <c r="C16479" t="str">
        <f>"26"</f>
        <v>26</v>
      </c>
      <c r="D16479" t="str">
        <f>"Sleight of Hand"</f>
        <v>Sleight of Hand</v>
      </c>
    </row>
    <row r="16480" spans="1:4" x14ac:dyDescent="0.2">
      <c r="A16480" t="str">
        <f>"16479"</f>
        <v>16479</v>
      </c>
      <c r="B16480" t="str">
        <f>"-0.06"</f>
        <v>-0.06</v>
      </c>
      <c r="C16480" t="str">
        <f>"29"</f>
        <v>29</v>
      </c>
      <c r="D16480" t="str">
        <f>"The Last Holy Writer"</f>
        <v>The Last Holy Writer</v>
      </c>
    </row>
    <row r="16481" spans="1:4" x14ac:dyDescent="0.2">
      <c r="A16481" t="str">
        <f>"16480"</f>
        <v>16480</v>
      </c>
      <c r="B16481" t="str">
        <f>"-0.39"</f>
        <v>-0.39</v>
      </c>
      <c r="C16481" t="str">
        <f>"34"</f>
        <v>34</v>
      </c>
      <c r="D16481" t="str">
        <f>"Kala"</f>
        <v>Kala</v>
      </c>
    </row>
    <row r="16482" spans="1:4" x14ac:dyDescent="0.2">
      <c r="A16482" t="str">
        <f>"16481"</f>
        <v>16481</v>
      </c>
      <c r="B16482" t="str">
        <f>"0.49"</f>
        <v>0.49</v>
      </c>
      <c r="C16482" t="str">
        <f>"33"</f>
        <v>33</v>
      </c>
      <c r="D16482" t="str">
        <f>"When the Deer Wore Blue"</f>
        <v>When the Deer Wore Blue</v>
      </c>
    </row>
    <row r="16483" spans="1:4" x14ac:dyDescent="0.2">
      <c r="A16483" t="str">
        <f>"16482"</f>
        <v>16482</v>
      </c>
      <c r="B16483" t="str">
        <f>"-0.01"</f>
        <v>-0.01</v>
      </c>
      <c r="C16483" t="str">
        <f>"19"</f>
        <v>19</v>
      </c>
      <c r="D16483" t="str">
        <f>"On the Wing Now"</f>
        <v>On the Wing Now</v>
      </c>
    </row>
    <row r="16484" spans="1:4" x14ac:dyDescent="0.2">
      <c r="A16484" t="str">
        <f>"16483"</f>
        <v>16483</v>
      </c>
      <c r="B16484" t="str">
        <f>"-0.83"</f>
        <v>-0.83</v>
      </c>
      <c r="C16484" t="str">
        <f>"21"</f>
        <v>21</v>
      </c>
      <c r="D16484" t="str">
        <f>"Katun"</f>
        <v>Katun</v>
      </c>
    </row>
    <row r="16485" spans="1:4" x14ac:dyDescent="0.2">
      <c r="A16485" t="str">
        <f>"16484"</f>
        <v>16484</v>
      </c>
      <c r="B16485" t="str">
        <f>"-0.1"</f>
        <v>-0.1</v>
      </c>
      <c r="C16485" t="str">
        <f>"16"</f>
        <v>16</v>
      </c>
      <c r="D16485" t="str">
        <f>"Roots &amp; Echoes"</f>
        <v>Roots &amp; Echoes</v>
      </c>
    </row>
    <row r="16486" spans="1:4" x14ac:dyDescent="0.2">
      <c r="A16486" t="str">
        <f>"16485"</f>
        <v>16485</v>
      </c>
      <c r="B16486" t="str">
        <f>"-0.15"</f>
        <v>-0.15</v>
      </c>
      <c r="C16486" t="str">
        <f>"35"</f>
        <v>35</v>
      </c>
      <c r="D16486" t="str">
        <f>"Challengers"</f>
        <v>Challengers</v>
      </c>
    </row>
    <row r="16487" spans="1:4" x14ac:dyDescent="0.2">
      <c r="A16487" t="str">
        <f>"16486"</f>
        <v>16486</v>
      </c>
      <c r="B16487" t="str">
        <f>"-0.5"</f>
        <v>-0.5</v>
      </c>
      <c r="C16487" t="str">
        <f>"40"</f>
        <v>40</v>
      </c>
      <c r="D16487" t="str">
        <f>"The Hair the TV the Baby &amp; the Band"</f>
        <v>The Hair the TV the Baby &amp; the Band</v>
      </c>
    </row>
    <row r="16488" spans="1:4" x14ac:dyDescent="0.2">
      <c r="A16488" t="str">
        <f>"16487"</f>
        <v>16487</v>
      </c>
      <c r="B16488" t="str">
        <f>"0.48"</f>
        <v>0.48</v>
      </c>
      <c r="C16488" t="str">
        <f>"21"</f>
        <v>21</v>
      </c>
      <c r="D16488" t="str">
        <f>"Part-Monster"</f>
        <v>Part-Monster</v>
      </c>
    </row>
    <row r="16489" spans="1:4" x14ac:dyDescent="0.2">
      <c r="A16489" t="str">
        <f>"16488"</f>
        <v>16488</v>
      </c>
      <c r="B16489" t="str">
        <f>"0.64"</f>
        <v>0.64</v>
      </c>
      <c r="C16489" t="str">
        <f>"30"</f>
        <v>30</v>
      </c>
      <c r="D16489" t="str">
        <f>"Get the Guests"</f>
        <v>Get the Guests</v>
      </c>
    </row>
    <row r="16490" spans="1:4" x14ac:dyDescent="0.2">
      <c r="A16490" t="str">
        <f>"16489"</f>
        <v>16489</v>
      </c>
      <c r="B16490" t="str">
        <f>"-0.54"</f>
        <v>-0.54</v>
      </c>
      <c r="C16490" t="str">
        <f>"17"</f>
        <v>17</v>
      </c>
      <c r="D16490" t="str">
        <f>"The Lost Tracks of Danzig"</f>
        <v>The Lost Tracks of Danzig</v>
      </c>
    </row>
    <row r="16491" spans="1:4" x14ac:dyDescent="0.2">
      <c r="A16491" t="str">
        <f>"16490"</f>
        <v>16490</v>
      </c>
      <c r="B16491" t="str">
        <f>"-0.52"</f>
        <v>-0.52</v>
      </c>
      <c r="C16491" t="str">
        <f>"50"</f>
        <v>50</v>
      </c>
      <c r="D16491" t="str">
        <f>"Underground Kingz"</f>
        <v>Underground Kingz</v>
      </c>
    </row>
    <row r="16492" spans="1:4" x14ac:dyDescent="0.2">
      <c r="A16492" t="str">
        <f>"16491"</f>
        <v>16491</v>
      </c>
      <c r="B16492" t="str">
        <f>"0.04"</f>
        <v>0.04</v>
      </c>
      <c r="C16492" t="str">
        <f>"32"</f>
        <v>32</v>
      </c>
      <c r="D16492" t="str">
        <f>"Planet of Ice"</f>
        <v>Planet of Ice</v>
      </c>
    </row>
    <row r="16493" spans="1:4" x14ac:dyDescent="0.2">
      <c r="A16493" t="str">
        <f>"16492"</f>
        <v>16492</v>
      </c>
      <c r="B16493" t="str">
        <f>"0.78"</f>
        <v>0.78</v>
      </c>
      <c r="C16493" t="str">
        <f>"30"</f>
        <v>30</v>
      </c>
      <c r="D16493" t="str">
        <f>"Add This to Rhetoric"</f>
        <v>Add This to Rhetoric</v>
      </c>
    </row>
    <row r="16494" spans="1:4" x14ac:dyDescent="0.2">
      <c r="A16494" t="str">
        <f>"16493"</f>
        <v>16493</v>
      </c>
      <c r="B16494" t="str">
        <f>"1.13"</f>
        <v>1.13</v>
      </c>
      <c r="C16494" t="str">
        <f>"24"</f>
        <v>24</v>
      </c>
      <c r="D16494" t="str">
        <f>"Dogs &amp; Donkeys"</f>
        <v>Dogs &amp; Donkeys</v>
      </c>
    </row>
    <row r="16495" spans="1:4" x14ac:dyDescent="0.2">
      <c r="A16495" t="str">
        <f>"16494"</f>
        <v>16494</v>
      </c>
      <c r="B16495" t="str">
        <f>"0.89"</f>
        <v>0.89</v>
      </c>
      <c r="C16495" t="str">
        <f>"14"</f>
        <v>14</v>
      </c>
      <c r="D16495" t="str">
        <f>"Turbo Fruits"</f>
        <v>Turbo Fruits</v>
      </c>
    </row>
    <row r="16496" spans="1:4" x14ac:dyDescent="0.2">
      <c r="A16496" t="str">
        <f>"16495"</f>
        <v>16495</v>
      </c>
      <c r="B16496" t="str">
        <f>"0.63"</f>
        <v>0.63</v>
      </c>
      <c r="C16496" t="str">
        <f>"218"</f>
        <v>218</v>
      </c>
      <c r="D16496" t="s">
        <v>534</v>
      </c>
    </row>
    <row r="16497" spans="1:4" x14ac:dyDescent="0.2">
      <c r="A16497" t="str">
        <f>"16496"</f>
        <v>16496</v>
      </c>
      <c r="B16497" t="str">
        <f>"-1.12"</f>
        <v>-1.12</v>
      </c>
      <c r="C16497" t="str">
        <f>"70"</f>
        <v>70</v>
      </c>
      <c r="D16497" t="str">
        <f>"Oracle EP"</f>
        <v>Oracle EP</v>
      </c>
    </row>
    <row r="16498" spans="1:4" x14ac:dyDescent="0.2">
      <c r="A16498" t="str">
        <f>"16497"</f>
        <v>16497</v>
      </c>
      <c r="B16498" t="str">
        <f>"0.06"</f>
        <v>0.06</v>
      </c>
      <c r="C16498" t="str">
        <f>"78"</f>
        <v>78</v>
      </c>
      <c r="D16498" t="str">
        <f>"The Fate of Old Mother Orvis"</f>
        <v>The Fate of Old Mother Orvis</v>
      </c>
    </row>
    <row r="16499" spans="1:4" x14ac:dyDescent="0.2">
      <c r="A16499" t="str">
        <f>"16498"</f>
        <v>16498</v>
      </c>
      <c r="B16499" t="str">
        <f>"0.98"</f>
        <v>0.98</v>
      </c>
      <c r="C16499" t="str">
        <f>"16"</f>
        <v>16</v>
      </c>
      <c r="D16499" t="str">
        <f>"Beautiful Targets"</f>
        <v>Beautiful Targets</v>
      </c>
    </row>
    <row r="16500" spans="1:4" x14ac:dyDescent="0.2">
      <c r="A16500" t="str">
        <f>"16499"</f>
        <v>16499</v>
      </c>
      <c r="B16500" t="str">
        <f>"0.25"</f>
        <v>0.25</v>
      </c>
      <c r="C16500" t="str">
        <f>"33"</f>
        <v>33</v>
      </c>
      <c r="D16500" t="str">
        <f>"Can I Keep This Pen?"</f>
        <v>Can I Keep This Pen?</v>
      </c>
    </row>
    <row r="16501" spans="1:4" x14ac:dyDescent="0.2">
      <c r="A16501" t="str">
        <f>"16500"</f>
        <v>16500</v>
      </c>
      <c r="B16501" t="str">
        <f>"0.84"</f>
        <v>0.84</v>
      </c>
      <c r="C16501" t="str">
        <f>"46"</f>
        <v>46</v>
      </c>
      <c r="D16501" t="str">
        <f>"Live at the Annandale Hotel"</f>
        <v>Live at the Annandale Hotel</v>
      </c>
    </row>
    <row r="16502" spans="1:4" x14ac:dyDescent="0.2">
      <c r="A16502" t="str">
        <f>"16501"</f>
        <v>16501</v>
      </c>
      <c r="B16502" t="str">
        <f>"0.06"</f>
        <v>0.06</v>
      </c>
      <c r="C16502" t="str">
        <f>"22"</f>
        <v>22</v>
      </c>
      <c r="D16502" t="str">
        <f>"Late Night Tales"</f>
        <v>Late Night Tales</v>
      </c>
    </row>
    <row r="16503" spans="1:4" x14ac:dyDescent="0.2">
      <c r="A16503" t="str">
        <f>"16502"</f>
        <v>16502</v>
      </c>
      <c r="B16503" t="str">
        <f>"0.85"</f>
        <v>0.85</v>
      </c>
      <c r="C16503" t="str">
        <f>"43"</f>
        <v>43</v>
      </c>
      <c r="D16503" t="str">
        <f>"Rekids Compilation One"</f>
        <v>Rekids Compilation One</v>
      </c>
    </row>
    <row r="16504" spans="1:4" x14ac:dyDescent="0.2">
      <c r="A16504" t="str">
        <f>"16503"</f>
        <v>16503</v>
      </c>
      <c r="B16504" t="str">
        <f>"1.79"</f>
        <v>1.79</v>
      </c>
      <c r="C16504" t="str">
        <f>"17"</f>
        <v>17</v>
      </c>
      <c r="D16504" t="str">
        <f>"The Thieves of Kailua"</f>
        <v>The Thieves of Kailua</v>
      </c>
    </row>
    <row r="16505" spans="1:4" x14ac:dyDescent="0.2">
      <c r="A16505" t="str">
        <f>"16504"</f>
        <v>16504</v>
      </c>
      <c r="B16505" t="str">
        <f>"0.4"</f>
        <v>0.4</v>
      </c>
      <c r="C16505" t="str">
        <f>"52"</f>
        <v>52</v>
      </c>
      <c r="D16505" t="str">
        <f>"Art Pop"</f>
        <v>Art Pop</v>
      </c>
    </row>
    <row r="16506" spans="1:4" x14ac:dyDescent="0.2">
      <c r="A16506" t="str">
        <f>"16505"</f>
        <v>16505</v>
      </c>
      <c r="B16506" t="str">
        <f>"-0.4"</f>
        <v>-0.4</v>
      </c>
      <c r="C16506" t="str">
        <f>"43"</f>
        <v>43</v>
      </c>
      <c r="D16506" t="str">
        <f>"We Are Him"</f>
        <v>We Are Him</v>
      </c>
    </row>
    <row r="16507" spans="1:4" x14ac:dyDescent="0.2">
      <c r="A16507" t="str">
        <f>"16506"</f>
        <v>16506</v>
      </c>
      <c r="B16507" t="str">
        <f>"0.43"</f>
        <v>0.43</v>
      </c>
      <c r="C16507" t="str">
        <f>"29"</f>
        <v>29</v>
      </c>
      <c r="D16507" t="str">
        <f>"You Follow Me"</f>
        <v>You Follow Me</v>
      </c>
    </row>
    <row r="16508" spans="1:4" x14ac:dyDescent="0.2">
      <c r="A16508" t="str">
        <f>"16507"</f>
        <v>16507</v>
      </c>
      <c r="B16508" t="str">
        <f>"0.19"</f>
        <v>0.19</v>
      </c>
      <c r="C16508" t="str">
        <f>"26"</f>
        <v>26</v>
      </c>
      <c r="D16508" t="str">
        <f>"Hermaphrodite"</f>
        <v>Hermaphrodite</v>
      </c>
    </row>
    <row r="16509" spans="1:4" x14ac:dyDescent="0.2">
      <c r="A16509" t="str">
        <f>"16508"</f>
        <v>16508</v>
      </c>
      <c r="B16509" t="str">
        <f>"1.73"</f>
        <v>1.73</v>
      </c>
      <c r="C16509" t="str">
        <f>"20"</f>
        <v>20</v>
      </c>
      <c r="D16509" t="str">
        <f>"Baby Comes Home"</f>
        <v>Baby Comes Home</v>
      </c>
    </row>
    <row r="16510" spans="1:4" x14ac:dyDescent="0.2">
      <c r="A16510" t="str">
        <f>"16509"</f>
        <v>16509</v>
      </c>
      <c r="B16510" t="str">
        <f>"0.34"</f>
        <v>0.34</v>
      </c>
      <c r="C16510" t="str">
        <f>"20"</f>
        <v>20</v>
      </c>
      <c r="D16510" t="str">
        <f>"Underhanded Romance"</f>
        <v>Underhanded Romance</v>
      </c>
    </row>
    <row r="16511" spans="1:4" x14ac:dyDescent="0.2">
      <c r="A16511" t="str">
        <f>"16510"</f>
        <v>16510</v>
      </c>
      <c r="B16511" t="str">
        <f>"-0.39"</f>
        <v>-0.39</v>
      </c>
      <c r="C16511" t="str">
        <f>"101"</f>
        <v>101</v>
      </c>
      <c r="D16511" t="str">
        <f>"In Our Bedroom After the War"</f>
        <v>In Our Bedroom After the War</v>
      </c>
    </row>
    <row r="16512" spans="1:4" x14ac:dyDescent="0.2">
      <c r="A16512" t="str">
        <f>"16511"</f>
        <v>16511</v>
      </c>
      <c r="B16512" t="str">
        <f>"0.21"</f>
        <v>0.21</v>
      </c>
      <c r="C16512" t="str">
        <f>"43"</f>
        <v>43</v>
      </c>
      <c r="D16512" t="str">
        <f>"Animality"</f>
        <v>Animality</v>
      </c>
    </row>
    <row r="16513" spans="1:4" x14ac:dyDescent="0.2">
      <c r="A16513" t="str">
        <f>"16512"</f>
        <v>16512</v>
      </c>
      <c r="B16513" t="str">
        <f>"0.34"</f>
        <v>0.34</v>
      </c>
      <c r="C16513" t="str">
        <f>"88"</f>
        <v>88</v>
      </c>
      <c r="D16513" t="str">
        <f>"Total 8"</f>
        <v>Total 8</v>
      </c>
    </row>
    <row r="16514" spans="1:4" x14ac:dyDescent="0.2">
      <c r="A16514" t="str">
        <f>"16513"</f>
        <v>16513</v>
      </c>
      <c r="B16514" t="str">
        <f>"0.8"</f>
        <v>0.8</v>
      </c>
      <c r="C16514" t="str">
        <f>"31"</f>
        <v>31</v>
      </c>
      <c r="D16514" t="str">
        <f>"Cornell 1964"</f>
        <v>Cornell 1964</v>
      </c>
    </row>
    <row r="16515" spans="1:4" x14ac:dyDescent="0.2">
      <c r="A16515" t="str">
        <f>"16514"</f>
        <v>16514</v>
      </c>
      <c r="B16515" t="str">
        <f>"-0.07"</f>
        <v>-0.07</v>
      </c>
      <c r="C16515" t="str">
        <f>"27"</f>
        <v>27</v>
      </c>
      <c r="D16515" t="str">
        <f>"Live in London: The BBC Recordings 1972-1973"</f>
        <v>Live in London: The BBC Recordings 1972-1973</v>
      </c>
    </row>
    <row r="16516" spans="1:4" x14ac:dyDescent="0.2">
      <c r="A16516" t="str">
        <f>"16515"</f>
        <v>16515</v>
      </c>
      <c r="B16516" t="str">
        <f>"-0.04"</f>
        <v>-0.04</v>
      </c>
      <c r="C16516" t="str">
        <f>"36"</f>
        <v>36</v>
      </c>
      <c r="D16516" t="str">
        <f>"Colossal Youth and Collected Works"</f>
        <v>Colossal Youth and Collected Works</v>
      </c>
    </row>
    <row r="16517" spans="1:4" x14ac:dyDescent="0.2">
      <c r="A16517" t="str">
        <f>"16516"</f>
        <v>16516</v>
      </c>
      <c r="B16517" t="str">
        <f>"0.46"</f>
        <v>0.46</v>
      </c>
      <c r="C16517" t="str">
        <f>"29"</f>
        <v>29</v>
      </c>
      <c r="D16517" t="str">
        <f>"Structure &amp; Cosmetics"</f>
        <v>Structure &amp; Cosmetics</v>
      </c>
    </row>
    <row r="16518" spans="1:4" x14ac:dyDescent="0.2">
      <c r="A16518" t="str">
        <f>"16517"</f>
        <v>16517</v>
      </c>
      <c r="B16518" t="str">
        <f>"-0.69"</f>
        <v>-0.69</v>
      </c>
      <c r="C16518" t="str">
        <f>"40"</f>
        <v>40</v>
      </c>
      <c r="D16518" t="str">
        <f>"Ears Will Pop &amp; Eyes Will Blink"</f>
        <v>Ears Will Pop &amp; Eyes Will Blink</v>
      </c>
    </row>
    <row r="16519" spans="1:4" x14ac:dyDescent="0.2">
      <c r="A16519" t="str">
        <f>"16518"</f>
        <v>16518</v>
      </c>
      <c r="B16519" t="str">
        <f>"1.21"</f>
        <v>1.21</v>
      </c>
      <c r="C16519" t="str">
        <f>"31"</f>
        <v>31</v>
      </c>
      <c r="D16519" t="str">
        <f>"Going Places"</f>
        <v>Going Places</v>
      </c>
    </row>
    <row r="16520" spans="1:4" x14ac:dyDescent="0.2">
      <c r="A16520" t="str">
        <f>"16519"</f>
        <v>16519</v>
      </c>
      <c r="B16520" t="str">
        <f>"0.81"</f>
        <v>0.81</v>
      </c>
      <c r="C16520" t="str">
        <f>"27"</f>
        <v>27</v>
      </c>
      <c r="D16520" t="str">
        <f>"Low Country Suite"</f>
        <v>Low Country Suite</v>
      </c>
    </row>
    <row r="16521" spans="1:4" x14ac:dyDescent="0.2">
      <c r="A16521" t="str">
        <f>"16520"</f>
        <v>16520</v>
      </c>
      <c r="B16521" t="str">
        <f>"0.2"</f>
        <v>0.2</v>
      </c>
      <c r="C16521" t="str">
        <f>"32"</f>
        <v>32</v>
      </c>
      <c r="D16521" t="str">
        <f>"The Hottest State OST"</f>
        <v>The Hottest State OST</v>
      </c>
    </row>
    <row r="16522" spans="1:4" x14ac:dyDescent="0.2">
      <c r="A16522" t="str">
        <f>"16521"</f>
        <v>16521</v>
      </c>
      <c r="B16522" t="str">
        <f>"0.26"</f>
        <v>0.26</v>
      </c>
      <c r="C16522" t="str">
        <f>"17"</f>
        <v>17</v>
      </c>
      <c r="D16522" t="str">
        <f>"Set the Woods on Fire"</f>
        <v>Set the Woods on Fire</v>
      </c>
    </row>
    <row r="16523" spans="1:4" x14ac:dyDescent="0.2">
      <c r="A16523" t="str">
        <f>"16522"</f>
        <v>16522</v>
      </c>
      <c r="B16523" t="str">
        <f>"-0.24"</f>
        <v>-0.24</v>
      </c>
      <c r="C16523" t="str">
        <f>"27"</f>
        <v>27</v>
      </c>
      <c r="D16523" t="str">
        <f>"Space Ritual: Collector's Edition"</f>
        <v>Space Ritual: Collector's Edition</v>
      </c>
    </row>
    <row r="16524" spans="1:4" x14ac:dyDescent="0.2">
      <c r="A16524" t="str">
        <f>"16523"</f>
        <v>16523</v>
      </c>
      <c r="B16524" t="str">
        <f>"0.35"</f>
        <v>0.35</v>
      </c>
      <c r="C16524" t="str">
        <f>"26"</f>
        <v>26</v>
      </c>
      <c r="D16524" t="str">
        <f>"Space &amp; Time"</f>
        <v>Space &amp; Time</v>
      </c>
    </row>
    <row r="16525" spans="1:4" x14ac:dyDescent="0.2">
      <c r="A16525" t="str">
        <f>"16524"</f>
        <v>16524</v>
      </c>
      <c r="B16525" t="str">
        <f>"0.13"</f>
        <v>0.13</v>
      </c>
      <c r="C16525" t="str">
        <f>"24"</f>
        <v>24</v>
      </c>
      <c r="D16525" t="str">
        <f>"Keren Ann"</f>
        <v>Keren Ann</v>
      </c>
    </row>
    <row r="16526" spans="1:4" x14ac:dyDescent="0.2">
      <c r="A16526" t="str">
        <f>"16525"</f>
        <v>16525</v>
      </c>
      <c r="B16526" t="str">
        <f>"0.43"</f>
        <v>0.43</v>
      </c>
      <c r="C16526" t="str">
        <f>"118"</f>
        <v>118</v>
      </c>
      <c r="D16526" t="str">
        <f>"Sojourner"</f>
        <v>Sojourner</v>
      </c>
    </row>
    <row r="16527" spans="1:4" x14ac:dyDescent="0.2">
      <c r="A16527" t="str">
        <f>"16526"</f>
        <v>16526</v>
      </c>
      <c r="B16527" t="str">
        <f>"-0.2"</f>
        <v>-0.2</v>
      </c>
      <c r="C16527" t="str">
        <f>"91"</f>
        <v>91</v>
      </c>
      <c r="D16527" t="str">
        <f>"Ape-ology"</f>
        <v>Ape-ology</v>
      </c>
    </row>
    <row r="16528" spans="1:4" x14ac:dyDescent="0.2">
      <c r="A16528" t="str">
        <f>"16527"</f>
        <v>16527</v>
      </c>
      <c r="B16528" t="str">
        <f>"1.01"</f>
        <v>1.01</v>
      </c>
      <c r="C16528" t="str">
        <f>"70"</f>
        <v>70</v>
      </c>
      <c r="D16528" t="str">
        <f>"We Are Ever So Clean"</f>
        <v>We Are Ever So Clean</v>
      </c>
    </row>
    <row r="16529" spans="1:4" x14ac:dyDescent="0.2">
      <c r="A16529" t="str">
        <f>"16528"</f>
        <v>16528</v>
      </c>
      <c r="B16529" t="str">
        <f>"-0.28"</f>
        <v>-0.28</v>
      </c>
      <c r="C16529" t="str">
        <f>"22"</f>
        <v>22</v>
      </c>
      <c r="D16529" t="str">
        <f>"Bad Football"</f>
        <v>Bad Football</v>
      </c>
    </row>
    <row r="16530" spans="1:4" x14ac:dyDescent="0.2">
      <c r="A16530" t="str">
        <f>"16529"</f>
        <v>16529</v>
      </c>
      <c r="B16530" t="str">
        <f>"-0.61"</f>
        <v>-0.61</v>
      </c>
      <c r="C16530" t="str">
        <f>"28"</f>
        <v>28</v>
      </c>
      <c r="D16530" t="str">
        <f>"Lady Croissant"</f>
        <v>Lady Croissant</v>
      </c>
    </row>
    <row r="16531" spans="1:4" x14ac:dyDescent="0.2">
      <c r="A16531" t="str">
        <f>"16530"</f>
        <v>16530</v>
      </c>
      <c r="B16531" t="str">
        <f>"0.34"</f>
        <v>0.34</v>
      </c>
      <c r="C16531" t="str">
        <f>"38"</f>
        <v>38</v>
      </c>
      <c r="D16531" t="str">
        <f>"Share This Place: Stories and Observations"</f>
        <v>Share This Place: Stories and Observations</v>
      </c>
    </row>
    <row r="16532" spans="1:4" x14ac:dyDescent="0.2">
      <c r="A16532" t="str">
        <f>"16531"</f>
        <v>16531</v>
      </c>
      <c r="B16532" t="str">
        <f>"1.11"</f>
        <v>1.11</v>
      </c>
      <c r="C16532" t="str">
        <f>"26"</f>
        <v>26</v>
      </c>
      <c r="D16532" t="str">
        <f>"Walls"</f>
        <v>Walls</v>
      </c>
    </row>
    <row r="16533" spans="1:4" x14ac:dyDescent="0.2">
      <c r="A16533" t="str">
        <f>"16532"</f>
        <v>16532</v>
      </c>
      <c r="B16533" t="str">
        <f>"-0.63"</f>
        <v>-0.63</v>
      </c>
      <c r="C16533" t="str">
        <f>"19"</f>
        <v>19</v>
      </c>
      <c r="D16533" t="str">
        <f>"New High &amp; Ord"</f>
        <v>New High &amp; Ord</v>
      </c>
    </row>
    <row r="16534" spans="1:4" x14ac:dyDescent="0.2">
      <c r="A16534" t="str">
        <f>"16533"</f>
        <v>16533</v>
      </c>
      <c r="B16534" t="str">
        <f>"-0.04"</f>
        <v>-0.04</v>
      </c>
      <c r="C16534" t="str">
        <f>"21"</f>
        <v>21</v>
      </c>
      <c r="D16534" t="str">
        <f>"The Shapes We Make"</f>
        <v>The Shapes We Make</v>
      </c>
    </row>
    <row r="16535" spans="1:4" x14ac:dyDescent="0.2">
      <c r="A16535" t="str">
        <f>"16534"</f>
        <v>16534</v>
      </c>
      <c r="B16535" t="str">
        <f>"-0.53"</f>
        <v>-0.53</v>
      </c>
      <c r="C16535" t="str">
        <f>"20"</f>
        <v>20</v>
      </c>
      <c r="D16535" t="str">
        <f>"Fascinating Tininess"</f>
        <v>Fascinating Tininess</v>
      </c>
    </row>
    <row r="16536" spans="1:4" x14ac:dyDescent="0.2">
      <c r="A16536" t="str">
        <f>"16535"</f>
        <v>16535</v>
      </c>
      <c r="B16536" t="str">
        <f>"-0.36"</f>
        <v>-0.36</v>
      </c>
      <c r="C16536" t="str">
        <f>"76"</f>
        <v>76</v>
      </c>
      <c r="D16536" t="str">
        <f>"The Stage Names"</f>
        <v>The Stage Names</v>
      </c>
    </row>
    <row r="16537" spans="1:4" x14ac:dyDescent="0.2">
      <c r="A16537" t="str">
        <f>"16536"</f>
        <v>16536</v>
      </c>
      <c r="B16537" t="str">
        <f>"0.58"</f>
        <v>0.58</v>
      </c>
      <c r="C16537" t="str">
        <f>"63"</f>
        <v>63</v>
      </c>
      <c r="D16537" t="str">
        <f>"Those the Brokes"</f>
        <v>Those the Brokes</v>
      </c>
    </row>
    <row r="16538" spans="1:4" x14ac:dyDescent="0.2">
      <c r="A16538" t="str">
        <f>"16537"</f>
        <v>16537</v>
      </c>
      <c r="B16538" t="str">
        <f>"-0.44"</f>
        <v>-0.44</v>
      </c>
      <c r="C16538" t="str">
        <f>"85"</f>
        <v>85</v>
      </c>
      <c r="D16538" t="str">
        <f>"The Trials of Darryl Hunt OST"</f>
        <v>The Trials of Darryl Hunt OST</v>
      </c>
    </row>
    <row r="16539" spans="1:4" x14ac:dyDescent="0.2">
      <c r="A16539" t="str">
        <f>"16538"</f>
        <v>16538</v>
      </c>
      <c r="B16539" t="str">
        <f>"0.45"</f>
        <v>0.45</v>
      </c>
      <c r="C16539" t="str">
        <f>"22"</f>
        <v>22</v>
      </c>
      <c r="D16539" t="str">
        <f>"Back Up Vol. 01"</f>
        <v>Back Up Vol. 01</v>
      </c>
    </row>
    <row r="16540" spans="1:4" x14ac:dyDescent="0.2">
      <c r="A16540" t="str">
        <f>"16539"</f>
        <v>16539</v>
      </c>
      <c r="B16540" t="str">
        <f>"-1.73"</f>
        <v>-1.73</v>
      </c>
      <c r="C16540" t="str">
        <f>"22"</f>
        <v>22</v>
      </c>
      <c r="D16540" t="str">
        <f>"American Nervoso"</f>
        <v>American Nervoso</v>
      </c>
    </row>
    <row r="16541" spans="1:4" x14ac:dyDescent="0.2">
      <c r="A16541" t="str">
        <f>"16540"</f>
        <v>16540</v>
      </c>
      <c r="B16541" t="str">
        <f>"0.03"</f>
        <v>0.03</v>
      </c>
      <c r="C16541" t="str">
        <f>"23"</f>
        <v>23</v>
      </c>
      <c r="D16541" t="str">
        <f>"The Simpsons Movie: The Music"</f>
        <v>The Simpsons Movie: The Music</v>
      </c>
    </row>
    <row r="16542" spans="1:4" x14ac:dyDescent="0.2">
      <c r="A16542" t="str">
        <f>"16541"</f>
        <v>16541</v>
      </c>
      <c r="B16542" t="str">
        <f>"0.44"</f>
        <v>0.44</v>
      </c>
      <c r="C16542" t="str">
        <f>"20"</f>
        <v>20</v>
      </c>
      <c r="D16542" t="str">
        <f>"Now-Again Re:Sounds Vol. 1"</f>
        <v>Now-Again Re:Sounds Vol. 1</v>
      </c>
    </row>
    <row r="16543" spans="1:4" x14ac:dyDescent="0.2">
      <c r="A16543" t="str">
        <f>"16542"</f>
        <v>16542</v>
      </c>
      <c r="B16543" t="str">
        <f>"0.34"</f>
        <v>0.34</v>
      </c>
      <c r="C16543" t="str">
        <f>"31"</f>
        <v>31</v>
      </c>
      <c r="D16543" t="str">
        <f>"An Electric Storm"</f>
        <v>An Electric Storm</v>
      </c>
    </row>
    <row r="16544" spans="1:4" x14ac:dyDescent="0.2">
      <c r="A16544" t="str">
        <f>"16543"</f>
        <v>16543</v>
      </c>
      <c r="B16544" t="str">
        <f>"-0.4"</f>
        <v>-0.4</v>
      </c>
      <c r="C16544" t="str">
        <f>"41"</f>
        <v>41</v>
      </c>
      <c r="D16544" t="str">
        <f>"High Places EP"</f>
        <v>High Places EP</v>
      </c>
    </row>
    <row r="16545" spans="1:4" x14ac:dyDescent="0.2">
      <c r="A16545" t="str">
        <f>"16544"</f>
        <v>16544</v>
      </c>
      <c r="B16545" t="str">
        <f>"-0.63"</f>
        <v>-0.63</v>
      </c>
      <c r="C16545" t="str">
        <f>"71"</f>
        <v>71</v>
      </c>
      <c r="D16545" t="str">
        <f>"An Ethereal Oracle"</f>
        <v>An Ethereal Oracle</v>
      </c>
    </row>
    <row r="16546" spans="1:4" x14ac:dyDescent="0.2">
      <c r="A16546" t="str">
        <f>"16545"</f>
        <v>16545</v>
      </c>
      <c r="B16546" t="str">
        <f>"0.06"</f>
        <v>0.06</v>
      </c>
      <c r="C16546" t="str">
        <f>"30"</f>
        <v>30</v>
      </c>
      <c r="D16546" t="str">
        <f>"Werewolves and Lollipops"</f>
        <v>Werewolves and Lollipops</v>
      </c>
    </row>
    <row r="16547" spans="1:4" x14ac:dyDescent="0.2">
      <c r="A16547" t="str">
        <f>"16546"</f>
        <v>16546</v>
      </c>
      <c r="B16547" t="str">
        <f>"-1.45"</f>
        <v>-1.45</v>
      </c>
      <c r="C16547" t="str">
        <f>"102"</f>
        <v>102</v>
      </c>
      <c r="D16547" t="str">
        <f>"Big Science"</f>
        <v>Big Science</v>
      </c>
    </row>
    <row r="16548" spans="1:4" x14ac:dyDescent="0.2">
      <c r="A16548" t="str">
        <f>"16547"</f>
        <v>16547</v>
      </c>
      <c r="B16548" t="str">
        <f>"0.49"</f>
        <v>0.49</v>
      </c>
      <c r="C16548" t="str">
        <f>"24"</f>
        <v>24</v>
      </c>
      <c r="D16548" t="str">
        <f>"While My Guitar Violently Bleeds"</f>
        <v>While My Guitar Violently Bleeds</v>
      </c>
    </row>
    <row r="16549" spans="1:4" x14ac:dyDescent="0.2">
      <c r="A16549" t="str">
        <f>"16548"</f>
        <v>16548</v>
      </c>
      <c r="B16549" t="str">
        <f>"-0.52"</f>
        <v>-0.52</v>
      </c>
      <c r="C16549" t="str">
        <f>"21"</f>
        <v>21</v>
      </c>
      <c r="D16549" t="str">
        <f>"Pebbles"</f>
        <v>Pebbles</v>
      </c>
    </row>
    <row r="16550" spans="1:4" x14ac:dyDescent="0.2">
      <c r="A16550" t="str">
        <f>"16549"</f>
        <v>16549</v>
      </c>
      <c r="B16550" t="str">
        <f>"0.56"</f>
        <v>0.56</v>
      </c>
      <c r="C16550" t="str">
        <f>"20"</f>
        <v>20</v>
      </c>
      <c r="D16550" t="str">
        <f>"Axiom"</f>
        <v>Axiom</v>
      </c>
    </row>
    <row r="16551" spans="1:4" x14ac:dyDescent="0.2">
      <c r="A16551" t="str">
        <f>"16550"</f>
        <v>16550</v>
      </c>
      <c r="B16551" t="str">
        <f>"0.34"</f>
        <v>0.34</v>
      </c>
      <c r="C16551" t="str">
        <f>"80"</f>
        <v>80</v>
      </c>
      <c r="D16551" t="str">
        <f>"The Colour and the Shape [10th Anniversary Special Edition]"</f>
        <v>The Colour and the Shape [10th Anniversary Special Edition]</v>
      </c>
    </row>
    <row r="16552" spans="1:4" x14ac:dyDescent="0.2">
      <c r="A16552" t="str">
        <f>"16551"</f>
        <v>16551</v>
      </c>
      <c r="B16552" t="str">
        <f>"-0.54"</f>
        <v>-0.54</v>
      </c>
      <c r="C16552" t="str">
        <f>"66"</f>
        <v>66</v>
      </c>
      <c r="D16552" t="str">
        <f>"Hey Trouble"</f>
        <v>Hey Trouble</v>
      </c>
    </row>
    <row r="16553" spans="1:4" x14ac:dyDescent="0.2">
      <c r="A16553" t="str">
        <f>"16552"</f>
        <v>16552</v>
      </c>
      <c r="B16553" t="str">
        <f>"-0.33"</f>
        <v>-0.33</v>
      </c>
      <c r="C16553" t="str">
        <f>"27"</f>
        <v>27</v>
      </c>
      <c r="D16553" t="str">
        <f>"Florist Fired"</f>
        <v>Florist Fired</v>
      </c>
    </row>
    <row r="16554" spans="1:4" x14ac:dyDescent="0.2">
      <c r="A16554" t="str">
        <f>"16553"</f>
        <v>16553</v>
      </c>
      <c r="B16554" t="str">
        <f>"0.39"</f>
        <v>0.39</v>
      </c>
      <c r="C16554" t="str">
        <f>"25"</f>
        <v>25</v>
      </c>
      <c r="D16554" t="str">
        <f>"I Put a Record On"</f>
        <v>I Put a Record On</v>
      </c>
    </row>
    <row r="16555" spans="1:4" x14ac:dyDescent="0.2">
      <c r="A16555" t="str">
        <f>"16554"</f>
        <v>16554</v>
      </c>
      <c r="B16555" t="str">
        <f>"-1.8"</f>
        <v>-1.8</v>
      </c>
      <c r="C16555" t="str">
        <f>"18"</f>
        <v>18</v>
      </c>
      <c r="D16555" t="str">
        <f>"Underground Communication"</f>
        <v>Underground Communication</v>
      </c>
    </row>
    <row r="16556" spans="1:4" x14ac:dyDescent="0.2">
      <c r="A16556" t="str">
        <f>"16555"</f>
        <v>16555</v>
      </c>
      <c r="B16556" t="str">
        <f>"-0.6"</f>
        <v>-0.6</v>
      </c>
      <c r="C16556" t="str">
        <f>"18"</f>
        <v>18</v>
      </c>
      <c r="D16556" t="str">
        <f>"Insound Tour Support 2.0"</f>
        <v>Insound Tour Support 2.0</v>
      </c>
    </row>
    <row r="16557" spans="1:4" x14ac:dyDescent="0.2">
      <c r="A16557" t="str">
        <f>"16556"</f>
        <v>16556</v>
      </c>
      <c r="B16557" t="str">
        <f>"0.02"</f>
        <v>0.02</v>
      </c>
      <c r="C16557" t="str">
        <f>"40"</f>
        <v>40</v>
      </c>
      <c r="D16557" t="str">
        <f>"¿Spicchiology?"</f>
        <v>¿Spicchiology?</v>
      </c>
    </row>
    <row r="16558" spans="1:4" x14ac:dyDescent="0.2">
      <c r="A16558" t="str">
        <f>"16557"</f>
        <v>16557</v>
      </c>
      <c r="B16558" t="str">
        <f>"-0.6"</f>
        <v>-0.6</v>
      </c>
      <c r="C16558" t="str">
        <f>"25"</f>
        <v>25</v>
      </c>
      <c r="D16558" t="str">
        <f>"I'm Your Man"</f>
        <v>I'm Your Man</v>
      </c>
    </row>
    <row r="16559" spans="1:4" x14ac:dyDescent="0.2">
      <c r="A16559" t="str">
        <f>"16558"</f>
        <v>16558</v>
      </c>
      <c r="B16559" t="str">
        <f>"-0.44"</f>
        <v>-0.44</v>
      </c>
      <c r="C16559" t="str">
        <f>"16"</f>
        <v>16</v>
      </c>
      <c r="D16559" t="str">
        <f>"Dödsvisioner"</f>
        <v>Dödsvisioner</v>
      </c>
    </row>
    <row r="16560" spans="1:4" x14ac:dyDescent="0.2">
      <c r="A16560" t="str">
        <f>"16559"</f>
        <v>16559</v>
      </c>
      <c r="B16560" t="str">
        <f>"0.8"</f>
        <v>0.8</v>
      </c>
      <c r="C16560" t="str">
        <f>"27"</f>
        <v>27</v>
      </c>
      <c r="D16560" t="str">
        <f>"Heartland"</f>
        <v>Heartland</v>
      </c>
    </row>
    <row r="16561" spans="1:4" x14ac:dyDescent="0.2">
      <c r="A16561" t="str">
        <f>"16560"</f>
        <v>16560</v>
      </c>
      <c r="B16561" t="str">
        <f>"-0.93"</f>
        <v>-0.93</v>
      </c>
      <c r="C16561" t="str">
        <f>"26"</f>
        <v>26</v>
      </c>
      <c r="D16561" t="str">
        <f>"Finding Forever"</f>
        <v>Finding Forever</v>
      </c>
    </row>
    <row r="16562" spans="1:4" x14ac:dyDescent="0.2">
      <c r="A16562" t="str">
        <f>"16561"</f>
        <v>16561</v>
      </c>
      <c r="B16562" t="str">
        <f>"0.43"</f>
        <v>0.43</v>
      </c>
      <c r="C16562" t="str">
        <f>"31"</f>
        <v>31</v>
      </c>
      <c r="D16562" t="str">
        <f>"Bishop Allen &amp; the Broken String"</f>
        <v>Bishop Allen &amp; the Broken String</v>
      </c>
    </row>
    <row r="16563" spans="1:4" x14ac:dyDescent="0.2">
      <c r="A16563" t="str">
        <f>"16562"</f>
        <v>16562</v>
      </c>
      <c r="B16563" t="str">
        <f>"-0.27"</f>
        <v>-0.27</v>
      </c>
      <c r="C16563" t="str">
        <f>"18"</f>
        <v>18</v>
      </c>
      <c r="D16563" t="str">
        <f>"Dr. No's Oxperiment"</f>
        <v>Dr. No's Oxperiment</v>
      </c>
    </row>
    <row r="16564" spans="1:4" x14ac:dyDescent="0.2">
      <c r="A16564" t="str">
        <f>"16563"</f>
        <v>16563</v>
      </c>
      <c r="B16564" t="str">
        <f>"0.86"</f>
        <v>0.86</v>
      </c>
      <c r="C16564" t="str">
        <f>"32"</f>
        <v>32</v>
      </c>
      <c r="D16564" t="str">
        <f>"The Inspiring New Sounds of Rio de Janeiro"</f>
        <v>The Inspiring New Sounds of Rio de Janeiro</v>
      </c>
    </row>
    <row r="16565" spans="1:4" x14ac:dyDescent="0.2">
      <c r="A16565" t="str">
        <f>"16564"</f>
        <v>16564</v>
      </c>
      <c r="B16565" t="str">
        <f>"-0.44"</f>
        <v>-0.44</v>
      </c>
      <c r="C16565" t="str">
        <f>"13"</f>
        <v>13</v>
      </c>
      <c r="D16565" t="str">
        <f>"Wires Reply"</f>
        <v>Wires Reply</v>
      </c>
    </row>
    <row r="16566" spans="1:4" x14ac:dyDescent="0.2">
      <c r="A16566" t="str">
        <f>"16565"</f>
        <v>16565</v>
      </c>
      <c r="B16566" t="str">
        <f>"-0.15"</f>
        <v>-0.15</v>
      </c>
      <c r="C16566" t="str">
        <f>"45"</f>
        <v>45</v>
      </c>
      <c r="D16566" t="str">
        <f>"Marry Me"</f>
        <v>Marry Me</v>
      </c>
    </row>
    <row r="16567" spans="1:4" x14ac:dyDescent="0.2">
      <c r="A16567" t="str">
        <f>"16566"</f>
        <v>16566</v>
      </c>
      <c r="B16567" t="str">
        <f>"0.58"</f>
        <v>0.58</v>
      </c>
      <c r="C16567" t="str">
        <f>"24"</f>
        <v>24</v>
      </c>
      <c r="D16567" t="str">
        <f>"The Con"</f>
        <v>The Con</v>
      </c>
    </row>
    <row r="16568" spans="1:4" x14ac:dyDescent="0.2">
      <c r="A16568" t="str">
        <f>"16567"</f>
        <v>16567</v>
      </c>
      <c r="B16568" t="str">
        <f>"0.88"</f>
        <v>0.88</v>
      </c>
      <c r="C16568" t="str">
        <f>"33"</f>
        <v>33</v>
      </c>
      <c r="D16568" t="str">
        <f>"Cookies"</f>
        <v>Cookies</v>
      </c>
    </row>
    <row r="16569" spans="1:4" x14ac:dyDescent="0.2">
      <c r="A16569" t="str">
        <f>"16568"</f>
        <v>16568</v>
      </c>
      <c r="B16569" t="str">
        <f>"0.14"</f>
        <v>0.14</v>
      </c>
      <c r="C16569" t="str">
        <f>"73"</f>
        <v>73</v>
      </c>
      <c r="D16569" t="str">
        <f>"Forts"</f>
        <v>Forts</v>
      </c>
    </row>
    <row r="16570" spans="1:4" x14ac:dyDescent="0.2">
      <c r="A16570" t="str">
        <f>"16569"</f>
        <v>16569</v>
      </c>
      <c r="B16570" t="str">
        <f>"0.13"</f>
        <v>0.13</v>
      </c>
      <c r="C16570" t="str">
        <f>"22"</f>
        <v>22</v>
      </c>
      <c r="D16570" t="str">
        <f>"Nothing Much and Something More"</f>
        <v>Nothing Much and Something More</v>
      </c>
    </row>
    <row r="16571" spans="1:4" x14ac:dyDescent="0.2">
      <c r="A16571" t="str">
        <f>"16570"</f>
        <v>16570</v>
      </c>
      <c r="B16571" t="str">
        <f>"-1.22"</f>
        <v>-1.22</v>
      </c>
      <c r="C16571" t="str">
        <f>"88"</f>
        <v>88</v>
      </c>
      <c r="D16571" t="str">
        <f>"Deadverse Massive Vol. 1: Dälek Rarities 1999-2006"</f>
        <v>Deadverse Massive Vol. 1: Dälek Rarities 1999-2006</v>
      </c>
    </row>
    <row r="16572" spans="1:4" x14ac:dyDescent="0.2">
      <c r="A16572" t="str">
        <f>"16571"</f>
        <v>16571</v>
      </c>
      <c r="B16572" t="str">
        <f>"0.43"</f>
        <v>0.43</v>
      </c>
      <c r="C16572" t="str">
        <f>"27"</f>
        <v>27</v>
      </c>
      <c r="D16572" t="str">
        <f>"Fantastic Playroom"</f>
        <v>Fantastic Playroom</v>
      </c>
    </row>
    <row r="16573" spans="1:4" x14ac:dyDescent="0.2">
      <c r="A16573" t="str">
        <f>"16572"</f>
        <v>16572</v>
      </c>
      <c r="B16573" t="str">
        <f>"0.99"</f>
        <v>0.99</v>
      </c>
      <c r="C16573" t="str">
        <f>"45"</f>
        <v>45</v>
      </c>
      <c r="D16573" t="str">
        <f>"Feil Knapp"</f>
        <v>Feil Knapp</v>
      </c>
    </row>
    <row r="16574" spans="1:4" x14ac:dyDescent="0.2">
      <c r="A16574" t="str">
        <f>"16573"</f>
        <v>16573</v>
      </c>
      <c r="B16574" t="str">
        <f>"-0.78"</f>
        <v>-0.78</v>
      </c>
      <c r="C16574" t="str">
        <f>"57"</f>
        <v>57</v>
      </c>
      <c r="D16574" t="str">
        <f>"Unbeast the Leash"</f>
        <v>Unbeast the Leash</v>
      </c>
    </row>
    <row r="16575" spans="1:4" x14ac:dyDescent="0.2">
      <c r="A16575" t="str">
        <f>"16574"</f>
        <v>16574</v>
      </c>
      <c r="B16575" t="str">
        <f>"0.79"</f>
        <v>0.79</v>
      </c>
      <c r="C16575" t="str">
        <f>"47"</f>
        <v>47</v>
      </c>
      <c r="D16575" t="str">
        <f>"Noble Creatures"</f>
        <v>Noble Creatures</v>
      </c>
    </row>
    <row r="16576" spans="1:4" x14ac:dyDescent="0.2">
      <c r="A16576" t="str">
        <f>"16575"</f>
        <v>16575</v>
      </c>
      <c r="B16576" t="str">
        <f>"-0.23"</f>
        <v>-0.23</v>
      </c>
      <c r="C16576" t="str">
        <f>"18"</f>
        <v>18</v>
      </c>
      <c r="D16576" t="str">
        <f>"What Is Free to a Good Home? EP"</f>
        <v>What Is Free to a Good Home? EP</v>
      </c>
    </row>
    <row r="16577" spans="1:4" x14ac:dyDescent="0.2">
      <c r="A16577" t="str">
        <f>"16576"</f>
        <v>16576</v>
      </c>
      <c r="B16577" t="str">
        <f>"-0.09"</f>
        <v>-0.09</v>
      </c>
      <c r="C16577" t="str">
        <f>"94"</f>
        <v>94</v>
      </c>
      <c r="D16577" t="str">
        <f>"War Stories"</f>
        <v>War Stories</v>
      </c>
    </row>
    <row r="16578" spans="1:4" x14ac:dyDescent="0.2">
      <c r="A16578" t="str">
        <f>"16577"</f>
        <v>16577</v>
      </c>
      <c r="B16578" t="str">
        <f>"-0.46"</f>
        <v>-0.46</v>
      </c>
      <c r="C16578" t="str">
        <f>"94"</f>
        <v>94</v>
      </c>
      <c r="D16578" t="str">
        <f>"Super Taranta!"</f>
        <v>Super Taranta!</v>
      </c>
    </row>
    <row r="16579" spans="1:4" x14ac:dyDescent="0.2">
      <c r="A16579" t="str">
        <f>"16578"</f>
        <v>16578</v>
      </c>
      <c r="B16579" t="str">
        <f>"0.08"</f>
        <v>0.08</v>
      </c>
      <c r="C16579" t="str">
        <f>"110"</f>
        <v>110</v>
      </c>
      <c r="D16579" t="str">
        <f>"Time On Earth"</f>
        <v>Time On Earth</v>
      </c>
    </row>
    <row r="16580" spans="1:4" x14ac:dyDescent="0.2">
      <c r="A16580" t="str">
        <f>"16579"</f>
        <v>16579</v>
      </c>
      <c r="B16580" t="str">
        <f>"0.83"</f>
        <v>0.83</v>
      </c>
      <c r="C16580" t="str">
        <f>"82"</f>
        <v>82</v>
      </c>
      <c r="D16580" t="str">
        <f>"Introducing Kenge Kenge"</f>
        <v>Introducing Kenge Kenge</v>
      </c>
    </row>
    <row r="16581" spans="1:4" x14ac:dyDescent="0.2">
      <c r="A16581" t="str">
        <f>"16580"</f>
        <v>16580</v>
      </c>
      <c r="B16581" t="str">
        <f>"-0.45"</f>
        <v>-0.45</v>
      </c>
      <c r="C16581" t="str">
        <f>"72"</f>
        <v>72</v>
      </c>
      <c r="D16581" t="str">
        <f>"Is Is EP"</f>
        <v>Is Is EP</v>
      </c>
    </row>
    <row r="16582" spans="1:4" x14ac:dyDescent="0.2">
      <c r="A16582" t="str">
        <f>"16581"</f>
        <v>16581</v>
      </c>
      <c r="B16582" t="str">
        <f>"-1.65"</f>
        <v>-1.65</v>
      </c>
      <c r="C16582" t="str">
        <f>"26"</f>
        <v>26</v>
      </c>
      <c r="D16582" t="str">
        <f>"Emerald City"</f>
        <v>Emerald City</v>
      </c>
    </row>
    <row r="16583" spans="1:4" x14ac:dyDescent="0.2">
      <c r="A16583" t="str">
        <f>"16582"</f>
        <v>16582</v>
      </c>
      <c r="B16583" t="str">
        <f>"-0.48"</f>
        <v>-0.48</v>
      </c>
      <c r="C16583" t="str">
        <f>"64"</f>
        <v>64</v>
      </c>
      <c r="D16583" t="str">
        <f>"Fancy Footwork"</f>
        <v>Fancy Footwork</v>
      </c>
    </row>
    <row r="16584" spans="1:4" x14ac:dyDescent="0.2">
      <c r="A16584" t="str">
        <f>"16583"</f>
        <v>16583</v>
      </c>
      <c r="B16584" t="str">
        <f>"0.41"</f>
        <v>0.41</v>
      </c>
      <c r="C16584" t="str">
        <f>"17"</f>
        <v>17</v>
      </c>
      <c r="D16584" t="str">
        <f>"Moonlight Farm"</f>
        <v>Moonlight Farm</v>
      </c>
    </row>
    <row r="16585" spans="1:4" x14ac:dyDescent="0.2">
      <c r="A16585" t="str">
        <f>"16584"</f>
        <v>16584</v>
      </c>
      <c r="B16585" t="str">
        <f>"0.29"</f>
        <v>0.29</v>
      </c>
      <c r="C16585" t="str">
        <f>"17"</f>
        <v>17</v>
      </c>
      <c r="D16585" t="str">
        <f>"Lion the Girl"</f>
        <v>Lion the Girl</v>
      </c>
    </row>
    <row r="16586" spans="1:4" x14ac:dyDescent="0.2">
      <c r="A16586" t="str">
        <f>"16585"</f>
        <v>16585</v>
      </c>
      <c r="B16586" t="str">
        <f>"-0.41"</f>
        <v>-0.41</v>
      </c>
      <c r="C16586" t="str">
        <f>"95"</f>
        <v>95</v>
      </c>
      <c r="D16586" t="str">
        <f>"Planet Earth"</f>
        <v>Planet Earth</v>
      </c>
    </row>
    <row r="16587" spans="1:4" x14ac:dyDescent="0.2">
      <c r="A16587" t="str">
        <f>"16586"</f>
        <v>16586</v>
      </c>
      <c r="B16587" t="str">
        <f>"-0.7"</f>
        <v>-0.7</v>
      </c>
      <c r="C16587" t="str">
        <f>"30"</f>
        <v>30</v>
      </c>
      <c r="D16587" t="str">
        <f>"Absolute Garbage"</f>
        <v>Absolute Garbage</v>
      </c>
    </row>
    <row r="16588" spans="1:4" x14ac:dyDescent="0.2">
      <c r="A16588" t="str">
        <f>"16587"</f>
        <v>16587</v>
      </c>
      <c r="B16588" t="str">
        <f>"0.5"</f>
        <v>0.5</v>
      </c>
      <c r="C16588" t="str">
        <f>"110"</f>
        <v>110</v>
      </c>
      <c r="D16588" t="str">
        <f>"Eccentric Soul: The Prix Label"</f>
        <v>Eccentric Soul: The Prix Label</v>
      </c>
    </row>
    <row r="16589" spans="1:4" x14ac:dyDescent="0.2">
      <c r="A16589" t="str">
        <f>"16588"</f>
        <v>16588</v>
      </c>
      <c r="B16589" t="str">
        <f>"0.19"</f>
        <v>0.19</v>
      </c>
      <c r="C16589" t="str">
        <f>"21"</f>
        <v>21</v>
      </c>
      <c r="D16589" t="str">
        <f>"Atomic Yggdrasil Tarot"</f>
        <v>Atomic Yggdrasil Tarot</v>
      </c>
    </row>
    <row r="16590" spans="1:4" x14ac:dyDescent="0.2">
      <c r="A16590" t="str">
        <f>"16589"</f>
        <v>16589</v>
      </c>
      <c r="B16590" t="str">
        <f>"-1.18"</f>
        <v>-1.18</v>
      </c>
      <c r="C16590" t="str">
        <f>"47"</f>
        <v>47</v>
      </c>
      <c r="D16590" t="str">
        <f>"New Wave"</f>
        <v>New Wave</v>
      </c>
    </row>
    <row r="16591" spans="1:4" x14ac:dyDescent="0.2">
      <c r="A16591" t="str">
        <f>"16590"</f>
        <v>16590</v>
      </c>
      <c r="B16591" t="str">
        <f>"0.33"</f>
        <v>0.33</v>
      </c>
      <c r="C16591" t="str">
        <f>"99"</f>
        <v>99</v>
      </c>
      <c r="D16591" t="str">
        <f>"Sticking Fingers Into Sockets EP"</f>
        <v>Sticking Fingers Into Sockets EP</v>
      </c>
    </row>
    <row r="16592" spans="1:4" x14ac:dyDescent="0.2">
      <c r="A16592" t="str">
        <f>"16591"</f>
        <v>16591</v>
      </c>
      <c r="B16592" t="str">
        <f>"0.42"</f>
        <v>0.42</v>
      </c>
      <c r="C16592" t="str">
        <f>"57"</f>
        <v>57</v>
      </c>
      <c r="D16592" t="str">
        <f>"The Freed Man"</f>
        <v>The Freed Man</v>
      </c>
    </row>
    <row r="16593" spans="1:4" x14ac:dyDescent="0.2">
      <c r="A16593" t="str">
        <f>"16592"</f>
        <v>16592</v>
      </c>
      <c r="B16593" t="str">
        <f>"0.54"</f>
        <v>0.54</v>
      </c>
      <c r="C16593" t="str">
        <f>"107"</f>
        <v>107</v>
      </c>
      <c r="D16593" t="str">
        <f>"All the Birds Were Anarchists"</f>
        <v>All the Birds Were Anarchists</v>
      </c>
    </row>
    <row r="16594" spans="1:4" x14ac:dyDescent="0.2">
      <c r="A16594" t="str">
        <f>"16593"</f>
        <v>16593</v>
      </c>
      <c r="B16594" t="str">
        <f>"-0.36"</f>
        <v>-0.36</v>
      </c>
      <c r="C16594" t="str">
        <f>"23"</f>
        <v>23</v>
      </c>
      <c r="D16594" t="str">
        <f>"Streams"</f>
        <v>Streams</v>
      </c>
    </row>
    <row r="16595" spans="1:4" x14ac:dyDescent="0.2">
      <c r="A16595" t="str">
        <f>"16594"</f>
        <v>16594</v>
      </c>
      <c r="B16595" t="str">
        <f>"0.17"</f>
        <v>0.17</v>
      </c>
      <c r="C16595" t="str">
        <f>"23"</f>
        <v>23</v>
      </c>
      <c r="D16595" t="str">
        <f>"Aelita"</f>
        <v>Aelita</v>
      </c>
    </row>
    <row r="16596" spans="1:4" x14ac:dyDescent="0.2">
      <c r="A16596" t="str">
        <f>"16595"</f>
        <v>16595</v>
      </c>
      <c r="B16596" t="str">
        <f>"0.06"</f>
        <v>0.06</v>
      </c>
      <c r="C16596" t="str">
        <f>"16"</f>
        <v>16</v>
      </c>
      <c r="D16596" t="str">
        <f>"Death of the Sun"</f>
        <v>Death of the Sun</v>
      </c>
    </row>
    <row r="16597" spans="1:4" x14ac:dyDescent="0.2">
      <c r="A16597" t="str">
        <f>"16596"</f>
        <v>16596</v>
      </c>
      <c r="B16597" t="str">
        <f>"-0.88"</f>
        <v>-0.88</v>
      </c>
      <c r="C16597" t="str">
        <f>"23"</f>
        <v>23</v>
      </c>
      <c r="D16597" t="str">
        <f>"Silent Shout Deluxe Edition"</f>
        <v>Silent Shout Deluxe Edition</v>
      </c>
    </row>
    <row r="16598" spans="1:4" x14ac:dyDescent="0.2">
      <c r="A16598" t="str">
        <f>"16597"</f>
        <v>16597</v>
      </c>
      <c r="B16598" t="str">
        <f>"-0.43"</f>
        <v>-0.43</v>
      </c>
      <c r="C16598" t="str">
        <f>"19"</f>
        <v>19</v>
      </c>
      <c r="D16598" t="s">
        <v>535</v>
      </c>
    </row>
    <row r="16599" spans="1:4" x14ac:dyDescent="0.2">
      <c r="A16599" t="str">
        <f>"16598"</f>
        <v>16598</v>
      </c>
      <c r="B16599" t="str">
        <f>"0.52"</f>
        <v>0.52</v>
      </c>
      <c r="C16599" t="str">
        <f>"39"</f>
        <v>39</v>
      </c>
      <c r="D16599" t="str">
        <f>"The Great Koonaklaster Speaks: A John Fahey Celebration"</f>
        <v>The Great Koonaklaster Speaks: A John Fahey Celebration</v>
      </c>
    </row>
    <row r="16600" spans="1:4" x14ac:dyDescent="0.2">
      <c r="A16600" t="str">
        <f>"16599"</f>
        <v>16599</v>
      </c>
      <c r="B16600" t="str">
        <f>"0.01"</f>
        <v>0.01</v>
      </c>
      <c r="C16600" t="str">
        <f>"21"</f>
        <v>21</v>
      </c>
      <c r="D16600" t="str">
        <f>"Burning Off Impurities"</f>
        <v>Burning Off Impurities</v>
      </c>
    </row>
    <row r="16601" spans="1:4" x14ac:dyDescent="0.2">
      <c r="A16601" t="str">
        <f>"16600"</f>
        <v>16600</v>
      </c>
      <c r="B16601" t="str">
        <f>"1.26"</f>
        <v>1.26</v>
      </c>
      <c r="C16601" t="str">
        <f>"25"</f>
        <v>25</v>
      </c>
      <c r="D16601" t="str">
        <f>"Rise to Your Knees"</f>
        <v>Rise to Your Knees</v>
      </c>
    </row>
    <row r="16602" spans="1:4" x14ac:dyDescent="0.2">
      <c r="A16602" t="str">
        <f>"16601"</f>
        <v>16601</v>
      </c>
      <c r="B16602" t="str">
        <f>"-0.02"</f>
        <v>-0.02</v>
      </c>
      <c r="C16602" t="str">
        <f>"59"</f>
        <v>59</v>
      </c>
      <c r="D16602" t="str">
        <f>"An End Has a Start"</f>
        <v>An End Has a Start</v>
      </c>
    </row>
    <row r="16603" spans="1:4" x14ac:dyDescent="0.2">
      <c r="A16603" t="str">
        <f>"16602"</f>
        <v>16602</v>
      </c>
      <c r="B16603" t="str">
        <f>"0.71"</f>
        <v>0.71</v>
      </c>
      <c r="C16603" t="str">
        <f>"32"</f>
        <v>32</v>
      </c>
      <c r="D16603" t="str">
        <f>"5 Years Get Physical"</f>
        <v>5 Years Get Physical</v>
      </c>
    </row>
    <row r="16604" spans="1:4" x14ac:dyDescent="0.2">
      <c r="A16604" t="str">
        <f>"16603"</f>
        <v>16603</v>
      </c>
      <c r="B16604" t="str">
        <f>"-0.05"</f>
        <v>-0.05</v>
      </c>
      <c r="C16604" t="str">
        <f>"88"</f>
        <v>88</v>
      </c>
      <c r="D16604" t="str">
        <f>"Lucas"</f>
        <v>Lucas</v>
      </c>
    </row>
    <row r="16605" spans="1:4" x14ac:dyDescent="0.2">
      <c r="A16605" t="str">
        <f>"16604"</f>
        <v>16604</v>
      </c>
      <c r="B16605" t="str">
        <f>"0.05"</f>
        <v>0.05</v>
      </c>
      <c r="C16605" t="str">
        <f>"46"</f>
        <v>46</v>
      </c>
      <c r="D16605" t="str">
        <f>"Nu-Med"</f>
        <v>Nu-Med</v>
      </c>
    </row>
    <row r="16606" spans="1:4" x14ac:dyDescent="0.2">
      <c r="A16606" t="str">
        <f>"16605"</f>
        <v>16605</v>
      </c>
      <c r="B16606" t="str">
        <f>"0.07"</f>
        <v>0.07</v>
      </c>
      <c r="C16606" t="str">
        <f>"30"</f>
        <v>30</v>
      </c>
      <c r="D16606" t="str">
        <f>"UFOs at the Zoo: The Legendary Concert in Oklahoma City"</f>
        <v>UFOs at the Zoo: The Legendary Concert in Oklahoma City</v>
      </c>
    </row>
    <row r="16607" spans="1:4" x14ac:dyDescent="0.2">
      <c r="A16607" t="str">
        <f>"16606"</f>
        <v>16606</v>
      </c>
      <c r="B16607" t="str">
        <f>"-0.16"</f>
        <v>-0.16</v>
      </c>
      <c r="C16607" t="str">
        <f>"71"</f>
        <v>71</v>
      </c>
      <c r="D16607" t="s">
        <v>536</v>
      </c>
    </row>
    <row r="16608" spans="1:4" x14ac:dyDescent="0.2">
      <c r="A16608" t="str">
        <f>"16607"</f>
        <v>16607</v>
      </c>
      <c r="B16608" t="str">
        <f>"-0.98"</f>
        <v>-0.98</v>
      </c>
      <c r="C16608" t="str">
        <f>"83"</f>
        <v>83</v>
      </c>
      <c r="D16608" t="str">
        <f>"New Waves EP"</f>
        <v>New Waves EP</v>
      </c>
    </row>
    <row r="16609" spans="1:4" x14ac:dyDescent="0.2">
      <c r="A16609" t="str">
        <f>"16608"</f>
        <v>16608</v>
      </c>
      <c r="B16609" t="str">
        <f>"0.66"</f>
        <v>0.66</v>
      </c>
      <c r="C16609" t="str">
        <f>"70"</f>
        <v>70</v>
      </c>
      <c r="D16609" t="str">
        <f>"Keep Reachin' Up"</f>
        <v>Keep Reachin' Up</v>
      </c>
    </row>
    <row r="16610" spans="1:4" x14ac:dyDescent="0.2">
      <c r="A16610" t="str">
        <f>"16609"</f>
        <v>16609</v>
      </c>
      <c r="B16610" t="str">
        <f>"1.12"</f>
        <v>1.12</v>
      </c>
      <c r="C16610" t="str">
        <f>"19"</f>
        <v>19</v>
      </c>
      <c r="D16610" t="str">
        <f>"Dance Positive"</f>
        <v>Dance Positive</v>
      </c>
    </row>
    <row r="16611" spans="1:4" x14ac:dyDescent="0.2">
      <c r="A16611" t="str">
        <f>"16610"</f>
        <v>16610</v>
      </c>
      <c r="B16611" t="str">
        <f>"0.68"</f>
        <v>0.68</v>
      </c>
      <c r="C16611" t="str">
        <f>"25"</f>
        <v>25</v>
      </c>
      <c r="D16611" t="str">
        <f>"The Else"</f>
        <v>The Else</v>
      </c>
    </row>
    <row r="16612" spans="1:4" x14ac:dyDescent="0.2">
      <c r="A16612" t="str">
        <f>"16611"</f>
        <v>16611</v>
      </c>
      <c r="B16612" t="str">
        <f>"0.33"</f>
        <v>0.33</v>
      </c>
      <c r="C16612" t="str">
        <f>"76"</f>
        <v>76</v>
      </c>
      <c r="D16612" t="str">
        <f>"Saturday Night Fever"</f>
        <v>Saturday Night Fever</v>
      </c>
    </row>
    <row r="16613" spans="1:4" x14ac:dyDescent="0.2">
      <c r="A16613" t="str">
        <f>"16612"</f>
        <v>16612</v>
      </c>
      <c r="B16613" t="str">
        <f>"0.35"</f>
        <v>0.35</v>
      </c>
      <c r="C16613" t="str">
        <f>"23"</f>
        <v>23</v>
      </c>
      <c r="D16613" t="str">
        <f>"Efdemin"</f>
        <v>Efdemin</v>
      </c>
    </row>
    <row r="16614" spans="1:4" x14ac:dyDescent="0.2">
      <c r="A16614" t="str">
        <f>"16613"</f>
        <v>16613</v>
      </c>
      <c r="B16614" t="str">
        <f>"-0.74"</f>
        <v>-0.74</v>
      </c>
      <c r="C16614" t="str">
        <f>"68"</f>
        <v>68</v>
      </c>
      <c r="D16614" t="str">
        <f>"Idealism"</f>
        <v>Idealism</v>
      </c>
    </row>
    <row r="16615" spans="1:4" x14ac:dyDescent="0.2">
      <c r="A16615" t="str">
        <f>"16614"</f>
        <v>16614</v>
      </c>
      <c r="B16615" t="str">
        <f>"-0.85"</f>
        <v>-0.85</v>
      </c>
      <c r="C16615" t="str">
        <f>"69"</f>
        <v>69</v>
      </c>
      <c r="D16615" t="str">
        <f>"Still Alive"</f>
        <v>Still Alive</v>
      </c>
    </row>
    <row r="16616" spans="1:4" x14ac:dyDescent="0.2">
      <c r="A16616" t="str">
        <f>"16615"</f>
        <v>16615</v>
      </c>
      <c r="B16616" t="str">
        <f>"0.65"</f>
        <v>0.65</v>
      </c>
      <c r="C16616" t="str">
        <f>"74"</f>
        <v>74</v>
      </c>
      <c r="D16616" t="str">
        <f>"Family Tree"</f>
        <v>Family Tree</v>
      </c>
    </row>
    <row r="16617" spans="1:4" x14ac:dyDescent="0.2">
      <c r="A16617" t="str">
        <f>"16616"</f>
        <v>16616</v>
      </c>
      <c r="B16617" t="str">
        <f>"-1.32"</f>
        <v>-1.32</v>
      </c>
      <c r="C16617" t="str">
        <f>"19"</f>
        <v>19</v>
      </c>
      <c r="D16617" t="str">
        <f>"The Friends EP"</f>
        <v>The Friends EP</v>
      </c>
    </row>
    <row r="16618" spans="1:4" x14ac:dyDescent="0.2">
      <c r="A16618" t="str">
        <f>"16617"</f>
        <v>16617</v>
      </c>
      <c r="B16618" t="str">
        <f>"0.03"</f>
        <v>0.03</v>
      </c>
      <c r="C16618" t="str">
        <f>"121"</f>
        <v>121</v>
      </c>
      <c r="D16618" t="str">
        <f>"Extricate"</f>
        <v>Extricate</v>
      </c>
    </row>
    <row r="16619" spans="1:4" x14ac:dyDescent="0.2">
      <c r="A16619" t="str">
        <f>"16618"</f>
        <v>16618</v>
      </c>
      <c r="B16619" t="str">
        <f>"1.21"</f>
        <v>1.21</v>
      </c>
      <c r="C16619" t="str">
        <f>"28"</f>
        <v>28</v>
      </c>
      <c r="D16619" t="str">
        <f>"At My Age"</f>
        <v>At My Age</v>
      </c>
    </row>
    <row r="16620" spans="1:4" x14ac:dyDescent="0.2">
      <c r="A16620" t="str">
        <f>"16619"</f>
        <v>16619</v>
      </c>
      <c r="B16620" t="str">
        <f>"-1.08"</f>
        <v>-1.08</v>
      </c>
      <c r="C16620" t="str">
        <f>"22"</f>
        <v>22</v>
      </c>
      <c r="D16620" t="str">
        <f>"The Midnight Room"</f>
        <v>The Midnight Room</v>
      </c>
    </row>
    <row r="16621" spans="1:4" x14ac:dyDescent="0.2">
      <c r="A16621" t="str">
        <f>"16620"</f>
        <v>16620</v>
      </c>
      <c r="B16621" t="str">
        <f>"-0.41"</f>
        <v>-0.41</v>
      </c>
      <c r="C16621" t="str">
        <f>"21"</f>
        <v>21</v>
      </c>
      <c r="D16621" t="str">
        <f>"Goodbye"</f>
        <v>Goodbye</v>
      </c>
    </row>
    <row r="16622" spans="1:4" x14ac:dyDescent="0.2">
      <c r="A16622" t="str">
        <f>"16621"</f>
        <v>16621</v>
      </c>
      <c r="B16622" t="str">
        <f>"0.83"</f>
        <v>0.83</v>
      </c>
      <c r="C16622" t="str">
        <f>"59"</f>
        <v>59</v>
      </c>
      <c r="D16622" t="str">
        <f>"Ga Ga Ga Ga Ga"</f>
        <v>Ga Ga Ga Ga Ga</v>
      </c>
    </row>
    <row r="16623" spans="1:4" x14ac:dyDescent="0.2">
      <c r="A16623" t="str">
        <f>"16622"</f>
        <v>16622</v>
      </c>
      <c r="B16623" t="str">
        <f>"0.27"</f>
        <v>0.27</v>
      </c>
      <c r="C16623" t="str">
        <f>"22"</f>
        <v>22</v>
      </c>
      <c r="D16623" t="str">
        <f>"Sirens of the Ditch"</f>
        <v>Sirens of the Ditch</v>
      </c>
    </row>
    <row r="16624" spans="1:4" x14ac:dyDescent="0.2">
      <c r="A16624" t="str">
        <f>"16623"</f>
        <v>16623</v>
      </c>
      <c r="B16624" t="str">
        <f>"-0.25"</f>
        <v>-0.25</v>
      </c>
      <c r="C16624" t="str">
        <f>"52"</f>
        <v>52</v>
      </c>
      <c r="D16624" t="str">
        <f>"In Camera"</f>
        <v>In Camera</v>
      </c>
    </row>
    <row r="16625" spans="1:4" x14ac:dyDescent="0.2">
      <c r="A16625" t="str">
        <f>"16624"</f>
        <v>16624</v>
      </c>
      <c r="B16625" t="str">
        <f>"-0.03"</f>
        <v>-0.03</v>
      </c>
      <c r="C16625" t="str">
        <f>"33"</f>
        <v>33</v>
      </c>
      <c r="D16625" t="str">
        <f>"Storyteller &amp; the Gossip Columnist"</f>
        <v>Storyteller &amp; the Gossip Columnist</v>
      </c>
    </row>
    <row r="16626" spans="1:4" x14ac:dyDescent="0.2">
      <c r="A16626" t="str">
        <f>"16625"</f>
        <v>16625</v>
      </c>
      <c r="B16626" t="str">
        <f>"0.23"</f>
        <v>0.23</v>
      </c>
      <c r="C16626" t="str">
        <f>"95"</f>
        <v>95</v>
      </c>
      <c r="D16626" t="str">
        <f>"Our Love to Admire"</f>
        <v>Our Love to Admire</v>
      </c>
    </row>
    <row r="16627" spans="1:4" x14ac:dyDescent="0.2">
      <c r="A16627" t="str">
        <f>"16626"</f>
        <v>16626</v>
      </c>
      <c r="B16627" t="str">
        <f>"0.44"</f>
        <v>0.44</v>
      </c>
      <c r="C16627" t="str">
        <f>"68"</f>
        <v>68</v>
      </c>
      <c r="D16627" t="str">
        <f>"93-03"</f>
        <v>93-03</v>
      </c>
    </row>
    <row r="16628" spans="1:4" x14ac:dyDescent="0.2">
      <c r="A16628" t="str">
        <f>"16627"</f>
        <v>16627</v>
      </c>
      <c r="B16628" t="str">
        <f>"-0.42"</f>
        <v>-0.42</v>
      </c>
      <c r="C16628" t="str">
        <f>"23"</f>
        <v>23</v>
      </c>
      <c r="D16628" t="str">
        <f>"Promised Works"</f>
        <v>Promised Works</v>
      </c>
    </row>
    <row r="16629" spans="1:4" x14ac:dyDescent="0.2">
      <c r="A16629" t="str">
        <f>"16628"</f>
        <v>16628</v>
      </c>
      <c r="B16629" t="str">
        <f>"-0.04"</f>
        <v>-0.04</v>
      </c>
      <c r="C16629" t="str">
        <f>"66"</f>
        <v>66</v>
      </c>
      <c r="D16629" t="str">
        <f>"In Dub"</f>
        <v>In Dub</v>
      </c>
    </row>
    <row r="16630" spans="1:4" x14ac:dyDescent="0.2">
      <c r="A16630" t="str">
        <f>"16629"</f>
        <v>16629</v>
      </c>
      <c r="B16630" t="str">
        <f>"0.58"</f>
        <v>0.58</v>
      </c>
      <c r="C16630" t="str">
        <f>"21"</f>
        <v>21</v>
      </c>
      <c r="D16630" t="str">
        <f>"Sacchrilege EP"</f>
        <v>Sacchrilege EP</v>
      </c>
    </row>
    <row r="16631" spans="1:4" x14ac:dyDescent="0.2">
      <c r="A16631" t="str">
        <f>"16630"</f>
        <v>16630</v>
      </c>
      <c r="B16631" t="str">
        <f>"-0.51"</f>
        <v>-0.51</v>
      </c>
      <c r="C16631" t="str">
        <f>"35"</f>
        <v>35</v>
      </c>
      <c r="D16631" t="str">
        <f>"Zeitgeist"</f>
        <v>Zeitgeist</v>
      </c>
    </row>
    <row r="16632" spans="1:4" x14ac:dyDescent="0.2">
      <c r="A16632" t="str">
        <f>"16631"</f>
        <v>16631</v>
      </c>
      <c r="B16632" t="str">
        <f>"0.66"</f>
        <v>0.66</v>
      </c>
      <c r="C16632" t="str">
        <f>"53"</f>
        <v>53</v>
      </c>
      <c r="D16632" t="str">
        <f>"Duet for Guitars #2"</f>
        <v>Duet for Guitars #2</v>
      </c>
    </row>
    <row r="16633" spans="1:4" x14ac:dyDescent="0.2">
      <c r="A16633" t="str">
        <f>"16632"</f>
        <v>16632</v>
      </c>
      <c r="B16633" t="str">
        <f>"0.48"</f>
        <v>0.48</v>
      </c>
      <c r="C16633" t="str">
        <f>"18"</f>
        <v>18</v>
      </c>
      <c r="D16633" t="str">
        <f>"Crystal Healing"</f>
        <v>Crystal Healing</v>
      </c>
    </row>
    <row r="16634" spans="1:4" x14ac:dyDescent="0.2">
      <c r="A16634" t="str">
        <f>"16633"</f>
        <v>16633</v>
      </c>
      <c r="B16634" t="str">
        <f>"0.19"</f>
        <v>0.19</v>
      </c>
      <c r="C16634" t="str">
        <f>"31"</f>
        <v>31</v>
      </c>
      <c r="D16634" t="str">
        <f>"Inventions for the New Season"</f>
        <v>Inventions for the New Season</v>
      </c>
    </row>
    <row r="16635" spans="1:4" x14ac:dyDescent="0.2">
      <c r="A16635" t="str">
        <f>"16634"</f>
        <v>16634</v>
      </c>
      <c r="B16635" t="str">
        <f>"-0.28"</f>
        <v>-0.28</v>
      </c>
      <c r="C16635" t="str">
        <f>"22"</f>
        <v>22</v>
      </c>
      <c r="D16635" t="str">
        <f>"Burn Your Own Church"</f>
        <v>Burn Your Own Church</v>
      </c>
    </row>
    <row r="16636" spans="1:4" x14ac:dyDescent="0.2">
      <c r="A16636" t="str">
        <f>"16635"</f>
        <v>16635</v>
      </c>
      <c r="B16636" t="str">
        <f>"0.31"</f>
        <v>0.31</v>
      </c>
      <c r="C16636" t="str">
        <f>"19"</f>
        <v>19</v>
      </c>
      <c r="D16636" t="str">
        <f>"Rushup Edge EP"</f>
        <v>Rushup Edge EP</v>
      </c>
    </row>
    <row r="16637" spans="1:4" x14ac:dyDescent="0.2">
      <c r="A16637" t="str">
        <f>"16636"</f>
        <v>16636</v>
      </c>
      <c r="B16637" t="str">
        <f>"0.81"</f>
        <v>0.81</v>
      </c>
      <c r="C16637" t="str">
        <f>"20"</f>
        <v>20</v>
      </c>
      <c r="D16637" t="str">
        <f>"Best of Bowie: 1980-1987"</f>
        <v>Best of Bowie: 1980-1987</v>
      </c>
    </row>
    <row r="16638" spans="1:4" x14ac:dyDescent="0.2">
      <c r="A16638" t="str">
        <f>"16637"</f>
        <v>16637</v>
      </c>
      <c r="B16638" t="str">
        <f>"0.21"</f>
        <v>0.21</v>
      </c>
      <c r="C16638" t="str">
        <f>"23"</f>
        <v>23</v>
      </c>
      <c r="D16638" t="str">
        <f>"Let's Drag Our Feet"</f>
        <v>Let's Drag Our Feet</v>
      </c>
    </row>
    <row r="16639" spans="1:4" x14ac:dyDescent="0.2">
      <c r="A16639" t="str">
        <f>"16638"</f>
        <v>16638</v>
      </c>
      <c r="B16639" t="str">
        <f>"0.04"</f>
        <v>0.04</v>
      </c>
      <c r="C16639" t="str">
        <f>"28"</f>
        <v>28</v>
      </c>
      <c r="D16639" t="str">
        <f>"Lose All Time"</f>
        <v>Lose All Time</v>
      </c>
    </row>
    <row r="16640" spans="1:4" x14ac:dyDescent="0.2">
      <c r="A16640" t="str">
        <f>"16639"</f>
        <v>16639</v>
      </c>
      <c r="B16640" t="str">
        <f>"-0.08"</f>
        <v>-0.08</v>
      </c>
      <c r="C16640" t="str">
        <f>"18"</f>
        <v>18</v>
      </c>
      <c r="D16640" t="str">
        <f>"Excerpts from the Broken Bone Choir"</f>
        <v>Excerpts from the Broken Bone Choir</v>
      </c>
    </row>
    <row r="16641" spans="1:4" x14ac:dyDescent="0.2">
      <c r="A16641" t="str">
        <f>"16640"</f>
        <v>16640</v>
      </c>
      <c r="B16641" t="str">
        <f>"-0.01"</f>
        <v>-0.01</v>
      </c>
      <c r="C16641" t="str">
        <f>"44"</f>
        <v>44</v>
      </c>
      <c r="D16641" t="str">
        <f>"T.I. vs. T.I.P."</f>
        <v>T.I. vs. T.I.P.</v>
      </c>
    </row>
    <row r="16642" spans="1:4" x14ac:dyDescent="0.2">
      <c r="A16642" t="str">
        <f>"16641"</f>
        <v>16641</v>
      </c>
      <c r="B16642" t="str">
        <f>"0.46"</f>
        <v>0.46</v>
      </c>
      <c r="C16642" t="str">
        <f>"105"</f>
        <v>105</v>
      </c>
      <c r="D16642" t="str">
        <f>"The Blue Thumb Recordings"</f>
        <v>The Blue Thumb Recordings</v>
      </c>
    </row>
    <row r="16643" spans="1:4" x14ac:dyDescent="0.2">
      <c r="A16643" t="str">
        <f>"16642"</f>
        <v>16642</v>
      </c>
      <c r="B16643" t="str">
        <f>"0.88"</f>
        <v>0.88</v>
      </c>
      <c r="C16643" t="str">
        <f>"20"</f>
        <v>20</v>
      </c>
      <c r="D16643" t="str">
        <f>"Octopus"</f>
        <v>Octopus</v>
      </c>
    </row>
    <row r="16644" spans="1:4" x14ac:dyDescent="0.2">
      <c r="A16644" t="str">
        <f>"16643"</f>
        <v>16643</v>
      </c>
      <c r="B16644" t="str">
        <f>"0.43"</f>
        <v>0.43</v>
      </c>
      <c r="C16644" t="str">
        <f>"18"</f>
        <v>18</v>
      </c>
      <c r="D16644" t="str">
        <f>"Plastic Bag in the Tree"</f>
        <v>Plastic Bag in the Tree</v>
      </c>
    </row>
    <row r="16645" spans="1:4" x14ac:dyDescent="0.2">
      <c r="A16645" t="str">
        <f>"16644"</f>
        <v>16644</v>
      </c>
      <c r="B16645" t="str">
        <f>"0.38"</f>
        <v>0.38</v>
      </c>
      <c r="C16645" t="str">
        <f>"16"</f>
        <v>16</v>
      </c>
      <c r="D16645" t="str">
        <f>"Well Well Well"</f>
        <v>Well Well Well</v>
      </c>
    </row>
    <row r="16646" spans="1:4" x14ac:dyDescent="0.2">
      <c r="A16646" t="str">
        <f>"16645"</f>
        <v>16645</v>
      </c>
      <c r="B16646" t="str">
        <f>"0.03"</f>
        <v>0.03</v>
      </c>
      <c r="C16646" t="str">
        <f>"44"</f>
        <v>44</v>
      </c>
      <c r="D16646" t="str">
        <f>"Grow Up and Blow Away"</f>
        <v>Grow Up and Blow Away</v>
      </c>
    </row>
    <row r="16647" spans="1:4" x14ac:dyDescent="0.2">
      <c r="A16647" t="str">
        <f>"16646"</f>
        <v>16646</v>
      </c>
      <c r="B16647" t="str">
        <f>"-0.02"</f>
        <v>-0.02</v>
      </c>
      <c r="C16647" t="str">
        <f>"56"</f>
        <v>56</v>
      </c>
      <c r="D16647" t="str">
        <f>"What Is?!"</f>
        <v>What Is?!</v>
      </c>
    </row>
    <row r="16648" spans="1:4" x14ac:dyDescent="0.2">
      <c r="A16648" t="str">
        <f>"16647"</f>
        <v>16647</v>
      </c>
      <c r="B16648" t="str">
        <f>"-0.19"</f>
        <v>-0.19</v>
      </c>
      <c r="C16648" t="str">
        <f>"31"</f>
        <v>31</v>
      </c>
      <c r="D16648" t="str">
        <f>"Au"</f>
        <v>Au</v>
      </c>
    </row>
    <row r="16649" spans="1:4" x14ac:dyDescent="0.2">
      <c r="A16649" t="str">
        <f>"16648"</f>
        <v>16648</v>
      </c>
      <c r="B16649" t="str">
        <f>"0.34"</f>
        <v>0.34</v>
      </c>
      <c r="C16649" t="str">
        <f>"60"</f>
        <v>60</v>
      </c>
      <c r="D16649" t="str">
        <f>"Amateur"</f>
        <v>Amateur</v>
      </c>
    </row>
    <row r="16650" spans="1:4" x14ac:dyDescent="0.2">
      <c r="A16650" t="str">
        <f>"16649"</f>
        <v>16649</v>
      </c>
      <c r="B16650" t="str">
        <f>"0.23"</f>
        <v>0.23</v>
      </c>
      <c r="C16650" t="str">
        <f>"95"</f>
        <v>95</v>
      </c>
      <c r="D16650" t="str">
        <f>"On the Plains"</f>
        <v>On the Plains</v>
      </c>
    </row>
    <row r="16651" spans="1:4" x14ac:dyDescent="0.2">
      <c r="A16651" t="str">
        <f>"16650"</f>
        <v>16650</v>
      </c>
      <c r="B16651" t="str">
        <f>"-0.23"</f>
        <v>-0.23</v>
      </c>
      <c r="C16651" t="str">
        <f>"31"</f>
        <v>31</v>
      </c>
      <c r="D16651" t="str">
        <f>"We Are the Night"</f>
        <v>We Are the Night</v>
      </c>
    </row>
    <row r="16652" spans="1:4" x14ac:dyDescent="0.2">
      <c r="A16652" t="str">
        <f>"16651"</f>
        <v>16651</v>
      </c>
      <c r="B16652" t="str">
        <f>"1.33"</f>
        <v>1.33</v>
      </c>
      <c r="C16652" t="str">
        <f>"32"</f>
        <v>32</v>
      </c>
      <c r="D16652" t="str">
        <f>"The Cloud of Unknowing"</f>
        <v>The Cloud of Unknowing</v>
      </c>
    </row>
    <row r="16653" spans="1:4" x14ac:dyDescent="0.2">
      <c r="A16653" t="str">
        <f>"16652"</f>
        <v>16652</v>
      </c>
      <c r="B16653" t="str">
        <f>"0.36"</f>
        <v>0.36</v>
      </c>
      <c r="C16653" t="str">
        <f>"19"</f>
        <v>19</v>
      </c>
      <c r="D16653" t="str">
        <f>"Starvation Under Orange Trees"</f>
        <v>Starvation Under Orange Trees</v>
      </c>
    </row>
    <row r="16654" spans="1:4" x14ac:dyDescent="0.2">
      <c r="A16654" t="str">
        <f>"16653"</f>
        <v>16653</v>
      </c>
      <c r="B16654" t="str">
        <f>"-1.17"</f>
        <v>-1.17</v>
      </c>
      <c r="C16654" t="str">
        <f>"17"</f>
        <v>17</v>
      </c>
      <c r="D16654" t="str">
        <f>"Radio Moscow"</f>
        <v>Radio Moscow</v>
      </c>
    </row>
    <row r="16655" spans="1:4" x14ac:dyDescent="0.2">
      <c r="A16655" t="str">
        <f>"16654"</f>
        <v>16654</v>
      </c>
      <c r="B16655" t="str">
        <f>"-0.19"</f>
        <v>-0.19</v>
      </c>
      <c r="C16655" t="str">
        <f>"65"</f>
        <v>65</v>
      </c>
      <c r="D16655" t="str">
        <f>"Anonymous"</f>
        <v>Anonymous</v>
      </c>
    </row>
    <row r="16656" spans="1:4" x14ac:dyDescent="0.2">
      <c r="A16656" t="str">
        <f>"16655"</f>
        <v>16655</v>
      </c>
      <c r="B16656" t="str">
        <f>"0.04"</f>
        <v>0.04</v>
      </c>
      <c r="C16656" t="str">
        <f>"32"</f>
        <v>32</v>
      </c>
      <c r="D16656" t="str">
        <f>"Dylanesque"</f>
        <v>Dylanesque</v>
      </c>
    </row>
    <row r="16657" spans="1:4" x14ac:dyDescent="0.2">
      <c r="A16657" t="str">
        <f>"16656"</f>
        <v>16656</v>
      </c>
      <c r="B16657" t="str">
        <f>"0.15"</f>
        <v>0.15</v>
      </c>
      <c r="C16657" t="str">
        <f>"13"</f>
        <v>13</v>
      </c>
      <c r="D16657" t="str">
        <f>"Hymns for a Dark Horse"</f>
        <v>Hymns for a Dark Horse</v>
      </c>
    </row>
    <row r="16658" spans="1:4" x14ac:dyDescent="0.2">
      <c r="A16658" t="str">
        <f>"16657"</f>
        <v>16657</v>
      </c>
      <c r="B16658" t="str">
        <f>"0.11"</f>
        <v>0.11</v>
      </c>
      <c r="C16658" t="str">
        <f>"18"</f>
        <v>18</v>
      </c>
      <c r="D16658" t="str">
        <f>"The Boy With No Name"</f>
        <v>The Boy With No Name</v>
      </c>
    </row>
    <row r="16659" spans="1:4" x14ac:dyDescent="0.2">
      <c r="A16659" t="str">
        <f>"16658"</f>
        <v>16658</v>
      </c>
      <c r="B16659" t="str">
        <f>"0.65"</f>
        <v>0.65</v>
      </c>
      <c r="C16659" t="str">
        <f>"61"</f>
        <v>61</v>
      </c>
      <c r="D16659" t="str">
        <f>"Spider Smile"</f>
        <v>Spider Smile</v>
      </c>
    </row>
    <row r="16660" spans="1:4" x14ac:dyDescent="0.2">
      <c r="A16660" t="str">
        <f>"16659"</f>
        <v>16659</v>
      </c>
      <c r="B16660" t="str">
        <f>"-0.23"</f>
        <v>-0.23</v>
      </c>
      <c r="C16660" t="str">
        <f>"73"</f>
        <v>73</v>
      </c>
      <c r="D16660" t="str">
        <f>"Drawing Voices"</f>
        <v>Drawing Voices</v>
      </c>
    </row>
    <row r="16661" spans="1:4" x14ac:dyDescent="0.2">
      <c r="A16661" t="str">
        <f>"16660"</f>
        <v>16660</v>
      </c>
      <c r="B16661" t="str">
        <f>"-0.33"</f>
        <v>-0.33</v>
      </c>
      <c r="C16661" t="str">
        <f>"25"</f>
        <v>25</v>
      </c>
      <c r="D16661" t="str">
        <f>"Build a Nation"</f>
        <v>Build a Nation</v>
      </c>
    </row>
    <row r="16662" spans="1:4" x14ac:dyDescent="0.2">
      <c r="A16662" t="str">
        <f>"16661"</f>
        <v>16661</v>
      </c>
      <c r="B16662" t="str">
        <f>"0.46"</f>
        <v>0.46</v>
      </c>
      <c r="C16662" t="str">
        <f>"70"</f>
        <v>70</v>
      </c>
      <c r="D16662" t="str">
        <f>"Open Field"</f>
        <v>Open Field</v>
      </c>
    </row>
    <row r="16663" spans="1:4" x14ac:dyDescent="0.2">
      <c r="A16663" t="str">
        <f>"16662"</f>
        <v>16662</v>
      </c>
      <c r="B16663" t="str">
        <f>"-0.38"</f>
        <v>-0.38</v>
      </c>
      <c r="C16663" t="str">
        <f>"50"</f>
        <v>50</v>
      </c>
      <c r="D16663" t="str">
        <f>"Tied &amp; True"</f>
        <v>Tied &amp; True</v>
      </c>
    </row>
    <row r="16664" spans="1:4" x14ac:dyDescent="0.2">
      <c r="A16664" t="str">
        <f>"16663"</f>
        <v>16663</v>
      </c>
      <c r="B16664" t="str">
        <f>"-0.5"</f>
        <v>-0.5</v>
      </c>
      <c r="C16664" t="str">
        <f>"68"</f>
        <v>68</v>
      </c>
      <c r="D16664" t="str">
        <f>"The Flowers of Hell"</f>
        <v>The Flowers of Hell</v>
      </c>
    </row>
    <row r="16665" spans="1:4" x14ac:dyDescent="0.2">
      <c r="A16665" t="str">
        <f>"16664"</f>
        <v>16664</v>
      </c>
      <c r="B16665" t="str">
        <f>"0.4"</f>
        <v>0.4</v>
      </c>
      <c r="C16665" t="str">
        <f>"95"</f>
        <v>95</v>
      </c>
      <c r="D16665" t="str">
        <f>"We the Best"</f>
        <v>We the Best</v>
      </c>
    </row>
    <row r="16666" spans="1:4" x14ac:dyDescent="0.2">
      <c r="A16666" t="str">
        <f>"16665"</f>
        <v>16665</v>
      </c>
      <c r="B16666" t="str">
        <f>"0.2"</f>
        <v>0.2</v>
      </c>
      <c r="C16666" t="str">
        <f>"82"</f>
        <v>82</v>
      </c>
      <c r="D16666" t="str">
        <f>"Tennessee Fire &amp; At Dawn Demos"</f>
        <v>Tennessee Fire &amp; At Dawn Demos</v>
      </c>
    </row>
    <row r="16667" spans="1:4" x14ac:dyDescent="0.2">
      <c r="A16667" t="str">
        <f>"16666"</f>
        <v>16666</v>
      </c>
      <c r="B16667" t="str">
        <f>"-0.89"</f>
        <v>-0.89</v>
      </c>
      <c r="C16667" t="str">
        <f>"41"</f>
        <v>41</v>
      </c>
      <c r="D16667" t="str">
        <f>"Phantom Limb"</f>
        <v>Phantom Limb</v>
      </c>
    </row>
    <row r="16668" spans="1:4" x14ac:dyDescent="0.2">
      <c r="A16668" t="str">
        <f>"16667"</f>
        <v>16667</v>
      </c>
      <c r="B16668" t="str">
        <f>"0.88"</f>
        <v>0.88</v>
      </c>
      <c r="C16668" t="str">
        <f>"22"</f>
        <v>22</v>
      </c>
      <c r="D16668" t="str">
        <f>"My Ion Truss"</f>
        <v>My Ion Truss</v>
      </c>
    </row>
    <row r="16669" spans="1:4" x14ac:dyDescent="0.2">
      <c r="A16669" t="str">
        <f>"16668"</f>
        <v>16668</v>
      </c>
      <c r="B16669" t="str">
        <f>"1.35"</f>
        <v>1.35</v>
      </c>
      <c r="C16669" t="str">
        <f>"46"</f>
        <v>46</v>
      </c>
      <c r="D16669" t="str">
        <f>"Compass Rose Bouquet"</f>
        <v>Compass Rose Bouquet</v>
      </c>
    </row>
    <row r="16670" spans="1:4" x14ac:dyDescent="0.2">
      <c r="A16670" t="str">
        <f>"16669"</f>
        <v>16669</v>
      </c>
      <c r="B16670" t="str">
        <f>"-0.31"</f>
        <v>-0.31</v>
      </c>
      <c r="C16670" t="str">
        <f>"76"</f>
        <v>76</v>
      </c>
      <c r="D16670" t="str">
        <f>"Colour It In"</f>
        <v>Colour It In</v>
      </c>
    </row>
    <row r="16671" spans="1:4" x14ac:dyDescent="0.2">
      <c r="A16671" t="str">
        <f>"16670"</f>
        <v>16670</v>
      </c>
      <c r="B16671" t="str">
        <f>"-0.89"</f>
        <v>-0.89</v>
      </c>
      <c r="C16671" t="str">
        <f>"26"</f>
        <v>26</v>
      </c>
      <c r="D16671" t="str">
        <f>"The Mix-Up"</f>
        <v>The Mix-Up</v>
      </c>
    </row>
    <row r="16672" spans="1:4" x14ac:dyDescent="0.2">
      <c r="A16672" t="str">
        <f>"16671"</f>
        <v>16671</v>
      </c>
      <c r="B16672" t="str">
        <f>"0.38"</f>
        <v>0.38</v>
      </c>
      <c r="C16672" t="str">
        <f>"112"</f>
        <v>112</v>
      </c>
      <c r="D16672" t="str">
        <f>"Intermission: The Best of the Solo Recordings 1990-1997"</f>
        <v>Intermission: The Best of the Solo Recordings 1990-1997</v>
      </c>
    </row>
    <row r="16673" spans="1:4" x14ac:dyDescent="0.2">
      <c r="A16673" t="str">
        <f>"16672"</f>
        <v>16672</v>
      </c>
      <c r="B16673" t="str">
        <f>"0.42"</f>
        <v>0.42</v>
      </c>
      <c r="C16673" t="str">
        <f>"26"</f>
        <v>26</v>
      </c>
      <c r="D16673" t="str">
        <f>"Bumps"</f>
        <v>Bumps</v>
      </c>
    </row>
    <row r="16674" spans="1:4" x14ac:dyDescent="0.2">
      <c r="A16674" t="str">
        <f>"16673"</f>
        <v>16673</v>
      </c>
      <c r="B16674" t="str">
        <f>"1.03"</f>
        <v>1.03</v>
      </c>
      <c r="C16674" t="str">
        <f>"21"</f>
        <v>21</v>
      </c>
      <c r="D16674" t="str">
        <f>"Gentleman on the Rocks"</f>
        <v>Gentleman on the Rocks</v>
      </c>
    </row>
    <row r="16675" spans="1:4" x14ac:dyDescent="0.2">
      <c r="A16675" t="str">
        <f>"16674"</f>
        <v>16674</v>
      </c>
      <c r="B16675" t="str">
        <f>"-0.69"</f>
        <v>-0.69</v>
      </c>
      <c r="C16675" t="str">
        <f>"65"</f>
        <v>65</v>
      </c>
      <c r="D16675" t="str">
        <f>"Pick Up Sticks"</f>
        <v>Pick Up Sticks</v>
      </c>
    </row>
    <row r="16676" spans="1:4" x14ac:dyDescent="0.2">
      <c r="A16676" t="str">
        <f>"16675"</f>
        <v>16675</v>
      </c>
      <c r="B16676" t="str">
        <f>"-0.51"</f>
        <v>-0.51</v>
      </c>
      <c r="C16676" t="str">
        <f>"86"</f>
        <v>86</v>
      </c>
      <c r="D16676" t="str">
        <f>"Easy Tiger"</f>
        <v>Easy Tiger</v>
      </c>
    </row>
    <row r="16677" spans="1:4" x14ac:dyDescent="0.2">
      <c r="A16677" t="str">
        <f>"16676"</f>
        <v>16676</v>
      </c>
      <c r="B16677" t="str">
        <f>"-0.05"</f>
        <v>-0.05</v>
      </c>
      <c r="C16677" t="str">
        <f>"36"</f>
        <v>36</v>
      </c>
      <c r="D16677" t="str">
        <f>"Desire"</f>
        <v>Desire</v>
      </c>
    </row>
    <row r="16678" spans="1:4" x14ac:dyDescent="0.2">
      <c r="A16678" t="str">
        <f>"16677"</f>
        <v>16677</v>
      </c>
      <c r="B16678" t="str">
        <f>"0.26"</f>
        <v>0.26</v>
      </c>
      <c r="C16678" t="str">
        <f>"48"</f>
        <v>48</v>
      </c>
      <c r="D16678" t="str">
        <f>"Honigpumpe"</f>
        <v>Honigpumpe</v>
      </c>
    </row>
    <row r="16679" spans="1:4" x14ac:dyDescent="0.2">
      <c r="A16679" t="str">
        <f>"16678"</f>
        <v>16678</v>
      </c>
      <c r="B16679" t="str">
        <f>"1.64"</f>
        <v>1.64</v>
      </c>
      <c r="C16679" t="str">
        <f>"69"</f>
        <v>69</v>
      </c>
      <c r="D16679" t="str">
        <f>"Mi Sueño"</f>
        <v>Mi Sueño</v>
      </c>
    </row>
    <row r="16680" spans="1:4" x14ac:dyDescent="0.2">
      <c r="A16680" t="str">
        <f>"16679"</f>
        <v>16679</v>
      </c>
      <c r="B16680" t="str">
        <f>"0.13"</f>
        <v>0.13</v>
      </c>
      <c r="C16680" t="str">
        <f>"90"</f>
        <v>90</v>
      </c>
      <c r="D16680" t="s">
        <v>537</v>
      </c>
    </row>
    <row r="16681" spans="1:4" x14ac:dyDescent="0.2">
      <c r="A16681" t="str">
        <f>"16680"</f>
        <v>16680</v>
      </c>
      <c r="B16681" t="str">
        <f>"0.71"</f>
        <v>0.71</v>
      </c>
      <c r="C16681" t="str">
        <f>"113"</f>
        <v>113</v>
      </c>
      <c r="D16681" t="str">
        <f>"After Dark"</f>
        <v>After Dark</v>
      </c>
    </row>
    <row r="16682" spans="1:4" x14ac:dyDescent="0.2">
      <c r="A16682" t="str">
        <f>"16681"</f>
        <v>16681</v>
      </c>
      <c r="B16682" t="str">
        <f>"0.42"</f>
        <v>0.42</v>
      </c>
      <c r="C16682" t="str">
        <f>"23"</f>
        <v>23</v>
      </c>
      <c r="D16682" t="str">
        <f>"Playtime Is Over"</f>
        <v>Playtime Is Over</v>
      </c>
    </row>
    <row r="16683" spans="1:4" x14ac:dyDescent="0.2">
      <c r="A16683" t="str">
        <f>"16682"</f>
        <v>16682</v>
      </c>
      <c r="B16683" t="str">
        <f>"0.77"</f>
        <v>0.77</v>
      </c>
      <c r="C16683" t="str">
        <f>"21"</f>
        <v>21</v>
      </c>
      <c r="D16683" t="str">
        <f>"Collective Psychosis Begone"</f>
        <v>Collective Psychosis Begone</v>
      </c>
    </row>
    <row r="16684" spans="1:4" x14ac:dyDescent="0.2">
      <c r="A16684" t="str">
        <f>"16683"</f>
        <v>16683</v>
      </c>
      <c r="B16684" t="str">
        <f>"-0.2"</f>
        <v>-0.2</v>
      </c>
      <c r="C16684" t="str">
        <f>"46"</f>
        <v>46</v>
      </c>
      <c r="D16684" t="str">
        <f>"The Scenery of Farewell EP"</f>
        <v>The Scenery of Farewell EP</v>
      </c>
    </row>
    <row r="16685" spans="1:4" x14ac:dyDescent="0.2">
      <c r="A16685" t="str">
        <f>"16684"</f>
        <v>16684</v>
      </c>
      <c r="B16685" t="str">
        <f>"-0.26"</f>
        <v>-0.26</v>
      </c>
      <c r="C16685" t="str">
        <f>"64"</f>
        <v>64</v>
      </c>
      <c r="D16685" t="str">
        <f>"Cue"</f>
        <v>Cue</v>
      </c>
    </row>
    <row r="16686" spans="1:4" x14ac:dyDescent="0.2">
      <c r="A16686" t="str">
        <f>"16685"</f>
        <v>16685</v>
      </c>
      <c r="B16686" t="str">
        <f>"1.11"</f>
        <v>1.11</v>
      </c>
      <c r="C16686" t="str">
        <f>"26"</f>
        <v>26</v>
      </c>
      <c r="D16686" t="str">
        <f>"Attack Decay Sustain Release"</f>
        <v>Attack Decay Sustain Release</v>
      </c>
    </row>
    <row r="16687" spans="1:4" x14ac:dyDescent="0.2">
      <c r="A16687" t="str">
        <f>"16686"</f>
        <v>16686</v>
      </c>
      <c r="B16687" t="str">
        <f>"0.06"</f>
        <v>0.06</v>
      </c>
      <c r="C16687" t="str">
        <f>"22"</f>
        <v>22</v>
      </c>
      <c r="D16687" t="str">
        <f>"Ma Fleur"</f>
        <v>Ma Fleur</v>
      </c>
    </row>
    <row r="16688" spans="1:4" x14ac:dyDescent="0.2">
      <c r="A16688" t="str">
        <f>"16687"</f>
        <v>16687</v>
      </c>
      <c r="B16688" t="str">
        <f>"-1.28"</f>
        <v>-1.28</v>
      </c>
      <c r="C16688" t="str">
        <f>"31"</f>
        <v>31</v>
      </c>
      <c r="D16688" t="str">
        <f>"The Narcotic Story"</f>
        <v>The Narcotic Story</v>
      </c>
    </row>
    <row r="16689" spans="1:4" x14ac:dyDescent="0.2">
      <c r="A16689" t="str">
        <f>"16688"</f>
        <v>16688</v>
      </c>
      <c r="B16689" t="str">
        <f>"0.16"</f>
        <v>0.16</v>
      </c>
      <c r="C16689" t="str">
        <f>"21"</f>
        <v>21</v>
      </c>
      <c r="D16689" t="str">
        <f>"Buried Treasure"</f>
        <v>Buried Treasure</v>
      </c>
    </row>
    <row r="16690" spans="1:4" x14ac:dyDescent="0.2">
      <c r="A16690" t="str">
        <f>"16689"</f>
        <v>16689</v>
      </c>
      <c r="B16690" t="str">
        <f>"0.8"</f>
        <v>0.8</v>
      </c>
      <c r="C16690" t="str">
        <f>"57"</f>
        <v>57</v>
      </c>
      <c r="D16690" t="str">
        <f>"Fantastic Hawk"</f>
        <v>Fantastic Hawk</v>
      </c>
    </row>
    <row r="16691" spans="1:4" x14ac:dyDescent="0.2">
      <c r="A16691" t="str">
        <f>"16690"</f>
        <v>16690</v>
      </c>
      <c r="B16691" t="str">
        <f>"0.86"</f>
        <v>0.86</v>
      </c>
      <c r="C16691" t="str">
        <f>"28"</f>
        <v>28</v>
      </c>
      <c r="D16691" t="str">
        <f>"It's a Bit Complicated"</f>
        <v>It's a Bit Complicated</v>
      </c>
    </row>
    <row r="16692" spans="1:4" x14ac:dyDescent="0.2">
      <c r="A16692" t="str">
        <f>"16691"</f>
        <v>16691</v>
      </c>
      <c r="B16692" t="str">
        <f>"0.32"</f>
        <v>0.32</v>
      </c>
      <c r="C16692" t="str">
        <f>"24"</f>
        <v>24</v>
      </c>
      <c r="D16692" t="str">
        <f>"Champion Sound: Deluxe Edition"</f>
        <v>Champion Sound: Deluxe Edition</v>
      </c>
    </row>
    <row r="16693" spans="1:4" x14ac:dyDescent="0.2">
      <c r="A16693" t="str">
        <f>"16692"</f>
        <v>16692</v>
      </c>
      <c r="B16693" t="str">
        <f>"0.32"</f>
        <v>0.32</v>
      </c>
      <c r="C16693" t="str">
        <f>"62"</f>
        <v>62</v>
      </c>
      <c r="D16693" t="str">
        <f>"Given to the Rising"</f>
        <v>Given to the Rising</v>
      </c>
    </row>
    <row r="16694" spans="1:4" x14ac:dyDescent="0.2">
      <c r="A16694" t="str">
        <f>"16693"</f>
        <v>16693</v>
      </c>
      <c r="B16694" t="str">
        <f>"-0.78"</f>
        <v>-0.78</v>
      </c>
      <c r="C16694" t="str">
        <f>"63"</f>
        <v>63</v>
      </c>
      <c r="D16694" t="str">
        <f>"Omns"</f>
        <v>Omns</v>
      </c>
    </row>
    <row r="16695" spans="1:4" x14ac:dyDescent="0.2">
      <c r="A16695" t="str">
        <f>"16694"</f>
        <v>16694</v>
      </c>
      <c r="B16695" t="str">
        <f>"1.07"</f>
        <v>1.07</v>
      </c>
      <c r="C16695" t="str">
        <f>"19"</f>
        <v>19</v>
      </c>
      <c r="D16695" t="str">
        <f>"Commuter Anthems"</f>
        <v>Commuter Anthems</v>
      </c>
    </row>
    <row r="16696" spans="1:4" x14ac:dyDescent="0.2">
      <c r="A16696" t="str">
        <f>"16695"</f>
        <v>16695</v>
      </c>
      <c r="B16696" t="str">
        <f>"0.59"</f>
        <v>0.59</v>
      </c>
      <c r="C16696" t="str">
        <f>"89"</f>
        <v>89</v>
      </c>
      <c r="D16696" t="str">
        <f>"The Fragile Army"</f>
        <v>The Fragile Army</v>
      </c>
    </row>
    <row r="16697" spans="1:4" x14ac:dyDescent="0.2">
      <c r="A16697" t="str">
        <f>"16696"</f>
        <v>16696</v>
      </c>
      <c r="B16697" t="str">
        <f>"0.65"</f>
        <v>0.65</v>
      </c>
      <c r="C16697" t="str">
        <f>"24"</f>
        <v>24</v>
      </c>
      <c r="D16697" t="str">
        <f>"The Sun"</f>
        <v>The Sun</v>
      </c>
    </row>
    <row r="16698" spans="1:4" x14ac:dyDescent="0.2">
      <c r="A16698" t="str">
        <f>"16697"</f>
        <v>16697</v>
      </c>
      <c r="B16698" t="str">
        <f>"0.25"</f>
        <v>0.25</v>
      </c>
      <c r="C16698" t="str">
        <f>"92"</f>
        <v>92</v>
      </c>
      <c r="D16698" t="s">
        <v>538</v>
      </c>
    </row>
    <row r="16699" spans="1:4" x14ac:dyDescent="0.2">
      <c r="A16699" t="str">
        <f>"16698"</f>
        <v>16698</v>
      </c>
      <c r="B16699" t="str">
        <f>"-0.98"</f>
        <v>-0.98</v>
      </c>
      <c r="C16699" t="str">
        <f>"72"</f>
        <v>72</v>
      </c>
      <c r="D16699" t="str">
        <f>"Learning to Cope With Cowardice"</f>
        <v>Learning to Cope With Cowardice</v>
      </c>
    </row>
    <row r="16700" spans="1:4" x14ac:dyDescent="0.2">
      <c r="A16700" t="str">
        <f>"16699"</f>
        <v>16699</v>
      </c>
      <c r="B16700" t="str">
        <f>"-0.39"</f>
        <v>-0.39</v>
      </c>
      <c r="C16700" t="str">
        <f>"59"</f>
        <v>59</v>
      </c>
      <c r="D16700" t="str">
        <f>"Future Clouds &amp; Radar"</f>
        <v>Future Clouds &amp; Radar</v>
      </c>
    </row>
    <row r="16701" spans="1:4" x14ac:dyDescent="0.2">
      <c r="A16701" t="str">
        <f>"16700"</f>
        <v>16700</v>
      </c>
      <c r="B16701" t="str">
        <f>"-0.41"</f>
        <v>-0.41</v>
      </c>
      <c r="C16701" t="str">
        <f>"22"</f>
        <v>22</v>
      </c>
      <c r="D16701" t="str">
        <f>"Icky Thump"</f>
        <v>Icky Thump</v>
      </c>
    </row>
    <row r="16702" spans="1:4" x14ac:dyDescent="0.2">
      <c r="A16702" t="str">
        <f>"16701"</f>
        <v>16701</v>
      </c>
      <c r="B16702" t="str">
        <f>"-0.42"</f>
        <v>-0.42</v>
      </c>
      <c r="C16702" t="str">
        <f>"67"</f>
        <v>67</v>
      </c>
      <c r="D16702" t="str">
        <f>"This Bliss"</f>
        <v>This Bliss</v>
      </c>
    </row>
    <row r="16703" spans="1:4" x14ac:dyDescent="0.2">
      <c r="A16703" t="str">
        <f>"16702"</f>
        <v>16702</v>
      </c>
      <c r="B16703" t="str">
        <f>"0.01"</f>
        <v>0.01</v>
      </c>
      <c r="C16703" t="str">
        <f>"67"</f>
        <v>67</v>
      </c>
      <c r="D16703" t="str">
        <f>"Gutterfly"</f>
        <v>Gutterfly</v>
      </c>
    </row>
    <row r="16704" spans="1:4" x14ac:dyDescent="0.2">
      <c r="A16704" t="str">
        <f>"16703"</f>
        <v>16703</v>
      </c>
      <c r="B16704" t="str">
        <f>"0.02"</f>
        <v>0.02</v>
      </c>
      <c r="C16704" t="str">
        <f>"59"</f>
        <v>59</v>
      </c>
      <c r="D16704" t="str">
        <f>"Kraut Slut"</f>
        <v>Kraut Slut</v>
      </c>
    </row>
    <row r="16705" spans="1:4" x14ac:dyDescent="0.2">
      <c r="A16705" t="str">
        <f>"16704"</f>
        <v>16704</v>
      </c>
      <c r="B16705" t="str">
        <f>"0.81"</f>
        <v>0.81</v>
      </c>
      <c r="C16705" t="str">
        <f>"21"</f>
        <v>21</v>
      </c>
      <c r="D16705" t="s">
        <v>539</v>
      </c>
    </row>
    <row r="16706" spans="1:4" x14ac:dyDescent="0.2">
      <c r="A16706" t="str">
        <f>"16705"</f>
        <v>16705</v>
      </c>
      <c r="B16706" t="str">
        <f>"-0.58"</f>
        <v>-0.58</v>
      </c>
      <c r="C16706" t="str">
        <f>"30"</f>
        <v>30</v>
      </c>
      <c r="D16706" t="str">
        <f>"Maths + English"</f>
        <v>Maths + English</v>
      </c>
    </row>
    <row r="16707" spans="1:4" x14ac:dyDescent="0.2">
      <c r="A16707" t="str">
        <f>"16706"</f>
        <v>16706</v>
      </c>
      <c r="B16707" t="str">
        <f>"-0.02"</f>
        <v>-0.02</v>
      </c>
      <c r="C16707" t="str">
        <f>"35"</f>
        <v>35</v>
      </c>
      <c r="D16707" t="str">
        <f>"Good Girl Gone Bad"</f>
        <v>Good Girl Gone Bad</v>
      </c>
    </row>
    <row r="16708" spans="1:4" x14ac:dyDescent="0.2">
      <c r="A16708" t="str">
        <f>"16707"</f>
        <v>16707</v>
      </c>
      <c r="B16708" t="str">
        <f>"-0.03"</f>
        <v>-0.03</v>
      </c>
      <c r="C16708" t="str">
        <f>"67"</f>
        <v>67</v>
      </c>
      <c r="D16708" t="str">
        <f>"Granddance"</f>
        <v>Granddance</v>
      </c>
    </row>
    <row r="16709" spans="1:4" x14ac:dyDescent="0.2">
      <c r="A16709" t="str">
        <f>"16708"</f>
        <v>16708</v>
      </c>
      <c r="B16709" t="str">
        <f>"-0.55"</f>
        <v>-0.55</v>
      </c>
      <c r="C16709" t="str">
        <f>"25"</f>
        <v>25</v>
      </c>
      <c r="D16709" t="str">
        <f>"Tomorrow No One Will Be Safe"</f>
        <v>Tomorrow No One Will Be Safe</v>
      </c>
    </row>
    <row r="16710" spans="1:4" x14ac:dyDescent="0.2">
      <c r="A16710" t="str">
        <f>"16709"</f>
        <v>16709</v>
      </c>
      <c r="B16710" t="str">
        <f>"0.8"</f>
        <v>0.8</v>
      </c>
      <c r="C16710" t="str">
        <f>"33"</f>
        <v>33</v>
      </c>
      <c r="D16710" t="str">
        <f>"Immaculate Machine's Fables"</f>
        <v>Immaculate Machine's Fables</v>
      </c>
    </row>
    <row r="16711" spans="1:4" x14ac:dyDescent="0.2">
      <c r="A16711" t="str">
        <f>"16710"</f>
        <v>16710</v>
      </c>
      <c r="B16711" t="str">
        <f>"0.39"</f>
        <v>0.39</v>
      </c>
      <c r="C16711" t="str">
        <f>"27"</f>
        <v>27</v>
      </c>
      <c r="D16711" t="str">
        <f>"Wild Mountain Nation"</f>
        <v>Wild Mountain Nation</v>
      </c>
    </row>
    <row r="16712" spans="1:4" x14ac:dyDescent="0.2">
      <c r="A16712" t="str">
        <f>"16711"</f>
        <v>16711</v>
      </c>
      <c r="B16712" t="str">
        <f>"-0.25"</f>
        <v>-0.25</v>
      </c>
      <c r="C16712" t="str">
        <f>"23"</f>
        <v>23</v>
      </c>
      <c r="D16712" t="str">
        <f>"Speicher 3"</f>
        <v>Speicher 3</v>
      </c>
    </row>
    <row r="16713" spans="1:4" x14ac:dyDescent="0.2">
      <c r="A16713" t="str">
        <f>"16712"</f>
        <v>16712</v>
      </c>
      <c r="B16713" t="str">
        <f>"-1.04"</f>
        <v>-1.04</v>
      </c>
      <c r="C16713" t="str">
        <f>"21"</f>
        <v>21</v>
      </c>
      <c r="D16713" t="str">
        <f>"Sketchi"</f>
        <v>Sketchi</v>
      </c>
    </row>
    <row r="16714" spans="1:4" x14ac:dyDescent="0.2">
      <c r="A16714" t="str">
        <f>"16713"</f>
        <v>16713</v>
      </c>
      <c r="B16714" t="str">
        <f>"-0.13"</f>
        <v>-0.13</v>
      </c>
      <c r="C16714" t="str">
        <f>"106"</f>
        <v>106</v>
      </c>
      <c r="D16714" t="str">
        <f>"City of Echoes"</f>
        <v>City of Echoes</v>
      </c>
    </row>
    <row r="16715" spans="1:4" x14ac:dyDescent="0.2">
      <c r="A16715" t="str">
        <f>"16714"</f>
        <v>16714</v>
      </c>
      <c r="B16715" t="str">
        <f>"-0.66"</f>
        <v>-0.66</v>
      </c>
      <c r="C16715" t="str">
        <f>"21"</f>
        <v>21</v>
      </c>
      <c r="D16715" t="str">
        <f>"Family Trees Or: Cope We Must"</f>
        <v>Family Trees Or: Cope We Must</v>
      </c>
    </row>
    <row r="16716" spans="1:4" x14ac:dyDescent="0.2">
      <c r="A16716" t="str">
        <f>"16715"</f>
        <v>16715</v>
      </c>
      <c r="B16716" t="str">
        <f>"-0.75"</f>
        <v>-0.75</v>
      </c>
      <c r="C16716" t="str">
        <f>"44"</f>
        <v>44</v>
      </c>
      <c r="D16716" t="str">
        <f>"Daydream Nation: Deluxe Edition"</f>
        <v>Daydream Nation: Deluxe Edition</v>
      </c>
    </row>
    <row r="16717" spans="1:4" x14ac:dyDescent="0.2">
      <c r="A16717" t="str">
        <f>"16716"</f>
        <v>16716</v>
      </c>
      <c r="B16717" t="str">
        <f>"0.58"</f>
        <v>0.58</v>
      </c>
      <c r="C16717" t="str">
        <f>"79"</f>
        <v>79</v>
      </c>
      <c r="D16717" t="str">
        <f>"Kitsuné Maison 4"</f>
        <v>Kitsuné Maison 4</v>
      </c>
    </row>
    <row r="16718" spans="1:4" x14ac:dyDescent="0.2">
      <c r="A16718" t="str">
        <f>"16717"</f>
        <v>16717</v>
      </c>
      <c r="B16718" t="str">
        <f>"-0.45"</f>
        <v>-0.45</v>
      </c>
      <c r="C16718" t="str">
        <f>"51"</f>
        <v>51</v>
      </c>
      <c r="D16718" t="str">
        <f>"Electric Dress"</f>
        <v>Electric Dress</v>
      </c>
    </row>
    <row r="16719" spans="1:4" x14ac:dyDescent="0.2">
      <c r="A16719" t="str">
        <f>"16718"</f>
        <v>16718</v>
      </c>
      <c r="B16719" t="str">
        <f>"-0.22"</f>
        <v>-0.22</v>
      </c>
      <c r="C16719" t="str">
        <f>"31"</f>
        <v>31</v>
      </c>
      <c r="D16719" t="s">
        <v>540</v>
      </c>
    </row>
    <row r="16720" spans="1:4" x14ac:dyDescent="0.2">
      <c r="A16720" t="str">
        <f>"16719"</f>
        <v>16719</v>
      </c>
      <c r="B16720" t="str">
        <f>"-0.68"</f>
        <v>-0.68</v>
      </c>
      <c r="C16720" t="str">
        <f>"37"</f>
        <v>37</v>
      </c>
      <c r="D16720" t="str">
        <f>"Buncha Beans"</f>
        <v>Buncha Beans</v>
      </c>
    </row>
    <row r="16721" spans="1:4" x14ac:dyDescent="0.2">
      <c r="A16721" t="str">
        <f>"16720"</f>
        <v>16720</v>
      </c>
      <c r="B16721" t="str">
        <f>"-1.33"</f>
        <v>-1.33</v>
      </c>
      <c r="C16721" t="str">
        <f>"35"</f>
        <v>35</v>
      </c>
      <c r="D16721" t="str">
        <f>"†"</f>
        <v>†</v>
      </c>
    </row>
    <row r="16722" spans="1:4" x14ac:dyDescent="0.2">
      <c r="A16722" t="str">
        <f>"16721"</f>
        <v>16721</v>
      </c>
      <c r="B16722" t="str">
        <f>"-0.03"</f>
        <v>-0.03</v>
      </c>
      <c r="C16722" t="str">
        <f>"46"</f>
        <v>46</v>
      </c>
      <c r="D16722" t="str">
        <f>"Weirdo Rippers"</f>
        <v>Weirdo Rippers</v>
      </c>
    </row>
    <row r="16723" spans="1:4" x14ac:dyDescent="0.2">
      <c r="A16723" t="str">
        <f>"16722"</f>
        <v>16722</v>
      </c>
      <c r="B16723" t="str">
        <f>"0.71"</f>
        <v>0.71</v>
      </c>
      <c r="C16723" t="str">
        <f>"24"</f>
        <v>24</v>
      </c>
      <c r="D16723" t="str">
        <f>"Can't Wait Another Day"</f>
        <v>Can't Wait Another Day</v>
      </c>
    </row>
    <row r="16724" spans="1:4" x14ac:dyDescent="0.2">
      <c r="A16724" t="str">
        <f>"16723"</f>
        <v>16723</v>
      </c>
      <c r="B16724" t="str">
        <f>"0.25"</f>
        <v>0.25</v>
      </c>
      <c r="C16724" t="str">
        <f>"16"</f>
        <v>16</v>
      </c>
      <c r="D16724" t="str">
        <f>"Ongiara"</f>
        <v>Ongiara</v>
      </c>
    </row>
    <row r="16725" spans="1:4" x14ac:dyDescent="0.2">
      <c r="A16725" t="str">
        <f>"16724"</f>
        <v>16724</v>
      </c>
      <c r="B16725" t="str">
        <f>"0.87"</f>
        <v>0.87</v>
      </c>
      <c r="C16725" t="str">
        <f>"59"</f>
        <v>59</v>
      </c>
      <c r="D16725" t="str">
        <f>"The Dark One"</f>
        <v>The Dark One</v>
      </c>
    </row>
    <row r="16726" spans="1:4" x14ac:dyDescent="0.2">
      <c r="A16726" t="str">
        <f>"16725"</f>
        <v>16725</v>
      </c>
      <c r="B16726" t="str">
        <f>"-0.26"</f>
        <v>-0.26</v>
      </c>
      <c r="C16726" t="str">
        <f>"54"</f>
        <v>54</v>
      </c>
      <c r="D16726" t="str">
        <f>"Era Vulgaris"</f>
        <v>Era Vulgaris</v>
      </c>
    </row>
    <row r="16727" spans="1:4" x14ac:dyDescent="0.2">
      <c r="A16727" t="str">
        <f>"16726"</f>
        <v>16726</v>
      </c>
      <c r="B16727" t="str">
        <f>"-0.73"</f>
        <v>-0.73</v>
      </c>
      <c r="C16727" t="str">
        <f>"16"</f>
        <v>16</v>
      </c>
      <c r="D16727" t="str">
        <f>"Version"</f>
        <v>Version</v>
      </c>
    </row>
    <row r="16728" spans="1:4" x14ac:dyDescent="0.2">
      <c r="A16728" t="str">
        <f>"16727"</f>
        <v>16727</v>
      </c>
      <c r="B16728" t="str">
        <f>"0.01"</f>
        <v>0.01</v>
      </c>
      <c r="C16728" t="str">
        <f>"92"</f>
        <v>92</v>
      </c>
      <c r="D16728" t="str">
        <f>"Soft Punk"</f>
        <v>Soft Punk</v>
      </c>
    </row>
    <row r="16729" spans="1:4" x14ac:dyDescent="0.2">
      <c r="A16729" t="str">
        <f>"16728"</f>
        <v>16728</v>
      </c>
      <c r="B16729" t="str">
        <f>"0.28"</f>
        <v>0.28</v>
      </c>
      <c r="C16729" t="str">
        <f>"68"</f>
        <v>68</v>
      </c>
      <c r="D16729" t="str">
        <f>"James &amp; the Quiet"</f>
        <v>James &amp; the Quiet</v>
      </c>
    </row>
    <row r="16730" spans="1:4" x14ac:dyDescent="0.2">
      <c r="A16730" t="str">
        <f>"16729"</f>
        <v>16729</v>
      </c>
      <c r="B16730" t="str">
        <f>"0.61"</f>
        <v>0.61</v>
      </c>
      <c r="C16730" t="str">
        <f>"54"</f>
        <v>54</v>
      </c>
      <c r="D16730" t="str">
        <f>"We Can Create"</f>
        <v>We Can Create</v>
      </c>
    </row>
    <row r="16731" spans="1:4" x14ac:dyDescent="0.2">
      <c r="A16731" t="str">
        <f>"16730"</f>
        <v>16730</v>
      </c>
      <c r="B16731" t="str">
        <f>"-1.08"</f>
        <v>-1.08</v>
      </c>
      <c r="C16731" t="str">
        <f>"77"</f>
        <v>77</v>
      </c>
      <c r="D16731" t="str">
        <f>"The Singles"</f>
        <v>The Singles</v>
      </c>
    </row>
    <row r="16732" spans="1:4" x14ac:dyDescent="0.2">
      <c r="A16732" t="str">
        <f>"16731"</f>
        <v>16731</v>
      </c>
      <c r="B16732" t="str">
        <f>"0.27"</f>
        <v>0.27</v>
      </c>
      <c r="C16732" t="str">
        <f>"20"</f>
        <v>20</v>
      </c>
      <c r="D16732" t="str">
        <f>"Arms Down"</f>
        <v>Arms Down</v>
      </c>
    </row>
    <row r="16733" spans="1:4" x14ac:dyDescent="0.2">
      <c r="A16733" t="str">
        <f>"16732"</f>
        <v>16732</v>
      </c>
      <c r="B16733" t="str">
        <f>"-0.04"</f>
        <v>-0.04</v>
      </c>
      <c r="C16733" t="str">
        <f>"23"</f>
        <v>23</v>
      </c>
      <c r="D16733" t="s">
        <v>541</v>
      </c>
    </row>
    <row r="16734" spans="1:4" x14ac:dyDescent="0.2">
      <c r="A16734" t="str">
        <f>"16733"</f>
        <v>16733</v>
      </c>
      <c r="B16734" t="str">
        <f>"0.08"</f>
        <v>0.08</v>
      </c>
      <c r="C16734" t="str">
        <f>"20"</f>
        <v>20</v>
      </c>
      <c r="D16734" t="str">
        <f>"Ice Station"</f>
        <v>Ice Station</v>
      </c>
    </row>
    <row r="16735" spans="1:4" x14ac:dyDescent="0.2">
      <c r="A16735" t="str">
        <f>"16734"</f>
        <v>16734</v>
      </c>
      <c r="B16735" t="str">
        <f>"-0.15"</f>
        <v>-0.15</v>
      </c>
      <c r="C16735" t="str">
        <f>"64"</f>
        <v>64</v>
      </c>
      <c r="D16735" t="str">
        <f>"Imperious Delirium"</f>
        <v>Imperious Delirium</v>
      </c>
    </row>
    <row r="16736" spans="1:4" x14ac:dyDescent="0.2">
      <c r="A16736" t="str">
        <f>"16735"</f>
        <v>16735</v>
      </c>
      <c r="B16736" t="str">
        <f>"-0.09"</f>
        <v>-0.09</v>
      </c>
      <c r="C16736" t="str">
        <f>"45"</f>
        <v>45</v>
      </c>
      <c r="D16736" t="str">
        <f>"Excellent Italian Greyhound"</f>
        <v>Excellent Italian Greyhound</v>
      </c>
    </row>
    <row r="16737" spans="1:4" x14ac:dyDescent="0.2">
      <c r="A16737" t="str">
        <f>"16736"</f>
        <v>16736</v>
      </c>
      <c r="B16737" t="str">
        <f>"-0.7"</f>
        <v>-0.7</v>
      </c>
      <c r="C16737" t="str">
        <f>"35"</f>
        <v>35</v>
      </c>
      <c r="D16737" t="str">
        <f>"Hope for Men"</f>
        <v>Hope for Men</v>
      </c>
    </row>
    <row r="16738" spans="1:4" x14ac:dyDescent="0.2">
      <c r="A16738" t="str">
        <f>"16737"</f>
        <v>16737</v>
      </c>
      <c r="B16738" t="str">
        <f>"0.17"</f>
        <v>0.17</v>
      </c>
      <c r="C16738" t="str">
        <f>"21"</f>
        <v>21</v>
      </c>
      <c r="D16738" t="str">
        <f>"Lightning Dust"</f>
        <v>Lightning Dust</v>
      </c>
    </row>
    <row r="16739" spans="1:4" x14ac:dyDescent="0.2">
      <c r="A16739" t="str">
        <f>"16738"</f>
        <v>16738</v>
      </c>
      <c r="B16739" t="str">
        <f>"-0.72"</f>
        <v>-0.72</v>
      </c>
      <c r="C16739" t="str">
        <f>"83"</f>
        <v>83</v>
      </c>
      <c r="D16739" t="str">
        <f>"Bad Blood in the City: The Piety Street Sessions"</f>
        <v>Bad Blood in the City: The Piety Street Sessions</v>
      </c>
    </row>
    <row r="16740" spans="1:4" x14ac:dyDescent="0.2">
      <c r="A16740" t="str">
        <f>"16739"</f>
        <v>16739</v>
      </c>
      <c r="B16740" t="str">
        <f>"-0.39"</f>
        <v>-0.39</v>
      </c>
      <c r="C16740" t="str">
        <f>"40"</f>
        <v>40</v>
      </c>
      <c r="D16740" t="str">
        <f>"Cold Summer"</f>
        <v>Cold Summer</v>
      </c>
    </row>
    <row r="16741" spans="1:4" x14ac:dyDescent="0.2">
      <c r="A16741" t="str">
        <f>"16740"</f>
        <v>16740</v>
      </c>
      <c r="B16741" t="str">
        <f>"0.23"</f>
        <v>0.23</v>
      </c>
      <c r="C16741" t="str">
        <f>"31"</f>
        <v>31</v>
      </c>
      <c r="D16741" t="str">
        <f>"With Lasers"</f>
        <v>With Lasers</v>
      </c>
    </row>
    <row r="16742" spans="1:4" x14ac:dyDescent="0.2">
      <c r="A16742" t="str">
        <f>"16741"</f>
        <v>16741</v>
      </c>
      <c r="B16742" t="str">
        <f>"0.19"</f>
        <v>0.19</v>
      </c>
      <c r="C16742" t="str">
        <f>"51"</f>
        <v>51</v>
      </c>
      <c r="D16742" t="str">
        <f>"Funf"</f>
        <v>Funf</v>
      </c>
    </row>
    <row r="16743" spans="1:4" x14ac:dyDescent="0.2">
      <c r="A16743" t="str">
        <f>"16742"</f>
        <v>16742</v>
      </c>
      <c r="B16743" t="str">
        <f>"-0.97"</f>
        <v>-0.97</v>
      </c>
      <c r="C16743" t="str">
        <f>"38"</f>
        <v>38</v>
      </c>
      <c r="D16743" t="str">
        <f>"The Art of the Slap"</f>
        <v>The Art of the Slap</v>
      </c>
    </row>
    <row r="16744" spans="1:4" x14ac:dyDescent="0.2">
      <c r="A16744" t="str">
        <f>"16743"</f>
        <v>16743</v>
      </c>
      <c r="B16744" t="str">
        <f>"-0.15"</f>
        <v>-0.15</v>
      </c>
      <c r="C16744" t="str">
        <f>"48"</f>
        <v>48</v>
      </c>
      <c r="D16744" t="str">
        <f>"Kajak"</f>
        <v>Kajak</v>
      </c>
    </row>
    <row r="16745" spans="1:4" x14ac:dyDescent="0.2">
      <c r="A16745" t="str">
        <f>"16744"</f>
        <v>16744</v>
      </c>
      <c r="B16745" t="str">
        <f>"-0.39"</f>
        <v>-0.39</v>
      </c>
      <c r="C16745" t="str">
        <f>"64"</f>
        <v>64</v>
      </c>
      <c r="D16745" t="str">
        <f>"Keeper of Youth"</f>
        <v>Keeper of Youth</v>
      </c>
    </row>
    <row r="16746" spans="1:4" x14ac:dyDescent="0.2">
      <c r="A16746" t="str">
        <f>"16745"</f>
        <v>16745</v>
      </c>
      <c r="B16746" t="str">
        <f>"-0.5"</f>
        <v>-0.5</v>
      </c>
      <c r="C16746" t="str">
        <f>"52"</f>
        <v>52</v>
      </c>
      <c r="D16746" t="str">
        <f>"Asa Breed"</f>
        <v>Asa Breed</v>
      </c>
    </row>
    <row r="16747" spans="1:4" x14ac:dyDescent="0.2">
      <c r="A16747" t="str">
        <f>"16746"</f>
        <v>16746</v>
      </c>
      <c r="B16747" t="str">
        <f>"-0.79"</f>
        <v>-0.79</v>
      </c>
      <c r="C16747" t="str">
        <f>"80"</f>
        <v>80</v>
      </c>
      <c r="D16747" t="str">
        <f>"Double Up"</f>
        <v>Double Up</v>
      </c>
    </row>
    <row r="16748" spans="1:4" x14ac:dyDescent="0.2">
      <c r="A16748" t="str">
        <f>"16747"</f>
        <v>16747</v>
      </c>
      <c r="B16748" t="str">
        <f>"0.48"</f>
        <v>0.48</v>
      </c>
      <c r="C16748" t="str">
        <f>"52"</f>
        <v>52</v>
      </c>
      <c r="D16748" t="str">
        <f>"Shortwave Music"</f>
        <v>Shortwave Music</v>
      </c>
    </row>
    <row r="16749" spans="1:4" x14ac:dyDescent="0.2">
      <c r="A16749" t="str">
        <f>"16748"</f>
        <v>16748</v>
      </c>
      <c r="B16749" t="str">
        <f>"-0.42"</f>
        <v>-0.42</v>
      </c>
      <c r="C16749" t="str">
        <f>"82"</f>
        <v>82</v>
      </c>
      <c r="D16749" t="str">
        <f>"Bayani"</f>
        <v>Bayani</v>
      </c>
    </row>
    <row r="16750" spans="1:4" x14ac:dyDescent="0.2">
      <c r="A16750" t="str">
        <f>"16749"</f>
        <v>16749</v>
      </c>
      <c r="B16750" t="str">
        <f>"0.81"</f>
        <v>0.81</v>
      </c>
      <c r="C16750" t="str">
        <f>"49"</f>
        <v>49</v>
      </c>
      <c r="D16750" t="str">
        <f>"Five Roses"</f>
        <v>Five Roses</v>
      </c>
    </row>
    <row r="16751" spans="1:4" x14ac:dyDescent="0.2">
      <c r="A16751" t="str">
        <f>"16750"</f>
        <v>16750</v>
      </c>
      <c r="B16751" t="str">
        <f>"-0.01"</f>
        <v>-0.01</v>
      </c>
      <c r="C16751" t="str">
        <f>"32"</f>
        <v>32</v>
      </c>
      <c r="D16751" t="str">
        <f>"Memory Almost Full"</f>
        <v>Memory Almost Full</v>
      </c>
    </row>
    <row r="16752" spans="1:4" x14ac:dyDescent="0.2">
      <c r="A16752" t="str">
        <f>"16751"</f>
        <v>16751</v>
      </c>
      <c r="B16752" t="str">
        <f>"1.1"</f>
        <v>1.1</v>
      </c>
      <c r="C16752" t="str">
        <f>"50"</f>
        <v>50</v>
      </c>
      <c r="D16752" t="str">
        <f>"Fort Nightly"</f>
        <v>Fort Nightly</v>
      </c>
    </row>
    <row r="16753" spans="1:4" x14ac:dyDescent="0.2">
      <c r="A16753" t="str">
        <f>"16752"</f>
        <v>16752</v>
      </c>
      <c r="B16753" t="str">
        <f>"-0.57"</f>
        <v>-0.57</v>
      </c>
      <c r="C16753" t="str">
        <f>"25"</f>
        <v>25</v>
      </c>
      <c r="D16753" t="str">
        <f>"D-I-Y: Do It Yourself"</f>
        <v>D-I-Y: Do It Yourself</v>
      </c>
    </row>
    <row r="16754" spans="1:4" x14ac:dyDescent="0.2">
      <c r="A16754" t="str">
        <f>"16753"</f>
        <v>16753</v>
      </c>
      <c r="B16754" t="str">
        <f>"0.1"</f>
        <v>0.1</v>
      </c>
      <c r="C16754" t="str">
        <f>"87"</f>
        <v>87</v>
      </c>
      <c r="D16754" t="str">
        <f>"Poly.sci.187"</f>
        <v>Poly.sci.187</v>
      </c>
    </row>
    <row r="16755" spans="1:4" x14ac:dyDescent="0.2">
      <c r="A16755" t="str">
        <f>"16754"</f>
        <v>16754</v>
      </c>
      <c r="B16755" t="str">
        <f>"0.63"</f>
        <v>0.63</v>
      </c>
      <c r="C16755" t="str">
        <f>"44"</f>
        <v>44</v>
      </c>
      <c r="D16755" t="str">
        <f>"What the Hell Do I Know? EP"</f>
        <v>What the Hell Do I Know? EP</v>
      </c>
    </row>
    <row r="16756" spans="1:4" x14ac:dyDescent="0.2">
      <c r="A16756" t="str">
        <f>"16755"</f>
        <v>16755</v>
      </c>
      <c r="B16756" t="str">
        <f>"0.04"</f>
        <v>0.04</v>
      </c>
      <c r="C16756" t="str">
        <f>"20"</f>
        <v>20</v>
      </c>
      <c r="D16756" t="str">
        <f>"Z"</f>
        <v>Z</v>
      </c>
    </row>
    <row r="16757" spans="1:4" x14ac:dyDescent="0.2">
      <c r="A16757" t="str">
        <f>"16756"</f>
        <v>16756</v>
      </c>
      <c r="B16757" t="str">
        <f>"0.73"</f>
        <v>0.73</v>
      </c>
      <c r="C16757" t="str">
        <f>"25"</f>
        <v>25</v>
      </c>
      <c r="D16757" t="s">
        <v>445</v>
      </c>
    </row>
    <row r="16758" spans="1:4" x14ac:dyDescent="0.2">
      <c r="A16758" t="str">
        <f>"16757"</f>
        <v>16757</v>
      </c>
      <c r="B16758" t="str">
        <f>"-0.89"</f>
        <v>-0.89</v>
      </c>
      <c r="C16758" t="str">
        <f>"33"</f>
        <v>33</v>
      </c>
      <c r="D16758" t="str">
        <f>"Everyday I Said a Prayer for Kathy and Made a One Inch Square"</f>
        <v>Everyday I Said a Prayer for Kathy and Made a One Inch Square</v>
      </c>
    </row>
    <row r="16759" spans="1:4" x14ac:dyDescent="0.2">
      <c r="A16759" t="str">
        <f>"16758"</f>
        <v>16758</v>
      </c>
      <c r="B16759" t="str">
        <f>"-0.19"</f>
        <v>-0.19</v>
      </c>
      <c r="C16759" t="str">
        <f>"28"</f>
        <v>28</v>
      </c>
      <c r="D16759" t="str">
        <f>"Let in the Light"</f>
        <v>Let in the Light</v>
      </c>
    </row>
    <row r="16760" spans="1:4" x14ac:dyDescent="0.2">
      <c r="A16760" t="str">
        <f>"16759"</f>
        <v>16759</v>
      </c>
      <c r="B16760" t="str">
        <f>"0.6"</f>
        <v>0.6</v>
      </c>
      <c r="C16760" t="str">
        <f>"25"</f>
        <v>25</v>
      </c>
      <c r="D16760" t="str">
        <f>"Harmonium"</f>
        <v>Harmonium</v>
      </c>
    </row>
    <row r="16761" spans="1:4" x14ac:dyDescent="0.2">
      <c r="A16761" t="str">
        <f>"16760"</f>
        <v>16760</v>
      </c>
      <c r="B16761" t="str">
        <f>"0.15"</f>
        <v>0.15</v>
      </c>
      <c r="C16761" t="str">
        <f>"27"</f>
        <v>27</v>
      </c>
      <c r="D16761" t="str">
        <f>"Tromatic Reflexxions"</f>
        <v>Tromatic Reflexxions</v>
      </c>
    </row>
    <row r="16762" spans="1:4" x14ac:dyDescent="0.2">
      <c r="A16762" t="str">
        <f>"16761"</f>
        <v>16761</v>
      </c>
      <c r="B16762" t="str">
        <f>"-1.35"</f>
        <v>-1.35</v>
      </c>
      <c r="C16762" t="str">
        <f>"23"</f>
        <v>23</v>
      </c>
      <c r="D16762" t="str">
        <f>"The Sun and the Moon"</f>
        <v>The Sun and the Moon</v>
      </c>
    </row>
    <row r="16763" spans="1:4" x14ac:dyDescent="0.2">
      <c r="A16763" t="str">
        <f>"16762"</f>
        <v>16762</v>
      </c>
      <c r="B16763" t="str">
        <f>"0.08"</f>
        <v>0.08</v>
      </c>
      <c r="C16763" t="str">
        <f>"57"</f>
        <v>57</v>
      </c>
      <c r="D16763" t="str">
        <f>"Något Dåligt Nytt Har Hänt EP"</f>
        <v>Något Dåligt Nytt Har Hänt EP</v>
      </c>
    </row>
    <row r="16764" spans="1:4" x14ac:dyDescent="0.2">
      <c r="A16764" t="str">
        <f>"16763"</f>
        <v>16763</v>
      </c>
      <c r="B16764" t="str">
        <f>"-0.37"</f>
        <v>-0.37</v>
      </c>
      <c r="C16764" t="str">
        <f>"55"</f>
        <v>55</v>
      </c>
      <c r="D16764" t="str">
        <f>"Liar and the Thief"</f>
        <v>Liar and the Thief</v>
      </c>
    </row>
    <row r="16765" spans="1:4" x14ac:dyDescent="0.2">
      <c r="A16765" t="str">
        <f>"16764"</f>
        <v>16764</v>
      </c>
      <c r="B16765" t="str">
        <f>"0.13"</f>
        <v>0.13</v>
      </c>
      <c r="C16765" t="str">
        <f>"55"</f>
        <v>55</v>
      </c>
      <c r="D16765" t="str">
        <f>"The Heart Is the Place"</f>
        <v>The Heart Is the Place</v>
      </c>
    </row>
    <row r="16766" spans="1:4" x14ac:dyDescent="0.2">
      <c r="A16766" t="str">
        <f>"16765"</f>
        <v>16765</v>
      </c>
      <c r="B16766" t="str">
        <f>"-0.86"</f>
        <v>-0.86</v>
      </c>
      <c r="C16766" t="str">
        <f>"99"</f>
        <v>99</v>
      </c>
      <c r="D16766" t="str">
        <f>"Unbreakable (A Retrospective)"</f>
        <v>Unbreakable (A Retrospective)</v>
      </c>
    </row>
    <row r="16767" spans="1:4" x14ac:dyDescent="0.2">
      <c r="A16767" t="str">
        <f>"16766"</f>
        <v>16766</v>
      </c>
      <c r="B16767" t="str">
        <f>"0.3"</f>
        <v>0.3</v>
      </c>
      <c r="C16767" t="str">
        <f>"56"</f>
        <v>56</v>
      </c>
      <c r="D16767" t="str">
        <f>"Silverfish Trivia EP"</f>
        <v>Silverfish Trivia EP</v>
      </c>
    </row>
    <row r="16768" spans="1:4" x14ac:dyDescent="0.2">
      <c r="A16768" t="str">
        <f>"16767"</f>
        <v>16767</v>
      </c>
      <c r="B16768" t="str">
        <f>"1.64"</f>
        <v>1.64</v>
      </c>
      <c r="C16768" t="str">
        <f>"17"</f>
        <v>17</v>
      </c>
      <c r="D16768" t="str">
        <f>"Dear Companion"</f>
        <v>Dear Companion</v>
      </c>
    </row>
    <row r="16769" spans="1:4" x14ac:dyDescent="0.2">
      <c r="A16769" t="str">
        <f>"16768"</f>
        <v>16768</v>
      </c>
      <c r="B16769" t="str">
        <f>"0.9"</f>
        <v>0.9</v>
      </c>
      <c r="C16769" t="str">
        <f>"69"</f>
        <v>69</v>
      </c>
      <c r="D16769" t="str">
        <f>"It Had Wings"</f>
        <v>It Had Wings</v>
      </c>
    </row>
    <row r="16770" spans="1:4" x14ac:dyDescent="0.2">
      <c r="A16770" t="str">
        <f>"16769"</f>
        <v>16769</v>
      </c>
      <c r="B16770" t="str">
        <f>"-0.01"</f>
        <v>-0.01</v>
      </c>
      <c r="C16770" t="str">
        <f>"31"</f>
        <v>31</v>
      </c>
      <c r="D16770" t="str">
        <f>"Reflector"</f>
        <v>Reflector</v>
      </c>
    </row>
    <row r="16771" spans="1:4" x14ac:dyDescent="0.2">
      <c r="A16771" t="str">
        <f>"16770"</f>
        <v>16770</v>
      </c>
      <c r="B16771" t="str">
        <f>"0.41"</f>
        <v>0.41</v>
      </c>
      <c r="C16771" t="str">
        <f>"26"</f>
        <v>26</v>
      </c>
      <c r="D16771" t="str">
        <f>"So Real: Songs From Jeff Buckley"</f>
        <v>So Real: Songs From Jeff Buckley</v>
      </c>
    </row>
    <row r="16772" spans="1:4" x14ac:dyDescent="0.2">
      <c r="A16772" t="str">
        <f>"16771"</f>
        <v>16771</v>
      </c>
      <c r="B16772" t="str">
        <f>"0.71"</f>
        <v>0.71</v>
      </c>
      <c r="C16772" t="str">
        <f>"41"</f>
        <v>41</v>
      </c>
      <c r="D16772" t="str">
        <f>"The Warmth of the Sun"</f>
        <v>The Warmth of the Sun</v>
      </c>
    </row>
    <row r="16773" spans="1:4" x14ac:dyDescent="0.2">
      <c r="A16773" t="str">
        <f>"16772"</f>
        <v>16772</v>
      </c>
      <c r="B16773" t="str">
        <f>"-0.19"</f>
        <v>-0.19</v>
      </c>
      <c r="C16773" t="str">
        <f>"43"</f>
        <v>43</v>
      </c>
      <c r="D16773" t="str">
        <f>"Poste e Telegrafi"</f>
        <v>Poste e Telegrafi</v>
      </c>
    </row>
    <row r="16774" spans="1:4" x14ac:dyDescent="0.2">
      <c r="A16774" t="str">
        <f>"16773"</f>
        <v>16773</v>
      </c>
      <c r="B16774" t="str">
        <f>"1.01"</f>
        <v>1.01</v>
      </c>
      <c r="C16774" t="str">
        <f>"54"</f>
        <v>54</v>
      </c>
      <c r="D16774" t="str">
        <f>"Blasts of Holy Birth"</f>
        <v>Blasts of Holy Birth</v>
      </c>
    </row>
    <row r="16775" spans="1:4" x14ac:dyDescent="0.2">
      <c r="A16775" t="str">
        <f>"16774"</f>
        <v>16774</v>
      </c>
      <c r="B16775" t="str">
        <f>"-0.34"</f>
        <v>-0.34</v>
      </c>
      <c r="C16775" t="str">
        <f>"61"</f>
        <v>61</v>
      </c>
      <c r="D16775" t="str">
        <f>"Of Honey and Country"</f>
        <v>Of Honey and Country</v>
      </c>
    </row>
    <row r="16776" spans="1:4" x14ac:dyDescent="0.2">
      <c r="A16776" t="str">
        <f>"16775"</f>
        <v>16775</v>
      </c>
      <c r="B16776" t="str">
        <f>"0.09"</f>
        <v>0.09</v>
      </c>
      <c r="C16776" t="str">
        <f>"24"</f>
        <v>24</v>
      </c>
      <c r="D16776" t="str">
        <f>"Plague Park"</f>
        <v>Plague Park</v>
      </c>
    </row>
    <row r="16777" spans="1:4" x14ac:dyDescent="0.2">
      <c r="A16777" t="str">
        <f>"16776"</f>
        <v>16776</v>
      </c>
      <c r="B16777" t="str">
        <f>"0.98"</f>
        <v>0.98</v>
      </c>
      <c r="C16777" t="str">
        <f>"28"</f>
        <v>28</v>
      </c>
      <c r="D16777" t="s">
        <v>542</v>
      </c>
    </row>
    <row r="16778" spans="1:4" x14ac:dyDescent="0.2">
      <c r="A16778" t="str">
        <f>"16777"</f>
        <v>16777</v>
      </c>
      <c r="B16778" t="str">
        <f>"-0.31"</f>
        <v>-0.31</v>
      </c>
      <c r="C16778" t="str">
        <f>"68"</f>
        <v>68</v>
      </c>
      <c r="D16778" t="str">
        <f>"Afrikan Majik"</f>
        <v>Afrikan Majik</v>
      </c>
    </row>
    <row r="16779" spans="1:4" x14ac:dyDescent="0.2">
      <c r="A16779" t="str">
        <f>"16778"</f>
        <v>16778</v>
      </c>
      <c r="B16779" t="str">
        <f>"-0.1"</f>
        <v>-0.1</v>
      </c>
      <c r="C16779" t="str">
        <f>"13"</f>
        <v>13</v>
      </c>
      <c r="D16779" t="str">
        <f>"Ode to Ochrasy"</f>
        <v>Ode to Ochrasy</v>
      </c>
    </row>
    <row r="16780" spans="1:4" x14ac:dyDescent="0.2">
      <c r="A16780" t="str">
        <f>"16779"</f>
        <v>16779</v>
      </c>
      <c r="B16780" t="str">
        <f>"-0.59"</f>
        <v>-0.59</v>
      </c>
      <c r="C16780" t="str">
        <f>"91"</f>
        <v>91</v>
      </c>
      <c r="D16780" t="str">
        <f>"A Tribute to Joni Mitchell"</f>
        <v>A Tribute to Joni Mitchell</v>
      </c>
    </row>
    <row r="16781" spans="1:4" x14ac:dyDescent="0.2">
      <c r="A16781" t="str">
        <f>"16780"</f>
        <v>16780</v>
      </c>
      <c r="B16781" t="str">
        <f>"-0.18"</f>
        <v>-0.18</v>
      </c>
      <c r="C16781" t="str">
        <f>"45"</f>
        <v>45</v>
      </c>
      <c r="D16781" t="str">
        <f>"Voxtrot"</f>
        <v>Voxtrot</v>
      </c>
    </row>
    <row r="16782" spans="1:4" x14ac:dyDescent="0.2">
      <c r="A16782" t="str">
        <f>"16781"</f>
        <v>16781</v>
      </c>
      <c r="B16782" t="str">
        <f>"-0.25"</f>
        <v>-0.25</v>
      </c>
      <c r="C16782" t="str">
        <f>"28"</f>
        <v>28</v>
      </c>
      <c r="D16782" t="str">
        <f>"The Great Unwanted"</f>
        <v>The Great Unwanted</v>
      </c>
    </row>
    <row r="16783" spans="1:4" x14ac:dyDescent="0.2">
      <c r="A16783" t="str">
        <f>"16782"</f>
        <v>16782</v>
      </c>
      <c r="B16783" t="str">
        <f>"-1.14"</f>
        <v>-1.14</v>
      </c>
      <c r="C16783" t="str">
        <f>"23"</f>
        <v>23</v>
      </c>
      <c r="D16783" t="s">
        <v>543</v>
      </c>
    </row>
    <row r="16784" spans="1:4" x14ac:dyDescent="0.2">
      <c r="A16784" t="str">
        <f>"16783"</f>
        <v>16783</v>
      </c>
      <c r="B16784" t="str">
        <f>"-0.9"</f>
        <v>-0.9</v>
      </c>
      <c r="C16784" t="str">
        <f>"28"</f>
        <v>28</v>
      </c>
      <c r="D16784" t="str">
        <f>"GAame"</f>
        <v>GAame</v>
      </c>
    </row>
    <row r="16785" spans="1:4" x14ac:dyDescent="0.2">
      <c r="A16785" t="str">
        <f>"16784"</f>
        <v>16784</v>
      </c>
      <c r="B16785" t="str">
        <f>"-0.74"</f>
        <v>-0.74</v>
      </c>
      <c r="C16785" t="str">
        <f>"56"</f>
        <v>56</v>
      </c>
      <c r="D16785" t="str">
        <f>"1986 EP"</f>
        <v>1986 EP</v>
      </c>
    </row>
    <row r="16786" spans="1:4" x14ac:dyDescent="0.2">
      <c r="A16786" t="str">
        <f>"16785"</f>
        <v>16785</v>
      </c>
      <c r="B16786" t="str">
        <f>"1.34"</f>
        <v>1.34</v>
      </c>
      <c r="C16786" t="str">
        <f>"29"</f>
        <v>29</v>
      </c>
      <c r="D16786" t="str">
        <f>"DJ Kicks"</f>
        <v>DJ Kicks</v>
      </c>
    </row>
    <row r="16787" spans="1:4" x14ac:dyDescent="0.2">
      <c r="A16787" t="str">
        <f>"16786"</f>
        <v>16786</v>
      </c>
      <c r="B16787" t="str">
        <f>"-0.13"</f>
        <v>-0.13</v>
      </c>
      <c r="C16787" t="str">
        <f>"67"</f>
        <v>67</v>
      </c>
      <c r="D16787" t="str">
        <f>"Dandelion Gum"</f>
        <v>Dandelion Gum</v>
      </c>
    </row>
    <row r="16788" spans="1:4" x14ac:dyDescent="0.2">
      <c r="A16788" t="str">
        <f>"16787"</f>
        <v>16787</v>
      </c>
      <c r="B16788" t="str">
        <f>"-0.94"</f>
        <v>-0.94</v>
      </c>
      <c r="C16788" t="str">
        <f>"65"</f>
        <v>65</v>
      </c>
      <c r="D16788" t="str">
        <f>"Mapmaker"</f>
        <v>Mapmaker</v>
      </c>
    </row>
    <row r="16789" spans="1:4" x14ac:dyDescent="0.2">
      <c r="A16789" t="str">
        <f>"16788"</f>
        <v>16788</v>
      </c>
      <c r="B16789" t="str">
        <f>"0.47"</f>
        <v>0.47</v>
      </c>
      <c r="C16789" t="str">
        <f>"70"</f>
        <v>70</v>
      </c>
      <c r="D16789" t="str">
        <f>"...Mixing"</f>
        <v>...Mixing</v>
      </c>
    </row>
    <row r="16790" spans="1:4" x14ac:dyDescent="0.2">
      <c r="A16790" t="str">
        <f>"16789"</f>
        <v>16789</v>
      </c>
      <c r="B16790" t="str">
        <f>"1.07"</f>
        <v>1.07</v>
      </c>
      <c r="C16790" t="str">
        <f>"28"</f>
        <v>28</v>
      </c>
      <c r="D16790" t="str">
        <f>"Flight of the Bass Delegate"</f>
        <v>Flight of the Bass Delegate</v>
      </c>
    </row>
    <row r="16791" spans="1:4" x14ac:dyDescent="0.2">
      <c r="A16791" t="str">
        <f>"16790"</f>
        <v>16790</v>
      </c>
      <c r="B16791" t="str">
        <f>"-0.45"</f>
        <v>-0.45</v>
      </c>
      <c r="C16791" t="str">
        <f>"33"</f>
        <v>33</v>
      </c>
      <c r="D16791" t="str">
        <f>"Betty Davis"</f>
        <v>Betty Davis</v>
      </c>
    </row>
    <row r="16792" spans="1:4" x14ac:dyDescent="0.2">
      <c r="A16792" t="str">
        <f>"16791"</f>
        <v>16791</v>
      </c>
      <c r="B16792" t="str">
        <f>"0.45"</f>
        <v>0.45</v>
      </c>
      <c r="C16792" t="str">
        <f>"64"</f>
        <v>64</v>
      </c>
      <c r="D16792" t="str">
        <f>"Tio Bitar"</f>
        <v>Tio Bitar</v>
      </c>
    </row>
    <row r="16793" spans="1:4" x14ac:dyDescent="0.2">
      <c r="A16793" t="str">
        <f>"16792"</f>
        <v>16792</v>
      </c>
      <c r="B16793" t="str">
        <f>"0.03"</f>
        <v>0.03</v>
      </c>
      <c r="C16793" t="str">
        <f>"34"</f>
        <v>34</v>
      </c>
      <c r="D16793" t="str">
        <f>"Retina Riddim"</f>
        <v>Retina Riddim</v>
      </c>
    </row>
    <row r="16794" spans="1:4" x14ac:dyDescent="0.2">
      <c r="A16794" t="str">
        <f>"16793"</f>
        <v>16793</v>
      </c>
      <c r="B16794" t="str">
        <f>"-0.11"</f>
        <v>-0.11</v>
      </c>
      <c r="C16794" t="str">
        <f>"54"</f>
        <v>54</v>
      </c>
      <c r="D16794" t="str">
        <f>"A Raining Sun of Light and Love For You and You and You"</f>
        <v>A Raining Sun of Light and Love For You and You and You</v>
      </c>
    </row>
    <row r="16795" spans="1:4" x14ac:dyDescent="0.2">
      <c r="A16795" t="str">
        <f>"16794"</f>
        <v>16794</v>
      </c>
      <c r="B16795" t="str">
        <f>"-0.3"</f>
        <v>-0.3</v>
      </c>
      <c r="C16795" t="str">
        <f>"30"</f>
        <v>30</v>
      </c>
      <c r="D16795" t="str">
        <f>"Through the Belly of the Sea"</f>
        <v>Through the Belly of the Sea</v>
      </c>
    </row>
    <row r="16796" spans="1:4" x14ac:dyDescent="0.2">
      <c r="A16796" t="str">
        <f>"16795"</f>
        <v>16795</v>
      </c>
      <c r="B16796" t="str">
        <f>"-0.56"</f>
        <v>-0.56</v>
      </c>
      <c r="C16796" t="str">
        <f>"86"</f>
        <v>86</v>
      </c>
      <c r="D16796" t="str">
        <f>"Boxer"</f>
        <v>Boxer</v>
      </c>
    </row>
    <row r="16797" spans="1:4" x14ac:dyDescent="0.2">
      <c r="A16797" t="str">
        <f>"16796"</f>
        <v>16796</v>
      </c>
      <c r="B16797" t="str">
        <f>"-0.44"</f>
        <v>-0.44</v>
      </c>
      <c r="C16797" t="str">
        <f>"21"</f>
        <v>21</v>
      </c>
      <c r="D16797" t="str">
        <f>"Do You Trust Your Friends?"</f>
        <v>Do You Trust Your Friends?</v>
      </c>
    </row>
    <row r="16798" spans="1:4" x14ac:dyDescent="0.2">
      <c r="A16798" t="str">
        <f>"16797"</f>
        <v>16797</v>
      </c>
      <c r="B16798" t="str">
        <f>"0.72"</f>
        <v>0.72</v>
      </c>
      <c r="C16798" t="str">
        <f>"66"</f>
        <v>66</v>
      </c>
      <c r="D16798" t="str">
        <f>"Pterodactyl"</f>
        <v>Pterodactyl</v>
      </c>
    </row>
    <row r="16799" spans="1:4" x14ac:dyDescent="0.2">
      <c r="A16799" t="str">
        <f>"16798"</f>
        <v>16798</v>
      </c>
      <c r="B16799" t="str">
        <f>"0.37"</f>
        <v>0.37</v>
      </c>
      <c r="C16799" t="str">
        <f>"64"</f>
        <v>64</v>
      </c>
      <c r="D16799" t="str">
        <f>"All That to the Wall"</f>
        <v>All That to the Wall</v>
      </c>
    </row>
    <row r="16800" spans="1:4" x14ac:dyDescent="0.2">
      <c r="A16800" t="str">
        <f>"16799"</f>
        <v>16799</v>
      </c>
      <c r="B16800" t="str">
        <f>"-0.43"</f>
        <v>-0.43</v>
      </c>
      <c r="C16800" t="str">
        <f>"65"</f>
        <v>65</v>
      </c>
      <c r="D16800" t="s">
        <v>544</v>
      </c>
    </row>
    <row r="16801" spans="1:4" x14ac:dyDescent="0.2">
      <c r="A16801" t="str">
        <f>"16800"</f>
        <v>16800</v>
      </c>
      <c r="B16801" t="str">
        <f>"0.53"</f>
        <v>0.53</v>
      </c>
      <c r="C16801" t="str">
        <f>"27"</f>
        <v>27</v>
      </c>
      <c r="D16801" t="str">
        <f>"Miss Diamond to You"</f>
        <v>Miss Diamond to You</v>
      </c>
    </row>
    <row r="16802" spans="1:4" x14ac:dyDescent="0.2">
      <c r="A16802" t="str">
        <f>"16801"</f>
        <v>16801</v>
      </c>
      <c r="B16802" t="str">
        <f>"-0.28"</f>
        <v>-0.28</v>
      </c>
      <c r="C16802" t="str">
        <f>"65"</f>
        <v>65</v>
      </c>
      <c r="D16802" t="str">
        <f>"Cendre"</f>
        <v>Cendre</v>
      </c>
    </row>
    <row r="16803" spans="1:4" x14ac:dyDescent="0.2">
      <c r="A16803" t="str">
        <f>"16802"</f>
        <v>16802</v>
      </c>
      <c r="B16803" t="str">
        <f>"0.41"</f>
        <v>0.41</v>
      </c>
      <c r="C16803" t="str">
        <f>"29"</f>
        <v>29</v>
      </c>
      <c r="D16803" t="str">
        <f>"Strjon"</f>
        <v>Strjon</v>
      </c>
    </row>
    <row r="16804" spans="1:4" x14ac:dyDescent="0.2">
      <c r="A16804" t="str">
        <f>"16803"</f>
        <v>16803</v>
      </c>
      <c r="B16804" t="str">
        <f>"0.29"</f>
        <v>0.29</v>
      </c>
      <c r="C16804" t="str">
        <f>"70"</f>
        <v>70</v>
      </c>
      <c r="D16804" t="str">
        <f>"Everything Last Winter"</f>
        <v>Everything Last Winter</v>
      </c>
    </row>
    <row r="16805" spans="1:4" x14ac:dyDescent="0.2">
      <c r="A16805" t="str">
        <f>"16804"</f>
        <v>16804</v>
      </c>
      <c r="B16805" t="str">
        <f>"-0.5"</f>
        <v>-0.5</v>
      </c>
      <c r="C16805" t="str">
        <f>"22"</f>
        <v>22</v>
      </c>
      <c r="D16805" t="str">
        <f>"Trueno Oscuro"</f>
        <v>Trueno Oscuro</v>
      </c>
    </row>
    <row r="16806" spans="1:4" x14ac:dyDescent="0.2">
      <c r="A16806" t="str">
        <f>"16805"</f>
        <v>16805</v>
      </c>
      <c r="B16806" t="str">
        <f>"0.36"</f>
        <v>0.36</v>
      </c>
      <c r="C16806" t="str">
        <f>"31"</f>
        <v>31</v>
      </c>
      <c r="D16806" t="str">
        <f>"Release the Stars"</f>
        <v>Release the Stars</v>
      </c>
    </row>
    <row r="16807" spans="1:4" x14ac:dyDescent="0.2">
      <c r="A16807" t="str">
        <f>"16806"</f>
        <v>16806</v>
      </c>
      <c r="B16807" t="str">
        <f>"0.82"</f>
        <v>0.82</v>
      </c>
      <c r="C16807" t="str">
        <f>"43"</f>
        <v>43</v>
      </c>
      <c r="D16807" t="str">
        <f>"Rumpelzirkus"</f>
        <v>Rumpelzirkus</v>
      </c>
    </row>
    <row r="16808" spans="1:4" x14ac:dyDescent="0.2">
      <c r="A16808" t="str">
        <f>"16807"</f>
        <v>16807</v>
      </c>
      <c r="B16808" t="str">
        <f>"0.73"</f>
        <v>0.73</v>
      </c>
      <c r="C16808" t="str">
        <f>"105"</f>
        <v>105</v>
      </c>
      <c r="D16808" t="str">
        <f>"Cult Cargo: Grand Bahama Goombay"</f>
        <v>Cult Cargo: Grand Bahama Goombay</v>
      </c>
    </row>
    <row r="16809" spans="1:4" x14ac:dyDescent="0.2">
      <c r="A16809" t="str">
        <f>"16808"</f>
        <v>16808</v>
      </c>
      <c r="B16809" t="str">
        <f>"0.98"</f>
        <v>0.98</v>
      </c>
      <c r="C16809" t="str">
        <f>"23"</f>
        <v>23</v>
      </c>
      <c r="D16809" t="str">
        <f>"Burning Birthdays EP"</f>
        <v>Burning Birthdays EP</v>
      </c>
    </row>
    <row r="16810" spans="1:4" x14ac:dyDescent="0.2">
      <c r="A16810" t="str">
        <f>"16809"</f>
        <v>16809</v>
      </c>
      <c r="B16810" t="str">
        <f>"0.59"</f>
        <v>0.59</v>
      </c>
      <c r="C16810" t="str">
        <f>"78"</f>
        <v>78</v>
      </c>
      <c r="D16810" t="str">
        <f>"Ingleside Terrace"</f>
        <v>Ingleside Terrace</v>
      </c>
    </row>
    <row r="16811" spans="1:4" x14ac:dyDescent="0.2">
      <c r="A16811" t="str">
        <f>"16810"</f>
        <v>16810</v>
      </c>
      <c r="B16811" t="str">
        <f>"-0.03"</f>
        <v>-0.03</v>
      </c>
      <c r="C16811" t="str">
        <f>"119"</f>
        <v>119</v>
      </c>
      <c r="D16811" t="str">
        <f>"Da Drought 3"</f>
        <v>Da Drought 3</v>
      </c>
    </row>
    <row r="16812" spans="1:4" x14ac:dyDescent="0.2">
      <c r="A16812" t="str">
        <f>"16811"</f>
        <v>16811</v>
      </c>
      <c r="B16812" t="str">
        <f>"0.27"</f>
        <v>0.27</v>
      </c>
      <c r="C16812" t="str">
        <f>"33"</f>
        <v>33</v>
      </c>
      <c r="D16812" t="str">
        <f>"Time Out Presents: The Other Side Los Angeles"</f>
        <v>Time Out Presents: The Other Side Los Angeles</v>
      </c>
    </row>
    <row r="16813" spans="1:4" x14ac:dyDescent="0.2">
      <c r="A16813" t="str">
        <f>"16812"</f>
        <v>16812</v>
      </c>
      <c r="B16813" t="str">
        <f>"0.15"</f>
        <v>0.15</v>
      </c>
      <c r="C16813" t="str">
        <f>"60"</f>
        <v>60</v>
      </c>
      <c r="D16813" t="str">
        <f>"Säkert!"</f>
        <v>Säkert!</v>
      </c>
    </row>
    <row r="16814" spans="1:4" x14ac:dyDescent="0.2">
      <c r="A16814" t="str">
        <f>"16813"</f>
        <v>16813</v>
      </c>
      <c r="B16814" t="str">
        <f>"-0.55"</f>
        <v>-0.55</v>
      </c>
      <c r="C16814" t="str">
        <f>"101"</f>
        <v>101</v>
      </c>
      <c r="D16814" t="str">
        <f>"Prezens"</f>
        <v>Prezens</v>
      </c>
    </row>
    <row r="16815" spans="1:4" x14ac:dyDescent="0.2">
      <c r="A16815" t="str">
        <f>"16814"</f>
        <v>16814</v>
      </c>
      <c r="B16815" t="str">
        <f>"-1.55"</f>
        <v>-1.55</v>
      </c>
      <c r="C16815" t="str">
        <f>"26"</f>
        <v>26</v>
      </c>
      <c r="D16815" t="str">
        <f>"Whistleblower"</f>
        <v>Whistleblower</v>
      </c>
    </row>
    <row r="16816" spans="1:4" x14ac:dyDescent="0.2">
      <c r="A16816" t="str">
        <f>"16815"</f>
        <v>16815</v>
      </c>
      <c r="B16816" t="str">
        <f>"-0.53"</f>
        <v>-0.53</v>
      </c>
      <c r="C16816" t="str">
        <f>"52"</f>
        <v>52</v>
      </c>
      <c r="D16816" t="str">
        <f>"Mirrored"</f>
        <v>Mirrored</v>
      </c>
    </row>
    <row r="16817" spans="1:4" x14ac:dyDescent="0.2">
      <c r="A16817" t="str">
        <f>"16816"</f>
        <v>16816</v>
      </c>
      <c r="B16817" t="str">
        <f>"-0.88"</f>
        <v>-0.88</v>
      </c>
      <c r="C16817" t="str">
        <f>"79"</f>
        <v>79</v>
      </c>
      <c r="D16817" t="str">
        <f>"Fight for Anarchy EP"</f>
        <v>Fight for Anarchy EP</v>
      </c>
    </row>
    <row r="16818" spans="1:4" x14ac:dyDescent="0.2">
      <c r="A16818" t="str">
        <f>"16817"</f>
        <v>16817</v>
      </c>
      <c r="B16818" t="str">
        <f>"0.17"</f>
        <v>0.17</v>
      </c>
      <c r="C16818" t="str">
        <f>"55"</f>
        <v>55</v>
      </c>
      <c r="D16818" t="str">
        <f>"Private Cinema"</f>
        <v>Private Cinema</v>
      </c>
    </row>
    <row r="16819" spans="1:4" x14ac:dyDescent="0.2">
      <c r="A16819" t="str">
        <f>"16818"</f>
        <v>16818</v>
      </c>
      <c r="B16819" t="str">
        <f>"0.96"</f>
        <v>0.96</v>
      </c>
      <c r="C16819" t="str">
        <f>"16"</f>
        <v>16</v>
      </c>
      <c r="D16819" t="str">
        <f>"No One Will Know Where You've Been"</f>
        <v>No One Will Know Where You've Been</v>
      </c>
    </row>
    <row r="16820" spans="1:4" x14ac:dyDescent="0.2">
      <c r="A16820" t="str">
        <f>"16819"</f>
        <v>16819</v>
      </c>
      <c r="B16820" t="str">
        <f>"0.24"</f>
        <v>0.24</v>
      </c>
      <c r="C16820" t="str">
        <f>"50"</f>
        <v>50</v>
      </c>
      <c r="D16820" t="str">
        <f>"Remixes Compiled"</f>
        <v>Remixes Compiled</v>
      </c>
    </row>
    <row r="16821" spans="1:4" x14ac:dyDescent="0.2">
      <c r="A16821" t="str">
        <f>"16820"</f>
        <v>16820</v>
      </c>
      <c r="B16821" t="str">
        <f>"-0.22"</f>
        <v>-0.22</v>
      </c>
      <c r="C16821" t="str">
        <f>"29"</f>
        <v>29</v>
      </c>
      <c r="D16821" t="str">
        <f>"Sky Blue Sky"</f>
        <v>Sky Blue Sky</v>
      </c>
    </row>
    <row r="16822" spans="1:4" x14ac:dyDescent="0.2">
      <c r="A16822" t="str">
        <f>"16821"</f>
        <v>16821</v>
      </c>
      <c r="B16822" t="str">
        <f>"0.43"</f>
        <v>0.43</v>
      </c>
      <c r="C16822" t="str">
        <f>"92"</f>
        <v>92</v>
      </c>
      <c r="D16822" t="str">
        <f>"Joe Strummer: The Future Is Unwritten"</f>
        <v>Joe Strummer: The Future Is Unwritten</v>
      </c>
    </row>
    <row r="16823" spans="1:4" x14ac:dyDescent="0.2">
      <c r="A16823" t="str">
        <f>"16822"</f>
        <v>16822</v>
      </c>
      <c r="B16823" t="str">
        <f>"0.24"</f>
        <v>0.24</v>
      </c>
      <c r="C16823" t="str">
        <f>"58"</f>
        <v>58</v>
      </c>
      <c r="D16823" t="str">
        <f>"There's No Home"</f>
        <v>There's No Home</v>
      </c>
    </row>
    <row r="16824" spans="1:4" x14ac:dyDescent="0.2">
      <c r="A16824" t="str">
        <f>"16823"</f>
        <v>16823</v>
      </c>
      <c r="B16824" t="str">
        <f>"0.49"</f>
        <v>0.49</v>
      </c>
      <c r="C16824" t="str">
        <f>"61"</f>
        <v>61</v>
      </c>
      <c r="D16824" t="str">
        <f>"Golden Pollen"</f>
        <v>Golden Pollen</v>
      </c>
    </row>
    <row r="16825" spans="1:4" x14ac:dyDescent="0.2">
      <c r="A16825" t="str">
        <f>"16824"</f>
        <v>16824</v>
      </c>
      <c r="B16825" t="str">
        <f>"-0.58"</f>
        <v>-0.58</v>
      </c>
      <c r="C16825" t="str">
        <f>"51"</f>
        <v>51</v>
      </c>
      <c r="D16825" t="str">
        <f>"Seymore Saves the World"</f>
        <v>Seymore Saves the World</v>
      </c>
    </row>
    <row r="16826" spans="1:4" x14ac:dyDescent="0.2">
      <c r="A16826" t="str">
        <f>"16825"</f>
        <v>16825</v>
      </c>
      <c r="B16826" t="str">
        <f>"-0.03"</f>
        <v>-0.03</v>
      </c>
      <c r="C16826" t="str">
        <f>"46"</f>
        <v>46</v>
      </c>
      <c r="D16826" t="str">
        <f>"Spiderman of the Rings"</f>
        <v>Spiderman of the Rings</v>
      </c>
    </row>
    <row r="16827" spans="1:4" x14ac:dyDescent="0.2">
      <c r="A16827" t="str">
        <f>"16826"</f>
        <v>16826</v>
      </c>
      <c r="B16827" t="str">
        <f>"-0.18"</f>
        <v>-0.18</v>
      </c>
      <c r="C16827" t="str">
        <f>"20"</f>
        <v>20</v>
      </c>
      <c r="D16827" t="str">
        <f>"Human the Death Dance"</f>
        <v>Human the Death Dance</v>
      </c>
    </row>
    <row r="16828" spans="1:4" x14ac:dyDescent="0.2">
      <c r="A16828" t="str">
        <f>"16827"</f>
        <v>16827</v>
      </c>
      <c r="B16828" t="str">
        <f>"0.13"</f>
        <v>0.13</v>
      </c>
      <c r="C16828" t="str">
        <f>"23"</f>
        <v>23</v>
      </c>
      <c r="D16828" t="str">
        <f>"The Mary Onettes"</f>
        <v>The Mary Onettes</v>
      </c>
    </row>
    <row r="16829" spans="1:4" x14ac:dyDescent="0.2">
      <c r="A16829" t="str">
        <f>"16828"</f>
        <v>16828</v>
      </c>
      <c r="B16829" t="str">
        <f>"1.46"</f>
        <v>1.46</v>
      </c>
      <c r="C16829" t="str">
        <f>"10"</f>
        <v>10</v>
      </c>
      <c r="D16829" t="str">
        <f>"We Walked in Song"</f>
        <v>We Walked in Song</v>
      </c>
    </row>
    <row r="16830" spans="1:4" x14ac:dyDescent="0.2">
      <c r="A16830" t="str">
        <f>"16829"</f>
        <v>16829</v>
      </c>
      <c r="B16830" t="str">
        <f>"0.88"</f>
        <v>0.88</v>
      </c>
      <c r="C16830" t="str">
        <f>"52"</f>
        <v>52</v>
      </c>
      <c r="D16830" t="str">
        <f>"Yes Yes to You"</f>
        <v>Yes Yes to You</v>
      </c>
    </row>
    <row r="16831" spans="1:4" x14ac:dyDescent="0.2">
      <c r="A16831" t="str">
        <f>"16830"</f>
        <v>16830</v>
      </c>
      <c r="B16831" t="str">
        <f>"0.51"</f>
        <v>0.51</v>
      </c>
      <c r="C16831" t="str">
        <f>"111"</f>
        <v>111</v>
      </c>
      <c r="D16831" t="str">
        <f>"God Save the Clientele"</f>
        <v>God Save the Clientele</v>
      </c>
    </row>
    <row r="16832" spans="1:4" x14ac:dyDescent="0.2">
      <c r="A16832" t="str">
        <f>"16831"</f>
        <v>16831</v>
      </c>
      <c r="B16832" t="str">
        <f>"0.58"</f>
        <v>0.58</v>
      </c>
      <c r="C16832" t="str">
        <f>"35"</f>
        <v>35</v>
      </c>
      <c r="D16832" t="str">
        <f>"Betti-Cola"</f>
        <v>Betti-Cola</v>
      </c>
    </row>
    <row r="16833" spans="1:4" x14ac:dyDescent="0.2">
      <c r="A16833" t="str">
        <f>"16832"</f>
        <v>16832</v>
      </c>
      <c r="B16833" t="str">
        <f>"-0.52"</f>
        <v>-0.52</v>
      </c>
      <c r="C16833" t="str">
        <f>"73"</f>
        <v>73</v>
      </c>
      <c r="D16833" t="str">
        <f>"Dirty South Dance"</f>
        <v>Dirty South Dance</v>
      </c>
    </row>
    <row r="16834" spans="1:4" x14ac:dyDescent="0.2">
      <c r="A16834" t="str">
        <f>"16833"</f>
        <v>16833</v>
      </c>
      <c r="B16834" t="str">
        <f>"0.35"</f>
        <v>0.35</v>
      </c>
      <c r="C16834" t="str">
        <f>"17"</f>
        <v>17</v>
      </c>
      <c r="D16834" t="str">
        <f>"Above the Trees"</f>
        <v>Above the Trees</v>
      </c>
    </row>
    <row r="16835" spans="1:4" x14ac:dyDescent="0.2">
      <c r="A16835" t="str">
        <f>"16834"</f>
        <v>16834</v>
      </c>
      <c r="B16835" t="str">
        <f>"1.15"</f>
        <v>1.15</v>
      </c>
      <c r="C16835" t="str">
        <f>"52"</f>
        <v>52</v>
      </c>
      <c r="D16835" t="str">
        <f>"Kiss the Crystal Flake"</f>
        <v>Kiss the Crystal Flake</v>
      </c>
    </row>
    <row r="16836" spans="1:4" x14ac:dyDescent="0.2">
      <c r="A16836" t="str">
        <f>"16835"</f>
        <v>16835</v>
      </c>
      <c r="B16836" t="str">
        <f>"0.82"</f>
        <v>0.82</v>
      </c>
      <c r="C16836" t="str">
        <f>"37"</f>
        <v>37</v>
      </c>
      <c r="D16836" t="str">
        <f>"New Moon"</f>
        <v>New Moon</v>
      </c>
    </row>
    <row r="16837" spans="1:4" x14ac:dyDescent="0.2">
      <c r="A16837" t="str">
        <f>"16836"</f>
        <v>16836</v>
      </c>
      <c r="B16837" t="str">
        <f>"-0.13"</f>
        <v>-0.13</v>
      </c>
      <c r="C16837" t="str">
        <f>"51"</f>
        <v>51</v>
      </c>
      <c r="D16837" t="str">
        <f>"...And the Family Telephone"</f>
        <v>...And the Family Telephone</v>
      </c>
    </row>
    <row r="16838" spans="1:4" x14ac:dyDescent="0.2">
      <c r="A16838" t="str">
        <f>"16837"</f>
        <v>16837</v>
      </c>
      <c r="B16838" t="str">
        <f>"1.75"</f>
        <v>1.75</v>
      </c>
      <c r="C16838" t="str">
        <f>"25"</f>
        <v>25</v>
      </c>
      <c r="D16838" t="str">
        <f>"Alone in the Dark Wood"</f>
        <v>Alone in the Dark Wood</v>
      </c>
    </row>
    <row r="16839" spans="1:4" x14ac:dyDescent="0.2">
      <c r="A16839" t="str">
        <f>"16838"</f>
        <v>16838</v>
      </c>
      <c r="B16839" t="str">
        <f>"-0.07"</f>
        <v>-0.07</v>
      </c>
      <c r="C16839" t="str">
        <f>"61"</f>
        <v>61</v>
      </c>
      <c r="D16839" t="str">
        <f>"LP1"</f>
        <v>LP1</v>
      </c>
    </row>
    <row r="16840" spans="1:4" x14ac:dyDescent="0.2">
      <c r="A16840" t="str">
        <f>"16839"</f>
        <v>16839</v>
      </c>
      <c r="B16840" t="str">
        <f>"0.15"</f>
        <v>0.15</v>
      </c>
      <c r="C16840" t="str">
        <f>"58"</f>
        <v>58</v>
      </c>
      <c r="D16840" t="str">
        <f>"VI"</f>
        <v>VI</v>
      </c>
    </row>
    <row r="16841" spans="1:4" x14ac:dyDescent="0.2">
      <c r="A16841" t="str">
        <f>"16840"</f>
        <v>16840</v>
      </c>
      <c r="B16841" t="str">
        <f>"-0.94"</f>
        <v>-0.94</v>
      </c>
      <c r="C16841" t="str">
        <f>"86"</f>
        <v>86</v>
      </c>
      <c r="D16841" t="str">
        <f>"Volta"</f>
        <v>Volta</v>
      </c>
    </row>
    <row r="16842" spans="1:4" x14ac:dyDescent="0.2">
      <c r="A16842" t="str">
        <f>"16841"</f>
        <v>16841</v>
      </c>
      <c r="B16842" t="str">
        <f>"0.3"</f>
        <v>0.3</v>
      </c>
      <c r="C16842" t="str">
        <f>"77"</f>
        <v>77</v>
      </c>
      <c r="D16842" t="str">
        <f>"Everybody"</f>
        <v>Everybody</v>
      </c>
    </row>
    <row r="16843" spans="1:4" x14ac:dyDescent="0.2">
      <c r="A16843" t="str">
        <f>"16842"</f>
        <v>16842</v>
      </c>
      <c r="B16843" t="str">
        <f>"0.2"</f>
        <v>0.2</v>
      </c>
      <c r="C16843" t="str">
        <f>"28"</f>
        <v>28</v>
      </c>
      <c r="D16843" t="str">
        <f>"Monstrance"</f>
        <v>Monstrance</v>
      </c>
    </row>
    <row r="16844" spans="1:4" x14ac:dyDescent="0.2">
      <c r="A16844" t="str">
        <f>"16843"</f>
        <v>16843</v>
      </c>
      <c r="B16844" t="str">
        <f>"-0.1"</f>
        <v>-0.1</v>
      </c>
      <c r="C16844" t="str">
        <f>"31"</f>
        <v>31</v>
      </c>
      <c r="D16844" t="str">
        <f>"Supastarr EP"</f>
        <v>Supastarr EP</v>
      </c>
    </row>
    <row r="16845" spans="1:4" x14ac:dyDescent="0.2">
      <c r="A16845" t="str">
        <f>"16844"</f>
        <v>16844</v>
      </c>
      <c r="B16845" t="str">
        <f>"0.51"</f>
        <v>0.51</v>
      </c>
      <c r="C16845" t="str">
        <f>"55"</f>
        <v>55</v>
      </c>
      <c r="D16845" t="str">
        <f>"Modern Love and Death"</f>
        <v>Modern Love and Death</v>
      </c>
    </row>
    <row r="16846" spans="1:4" x14ac:dyDescent="0.2">
      <c r="A16846" t="str">
        <f>"16845"</f>
        <v>16845</v>
      </c>
      <c r="B16846" t="str">
        <f>"0.08"</f>
        <v>0.08</v>
      </c>
      <c r="C16846" t="str">
        <f>"25"</f>
        <v>25</v>
      </c>
      <c r="D16846" t="str">
        <f>"Mosaic"</f>
        <v>Mosaic</v>
      </c>
    </row>
    <row r="16847" spans="1:4" x14ac:dyDescent="0.2">
      <c r="A16847" t="str">
        <f>"16846"</f>
        <v>16846</v>
      </c>
      <c r="B16847" t="str">
        <f>"-0.91"</f>
        <v>-0.91</v>
      </c>
      <c r="C16847" t="str">
        <f>"42"</f>
        <v>42</v>
      </c>
      <c r="D16847" t="s">
        <v>545</v>
      </c>
    </row>
    <row r="16848" spans="1:4" x14ac:dyDescent="0.2">
      <c r="A16848" t="str">
        <f>"16847"</f>
        <v>16847</v>
      </c>
      <c r="B16848" t="str">
        <f>"0.7"</f>
        <v>0.7</v>
      </c>
      <c r="C16848" t="str">
        <f>"19"</f>
        <v>19</v>
      </c>
      <c r="D16848" t="str">
        <f>"Imagine Our Love"</f>
        <v>Imagine Our Love</v>
      </c>
    </row>
    <row r="16849" spans="1:4" x14ac:dyDescent="0.2">
      <c r="A16849" t="str">
        <f>"16848"</f>
        <v>16848</v>
      </c>
      <c r="B16849" t="str">
        <f>"0.86"</f>
        <v>0.86</v>
      </c>
      <c r="C16849" t="str">
        <f>"21"</f>
        <v>21</v>
      </c>
      <c r="D16849" t="str">
        <f>"Star Destroyer"</f>
        <v>Star Destroyer</v>
      </c>
    </row>
    <row r="16850" spans="1:4" x14ac:dyDescent="0.2">
      <c r="A16850" t="str">
        <f>"16849"</f>
        <v>16849</v>
      </c>
      <c r="B16850" t="str">
        <f>"-0.46"</f>
        <v>-0.46</v>
      </c>
      <c r="C16850" t="str">
        <f>"68"</f>
        <v>68</v>
      </c>
      <c r="D16850" t="str">
        <f>"Solace in Sore Hands"</f>
        <v>Solace in Sore Hands</v>
      </c>
    </row>
    <row r="16851" spans="1:4" x14ac:dyDescent="0.2">
      <c r="A16851" t="str">
        <f>"16850"</f>
        <v>16850</v>
      </c>
      <c r="B16851" t="str">
        <f>"0.07"</f>
        <v>0.07</v>
      </c>
      <c r="C16851" t="str">
        <f>"52"</f>
        <v>52</v>
      </c>
      <c r="D16851" t="str">
        <f>"Songs of Leonard Cohen"</f>
        <v>Songs of Leonard Cohen</v>
      </c>
    </row>
    <row r="16852" spans="1:4" x14ac:dyDescent="0.2">
      <c r="A16852" t="str">
        <f>"16851"</f>
        <v>16851</v>
      </c>
      <c r="B16852" t="str">
        <f>"-1.16"</f>
        <v>-1.16</v>
      </c>
      <c r="C16852" t="str">
        <f>"22"</f>
        <v>22</v>
      </c>
      <c r="D16852" t="str">
        <f>"Quique: Redux Edition"</f>
        <v>Quique: Redux Edition</v>
      </c>
    </row>
    <row r="16853" spans="1:4" x14ac:dyDescent="0.2">
      <c r="A16853" t="str">
        <f>"16852"</f>
        <v>16852</v>
      </c>
      <c r="B16853" t="str">
        <f>"0.48"</f>
        <v>0.48</v>
      </c>
      <c r="C16853" t="str">
        <f>"68"</f>
        <v>68</v>
      </c>
      <c r="D16853" t="str">
        <f>"Ola Podrida"</f>
        <v>Ola Podrida</v>
      </c>
    </row>
    <row r="16854" spans="1:4" x14ac:dyDescent="0.2">
      <c r="A16854" t="str">
        <f>"16853"</f>
        <v>16853</v>
      </c>
      <c r="B16854" t="str">
        <f>"0.27"</f>
        <v>0.27</v>
      </c>
      <c r="C16854" t="str">
        <f>"38"</f>
        <v>38</v>
      </c>
      <c r="D16854" t="str">
        <f>"Little Pop Rock"</f>
        <v>Little Pop Rock</v>
      </c>
    </row>
    <row r="16855" spans="1:4" x14ac:dyDescent="0.2">
      <c r="A16855" t="str">
        <f>"16854"</f>
        <v>16854</v>
      </c>
      <c r="B16855" t="str">
        <f>"0.18"</f>
        <v>0.18</v>
      </c>
      <c r="C16855" t="str">
        <f>"69"</f>
        <v>69</v>
      </c>
      <c r="D16855" t="str">
        <f>"Let's Just Be"</f>
        <v>Let's Just Be</v>
      </c>
    </row>
    <row r="16856" spans="1:4" x14ac:dyDescent="0.2">
      <c r="A16856" t="str">
        <f>"16855"</f>
        <v>16855</v>
      </c>
      <c r="B16856" t="str">
        <f>"-0.82"</f>
        <v>-0.82</v>
      </c>
      <c r="C16856" t="str">
        <f>"40"</f>
        <v>40</v>
      </c>
      <c r="D16856" t="str">
        <f>"Tears of the Valedictorian"</f>
        <v>Tears of the Valedictorian</v>
      </c>
    </row>
    <row r="16857" spans="1:4" x14ac:dyDescent="0.2">
      <c r="A16857" t="str">
        <f>"16856"</f>
        <v>16856</v>
      </c>
      <c r="B16857" t="str">
        <f>"0.01"</f>
        <v>0.01</v>
      </c>
      <c r="C16857" t="str">
        <f>"28"</f>
        <v>28</v>
      </c>
      <c r="D16857" t="str">
        <f>"Baby 81"</f>
        <v>Baby 81</v>
      </c>
    </row>
    <row r="16858" spans="1:4" x14ac:dyDescent="0.2">
      <c r="A16858" t="str">
        <f>"16857"</f>
        <v>16857</v>
      </c>
      <c r="B16858" t="str">
        <f>"0.12"</f>
        <v>0.12</v>
      </c>
      <c r="C16858" t="str">
        <f>"76"</f>
        <v>76</v>
      </c>
      <c r="D16858" t="str">
        <f>"Lazarus Beach"</f>
        <v>Lazarus Beach</v>
      </c>
    </row>
    <row r="16859" spans="1:4" x14ac:dyDescent="0.2">
      <c r="A16859" t="str">
        <f>"16858"</f>
        <v>16858</v>
      </c>
      <c r="B16859" t="str">
        <f>"-0.18"</f>
        <v>-0.18</v>
      </c>
      <c r="C16859" t="str">
        <f>"19"</f>
        <v>19</v>
      </c>
      <c r="D16859" t="str">
        <f>"Blood Is Clean"</f>
        <v>Blood Is Clean</v>
      </c>
    </row>
    <row r="16860" spans="1:4" x14ac:dyDescent="0.2">
      <c r="A16860" t="str">
        <f>"16859"</f>
        <v>16859</v>
      </c>
      <c r="B16860" t="str">
        <f>"-0.54"</f>
        <v>-0.54</v>
      </c>
      <c r="C16860" t="str">
        <f>"29"</f>
        <v>29</v>
      </c>
      <c r="D16860" t="str">
        <f>"Lynn Teeter Flower"</f>
        <v>Lynn Teeter Flower</v>
      </c>
    </row>
    <row r="16861" spans="1:4" x14ac:dyDescent="0.2">
      <c r="A16861" t="str">
        <f>"16860"</f>
        <v>16860</v>
      </c>
      <c r="B16861" t="str">
        <f>"0.71"</f>
        <v>0.71</v>
      </c>
      <c r="C16861" t="str">
        <f>"61"</f>
        <v>61</v>
      </c>
      <c r="D16861" t="s">
        <v>546</v>
      </c>
    </row>
    <row r="16862" spans="1:4" x14ac:dyDescent="0.2">
      <c r="A16862" t="str">
        <f>"16861"</f>
        <v>16861</v>
      </c>
      <c r="B16862" t="str">
        <f>"0.14"</f>
        <v>0.14</v>
      </c>
      <c r="C16862" t="str">
        <f>"26"</f>
        <v>26</v>
      </c>
      <c r="D16862" t="str">
        <f>"The First Original Silence"</f>
        <v>The First Original Silence</v>
      </c>
    </row>
    <row r="16863" spans="1:4" x14ac:dyDescent="0.2">
      <c r="A16863" t="str">
        <f>"16862"</f>
        <v>16862</v>
      </c>
      <c r="B16863" t="str">
        <f>"0.06"</f>
        <v>0.06</v>
      </c>
      <c r="C16863" t="str">
        <f>"54"</f>
        <v>54</v>
      </c>
      <c r="D16863" t="str">
        <f>"Vision Swim"</f>
        <v>Vision Swim</v>
      </c>
    </row>
    <row r="16864" spans="1:4" x14ac:dyDescent="0.2">
      <c r="A16864" t="str">
        <f>"16863"</f>
        <v>16863</v>
      </c>
      <c r="B16864" t="str">
        <f>"0.2"</f>
        <v>0.2</v>
      </c>
      <c r="C16864" t="str">
        <f>"32"</f>
        <v>32</v>
      </c>
      <c r="D16864" t="str">
        <f>"Glitter Glamour Atrocity"</f>
        <v>Glitter Glamour Atrocity</v>
      </c>
    </row>
    <row r="16865" spans="1:4" x14ac:dyDescent="0.2">
      <c r="A16865" t="str">
        <f>"16864"</f>
        <v>16864</v>
      </c>
      <c r="B16865" t="str">
        <f>"-0.04"</f>
        <v>-0.04</v>
      </c>
      <c r="C16865" t="str">
        <f>"32"</f>
        <v>32</v>
      </c>
      <c r="D16865" t="str">
        <f>"The Trick"</f>
        <v>The Trick</v>
      </c>
    </row>
    <row r="16866" spans="1:4" x14ac:dyDescent="0.2">
      <c r="A16866" t="str">
        <f>"16865"</f>
        <v>16865</v>
      </c>
      <c r="B16866" t="str">
        <f>"-0.06"</f>
        <v>-0.06</v>
      </c>
      <c r="C16866" t="str">
        <f>"29"</f>
        <v>29</v>
      </c>
      <c r="D16866" t="str">
        <f>"Beyond"</f>
        <v>Beyond</v>
      </c>
    </row>
    <row r="16867" spans="1:4" x14ac:dyDescent="0.2">
      <c r="A16867" t="str">
        <f>"16866"</f>
        <v>16866</v>
      </c>
      <c r="B16867" t="str">
        <f>"0.28"</f>
        <v>0.28</v>
      </c>
      <c r="C16867" t="str">
        <f>"17"</f>
        <v>17</v>
      </c>
      <c r="D16867" t="str">
        <f>"Death Proof"</f>
        <v>Death Proof</v>
      </c>
    </row>
    <row r="16868" spans="1:4" x14ac:dyDescent="0.2">
      <c r="A16868" t="str">
        <f>"16867"</f>
        <v>16867</v>
      </c>
      <c r="B16868" t="str">
        <f>"1.67"</f>
        <v>1.67</v>
      </c>
      <c r="C16868" t="str">
        <f>"10"</f>
        <v>10</v>
      </c>
      <c r="D16868" t="str">
        <f>"All This Could Kill You"</f>
        <v>All This Could Kill You</v>
      </c>
    </row>
    <row r="16869" spans="1:4" x14ac:dyDescent="0.2">
      <c r="A16869" t="str">
        <f>"16868"</f>
        <v>16868</v>
      </c>
      <c r="B16869" t="str">
        <f>"0.36"</f>
        <v>0.36</v>
      </c>
      <c r="C16869" t="str">
        <f>"22"</f>
        <v>22</v>
      </c>
      <c r="D16869" t="str">
        <f>"The Shaky Hands"</f>
        <v>The Shaky Hands</v>
      </c>
    </row>
    <row r="16870" spans="1:4" x14ac:dyDescent="0.2">
      <c r="A16870" t="str">
        <f>"16869"</f>
        <v>16869</v>
      </c>
      <c r="B16870" t="str">
        <f>"-0.23"</f>
        <v>-0.23</v>
      </c>
      <c r="C16870" t="str">
        <f>"92"</f>
        <v>92</v>
      </c>
      <c r="D16870" t="str">
        <f>"Revenge!"</f>
        <v>Revenge!</v>
      </c>
    </row>
    <row r="16871" spans="1:4" x14ac:dyDescent="0.2">
      <c r="A16871" t="str">
        <f>"16870"</f>
        <v>16870</v>
      </c>
      <c r="B16871" t="str">
        <f>"-0.24"</f>
        <v>-0.24</v>
      </c>
      <c r="C16871" t="str">
        <f>"94"</f>
        <v>94</v>
      </c>
      <c r="D16871" t="str">
        <f>"The Reminder"</f>
        <v>The Reminder</v>
      </c>
    </row>
    <row r="16872" spans="1:4" x14ac:dyDescent="0.2">
      <c r="A16872" t="str">
        <f>"16871"</f>
        <v>16871</v>
      </c>
      <c r="B16872" t="str">
        <f>"-0.75"</f>
        <v>-0.75</v>
      </c>
      <c r="C16872" t="str">
        <f>"26"</f>
        <v>26</v>
      </c>
      <c r="D16872" t="str">
        <f>"Open Your Box"</f>
        <v>Open Your Box</v>
      </c>
    </row>
    <row r="16873" spans="1:4" x14ac:dyDescent="0.2">
      <c r="A16873" t="str">
        <f>"16872"</f>
        <v>16872</v>
      </c>
      <c r="B16873" t="str">
        <f>"-0.5"</f>
        <v>-0.5</v>
      </c>
      <c r="C16873" t="str">
        <f>"73"</f>
        <v>73</v>
      </c>
      <c r="D16873" t="str">
        <f>"Ghosts of Marumbey"</f>
        <v>Ghosts of Marumbey</v>
      </c>
    </row>
    <row r="16874" spans="1:4" x14ac:dyDescent="0.2">
      <c r="A16874" t="str">
        <f>"16873"</f>
        <v>16873</v>
      </c>
      <c r="B16874" t="str">
        <f>"-0.1"</f>
        <v>-0.1</v>
      </c>
      <c r="C16874" t="str">
        <f>"74"</f>
        <v>74</v>
      </c>
      <c r="D16874" t="str">
        <f>"Brand New Towns"</f>
        <v>Brand New Towns</v>
      </c>
    </row>
    <row r="16875" spans="1:4" x14ac:dyDescent="0.2">
      <c r="A16875" t="str">
        <f>"16874"</f>
        <v>16874</v>
      </c>
      <c r="B16875" t="str">
        <f>"0.78"</f>
        <v>0.78</v>
      </c>
      <c r="C16875" t="str">
        <f>"70"</f>
        <v>70</v>
      </c>
      <c r="D16875" t="str">
        <f>"Ten Readings of A Warning"</f>
        <v>Ten Readings of A Warning</v>
      </c>
    </row>
    <row r="16876" spans="1:4" x14ac:dyDescent="0.2">
      <c r="A16876" t="str">
        <f>"16875"</f>
        <v>16875</v>
      </c>
      <c r="B16876" t="str">
        <f>"-0.29"</f>
        <v>-0.29</v>
      </c>
      <c r="C16876" t="str">
        <f>"76"</f>
        <v>76</v>
      </c>
      <c r="D16876" t="str">
        <f>"The Collection"</f>
        <v>The Collection</v>
      </c>
    </row>
    <row r="16877" spans="1:4" x14ac:dyDescent="0.2">
      <c r="A16877" t="str">
        <f>"16876"</f>
        <v>16876</v>
      </c>
      <c r="B16877" t="str">
        <f>"0.45"</f>
        <v>0.45</v>
      </c>
      <c r="C16877" t="str">
        <f>"34"</f>
        <v>34</v>
      </c>
      <c r="D16877" t="str">
        <f>"Poor Aim: Love Songs"</f>
        <v>Poor Aim: Love Songs</v>
      </c>
    </row>
    <row r="16878" spans="1:4" x14ac:dyDescent="0.2">
      <c r="A16878" t="str">
        <f>"16877"</f>
        <v>16877</v>
      </c>
      <c r="B16878" t="str">
        <f>"0.58"</f>
        <v>0.58</v>
      </c>
      <c r="C16878" t="str">
        <f>"62"</f>
        <v>62</v>
      </c>
      <c r="D16878" t="str">
        <f>"In Your Time"</f>
        <v>In Your Time</v>
      </c>
    </row>
    <row r="16879" spans="1:4" x14ac:dyDescent="0.2">
      <c r="A16879" t="str">
        <f>"16878"</f>
        <v>16878</v>
      </c>
      <c r="B16879" t="str">
        <f>"-0.05"</f>
        <v>-0.05</v>
      </c>
      <c r="C16879" t="str">
        <f>"23"</f>
        <v>23</v>
      </c>
      <c r="D16879" t="str">
        <f>"Nine for Victor"</f>
        <v>Nine for Victor</v>
      </c>
    </row>
    <row r="16880" spans="1:4" x14ac:dyDescent="0.2">
      <c r="A16880" t="str">
        <f>"16879"</f>
        <v>16879</v>
      </c>
      <c r="B16880" t="str">
        <f>"-0.16"</f>
        <v>-0.16</v>
      </c>
      <c r="C16880" t="str">
        <f>"52"</f>
        <v>52</v>
      </c>
      <c r="D16880" t="str">
        <f>"The Book of Bad Breaks"</f>
        <v>The Book of Bad Breaks</v>
      </c>
    </row>
    <row r="16881" spans="1:4" x14ac:dyDescent="0.2">
      <c r="A16881" t="str">
        <f>"16880"</f>
        <v>16880</v>
      </c>
      <c r="B16881" t="str">
        <f>"0.3"</f>
        <v>0.3</v>
      </c>
      <c r="C16881" t="str">
        <f>"22"</f>
        <v>22</v>
      </c>
      <c r="D16881" t="str">
        <f>"Woke on a Whaleheart"</f>
        <v>Woke on a Whaleheart</v>
      </c>
    </row>
    <row r="16882" spans="1:4" x14ac:dyDescent="0.2">
      <c r="A16882" t="str">
        <f>"16881"</f>
        <v>16881</v>
      </c>
      <c r="B16882" t="str">
        <f>"0.62"</f>
        <v>0.62</v>
      </c>
      <c r="C16882" t="str">
        <f>"79"</f>
        <v>79</v>
      </c>
      <c r="D16882" t="str">
        <f>"Pullhair Rubeye"</f>
        <v>Pullhair Rubeye</v>
      </c>
    </row>
    <row r="16883" spans="1:4" x14ac:dyDescent="0.2">
      <c r="A16883" t="str">
        <f>"16882"</f>
        <v>16882</v>
      </c>
      <c r="B16883" t="str">
        <f>"0.28"</f>
        <v>0.28</v>
      </c>
      <c r="C16883" t="str">
        <f>"36"</f>
        <v>36</v>
      </c>
      <c r="D16883" t="str">
        <f>"Walkabout"</f>
        <v>Walkabout</v>
      </c>
    </row>
    <row r="16884" spans="1:4" x14ac:dyDescent="0.2">
      <c r="A16884" t="str">
        <f>"16883"</f>
        <v>16883</v>
      </c>
      <c r="B16884" t="str">
        <f>"-0.65"</f>
        <v>-0.65</v>
      </c>
      <c r="C16884" t="str">
        <f>"69"</f>
        <v>69</v>
      </c>
      <c r="D16884" t="str">
        <f>"Cup"</f>
        <v>Cup</v>
      </c>
    </row>
    <row r="16885" spans="1:4" x14ac:dyDescent="0.2">
      <c r="A16885" t="str">
        <f>"16884"</f>
        <v>16884</v>
      </c>
      <c r="B16885" t="str">
        <f>"0.42"</f>
        <v>0.42</v>
      </c>
      <c r="C16885" t="str">
        <f>"58"</f>
        <v>58</v>
      </c>
      <c r="D16885" t="str">
        <f>"Enjoy Eternal Bliss"</f>
        <v>Enjoy Eternal Bliss</v>
      </c>
    </row>
    <row r="16886" spans="1:4" x14ac:dyDescent="0.2">
      <c r="A16886" t="str">
        <f>"16885"</f>
        <v>16885</v>
      </c>
      <c r="B16886" t="str">
        <f>"-0.47"</f>
        <v>-0.47</v>
      </c>
      <c r="C16886" t="str">
        <f>"32"</f>
        <v>32</v>
      </c>
      <c r="D16886" t="str">
        <f>"Dumb Luck"</f>
        <v>Dumb Luck</v>
      </c>
    </row>
    <row r="16887" spans="1:4" x14ac:dyDescent="0.2">
      <c r="A16887" t="str">
        <f>"16886"</f>
        <v>16886</v>
      </c>
      <c r="B16887" t="str">
        <f>"0.03"</f>
        <v>0.03</v>
      </c>
      <c r="C16887" t="str">
        <f>"25"</f>
        <v>25</v>
      </c>
      <c r="D16887" t="s">
        <v>547</v>
      </c>
    </row>
    <row r="16888" spans="1:4" x14ac:dyDescent="0.2">
      <c r="A16888" t="str">
        <f>"16887"</f>
        <v>16887</v>
      </c>
      <c r="B16888" t="str">
        <f>"0.36"</f>
        <v>0.36</v>
      </c>
      <c r="C16888" t="str">
        <f>"77"</f>
        <v>77</v>
      </c>
      <c r="D16888" t="str">
        <f>"20 Ways to Float Through Walls"</f>
        <v>20 Ways to Float Through Walls</v>
      </c>
    </row>
    <row r="16889" spans="1:4" x14ac:dyDescent="0.2">
      <c r="A16889" t="str">
        <f>"16888"</f>
        <v>16888</v>
      </c>
      <c r="B16889" t="str">
        <f>"0.47"</f>
        <v>0.47</v>
      </c>
      <c r="C16889" t="str">
        <f>"71"</f>
        <v>71</v>
      </c>
      <c r="D16889" t="str">
        <f>"Eyes Set Against the Sun"</f>
        <v>Eyes Set Against the Sun</v>
      </c>
    </row>
    <row r="16890" spans="1:4" x14ac:dyDescent="0.2">
      <c r="A16890" t="str">
        <f>"16889"</f>
        <v>16889</v>
      </c>
      <c r="B16890" t="str">
        <f>"-0.15"</f>
        <v>-0.15</v>
      </c>
      <c r="C16890" t="str">
        <f>"30"</f>
        <v>30</v>
      </c>
      <c r="D16890" t="str">
        <f>"The Voyage of Icarus"</f>
        <v>The Voyage of Icarus</v>
      </c>
    </row>
    <row r="16891" spans="1:4" x14ac:dyDescent="0.2">
      <c r="A16891" t="str">
        <f>"16890"</f>
        <v>16890</v>
      </c>
      <c r="B16891" t="str">
        <f>"-0.47"</f>
        <v>-0.47</v>
      </c>
      <c r="C16891" t="str">
        <f>"116"</f>
        <v>116</v>
      </c>
      <c r="D16891" t="str">
        <f>"Favourite Worst Nightmare"</f>
        <v>Favourite Worst Nightmare</v>
      </c>
    </row>
    <row r="16892" spans="1:4" x14ac:dyDescent="0.2">
      <c r="A16892" t="str">
        <f>"16891"</f>
        <v>16891</v>
      </c>
      <c r="B16892" t="str">
        <f>"0.59"</f>
        <v>0.59</v>
      </c>
      <c r="C16892" t="str">
        <f>"25"</f>
        <v>25</v>
      </c>
      <c r="D16892" t="str">
        <f>"SC100"</f>
        <v>SC100</v>
      </c>
    </row>
    <row r="16893" spans="1:4" x14ac:dyDescent="0.2">
      <c r="A16893" t="str">
        <f>"16892"</f>
        <v>16892</v>
      </c>
      <c r="B16893" t="str">
        <f>"-0.02"</f>
        <v>-0.02</v>
      </c>
      <c r="C16893" t="str">
        <f>"21"</f>
        <v>21</v>
      </c>
      <c r="D16893" t="str">
        <f>"Nux Vomica"</f>
        <v>Nux Vomica</v>
      </c>
    </row>
    <row r="16894" spans="1:4" x14ac:dyDescent="0.2">
      <c r="A16894" t="str">
        <f>"16893"</f>
        <v>16893</v>
      </c>
      <c r="B16894" t="str">
        <f>"-0.78"</f>
        <v>-0.78</v>
      </c>
      <c r="C16894" t="str">
        <f>"24"</f>
        <v>24</v>
      </c>
      <c r="D16894" t="str">
        <f>"Kingdom of Fear"</f>
        <v>Kingdom of Fear</v>
      </c>
    </row>
    <row r="16895" spans="1:4" x14ac:dyDescent="0.2">
      <c r="A16895" t="str">
        <f>"16894"</f>
        <v>16894</v>
      </c>
      <c r="B16895" t="str">
        <f>"-0.83"</f>
        <v>-0.83</v>
      </c>
      <c r="C16895" t="str">
        <f>"63"</f>
        <v>63</v>
      </c>
      <c r="D16895" t="str">
        <f>"At the End of Paths Taken"</f>
        <v>At the End of Paths Taken</v>
      </c>
    </row>
    <row r="16896" spans="1:4" x14ac:dyDescent="0.2">
      <c r="A16896" t="str">
        <f>"16895"</f>
        <v>16895</v>
      </c>
      <c r="B16896" t="str">
        <f>"1.29"</f>
        <v>1.29</v>
      </c>
      <c r="C16896" t="str">
        <f>"32"</f>
        <v>32</v>
      </c>
      <c r="D16896" t="str">
        <f>"Joanna Newsom &amp; the Ys Street Band EP"</f>
        <v>Joanna Newsom &amp; the Ys Street Band EP</v>
      </c>
    </row>
    <row r="16897" spans="1:4" x14ac:dyDescent="0.2">
      <c r="A16897" t="str">
        <f>"16896"</f>
        <v>16896</v>
      </c>
      <c r="B16897" t="str">
        <f>"1.19"</f>
        <v>1.19</v>
      </c>
      <c r="C16897" t="str">
        <f>"35"</f>
        <v>35</v>
      </c>
      <c r="D16897" t="str">
        <f>"The Complete Peel Sessions"</f>
        <v>The Complete Peel Sessions</v>
      </c>
    </row>
    <row r="16898" spans="1:4" x14ac:dyDescent="0.2">
      <c r="A16898" t="str">
        <f>"16897"</f>
        <v>16897</v>
      </c>
      <c r="B16898" t="str">
        <f>"0.63"</f>
        <v>0.63</v>
      </c>
      <c r="C16898" t="str">
        <f>"41"</f>
        <v>41</v>
      </c>
      <c r="D16898" t="str">
        <f>"We Made This Ourselves"</f>
        <v>We Made This Ourselves</v>
      </c>
    </row>
    <row r="16899" spans="1:4" x14ac:dyDescent="0.2">
      <c r="A16899" t="str">
        <f>"16898"</f>
        <v>16898</v>
      </c>
      <c r="B16899" t="str">
        <f>"-0.22"</f>
        <v>-0.22</v>
      </c>
      <c r="C16899" t="str">
        <f>"51"</f>
        <v>51</v>
      </c>
      <c r="D16899" t="str">
        <f>"Collected Remixes"</f>
        <v>Collected Remixes</v>
      </c>
    </row>
    <row r="16900" spans="1:4" x14ac:dyDescent="0.2">
      <c r="A16900" t="str">
        <f>"16899"</f>
        <v>16899</v>
      </c>
      <c r="B16900" t="str">
        <f>"0.54"</f>
        <v>0.54</v>
      </c>
      <c r="C16900" t="str">
        <f>"52"</f>
        <v>52</v>
      </c>
      <c r="D16900" t="str">
        <f>"Astronomy for Dogs"</f>
        <v>Astronomy for Dogs</v>
      </c>
    </row>
    <row r="16901" spans="1:4" x14ac:dyDescent="0.2">
      <c r="A16901" t="str">
        <f>"16900"</f>
        <v>16900</v>
      </c>
      <c r="B16901" t="str">
        <f>"0.03"</f>
        <v>0.03</v>
      </c>
      <c r="C16901" t="str">
        <f>"47"</f>
        <v>47</v>
      </c>
      <c r="D16901" t="str">
        <f>"Return of the Mac"</f>
        <v>Return of the Mac</v>
      </c>
    </row>
    <row r="16902" spans="1:4" x14ac:dyDescent="0.2">
      <c r="A16902" t="str">
        <f>"16901"</f>
        <v>16901</v>
      </c>
      <c r="B16902" t="str">
        <f>"-0.2"</f>
        <v>-0.2</v>
      </c>
      <c r="C16902" t="str">
        <f>"98"</f>
        <v>98</v>
      </c>
      <c r="D16902" t="str">
        <f>"Twelve"</f>
        <v>Twelve</v>
      </c>
    </row>
    <row r="16903" spans="1:4" x14ac:dyDescent="0.2">
      <c r="A16903" t="str">
        <f>"16902"</f>
        <v>16902</v>
      </c>
      <c r="B16903" t="str">
        <f>"-0.33"</f>
        <v>-0.33</v>
      </c>
      <c r="C16903" t="str">
        <f>"34"</f>
        <v>34</v>
      </c>
      <c r="D16903" t="str">
        <f>"Ten New Messages"</f>
        <v>Ten New Messages</v>
      </c>
    </row>
    <row r="16904" spans="1:4" x14ac:dyDescent="0.2">
      <c r="A16904" t="str">
        <f>"16903"</f>
        <v>16903</v>
      </c>
      <c r="B16904" t="str">
        <f>"-0.33"</f>
        <v>-0.33</v>
      </c>
      <c r="C16904" t="str">
        <f>"15"</f>
        <v>15</v>
      </c>
      <c r="D16904" t="str">
        <f>"Cape Fear"</f>
        <v>Cape Fear</v>
      </c>
    </row>
    <row r="16905" spans="1:4" x14ac:dyDescent="0.2">
      <c r="A16905" t="str">
        <f>"16904"</f>
        <v>16904</v>
      </c>
      <c r="B16905" t="str">
        <f>"-1.17"</f>
        <v>-1.17</v>
      </c>
      <c r="C16905" t="str">
        <f>"32"</f>
        <v>32</v>
      </c>
      <c r="D16905" t="str">
        <f>"Listening to Donald Judd"</f>
        <v>Listening to Donald Judd</v>
      </c>
    </row>
    <row r="16906" spans="1:4" x14ac:dyDescent="0.2">
      <c r="A16906" t="str">
        <f>"16905"</f>
        <v>16905</v>
      </c>
      <c r="B16906" t="str">
        <f>"0.91"</f>
        <v>0.91</v>
      </c>
      <c r="C16906" t="str">
        <f>"60"</f>
        <v>60</v>
      </c>
      <c r="D16906" t="str">
        <f>"Live at Fingerprints"</f>
        <v>Live at Fingerprints</v>
      </c>
    </row>
    <row r="16907" spans="1:4" x14ac:dyDescent="0.2">
      <c r="A16907" t="str">
        <f>"16906"</f>
        <v>16906</v>
      </c>
      <c r="B16907" t="str">
        <f>"-1.23"</f>
        <v>-1.23</v>
      </c>
      <c r="C16907" t="str">
        <f>"69"</f>
        <v>69</v>
      </c>
      <c r="D16907" t="str">
        <f>"The Adventures of Ghosthorse and Stillborn"</f>
        <v>The Adventures of Ghosthorse and Stillborn</v>
      </c>
    </row>
    <row r="16908" spans="1:4" x14ac:dyDescent="0.2">
      <c r="A16908" t="str">
        <f>"16907"</f>
        <v>16907</v>
      </c>
      <c r="B16908" t="str">
        <f>"0.68"</f>
        <v>0.68</v>
      </c>
      <c r="C16908" t="str">
        <f>"48"</f>
        <v>48</v>
      </c>
      <c r="D16908" t="str">
        <f>"Animal Bells"</f>
        <v>Animal Bells</v>
      </c>
    </row>
    <row r="16909" spans="1:4" x14ac:dyDescent="0.2">
      <c r="A16909" t="str">
        <f>"16908"</f>
        <v>16908</v>
      </c>
      <c r="B16909" t="str">
        <f>"-0.06"</f>
        <v>-0.06</v>
      </c>
      <c r="C16909" t="str">
        <f>"15"</f>
        <v>15</v>
      </c>
      <c r="D16909" t="str">
        <f>"Costello Music"</f>
        <v>Costello Music</v>
      </c>
    </row>
    <row r="16910" spans="1:4" x14ac:dyDescent="0.2">
      <c r="A16910" t="str">
        <f>"16909"</f>
        <v>16909</v>
      </c>
      <c r="B16910" t="str">
        <f>"0.15"</f>
        <v>0.15</v>
      </c>
      <c r="C16910" t="str">
        <f>"53"</f>
        <v>53</v>
      </c>
      <c r="D16910" t="str">
        <f>"Make Another World"</f>
        <v>Make Another World</v>
      </c>
    </row>
    <row r="16911" spans="1:4" x14ac:dyDescent="0.2">
      <c r="A16911" t="str">
        <f>"16910"</f>
        <v>16910</v>
      </c>
      <c r="B16911" t="str">
        <f>"0.4"</f>
        <v>0.4</v>
      </c>
      <c r="C16911" t="str">
        <f>"102"</f>
        <v>102</v>
      </c>
      <c r="D16911" t="str">
        <f>"Myths of the Near Future"</f>
        <v>Myths of the Near Future</v>
      </c>
    </row>
    <row r="16912" spans="1:4" x14ac:dyDescent="0.2">
      <c r="A16912" t="str">
        <f>"16911"</f>
        <v>16911</v>
      </c>
      <c r="B16912" t="str">
        <f>"-1.22"</f>
        <v>-1.22</v>
      </c>
      <c r="C16912" t="str">
        <f>"30"</f>
        <v>30</v>
      </c>
      <c r="D16912" t="str">
        <f>"Part Two: The Endless Not"</f>
        <v>Part Two: The Endless Not</v>
      </c>
    </row>
    <row r="16913" spans="1:4" x14ac:dyDescent="0.2">
      <c r="A16913" t="str">
        <f>"16912"</f>
        <v>16912</v>
      </c>
      <c r="B16913" t="str">
        <f>"0.68"</f>
        <v>0.68</v>
      </c>
      <c r="C16913" t="str">
        <f>"80"</f>
        <v>80</v>
      </c>
      <c r="D16913" t="str">
        <f>"Eccentric Soul: Twinight's Lunar Rotation"</f>
        <v>Eccentric Soul: Twinight's Lunar Rotation</v>
      </c>
    </row>
    <row r="16914" spans="1:4" x14ac:dyDescent="0.2">
      <c r="A16914" t="str">
        <f>"16913"</f>
        <v>16913</v>
      </c>
      <c r="B16914" t="str">
        <f>"0.71"</f>
        <v>0.71</v>
      </c>
      <c r="C16914" t="str">
        <f>"21"</f>
        <v>21</v>
      </c>
      <c r="D16914" t="s">
        <v>548</v>
      </c>
    </row>
    <row r="16915" spans="1:4" x14ac:dyDescent="0.2">
      <c r="A16915" t="str">
        <f>"16914"</f>
        <v>16914</v>
      </c>
      <c r="B16915" t="str">
        <f>"-0.63"</f>
        <v>-0.63</v>
      </c>
      <c r="C16915" t="str">
        <f>"51"</f>
        <v>51</v>
      </c>
      <c r="D16915" t="str">
        <f>"The Days and Nights of Everything Anywhere"</f>
        <v>The Days and Nights of Everything Anywhere</v>
      </c>
    </row>
    <row r="16916" spans="1:4" x14ac:dyDescent="0.2">
      <c r="A16916" t="str">
        <f>"16915"</f>
        <v>16915</v>
      </c>
      <c r="B16916" t="str">
        <f>"-0.5"</f>
        <v>-0.5</v>
      </c>
      <c r="C16916" t="str">
        <f>"103"</f>
        <v>103</v>
      </c>
      <c r="D16916" t="str">
        <f>"Year Zero"</f>
        <v>Year Zero</v>
      </c>
    </row>
    <row r="16917" spans="1:4" x14ac:dyDescent="0.2">
      <c r="A16917" t="str">
        <f>"16916"</f>
        <v>16916</v>
      </c>
      <c r="B16917" t="str">
        <f>"-0.5"</f>
        <v>-0.5</v>
      </c>
      <c r="C16917" t="str">
        <f>"82"</f>
        <v>82</v>
      </c>
      <c r="D16917" t="str">
        <f>"Total Joke Era / lp"</f>
        <v>Total Joke Era / lp</v>
      </c>
    </row>
    <row r="16918" spans="1:4" x14ac:dyDescent="0.2">
      <c r="A16918" t="str">
        <f>"16917"</f>
        <v>16917</v>
      </c>
      <c r="B16918" t="str">
        <f>"0.38"</f>
        <v>0.38</v>
      </c>
      <c r="C16918" t="str">
        <f>"49"</f>
        <v>49</v>
      </c>
      <c r="D16918" t="str">
        <f>"Mice Parade"</f>
        <v>Mice Parade</v>
      </c>
    </row>
    <row r="16919" spans="1:4" x14ac:dyDescent="0.2">
      <c r="A16919" t="str">
        <f>"16918"</f>
        <v>16918</v>
      </c>
      <c r="B16919" t="str">
        <f>"0.13"</f>
        <v>0.13</v>
      </c>
      <c r="C16919" t="str">
        <f>"60"</f>
        <v>60</v>
      </c>
      <c r="D16919" t="str">
        <f>"Pink in the Sink"</f>
        <v>Pink in the Sink</v>
      </c>
    </row>
    <row r="16920" spans="1:4" x14ac:dyDescent="0.2">
      <c r="A16920" t="str">
        <f>"16919"</f>
        <v>16919</v>
      </c>
      <c r="B16920" t="str">
        <f>"0.19"</f>
        <v>0.19</v>
      </c>
      <c r="C16920" t="str">
        <f>"20"</f>
        <v>20</v>
      </c>
      <c r="D16920" t="str">
        <f>"Life in Cartoon Motion"</f>
        <v>Life in Cartoon Motion</v>
      </c>
    </row>
    <row r="16921" spans="1:4" x14ac:dyDescent="0.2">
      <c r="A16921" t="str">
        <f>"16920"</f>
        <v>16920</v>
      </c>
      <c r="B16921" t="str">
        <f>"-0.37"</f>
        <v>-0.37</v>
      </c>
      <c r="C16921" t="str">
        <f>"62"</f>
        <v>62</v>
      </c>
      <c r="D16921" t="str">
        <f>"Fluorescent Grey EP"</f>
        <v>Fluorescent Grey EP</v>
      </c>
    </row>
    <row r="16922" spans="1:4" x14ac:dyDescent="0.2">
      <c r="A16922" t="str">
        <f>"16921"</f>
        <v>16921</v>
      </c>
      <c r="B16922" t="str">
        <f>"1.33"</f>
        <v>1.33</v>
      </c>
      <c r="C16922" t="str">
        <f>"24"</f>
        <v>24</v>
      </c>
      <c r="D16922" t="str">
        <f>"FabricLive 33"</f>
        <v>FabricLive 33</v>
      </c>
    </row>
    <row r="16923" spans="1:4" x14ac:dyDescent="0.2">
      <c r="A16923" t="str">
        <f>"16922"</f>
        <v>16922</v>
      </c>
      <c r="B16923" t="str">
        <f>"0.71"</f>
        <v>0.71</v>
      </c>
      <c r="C16923" t="str">
        <f>"21"</f>
        <v>21</v>
      </c>
      <c r="D16923" t="str">
        <f>"Spells"</f>
        <v>Spells</v>
      </c>
    </row>
    <row r="16924" spans="1:4" x14ac:dyDescent="0.2">
      <c r="A16924" t="str">
        <f>"16923"</f>
        <v>16923</v>
      </c>
      <c r="B16924" t="str">
        <f>"0.47"</f>
        <v>0.47</v>
      </c>
      <c r="C16924" t="str">
        <f>"50"</f>
        <v>50</v>
      </c>
      <c r="D16924" t="str">
        <f>"The Chaos in Order"</f>
        <v>The Chaos in Order</v>
      </c>
    </row>
    <row r="16925" spans="1:4" x14ac:dyDescent="0.2">
      <c r="A16925" t="str">
        <f>"16924"</f>
        <v>16924</v>
      </c>
      <c r="B16925" t="str">
        <f>"0.26"</f>
        <v>0.26</v>
      </c>
      <c r="C16925" t="str">
        <f>"25"</f>
        <v>25</v>
      </c>
      <c r="D16925" t="str">
        <f>"Saltbreakers"</f>
        <v>Saltbreakers</v>
      </c>
    </row>
    <row r="16926" spans="1:4" x14ac:dyDescent="0.2">
      <c r="A16926" t="str">
        <f>"16925"</f>
        <v>16925</v>
      </c>
      <c r="B16926" t="str">
        <f>"1.07"</f>
        <v>1.07</v>
      </c>
      <c r="C16926" t="str">
        <f>"29"</f>
        <v>29</v>
      </c>
      <c r="D16926" t="str">
        <f>"Coat of Many Colors"</f>
        <v>Coat of Many Colors</v>
      </c>
    </row>
    <row r="16927" spans="1:4" x14ac:dyDescent="0.2">
      <c r="A16927" t="str">
        <f>"16926"</f>
        <v>16926</v>
      </c>
      <c r="B16927" t="str">
        <f>"0.5"</f>
        <v>0.5</v>
      </c>
      <c r="C16927" t="str">
        <f>"31"</f>
        <v>31</v>
      </c>
      <c r="D16927" t="str">
        <f>"Sensuous"</f>
        <v>Sensuous</v>
      </c>
    </row>
    <row r="16928" spans="1:4" x14ac:dyDescent="0.2">
      <c r="A16928" t="str">
        <f>"16927"</f>
        <v>16927</v>
      </c>
      <c r="B16928" t="str">
        <f>"1.25"</f>
        <v>1.25</v>
      </c>
      <c r="C16928" t="str">
        <f>"49"</f>
        <v>49</v>
      </c>
      <c r="D16928" t="str">
        <f>"Ash Wednesday"</f>
        <v>Ash Wednesday</v>
      </c>
    </row>
    <row r="16929" spans="1:4" x14ac:dyDescent="0.2">
      <c r="A16929" t="str">
        <f>"16928"</f>
        <v>16928</v>
      </c>
      <c r="B16929" t="str">
        <f>"0.12"</f>
        <v>0.12</v>
      </c>
      <c r="C16929" t="str">
        <f>"79"</f>
        <v>79</v>
      </c>
      <c r="D16929" t="str">
        <f>"Widows"</f>
        <v>Widows</v>
      </c>
    </row>
    <row r="16930" spans="1:4" x14ac:dyDescent="0.2">
      <c r="A16930" t="str">
        <f>"16929"</f>
        <v>16929</v>
      </c>
      <c r="B16930" t="str">
        <f>"-0.29"</f>
        <v>-0.29</v>
      </c>
      <c r="C16930" t="str">
        <f>"62"</f>
        <v>62</v>
      </c>
      <c r="D16930" t="str">
        <f>"Ghost"</f>
        <v>Ghost</v>
      </c>
    </row>
    <row r="16931" spans="1:4" x14ac:dyDescent="0.2">
      <c r="A16931" t="str">
        <f>"16930"</f>
        <v>16930</v>
      </c>
      <c r="B16931" t="str">
        <f>"-0.75"</f>
        <v>-0.75</v>
      </c>
      <c r="C16931" t="str">
        <f>"40"</f>
        <v>40</v>
      </c>
      <c r="D16931" t="str">
        <f>"Fourteen Autumns and Fifteen Winters"</f>
        <v>Fourteen Autumns and Fifteen Winters</v>
      </c>
    </row>
    <row r="16932" spans="1:4" x14ac:dyDescent="0.2">
      <c r="A16932" t="str">
        <f>"16931"</f>
        <v>16931</v>
      </c>
      <c r="B16932" t="str">
        <f>"-0.16"</f>
        <v>-0.16</v>
      </c>
      <c r="C16932" t="str">
        <f>"76"</f>
        <v>76</v>
      </c>
      <c r="D16932" t="str">
        <f>"Palo Santo: Expanded Edition"</f>
        <v>Palo Santo: Expanded Edition</v>
      </c>
    </row>
    <row r="16933" spans="1:4" x14ac:dyDescent="0.2">
      <c r="A16933" t="str">
        <f>"16932"</f>
        <v>16932</v>
      </c>
      <c r="B16933" t="str">
        <f>"0.43"</f>
        <v>0.43</v>
      </c>
      <c r="C16933" t="str">
        <f>"86"</f>
        <v>86</v>
      </c>
      <c r="D16933" t="str">
        <f>"King for a Day"</f>
        <v>King for a Day</v>
      </c>
    </row>
    <row r="16934" spans="1:4" x14ac:dyDescent="0.2">
      <c r="A16934" t="str">
        <f>"16933"</f>
        <v>16933</v>
      </c>
      <c r="B16934" t="str">
        <f>"0.76"</f>
        <v>0.76</v>
      </c>
      <c r="C16934" t="str">
        <f>"59"</f>
        <v>59</v>
      </c>
      <c r="D16934" t="s">
        <v>549</v>
      </c>
    </row>
    <row r="16935" spans="1:4" x14ac:dyDescent="0.2">
      <c r="A16935" t="str">
        <f>"16934"</f>
        <v>16934</v>
      </c>
      <c r="B16935" t="str">
        <f>"0.66"</f>
        <v>0.66</v>
      </c>
      <c r="C16935" t="str">
        <f>"22"</f>
        <v>22</v>
      </c>
      <c r="D16935" t="str">
        <f>"The Antique Barking Swirls of Dawn"</f>
        <v>The Antique Barking Swirls of Dawn</v>
      </c>
    </row>
    <row r="16936" spans="1:4" x14ac:dyDescent="0.2">
      <c r="A16936" t="str">
        <f>"16935"</f>
        <v>16935</v>
      </c>
      <c r="B16936" t="str">
        <f>"0.52"</f>
        <v>0.52</v>
      </c>
      <c r="C16936" t="str">
        <f>"22"</f>
        <v>22</v>
      </c>
      <c r="D16936" t="str">
        <f>"Dead Horse EP"</f>
        <v>Dead Horse EP</v>
      </c>
    </row>
    <row r="16937" spans="1:4" x14ac:dyDescent="0.2">
      <c r="A16937" t="str">
        <f>"16936"</f>
        <v>16936</v>
      </c>
      <c r="B16937" t="str">
        <f>"0.08"</f>
        <v>0.08</v>
      </c>
      <c r="C16937" t="str">
        <f>"22"</f>
        <v>22</v>
      </c>
      <c r="D16937" t="str">
        <f>"23"</f>
        <v>23</v>
      </c>
    </row>
    <row r="16938" spans="1:4" x14ac:dyDescent="0.2">
      <c r="A16938" t="str">
        <f>"16937"</f>
        <v>16937</v>
      </c>
      <c r="B16938" t="str">
        <f>"-1.33"</f>
        <v>-1.33</v>
      </c>
      <c r="C16938" t="str">
        <f>"24"</f>
        <v>24</v>
      </c>
      <c r="D16938" t="str">
        <f>"Why Bother?"</f>
        <v>Why Bother?</v>
      </c>
    </row>
    <row r="16939" spans="1:4" x14ac:dyDescent="0.2">
      <c r="A16939" t="str">
        <f>"16938"</f>
        <v>16938</v>
      </c>
      <c r="B16939" t="str">
        <f>"0.47"</f>
        <v>0.47</v>
      </c>
      <c r="C16939" t="str">
        <f>"34"</f>
        <v>34</v>
      </c>
      <c r="D16939" t="str">
        <f>"Most Wanted"</f>
        <v>Most Wanted</v>
      </c>
    </row>
    <row r="16940" spans="1:4" x14ac:dyDescent="0.2">
      <c r="A16940" t="str">
        <f>"16939"</f>
        <v>16939</v>
      </c>
      <c r="B16940" t="str">
        <f>"-0.15"</f>
        <v>-0.15</v>
      </c>
      <c r="C16940" t="str">
        <f>"25"</f>
        <v>25</v>
      </c>
      <c r="D16940" t="str">
        <f>"Tower [ft. Verde]"</f>
        <v>Tower [ft. Verde]</v>
      </c>
    </row>
    <row r="16941" spans="1:4" x14ac:dyDescent="0.2">
      <c r="A16941" t="str">
        <f>"16940"</f>
        <v>16940</v>
      </c>
      <c r="B16941" t="str">
        <f>"-0.62"</f>
        <v>-0.62</v>
      </c>
      <c r="C16941" t="str">
        <f>"26"</f>
        <v>26</v>
      </c>
      <c r="D16941" t="str">
        <f>"Live at Amoeba Music EP"</f>
        <v>Live at Amoeba Music EP</v>
      </c>
    </row>
    <row r="16942" spans="1:4" x14ac:dyDescent="0.2">
      <c r="A16942" t="str">
        <f>"16941"</f>
        <v>16941</v>
      </c>
      <c r="B16942" t="str">
        <f>"0.95"</f>
        <v>0.95</v>
      </c>
      <c r="C16942" t="str">
        <f>"51"</f>
        <v>51</v>
      </c>
      <c r="D16942" t="str">
        <f>"Super Roots 9"</f>
        <v>Super Roots 9</v>
      </c>
    </row>
    <row r="16943" spans="1:4" x14ac:dyDescent="0.2">
      <c r="A16943" t="str">
        <f>"16942"</f>
        <v>16942</v>
      </c>
      <c r="B16943" t="str">
        <f>"-0.97"</f>
        <v>-0.97</v>
      </c>
      <c r="C16943" t="str">
        <f>"22"</f>
        <v>22</v>
      </c>
      <c r="D16943" t="str">
        <f>"Wars"</f>
        <v>Wars</v>
      </c>
    </row>
    <row r="16944" spans="1:4" x14ac:dyDescent="0.2">
      <c r="A16944" t="str">
        <f>"16943"</f>
        <v>16943</v>
      </c>
      <c r="B16944" t="str">
        <f>"-0.42"</f>
        <v>-0.42</v>
      </c>
      <c r="C16944" t="str">
        <f>"68"</f>
        <v>68</v>
      </c>
      <c r="D16944" t="str">
        <f>"Art Brut Fe De Yoot"</f>
        <v>Art Brut Fe De Yoot</v>
      </c>
    </row>
    <row r="16945" spans="1:4" x14ac:dyDescent="0.2">
      <c r="A16945" t="str">
        <f>"16944"</f>
        <v>16944</v>
      </c>
      <c r="B16945" t="str">
        <f>"1.14"</f>
        <v>1.14</v>
      </c>
      <c r="C16945" t="str">
        <f>"21"</f>
        <v>21</v>
      </c>
      <c r="D16945" t="str">
        <f>"We All Belong"</f>
        <v>We All Belong</v>
      </c>
    </row>
    <row r="16946" spans="1:4" x14ac:dyDescent="0.2">
      <c r="A16946" t="str">
        <f>"16945"</f>
        <v>16945</v>
      </c>
      <c r="B16946" t="str">
        <f>"-0.05"</f>
        <v>-0.05</v>
      </c>
      <c r="C16946" t="str">
        <f>"34"</f>
        <v>34</v>
      </c>
      <c r="D16946" t="str">
        <f>"Cassadaga"</f>
        <v>Cassadaga</v>
      </c>
    </row>
    <row r="16947" spans="1:4" x14ac:dyDescent="0.2">
      <c r="A16947" t="str">
        <f>"16946"</f>
        <v>16946</v>
      </c>
      <c r="B16947" t="str">
        <f>"-0.63"</f>
        <v>-0.63</v>
      </c>
      <c r="C16947" t="str">
        <f>"36"</f>
        <v>36</v>
      </c>
      <c r="D16947" t="str">
        <f>"The Undisputed Truth"</f>
        <v>The Undisputed Truth</v>
      </c>
    </row>
    <row r="16948" spans="1:4" x14ac:dyDescent="0.2">
      <c r="A16948" t="str">
        <f>"16947"</f>
        <v>16947</v>
      </c>
      <c r="B16948" t="str">
        <f>"0.78"</f>
        <v>0.78</v>
      </c>
      <c r="C16948" t="str">
        <f>"90"</f>
        <v>90</v>
      </c>
      <c r="D16948" t="str">
        <f>"Sparrow Trout Heart Sprout"</f>
        <v>Sparrow Trout Heart Sprout</v>
      </c>
    </row>
    <row r="16949" spans="1:4" x14ac:dyDescent="0.2">
      <c r="A16949" t="str">
        <f>"16948"</f>
        <v>16948</v>
      </c>
      <c r="B16949" t="str">
        <f>"-0.1"</f>
        <v>-0.1</v>
      </c>
      <c r="C16949" t="str">
        <f>"53"</f>
        <v>53</v>
      </c>
      <c r="D16949" t="str">
        <f>"Check In"</f>
        <v>Check In</v>
      </c>
    </row>
    <row r="16950" spans="1:4" x14ac:dyDescent="0.2">
      <c r="A16950" t="str">
        <f>"16949"</f>
        <v>16949</v>
      </c>
      <c r="B16950" t="str">
        <f>"0.71"</f>
        <v>0.71</v>
      </c>
      <c r="C16950" t="str">
        <f>"54"</f>
        <v>54</v>
      </c>
      <c r="D16950" t="str">
        <f>"These Friends of Mine"</f>
        <v>These Friends of Mine</v>
      </c>
    </row>
    <row r="16951" spans="1:4" x14ac:dyDescent="0.2">
      <c r="A16951" t="str">
        <f>"16950"</f>
        <v>16950</v>
      </c>
      <c r="B16951" t="str">
        <f>"-0.64"</f>
        <v>-0.64</v>
      </c>
      <c r="C16951" t="str">
        <f>"103"</f>
        <v>103</v>
      </c>
      <c r="D16951" t="str">
        <f>"Grinderman"</f>
        <v>Grinderman</v>
      </c>
    </row>
    <row r="16952" spans="1:4" x14ac:dyDescent="0.2">
      <c r="A16952" t="str">
        <f>"16951"</f>
        <v>16951</v>
      </c>
      <c r="B16952" t="str">
        <f>"0.45"</f>
        <v>0.45</v>
      </c>
      <c r="C16952" t="str">
        <f>"31"</f>
        <v>31</v>
      </c>
      <c r="D16952" t="str">
        <f>"Night of the Furies"</f>
        <v>Night of the Furies</v>
      </c>
    </row>
    <row r="16953" spans="1:4" x14ac:dyDescent="0.2">
      <c r="A16953" t="str">
        <f>"16952"</f>
        <v>16952</v>
      </c>
      <c r="B16953" t="str">
        <f>"0.63"</f>
        <v>0.63</v>
      </c>
      <c r="C16953" t="str">
        <f>"59"</f>
        <v>59</v>
      </c>
      <c r="D16953" t="str">
        <f>"Heimische Gefilde"</f>
        <v>Heimische Gefilde</v>
      </c>
    </row>
    <row r="16954" spans="1:4" x14ac:dyDescent="0.2">
      <c r="A16954" t="str">
        <f>"16953"</f>
        <v>16953</v>
      </c>
      <c r="B16954" t="str">
        <f>"0.99"</f>
        <v>0.99</v>
      </c>
      <c r="C16954" t="str">
        <f>"52"</f>
        <v>52</v>
      </c>
      <c r="D16954" t="str">
        <f>"Time Taunts Me"</f>
        <v>Time Taunts Me</v>
      </c>
    </row>
    <row r="16955" spans="1:4" x14ac:dyDescent="0.2">
      <c r="A16955" t="str">
        <f>"16954"</f>
        <v>16954</v>
      </c>
      <c r="B16955" t="str">
        <f>"-0.19"</f>
        <v>-0.19</v>
      </c>
      <c r="C16955" t="str">
        <f>"73"</f>
        <v>73</v>
      </c>
      <c r="D16955" t="str">
        <f>"Born Identity"</f>
        <v>Born Identity</v>
      </c>
    </row>
    <row r="16956" spans="1:4" x14ac:dyDescent="0.2">
      <c r="A16956" t="str">
        <f>"16955"</f>
        <v>16955</v>
      </c>
      <c r="B16956" t="str">
        <f>"-0.19"</f>
        <v>-0.19</v>
      </c>
      <c r="C16956" t="str">
        <f>"39"</f>
        <v>39</v>
      </c>
      <c r="D16956" t="str">
        <f>"Remixed &amp; Covered"</f>
        <v>Remixed &amp; Covered</v>
      </c>
    </row>
    <row r="16957" spans="1:4" x14ac:dyDescent="0.2">
      <c r="A16957" t="str">
        <f>"16956"</f>
        <v>16956</v>
      </c>
      <c r="B16957" t="str">
        <f>"-0.98"</f>
        <v>-0.98</v>
      </c>
      <c r="C16957" t="str">
        <f>"82"</f>
        <v>82</v>
      </c>
      <c r="D16957" t="str">
        <f>"Because of the Times"</f>
        <v>Because of the Times</v>
      </c>
    </row>
    <row r="16958" spans="1:4" x14ac:dyDescent="0.2">
      <c r="A16958" t="str">
        <f>"16957"</f>
        <v>16957</v>
      </c>
      <c r="B16958" t="str">
        <f>"1.01"</f>
        <v>1.01</v>
      </c>
      <c r="C16958" t="str">
        <f>"55"</f>
        <v>55</v>
      </c>
      <c r="D16958" t="str">
        <f>"Think Before You Speak"</f>
        <v>Think Before You Speak</v>
      </c>
    </row>
    <row r="16959" spans="1:4" x14ac:dyDescent="0.2">
      <c r="A16959" t="str">
        <f>"16958"</f>
        <v>16958</v>
      </c>
      <c r="B16959" t="str">
        <f>"-1.16"</f>
        <v>-1.16</v>
      </c>
      <c r="C16959" t="str">
        <f>"33"</f>
        <v>33</v>
      </c>
      <c r="D16959" t="str">
        <f>"Red Gone Wild"</f>
        <v>Red Gone Wild</v>
      </c>
    </row>
    <row r="16960" spans="1:4" x14ac:dyDescent="0.2">
      <c r="A16960" t="str">
        <f>"16959"</f>
        <v>16959</v>
      </c>
      <c r="B16960" t="str">
        <f>"-0.03"</f>
        <v>-0.03</v>
      </c>
      <c r="C16960" t="str">
        <f>"51"</f>
        <v>51</v>
      </c>
      <c r="D16960" t="str">
        <f>"Wire Waltz"</f>
        <v>Wire Waltz</v>
      </c>
    </row>
    <row r="16961" spans="1:4" x14ac:dyDescent="0.2">
      <c r="A16961" t="str">
        <f>"16960"</f>
        <v>16960</v>
      </c>
      <c r="B16961" t="str">
        <f>"0.76"</f>
        <v>0.76</v>
      </c>
      <c r="C16961" t="str">
        <f>"23"</f>
        <v>23</v>
      </c>
      <c r="D16961" t="str">
        <f>"Score"</f>
        <v>Score</v>
      </c>
    </row>
    <row r="16962" spans="1:4" x14ac:dyDescent="0.2">
      <c r="A16962" t="str">
        <f>"16961"</f>
        <v>16961</v>
      </c>
      <c r="B16962" t="str">
        <f>"-0.04"</f>
        <v>-0.04</v>
      </c>
      <c r="C16962" t="str">
        <f>"91"</f>
        <v>91</v>
      </c>
      <c r="D16962" t="str">
        <f>"Our Earthly Pleasures"</f>
        <v>Our Earthly Pleasures</v>
      </c>
    </row>
    <row r="16963" spans="1:4" x14ac:dyDescent="0.2">
      <c r="A16963" t="str">
        <f>"16962"</f>
        <v>16962</v>
      </c>
      <c r="B16963" t="str">
        <f>"0.11"</f>
        <v>0.11</v>
      </c>
      <c r="C16963" t="str">
        <f>"54"</f>
        <v>54</v>
      </c>
      <c r="D16963" t="str">
        <f>"Aman Iman: Water Is Life"</f>
        <v>Aman Iman: Water Is Life</v>
      </c>
    </row>
    <row r="16964" spans="1:4" x14ac:dyDescent="0.2">
      <c r="A16964" t="str">
        <f>"16963"</f>
        <v>16963</v>
      </c>
      <c r="B16964" t="str">
        <f>"1.15"</f>
        <v>1.15</v>
      </c>
      <c r="C16964" t="str">
        <f>"23"</f>
        <v>23</v>
      </c>
      <c r="D16964" t="str">
        <f>"Young Galaxy"</f>
        <v>Young Galaxy</v>
      </c>
    </row>
    <row r="16965" spans="1:4" x14ac:dyDescent="0.2">
      <c r="A16965" t="str">
        <f>"16964"</f>
        <v>16964</v>
      </c>
      <c r="B16965" t="str">
        <f>"0.05"</f>
        <v>0.05</v>
      </c>
      <c r="C16965" t="str">
        <f>"55"</f>
        <v>55</v>
      </c>
      <c r="D16965" t="str">
        <f>"Human Like a House"</f>
        <v>Human Like a House</v>
      </c>
    </row>
    <row r="16966" spans="1:4" x14ac:dyDescent="0.2">
      <c r="A16966" t="str">
        <f>"16965"</f>
        <v>16965</v>
      </c>
      <c r="B16966" t="str">
        <f>"0.34"</f>
        <v>0.34</v>
      </c>
      <c r="C16966" t="str">
        <f>"112"</f>
        <v>112</v>
      </c>
      <c r="D16966" t="str">
        <f>"And Their Refinement of the Decline"</f>
        <v>And Their Refinement of the Decline</v>
      </c>
    </row>
    <row r="16967" spans="1:4" x14ac:dyDescent="0.2">
      <c r="A16967" t="str">
        <f>"16966"</f>
        <v>16966</v>
      </c>
      <c r="B16967" t="str">
        <f>"0.56"</f>
        <v>0.56</v>
      </c>
      <c r="C16967" t="str">
        <f>"82"</f>
        <v>82</v>
      </c>
      <c r="D16967" t="str">
        <f>"The Abbatoir Blues Tour"</f>
        <v>The Abbatoir Blues Tour</v>
      </c>
    </row>
    <row r="16968" spans="1:4" x14ac:dyDescent="0.2">
      <c r="A16968" t="str">
        <f>"16967"</f>
        <v>16967</v>
      </c>
      <c r="B16968" t="str">
        <f>"1.39"</f>
        <v>1.39</v>
      </c>
      <c r="C16968" t="str">
        <f>"68"</f>
        <v>68</v>
      </c>
      <c r="D16968" t="str">
        <f>"Peace and Love"</f>
        <v>Peace and Love</v>
      </c>
    </row>
    <row r="16969" spans="1:4" x14ac:dyDescent="0.2">
      <c r="A16969" t="str">
        <f>"16968"</f>
        <v>16968</v>
      </c>
      <c r="B16969" t="str">
        <f>"-0.16"</f>
        <v>-0.16</v>
      </c>
      <c r="C16969" t="str">
        <f>"17"</f>
        <v>17</v>
      </c>
      <c r="D16969" t="str">
        <f>"Soft Skeletons"</f>
        <v>Soft Skeletons</v>
      </c>
    </row>
    <row r="16970" spans="1:4" x14ac:dyDescent="0.2">
      <c r="A16970" t="str">
        <f>"16969"</f>
        <v>16969</v>
      </c>
      <c r="B16970" t="str">
        <f>"-0.86"</f>
        <v>-0.86</v>
      </c>
      <c r="C16970" t="str">
        <f>"35"</f>
        <v>35</v>
      </c>
      <c r="D16970" t="str">
        <f>"Buck the World"</f>
        <v>Buck the World</v>
      </c>
    </row>
    <row r="16971" spans="1:4" x14ac:dyDescent="0.2">
      <c r="A16971" t="str">
        <f>"16970"</f>
        <v>16970</v>
      </c>
      <c r="B16971" t="str">
        <f>"-0.63"</f>
        <v>-0.63</v>
      </c>
      <c r="C16971" t="str">
        <f>"47"</f>
        <v>47</v>
      </c>
      <c r="D16971" t="str">
        <f>"Shock Value"</f>
        <v>Shock Value</v>
      </c>
    </row>
    <row r="16972" spans="1:4" x14ac:dyDescent="0.2">
      <c r="A16972" t="str">
        <f>"16971"</f>
        <v>16971</v>
      </c>
      <c r="B16972" t="str">
        <f>"-0.09"</f>
        <v>-0.09</v>
      </c>
      <c r="C16972" t="str">
        <f>"83"</f>
        <v>83</v>
      </c>
      <c r="D16972" t="str">
        <f>"The Meaning of 8"</f>
        <v>The Meaning of 8</v>
      </c>
    </row>
    <row r="16973" spans="1:4" x14ac:dyDescent="0.2">
      <c r="A16973" t="str">
        <f>"16972"</f>
        <v>16972</v>
      </c>
      <c r="B16973" t="str">
        <f>"0"</f>
        <v>0</v>
      </c>
      <c r="C16973" t="str">
        <f>"24"</f>
        <v>24</v>
      </c>
      <c r="D16973" t="str">
        <f>"Soldier-Talk"</f>
        <v>Soldier-Talk</v>
      </c>
    </row>
    <row r="16974" spans="1:4" x14ac:dyDescent="0.2">
      <c r="A16974" t="str">
        <f>"16973"</f>
        <v>16973</v>
      </c>
      <c r="B16974" t="str">
        <f>"-0.24"</f>
        <v>-0.24</v>
      </c>
      <c r="C16974" t="str">
        <f>"24"</f>
        <v>24</v>
      </c>
      <c r="D16974" t="str">
        <f>"Howling Bells"</f>
        <v>Howling Bells</v>
      </c>
    </row>
    <row r="16975" spans="1:4" x14ac:dyDescent="0.2">
      <c r="A16975" t="str">
        <f>"16974"</f>
        <v>16974</v>
      </c>
      <c r="B16975" t="str">
        <f>"-0.41"</f>
        <v>-0.41</v>
      </c>
      <c r="C16975" t="str">
        <f>"47"</f>
        <v>47</v>
      </c>
      <c r="D16975" t="str">
        <f>"Wrong-Faced Cat Feed Collapse"</f>
        <v>Wrong-Faced Cat Feed Collapse</v>
      </c>
    </row>
    <row r="16976" spans="1:4" x14ac:dyDescent="0.2">
      <c r="A16976" t="str">
        <f>"16975"</f>
        <v>16975</v>
      </c>
      <c r="B16976" t="str">
        <f>"0.92"</f>
        <v>0.92</v>
      </c>
      <c r="C16976" t="str">
        <f>"68"</f>
        <v>68</v>
      </c>
      <c r="D16976" t="str">
        <f>"Last of the Breed"</f>
        <v>Last of the Breed</v>
      </c>
    </row>
    <row r="16977" spans="1:4" x14ac:dyDescent="0.2">
      <c r="A16977" t="str">
        <f>"16976"</f>
        <v>16976</v>
      </c>
      <c r="B16977" t="str">
        <f>"0.65"</f>
        <v>0.65</v>
      </c>
      <c r="C16977" t="str">
        <f>"36"</f>
        <v>36</v>
      </c>
      <c r="D16977" t="str">
        <f>"The Time Has Come: 1967-73"</f>
        <v>The Time Has Come: 1967-73</v>
      </c>
    </row>
    <row r="16978" spans="1:4" x14ac:dyDescent="0.2">
      <c r="A16978" t="str">
        <f>"16977"</f>
        <v>16977</v>
      </c>
      <c r="B16978" t="str">
        <f>"-0.45"</f>
        <v>-0.45</v>
      </c>
      <c r="C16978" t="str">
        <f>"25"</f>
        <v>25</v>
      </c>
      <c r="D16978" t="str">
        <f>"Rvng Prsnts MX5"</f>
        <v>Rvng Prsnts MX5</v>
      </c>
    </row>
    <row r="16979" spans="1:4" x14ac:dyDescent="0.2">
      <c r="A16979" t="str">
        <f>"16978"</f>
        <v>16978</v>
      </c>
      <c r="B16979" t="str">
        <f>"-0.19"</f>
        <v>-0.19</v>
      </c>
      <c r="C16979" t="str">
        <f>"27"</f>
        <v>27</v>
      </c>
      <c r="D16979" t="str">
        <f>"Rich Boy"</f>
        <v>Rich Boy</v>
      </c>
    </row>
    <row r="16980" spans="1:4" x14ac:dyDescent="0.2">
      <c r="A16980" t="str">
        <f>"16979"</f>
        <v>16979</v>
      </c>
      <c r="B16980" t="str">
        <f>"-1.24"</f>
        <v>-1.24</v>
      </c>
      <c r="C16980" t="str">
        <f>"16"</f>
        <v>16</v>
      </c>
      <c r="D16980" t="str">
        <f>"Crepuscule With the Dead Science EP"</f>
        <v>Crepuscule With the Dead Science EP</v>
      </c>
    </row>
    <row r="16981" spans="1:4" x14ac:dyDescent="0.2">
      <c r="A16981" t="str">
        <f>"16980"</f>
        <v>16980</v>
      </c>
      <c r="B16981" t="str">
        <f>"-0.07"</f>
        <v>-0.07</v>
      </c>
      <c r="C16981" t="str">
        <f>"73"</f>
        <v>73</v>
      </c>
      <c r="D16981" t="str">
        <f>"Ed Rec Vol. 2"</f>
        <v>Ed Rec Vol. 2</v>
      </c>
    </row>
    <row r="16982" spans="1:4" x14ac:dyDescent="0.2">
      <c r="A16982" t="str">
        <f>"16981"</f>
        <v>16981</v>
      </c>
      <c r="B16982" t="str">
        <f>"-0.97"</f>
        <v>-0.97</v>
      </c>
      <c r="C16982" t="str">
        <f>"46"</f>
        <v>46</v>
      </c>
      <c r="D16982" t="str">
        <f>"Waitin' to Inhale"</f>
        <v>Waitin' to Inhale</v>
      </c>
    </row>
    <row r="16983" spans="1:4" x14ac:dyDescent="0.2">
      <c r="A16983" t="str">
        <f>"16982"</f>
        <v>16982</v>
      </c>
      <c r="B16983" t="str">
        <f>"0.03"</f>
        <v>0.03</v>
      </c>
      <c r="C16983" t="str">
        <f>"58"</f>
        <v>58</v>
      </c>
      <c r="D16983" t="str">
        <f>"Vieux Farka Touré"</f>
        <v>Vieux Farka Touré</v>
      </c>
    </row>
    <row r="16984" spans="1:4" x14ac:dyDescent="0.2">
      <c r="A16984" t="str">
        <f>"16983"</f>
        <v>16983</v>
      </c>
      <c r="B16984" t="str">
        <f>"0.94"</f>
        <v>0.94</v>
      </c>
      <c r="C16984" t="str">
        <f>"60"</f>
        <v>60</v>
      </c>
      <c r="D16984" t="str">
        <f>"The Far Now"</f>
        <v>The Far Now</v>
      </c>
    </row>
    <row r="16985" spans="1:4" x14ac:dyDescent="0.2">
      <c r="A16985" t="str">
        <f>"16984"</f>
        <v>16984</v>
      </c>
      <c r="B16985" t="str">
        <f>"-0.04"</f>
        <v>-0.04</v>
      </c>
      <c r="C16985" t="str">
        <f>"75"</f>
        <v>75</v>
      </c>
      <c r="D16985" t="str">
        <f>"Western Xterminator"</f>
        <v>Western Xterminator</v>
      </c>
    </row>
    <row r="16986" spans="1:4" x14ac:dyDescent="0.2">
      <c r="A16986" t="str">
        <f>"16985"</f>
        <v>16985</v>
      </c>
      <c r="B16986" t="str">
        <f>"0.38"</f>
        <v>0.38</v>
      </c>
      <c r="C16986" t="str">
        <f>"65"</f>
        <v>65</v>
      </c>
      <c r="D16986" t="str">
        <f>"Traffic and Weather"</f>
        <v>Traffic and Weather</v>
      </c>
    </row>
    <row r="16987" spans="1:4" x14ac:dyDescent="0.2">
      <c r="A16987" t="str">
        <f>"16986"</f>
        <v>16986</v>
      </c>
      <c r="B16987" t="str">
        <f>"-0.38"</f>
        <v>-0.38</v>
      </c>
      <c r="C16987" t="str">
        <f>"33"</f>
        <v>33</v>
      </c>
      <c r="D16987" t="str">
        <f>"Back to Black"</f>
        <v>Back to Black</v>
      </c>
    </row>
    <row r="16988" spans="1:4" x14ac:dyDescent="0.2">
      <c r="A16988" t="str">
        <f>"16987"</f>
        <v>16987</v>
      </c>
      <c r="B16988" t="str">
        <f>"-0.43"</f>
        <v>-0.43</v>
      </c>
      <c r="C16988" t="str">
        <f>"60"</f>
        <v>60</v>
      </c>
      <c r="D16988" t="str">
        <f>"Applause Cheer Boo Hiss EP"</f>
        <v>Applause Cheer Boo Hiss EP</v>
      </c>
    </row>
    <row r="16989" spans="1:4" x14ac:dyDescent="0.2">
      <c r="A16989" t="str">
        <f>"16988"</f>
        <v>16988</v>
      </c>
      <c r="B16989" t="str">
        <f>"0.33"</f>
        <v>0.33</v>
      </c>
      <c r="C16989" t="str">
        <f>"23"</f>
        <v>23</v>
      </c>
      <c r="D16989" t="str">
        <f>"Visqueen"</f>
        <v>Visqueen</v>
      </c>
    </row>
    <row r="16990" spans="1:4" x14ac:dyDescent="0.2">
      <c r="A16990" t="str">
        <f>"16989"</f>
        <v>16989</v>
      </c>
      <c r="B16990" t="str">
        <f>"0.21"</f>
        <v>0.21</v>
      </c>
      <c r="C16990" t="str">
        <f>"61"</f>
        <v>61</v>
      </c>
      <c r="D16990" t="str">
        <f>"Now It's Time"</f>
        <v>Now It's Time</v>
      </c>
    </row>
    <row r="16991" spans="1:4" x14ac:dyDescent="0.2">
      <c r="A16991" t="str">
        <f>"16990"</f>
        <v>16990</v>
      </c>
      <c r="B16991" t="str">
        <f>"-0.72"</f>
        <v>-0.72</v>
      </c>
      <c r="C16991" t="str">
        <f>"31"</f>
        <v>31</v>
      </c>
      <c r="D16991" t="str">
        <f>"Ruff Draft"</f>
        <v>Ruff Draft</v>
      </c>
    </row>
    <row r="16992" spans="1:4" x14ac:dyDescent="0.2">
      <c r="A16992" t="str">
        <f>"16991"</f>
        <v>16991</v>
      </c>
      <c r="B16992" t="str">
        <f>"-0.23"</f>
        <v>-0.23</v>
      </c>
      <c r="C16992" t="str">
        <f>"31"</f>
        <v>31</v>
      </c>
      <c r="D16992" t="str">
        <f>"Book of Dogma"</f>
        <v>Book of Dogma</v>
      </c>
    </row>
    <row r="16993" spans="1:4" x14ac:dyDescent="0.2">
      <c r="A16993" t="str">
        <f>"16992"</f>
        <v>16992</v>
      </c>
      <c r="B16993" t="str">
        <f>"0.84"</f>
        <v>0.84</v>
      </c>
      <c r="C16993" t="str">
        <f>"25"</f>
        <v>25</v>
      </c>
      <c r="D16993" t="str">
        <f>"Hibernaculum"</f>
        <v>Hibernaculum</v>
      </c>
    </row>
    <row r="16994" spans="1:4" x14ac:dyDescent="0.2">
      <c r="A16994" t="str">
        <f>"16993"</f>
        <v>16993</v>
      </c>
      <c r="B16994" t="str">
        <f>"1.14"</f>
        <v>1.14</v>
      </c>
      <c r="C16994" t="str">
        <f>"20"</f>
        <v>20</v>
      </c>
      <c r="D16994" t="str">
        <f>"Ekranoplan"</f>
        <v>Ekranoplan</v>
      </c>
    </row>
    <row r="16995" spans="1:4" x14ac:dyDescent="0.2">
      <c r="A16995" t="str">
        <f>"16994"</f>
        <v>16994</v>
      </c>
      <c r="B16995" t="str">
        <f>"0.39"</f>
        <v>0.39</v>
      </c>
      <c r="C16995" t="str">
        <f>"30"</f>
        <v>30</v>
      </c>
      <c r="D16995" t="str">
        <f>"Quixoticism"</f>
        <v>Quixoticism</v>
      </c>
    </row>
    <row r="16996" spans="1:4" x14ac:dyDescent="0.2">
      <c r="A16996" t="str">
        <f>"16995"</f>
        <v>16995</v>
      </c>
      <c r="B16996" t="str">
        <f>"0.74"</f>
        <v>0.74</v>
      </c>
      <c r="C16996" t="str">
        <f>"35"</f>
        <v>35</v>
      </c>
      <c r="D16996" t="str">
        <f>"From Here We Go Sublime"</f>
        <v>From Here We Go Sublime</v>
      </c>
    </row>
    <row r="16997" spans="1:4" x14ac:dyDescent="0.2">
      <c r="A16997" t="str">
        <f>"16996"</f>
        <v>16996</v>
      </c>
      <c r="B16997" t="str">
        <f>"-0.85"</f>
        <v>-0.85</v>
      </c>
      <c r="C16997" t="str">
        <f>"28"</f>
        <v>28</v>
      </c>
      <c r="D16997" t="str">
        <f>"Brett Anderson"</f>
        <v>Brett Anderson</v>
      </c>
    </row>
    <row r="16998" spans="1:4" x14ac:dyDescent="0.2">
      <c r="A16998" t="str">
        <f>"16997"</f>
        <v>16997</v>
      </c>
      <c r="B16998" t="str">
        <f>"-0.42"</f>
        <v>-0.42</v>
      </c>
      <c r="C16998" t="str">
        <f>"23"</f>
        <v>23</v>
      </c>
      <c r="D16998" t="str">
        <f>"Memory Theatre"</f>
        <v>Memory Theatre</v>
      </c>
    </row>
    <row r="16999" spans="1:4" x14ac:dyDescent="0.2">
      <c r="A16999" t="str">
        <f>"16998"</f>
        <v>16998</v>
      </c>
      <c r="B16999" t="str">
        <f>"0.04"</f>
        <v>0.04</v>
      </c>
      <c r="C16999" t="str">
        <f>"23"</f>
        <v>23</v>
      </c>
      <c r="D16999" t="str">
        <f>"Arriving at Night"</f>
        <v>Arriving at Night</v>
      </c>
    </row>
    <row r="17000" spans="1:4" x14ac:dyDescent="0.2">
      <c r="A17000" t="str">
        <f>"16999"</f>
        <v>16999</v>
      </c>
      <c r="B17000" t="str">
        <f>"-0.34"</f>
        <v>-0.34</v>
      </c>
      <c r="C17000" t="str">
        <f>"58"</f>
        <v>58</v>
      </c>
      <c r="D17000" t="str">
        <f>"The Slow Bang"</f>
        <v>The Slow Bang</v>
      </c>
    </row>
    <row r="17001" spans="1:4" x14ac:dyDescent="0.2">
      <c r="A17001" t="str">
        <f>"17000"</f>
        <v>17000</v>
      </c>
      <c r="B17001" t="str">
        <f>"-0.53"</f>
        <v>-0.53</v>
      </c>
      <c r="C17001" t="str">
        <f>"61"</f>
        <v>61</v>
      </c>
      <c r="D17001" t="str">
        <f>"Armchair Apocrypha"</f>
        <v>Armchair Apocrypha</v>
      </c>
    </row>
    <row r="17002" spans="1:4" x14ac:dyDescent="0.2">
      <c r="A17002" t="str">
        <f>"17001"</f>
        <v>17001</v>
      </c>
      <c r="B17002" t="str">
        <f>"0.55"</f>
        <v>0.55</v>
      </c>
      <c r="C17002" t="str">
        <f>"35"</f>
        <v>35</v>
      </c>
      <c r="D17002" t="str">
        <f>"The Upsetter Selection-- A Lee Perry Jukebox"</f>
        <v>The Upsetter Selection-- A Lee Perry Jukebox</v>
      </c>
    </row>
    <row r="17003" spans="1:4" x14ac:dyDescent="0.2">
      <c r="A17003" t="str">
        <f>"17002"</f>
        <v>17002</v>
      </c>
      <c r="B17003" t="str">
        <f>"-0.3"</f>
        <v>-0.3</v>
      </c>
      <c r="C17003" t="str">
        <f>"20"</f>
        <v>20</v>
      </c>
      <c r="D17003" t="str">
        <f>"Present the Paisley Reich"</f>
        <v>Present the Paisley Reich</v>
      </c>
    </row>
    <row r="17004" spans="1:4" x14ac:dyDescent="0.2">
      <c r="A17004" t="str">
        <f>"17003"</f>
        <v>17003</v>
      </c>
      <c r="B17004" t="str">
        <f>"-0.45"</f>
        <v>-0.45</v>
      </c>
      <c r="C17004" t="str">
        <f>"37"</f>
        <v>37</v>
      </c>
      <c r="D17004" t="s">
        <v>550</v>
      </c>
    </row>
    <row r="17005" spans="1:4" x14ac:dyDescent="0.2">
      <c r="A17005" t="str">
        <f>"17004"</f>
        <v>17004</v>
      </c>
      <c r="B17005" t="str">
        <f>"0.91"</f>
        <v>0.91</v>
      </c>
      <c r="C17005" t="str">
        <f>"52"</f>
        <v>52</v>
      </c>
      <c r="D17005" t="str">
        <f>"Or Give Me Death"</f>
        <v>Or Give Me Death</v>
      </c>
    </row>
    <row r="17006" spans="1:4" x14ac:dyDescent="0.2">
      <c r="A17006" t="str">
        <f>"17005"</f>
        <v>17005</v>
      </c>
      <c r="B17006" t="str">
        <f>"0.64"</f>
        <v>0.64</v>
      </c>
      <c r="C17006" t="str">
        <f>"96"</f>
        <v>96</v>
      </c>
      <c r="D17006" t="str">
        <f>"Person Pitch"</f>
        <v>Person Pitch</v>
      </c>
    </row>
    <row r="17007" spans="1:4" x14ac:dyDescent="0.2">
      <c r="A17007" t="str">
        <f>"17006"</f>
        <v>17006</v>
      </c>
      <c r="B17007" t="str">
        <f>"-0.14"</f>
        <v>-0.14</v>
      </c>
      <c r="C17007" t="str">
        <f>"42"</f>
        <v>42</v>
      </c>
      <c r="D17007" t="str">
        <f>"Dangerous Game"</f>
        <v>Dangerous Game</v>
      </c>
    </row>
    <row r="17008" spans="1:4" x14ac:dyDescent="0.2">
      <c r="A17008" t="str">
        <f>"17007"</f>
        <v>17007</v>
      </c>
      <c r="B17008" t="str">
        <f>"-0.06"</f>
        <v>-0.06</v>
      </c>
      <c r="C17008" t="str">
        <f>"50"</f>
        <v>50</v>
      </c>
      <c r="D17008" t="s">
        <v>551</v>
      </c>
    </row>
    <row r="17009" spans="1:4" x14ac:dyDescent="0.2">
      <c r="A17009" t="str">
        <f>"17008"</f>
        <v>17008</v>
      </c>
      <c r="B17009" t="str">
        <f>"-0.24"</f>
        <v>-0.24</v>
      </c>
      <c r="C17009" t="str">
        <f>"47"</f>
        <v>47</v>
      </c>
      <c r="D17009" t="str">
        <f>"Black Pompadour"</f>
        <v>Black Pompadour</v>
      </c>
    </row>
    <row r="17010" spans="1:4" x14ac:dyDescent="0.2">
      <c r="A17010" t="str">
        <f>"17009"</f>
        <v>17009</v>
      </c>
      <c r="B17010" t="str">
        <f>"-0.26"</f>
        <v>-0.26</v>
      </c>
      <c r="C17010" t="str">
        <f>"60"</f>
        <v>60</v>
      </c>
      <c r="D17010" t="str">
        <f>"Fulton Lights"</f>
        <v>Fulton Lights</v>
      </c>
    </row>
    <row r="17011" spans="1:4" x14ac:dyDescent="0.2">
      <c r="A17011" t="str">
        <f>"17010"</f>
        <v>17010</v>
      </c>
      <c r="B17011" t="str">
        <f>"0.3"</f>
        <v>0.3</v>
      </c>
      <c r="C17011" t="str">
        <f>"29"</f>
        <v>29</v>
      </c>
      <c r="D17011" t="str">
        <f>"Touched"</f>
        <v>Touched</v>
      </c>
    </row>
    <row r="17012" spans="1:4" x14ac:dyDescent="0.2">
      <c r="A17012" t="str">
        <f>"17011"</f>
        <v>17011</v>
      </c>
      <c r="B17012" t="str">
        <f>"0.61"</f>
        <v>0.61</v>
      </c>
      <c r="C17012" t="str">
        <f>"39"</f>
        <v>39</v>
      </c>
      <c r="D17012" t="str">
        <f>"Out of the Woods"</f>
        <v>Out of the Woods</v>
      </c>
    </row>
    <row r="17013" spans="1:4" x14ac:dyDescent="0.2">
      <c r="A17013" t="str">
        <f>"17012"</f>
        <v>17012</v>
      </c>
      <c r="B17013" t="str">
        <f>"0"</f>
        <v>0</v>
      </c>
      <c r="C17013" t="str">
        <f>"44"</f>
        <v>44</v>
      </c>
      <c r="D17013" t="str">
        <f>"Living With the Living"</f>
        <v>Living With the Living</v>
      </c>
    </row>
    <row r="17014" spans="1:4" x14ac:dyDescent="0.2">
      <c r="A17014" t="str">
        <f>"17013"</f>
        <v>17013</v>
      </c>
      <c r="B17014" t="str">
        <f>"-0.07"</f>
        <v>-0.07</v>
      </c>
      <c r="C17014" t="str">
        <f>"19"</f>
        <v>19</v>
      </c>
      <c r="D17014" t="str">
        <f>"Touch Up"</f>
        <v>Touch Up</v>
      </c>
    </row>
    <row r="17015" spans="1:4" x14ac:dyDescent="0.2">
      <c r="A17015" t="str">
        <f>"17014"</f>
        <v>17014</v>
      </c>
      <c r="B17015" t="str">
        <f>"-0.44"</f>
        <v>-0.44</v>
      </c>
      <c r="C17015" t="str">
        <f>"23"</f>
        <v>23</v>
      </c>
      <c r="D17015" t="str">
        <f>"Boyhood"</f>
        <v>Boyhood</v>
      </c>
    </row>
    <row r="17016" spans="1:4" x14ac:dyDescent="0.2">
      <c r="A17016" t="str">
        <f>"17015"</f>
        <v>17015</v>
      </c>
      <c r="B17016" t="str">
        <f>"0.78"</f>
        <v>0.78</v>
      </c>
      <c r="C17016" t="str">
        <f>"98"</f>
        <v>98</v>
      </c>
      <c r="D17016" t="str">
        <f>"Sound of Silver"</f>
        <v>Sound of Silver</v>
      </c>
    </row>
    <row r="17017" spans="1:4" x14ac:dyDescent="0.2">
      <c r="A17017" t="str">
        <f>"17016"</f>
        <v>17016</v>
      </c>
      <c r="B17017" t="str">
        <f>"-1.02"</f>
        <v>-1.02</v>
      </c>
      <c r="C17017" t="str">
        <f>"33"</f>
        <v>33</v>
      </c>
      <c r="D17017" t="str">
        <f>"The Weirdness"</f>
        <v>The Weirdness</v>
      </c>
    </row>
    <row r="17018" spans="1:4" x14ac:dyDescent="0.2">
      <c r="A17018" t="str">
        <f>"17017"</f>
        <v>17017</v>
      </c>
      <c r="B17018" t="str">
        <f>"0.25"</f>
        <v>0.25</v>
      </c>
      <c r="C17018" t="str">
        <f>"26"</f>
        <v>26</v>
      </c>
      <c r="D17018" t="str">
        <f>"Rio Baile Funk: More Favela Booty Beats"</f>
        <v>Rio Baile Funk: More Favela Booty Beats</v>
      </c>
    </row>
    <row r="17019" spans="1:4" x14ac:dyDescent="0.2">
      <c r="A17019" t="str">
        <f>"17018"</f>
        <v>17018</v>
      </c>
      <c r="B17019" t="str">
        <f>"0.3"</f>
        <v>0.3</v>
      </c>
      <c r="C17019" t="str">
        <f>"61"</f>
        <v>61</v>
      </c>
      <c r="D17019" t="str">
        <f>"Like Love Lust and the Open Halls of the Soul"</f>
        <v>Like Love Lust and the Open Halls of the Soul</v>
      </c>
    </row>
    <row r="17020" spans="1:4" x14ac:dyDescent="0.2">
      <c r="A17020" t="str">
        <f>"17019"</f>
        <v>17019</v>
      </c>
      <c r="B17020" t="str">
        <f>"-0.52"</f>
        <v>-0.52</v>
      </c>
      <c r="C17020" t="str">
        <f>"22"</f>
        <v>22</v>
      </c>
      <c r="D17020" t="str">
        <f>"Pagoda"</f>
        <v>Pagoda</v>
      </c>
    </row>
    <row r="17021" spans="1:4" x14ac:dyDescent="0.2">
      <c r="A17021" t="str">
        <f>"17020"</f>
        <v>17020</v>
      </c>
      <c r="B17021" t="str">
        <f>"0.16"</f>
        <v>0.16</v>
      </c>
      <c r="C17021" t="str">
        <f>"27"</f>
        <v>27</v>
      </c>
      <c r="D17021" t="str">
        <f>"We Were Dead Before the Ship Even Sank"</f>
        <v>We Were Dead Before the Ship Even Sank</v>
      </c>
    </row>
    <row r="17022" spans="1:4" x14ac:dyDescent="0.2">
      <c r="A17022" t="str">
        <f>"17021"</f>
        <v>17021</v>
      </c>
      <c r="B17022" t="str">
        <f>"-0.21"</f>
        <v>-0.21</v>
      </c>
      <c r="C17022" t="str">
        <f>"88"</f>
        <v>88</v>
      </c>
      <c r="D17022" t="str">
        <f>"Tongues"</f>
        <v>Tongues</v>
      </c>
    </row>
    <row r="17023" spans="1:4" x14ac:dyDescent="0.2">
      <c r="A17023" t="str">
        <f>"17022"</f>
        <v>17022</v>
      </c>
      <c r="B17023" t="str">
        <f>"0.58"</f>
        <v>0.58</v>
      </c>
      <c r="C17023" t="str">
        <f>"65"</f>
        <v>65</v>
      </c>
      <c r="D17023" t="s">
        <v>552</v>
      </c>
    </row>
    <row r="17024" spans="1:4" x14ac:dyDescent="0.2">
      <c r="A17024" t="str">
        <f>"17023"</f>
        <v>17023</v>
      </c>
      <c r="B17024" t="str">
        <f>"-0.23"</f>
        <v>-0.23</v>
      </c>
      <c r="C17024" t="str">
        <f>"15"</f>
        <v>15</v>
      </c>
      <c r="D17024" t="str">
        <f>"Sirs"</f>
        <v>Sirs</v>
      </c>
    </row>
    <row r="17025" spans="1:4" x14ac:dyDescent="0.2">
      <c r="A17025" t="str">
        <f>"17024"</f>
        <v>17024</v>
      </c>
      <c r="B17025" t="str">
        <f>"-0.46"</f>
        <v>-0.46</v>
      </c>
      <c r="C17025" t="str">
        <f>"48"</f>
        <v>48</v>
      </c>
      <c r="D17025" t="str">
        <f>"Seven Sisters"</f>
        <v>Seven Sisters</v>
      </c>
    </row>
    <row r="17026" spans="1:4" x14ac:dyDescent="0.2">
      <c r="A17026" t="str">
        <f>"17025"</f>
        <v>17025</v>
      </c>
      <c r="B17026" t="str">
        <f>"0.07"</f>
        <v>0.07</v>
      </c>
      <c r="C17026" t="str">
        <f>"28"</f>
        <v>28</v>
      </c>
      <c r="D17026" t="str">
        <f>"Plays"</f>
        <v>Plays</v>
      </c>
    </row>
    <row r="17027" spans="1:4" x14ac:dyDescent="0.2">
      <c r="A17027" t="str">
        <f>"17026"</f>
        <v>17026</v>
      </c>
      <c r="B17027" t="str">
        <f>"-0.52"</f>
        <v>-0.52</v>
      </c>
      <c r="C17027" t="str">
        <f>"39"</f>
        <v>39</v>
      </c>
      <c r="D17027" t="str">
        <f>"I’ll Sleep When You’re Dead"</f>
        <v>I’ll Sleep When You’re Dead</v>
      </c>
    </row>
    <row r="17028" spans="1:4" x14ac:dyDescent="0.2">
      <c r="A17028" t="str">
        <f>"17027"</f>
        <v>17027</v>
      </c>
      <c r="B17028" t="str">
        <f>"0.02"</f>
        <v>0.02</v>
      </c>
      <c r="C17028" t="str">
        <f>"55"</f>
        <v>55</v>
      </c>
      <c r="D17028" t="str">
        <f>"Scribble Mural Comic Journal"</f>
        <v>Scribble Mural Comic Journal</v>
      </c>
    </row>
    <row r="17029" spans="1:4" x14ac:dyDescent="0.2">
      <c r="A17029" t="str">
        <f>"17028"</f>
        <v>17028</v>
      </c>
      <c r="B17029" t="str">
        <f>"-0.27"</f>
        <v>-0.27</v>
      </c>
      <c r="C17029" t="str">
        <f>"63"</f>
        <v>63</v>
      </c>
      <c r="D17029" t="str">
        <f>"Wolves"</f>
        <v>Wolves</v>
      </c>
    </row>
    <row r="17030" spans="1:4" x14ac:dyDescent="0.2">
      <c r="A17030" t="str">
        <f>"17029"</f>
        <v>17029</v>
      </c>
      <c r="B17030" t="str">
        <f>"1.33"</f>
        <v>1.33</v>
      </c>
      <c r="C17030" t="str">
        <f>"52"</f>
        <v>52</v>
      </c>
      <c r="D17030" t="str">
        <f>"Ocky Milk"</f>
        <v>Ocky Milk</v>
      </c>
    </row>
    <row r="17031" spans="1:4" x14ac:dyDescent="0.2">
      <c r="A17031" t="str">
        <f>"17030"</f>
        <v>17030</v>
      </c>
      <c r="B17031" t="str">
        <f>"-0.75"</f>
        <v>-0.75</v>
      </c>
      <c r="C17031" t="str">
        <f>"130"</f>
        <v>130</v>
      </c>
      <c r="D17031" t="str">
        <f>"Drums and Guns"</f>
        <v>Drums and Guns</v>
      </c>
    </row>
    <row r="17032" spans="1:4" x14ac:dyDescent="0.2">
      <c r="A17032" t="str">
        <f>"17031"</f>
        <v>17031</v>
      </c>
      <c r="B17032" t="str">
        <f>"0.51"</f>
        <v>0.51</v>
      </c>
      <c r="C17032" t="str">
        <f>"39"</f>
        <v>39</v>
      </c>
      <c r="D17032" t="str">
        <f>"Steingarten"</f>
        <v>Steingarten</v>
      </c>
    </row>
    <row r="17033" spans="1:4" x14ac:dyDescent="0.2">
      <c r="A17033" t="str">
        <f>"17032"</f>
        <v>17032</v>
      </c>
      <c r="B17033" t="str">
        <f>"0.07"</f>
        <v>0.07</v>
      </c>
      <c r="C17033" t="str">
        <f>"23"</f>
        <v>23</v>
      </c>
      <c r="D17033" t="str">
        <f>"Raven and the White Night"</f>
        <v>Raven and the White Night</v>
      </c>
    </row>
    <row r="17034" spans="1:4" x14ac:dyDescent="0.2">
      <c r="A17034" t="str">
        <f>"17033"</f>
        <v>17033</v>
      </c>
      <c r="B17034" t="str">
        <f>"0.38"</f>
        <v>0.38</v>
      </c>
      <c r="C17034" t="str">
        <f>"29"</f>
        <v>29</v>
      </c>
      <c r="D17034" t="str">
        <f>"Knive"</f>
        <v>Knive</v>
      </c>
    </row>
    <row r="17035" spans="1:4" x14ac:dyDescent="0.2">
      <c r="A17035" t="str">
        <f>"17034"</f>
        <v>17034</v>
      </c>
      <c r="B17035" t="str">
        <f>"0.74"</f>
        <v>0.74</v>
      </c>
      <c r="C17035" t="str">
        <f>"73"</f>
        <v>73</v>
      </c>
      <c r="D17035" t="str">
        <f>"The Peel Session EP"</f>
        <v>The Peel Session EP</v>
      </c>
    </row>
    <row r="17036" spans="1:4" x14ac:dyDescent="0.2">
      <c r="A17036" t="str">
        <f>"17035"</f>
        <v>17035</v>
      </c>
      <c r="B17036" t="str">
        <f>"0.06"</f>
        <v>0.06</v>
      </c>
      <c r="C17036" t="str">
        <f>"24"</f>
        <v>24</v>
      </c>
      <c r="D17036" t="str">
        <f>"Turn the Lights Out"</f>
        <v>Turn the Lights Out</v>
      </c>
    </row>
    <row r="17037" spans="1:4" x14ac:dyDescent="0.2">
      <c r="A17037" t="str">
        <f>"17036"</f>
        <v>17036</v>
      </c>
      <c r="B17037" t="str">
        <f>"0.23"</f>
        <v>0.23</v>
      </c>
      <c r="C17037" t="str">
        <f>"72"</f>
        <v>72</v>
      </c>
      <c r="D17037" t="str">
        <f>"Songs For the Young at Heart"</f>
        <v>Songs For the Young at Heart</v>
      </c>
    </row>
    <row r="17038" spans="1:4" x14ac:dyDescent="0.2">
      <c r="A17038" t="str">
        <f>"17037"</f>
        <v>17037</v>
      </c>
      <c r="B17038" t="str">
        <f>"-0.39"</f>
        <v>-0.39</v>
      </c>
      <c r="C17038" t="str">
        <f>"67"</f>
        <v>67</v>
      </c>
      <c r="D17038" t="str">
        <f>"Secret Lawns"</f>
        <v>Secret Lawns</v>
      </c>
    </row>
    <row r="17039" spans="1:4" x14ac:dyDescent="0.2">
      <c r="A17039" t="str">
        <f>"17038"</f>
        <v>17038</v>
      </c>
      <c r="B17039" t="str">
        <f>"0.1"</f>
        <v>0.1</v>
      </c>
      <c r="C17039" t="str">
        <f>"92"</f>
        <v>92</v>
      </c>
      <c r="D17039" t="str">
        <f>"If This World Were Mine..."</f>
        <v>If This World Were Mine...</v>
      </c>
    </row>
    <row r="17040" spans="1:4" x14ac:dyDescent="0.2">
      <c r="A17040" t="str">
        <f>"17039"</f>
        <v>17039</v>
      </c>
      <c r="B17040" t="str">
        <f>"-0.3"</f>
        <v>-0.3</v>
      </c>
      <c r="C17040" t="str">
        <f>"49"</f>
        <v>49</v>
      </c>
      <c r="D17040" t="str">
        <f>"Vessels"</f>
        <v>Vessels</v>
      </c>
    </row>
    <row r="17041" spans="1:4" x14ac:dyDescent="0.2">
      <c r="A17041" t="str">
        <f>"17040"</f>
        <v>17040</v>
      </c>
      <c r="B17041" t="str">
        <f>"-0.08"</f>
        <v>-0.08</v>
      </c>
      <c r="C17041" t="str">
        <f>"24"</f>
        <v>24</v>
      </c>
      <c r="D17041" t="str">
        <f>"Live at Massey Hall"</f>
        <v>Live at Massey Hall</v>
      </c>
    </row>
    <row r="17042" spans="1:4" x14ac:dyDescent="0.2">
      <c r="A17042" t="str">
        <f>"17041"</f>
        <v>17041</v>
      </c>
      <c r="B17042" t="str">
        <f>"-0.13"</f>
        <v>-0.13</v>
      </c>
      <c r="C17042" t="str">
        <f>"104"</f>
        <v>104</v>
      </c>
      <c r="D17042" t="str">
        <f>"Stax 50th Anniversary Celebration"</f>
        <v>Stax 50th Anniversary Celebration</v>
      </c>
    </row>
    <row r="17043" spans="1:4" x14ac:dyDescent="0.2">
      <c r="A17043" t="str">
        <f>"17042"</f>
        <v>17042</v>
      </c>
      <c r="B17043" t="str">
        <f>"0.95"</f>
        <v>0.95</v>
      </c>
      <c r="C17043" t="str">
        <f>"61"</f>
        <v>61</v>
      </c>
      <c r="D17043" t="str">
        <f>"What a Beautiful Place"</f>
        <v>What a Beautiful Place</v>
      </c>
    </row>
    <row r="17044" spans="1:4" x14ac:dyDescent="0.2">
      <c r="A17044" t="str">
        <f>"17043"</f>
        <v>17043</v>
      </c>
      <c r="B17044" t="str">
        <f>"0.5"</f>
        <v>0.5</v>
      </c>
      <c r="C17044" t="str">
        <f>"19"</f>
        <v>19</v>
      </c>
      <c r="D17044" t="str">
        <f>"The Bride of Dynamite"</f>
        <v>The Bride of Dynamite</v>
      </c>
    </row>
    <row r="17045" spans="1:4" x14ac:dyDescent="0.2">
      <c r="A17045" t="str">
        <f>"17044"</f>
        <v>17044</v>
      </c>
      <c r="B17045" t="str">
        <f>"-0.37"</f>
        <v>-0.37</v>
      </c>
      <c r="C17045" t="str">
        <f>"79"</f>
        <v>79</v>
      </c>
      <c r="D17045" t="str">
        <f>"If the Ocean Gets Rough"</f>
        <v>If the Ocean Gets Rough</v>
      </c>
    </row>
    <row r="17046" spans="1:4" x14ac:dyDescent="0.2">
      <c r="A17046" t="str">
        <f>"17045"</f>
        <v>17045</v>
      </c>
      <c r="B17046" t="str">
        <f>"-0.41"</f>
        <v>-0.41</v>
      </c>
      <c r="C17046" t="str">
        <f>"29"</f>
        <v>29</v>
      </c>
      <c r="D17046" t="str">
        <f>"The Information: Deluxe Edition"</f>
        <v>The Information: Deluxe Edition</v>
      </c>
    </row>
    <row r="17047" spans="1:4" x14ac:dyDescent="0.2">
      <c r="A17047" t="str">
        <f>"17046"</f>
        <v>17046</v>
      </c>
      <c r="B17047" t="str">
        <f>"-0.41"</f>
        <v>-0.41</v>
      </c>
      <c r="C17047" t="str">
        <f>"98"</f>
        <v>98</v>
      </c>
      <c r="D17047" t="str">
        <f>"Reformation Post TLC"</f>
        <v>Reformation Post TLC</v>
      </c>
    </row>
    <row r="17048" spans="1:4" x14ac:dyDescent="0.2">
      <c r="A17048" t="str">
        <f>"17047"</f>
        <v>17047</v>
      </c>
      <c r="B17048" t="str">
        <f>"0.83"</f>
        <v>0.83</v>
      </c>
      <c r="C17048" t="str">
        <f>"23"</f>
        <v>23</v>
      </c>
      <c r="D17048" t="str">
        <f>"Hidden World"</f>
        <v>Hidden World</v>
      </c>
    </row>
    <row r="17049" spans="1:4" x14ac:dyDescent="0.2">
      <c r="A17049" t="str">
        <f>"17048"</f>
        <v>17048</v>
      </c>
      <c r="B17049" t="str">
        <f>"-0.49"</f>
        <v>-0.49</v>
      </c>
      <c r="C17049" t="str">
        <f>"51"</f>
        <v>51</v>
      </c>
      <c r="D17049" t="str">
        <f>"Memoirs"</f>
        <v>Memoirs</v>
      </c>
    </row>
    <row r="17050" spans="1:4" x14ac:dyDescent="0.2">
      <c r="A17050" t="str">
        <f>"17049"</f>
        <v>17049</v>
      </c>
      <c r="B17050" t="str">
        <f>"0.59"</f>
        <v>0.59</v>
      </c>
      <c r="C17050" t="str">
        <f>"22"</f>
        <v>22</v>
      </c>
      <c r="D17050" t="str">
        <f>"The Get Down EP"</f>
        <v>The Get Down EP</v>
      </c>
    </row>
    <row r="17051" spans="1:4" x14ac:dyDescent="0.2">
      <c r="A17051" t="str">
        <f>"17050"</f>
        <v>17050</v>
      </c>
      <c r="B17051" t="str">
        <f>"-0.58"</f>
        <v>-0.58</v>
      </c>
      <c r="C17051" t="str">
        <f>"35"</f>
        <v>35</v>
      </c>
      <c r="D17051" t="str">
        <f>"The Third Hand"</f>
        <v>The Third Hand</v>
      </c>
    </row>
    <row r="17052" spans="1:4" x14ac:dyDescent="0.2">
      <c r="A17052" t="str">
        <f>"17051"</f>
        <v>17051</v>
      </c>
      <c r="B17052" t="str">
        <f>"0.25"</f>
        <v>0.25</v>
      </c>
      <c r="C17052" t="str">
        <f>"43"</f>
        <v>43</v>
      </c>
      <c r="D17052" t="str">
        <f>"The Frozen Borderline: 1968-1970"</f>
        <v>The Frozen Borderline: 1968-1970</v>
      </c>
    </row>
    <row r="17053" spans="1:4" x14ac:dyDescent="0.2">
      <c r="A17053" t="str">
        <f>"17052"</f>
        <v>17052</v>
      </c>
      <c r="B17053" t="str">
        <f>"-0.8"</f>
        <v>-0.8</v>
      </c>
      <c r="C17053" t="str">
        <f>"60"</f>
        <v>60</v>
      </c>
      <c r="D17053" t="str">
        <f>"Cheeseburger"</f>
        <v>Cheeseburger</v>
      </c>
    </row>
    <row r="17054" spans="1:4" x14ac:dyDescent="0.2">
      <c r="A17054" t="str">
        <f>"17053"</f>
        <v>17053</v>
      </c>
      <c r="B17054" t="str">
        <f>"0.02"</f>
        <v>0.02</v>
      </c>
      <c r="C17054" t="str">
        <f>"28"</f>
        <v>28</v>
      </c>
      <c r="D17054" t="str">
        <f>"This Too Will Pass"</f>
        <v>This Too Will Pass</v>
      </c>
    </row>
    <row r="17055" spans="1:4" x14ac:dyDescent="0.2">
      <c r="A17055" t="str">
        <f>"17054"</f>
        <v>17054</v>
      </c>
      <c r="B17055" t="str">
        <f>"-0.88"</f>
        <v>-0.88</v>
      </c>
      <c r="C17055" t="str">
        <f>"60"</f>
        <v>60</v>
      </c>
      <c r="D17055" t="str">
        <f>"Music for Tourists"</f>
        <v>Music for Tourists</v>
      </c>
    </row>
    <row r="17056" spans="1:4" x14ac:dyDescent="0.2">
      <c r="A17056" t="str">
        <f>"17055"</f>
        <v>17055</v>
      </c>
      <c r="B17056" t="str">
        <f>"-0.1"</f>
        <v>-0.1</v>
      </c>
      <c r="C17056" t="str">
        <f>"31"</f>
        <v>31</v>
      </c>
      <c r="D17056" t="str">
        <f>"Ghosts of the Great Highway"</f>
        <v>Ghosts of the Great Highway</v>
      </c>
    </row>
    <row r="17057" spans="1:4" x14ac:dyDescent="0.2">
      <c r="A17057" t="str">
        <f>"17056"</f>
        <v>17056</v>
      </c>
      <c r="B17057" t="str">
        <f>"0.95"</f>
        <v>0.95</v>
      </c>
      <c r="C17057" t="str">
        <f>"16"</f>
        <v>16</v>
      </c>
      <c r="D17057" t="str">
        <f>"The Magic Position"</f>
        <v>The Magic Position</v>
      </c>
    </row>
    <row r="17058" spans="1:4" x14ac:dyDescent="0.2">
      <c r="A17058" t="str">
        <f>"17057"</f>
        <v>17057</v>
      </c>
      <c r="B17058" t="str">
        <f>"-0.5"</f>
        <v>-0.5</v>
      </c>
      <c r="C17058" t="str">
        <f>"36"</f>
        <v>36</v>
      </c>
      <c r="D17058" t="str">
        <f>"Abandoned Language"</f>
        <v>Abandoned Language</v>
      </c>
    </row>
    <row r="17059" spans="1:4" x14ac:dyDescent="0.2">
      <c r="A17059" t="str">
        <f>"17058"</f>
        <v>17058</v>
      </c>
      <c r="B17059" t="str">
        <f>"0.3"</f>
        <v>0.3</v>
      </c>
      <c r="C17059" t="str">
        <f>"23"</f>
        <v>23</v>
      </c>
      <c r="D17059" t="str">
        <f>"The Cost"</f>
        <v>The Cost</v>
      </c>
    </row>
    <row r="17060" spans="1:4" x14ac:dyDescent="0.2">
      <c r="A17060" t="str">
        <f>"17059"</f>
        <v>17059</v>
      </c>
      <c r="B17060" t="str">
        <f>"0.02"</f>
        <v>0.02</v>
      </c>
      <c r="C17060" t="str">
        <f>"19"</f>
        <v>19</v>
      </c>
      <c r="D17060" t="str">
        <f>"Please Heat This Eventually EP"</f>
        <v>Please Heat This Eventually EP</v>
      </c>
    </row>
    <row r="17061" spans="1:4" x14ac:dyDescent="0.2">
      <c r="A17061" t="str">
        <f>"17060"</f>
        <v>17060</v>
      </c>
      <c r="B17061" t="str">
        <f>"0.42"</f>
        <v>0.42</v>
      </c>
      <c r="C17061" t="str">
        <f>"89"</f>
        <v>89</v>
      </c>
      <c r="D17061" t="str">
        <f>"Pocket Symphony"</f>
        <v>Pocket Symphony</v>
      </c>
    </row>
    <row r="17062" spans="1:4" x14ac:dyDescent="0.2">
      <c r="A17062" t="str">
        <f>"17061"</f>
        <v>17061</v>
      </c>
      <c r="B17062" t="str">
        <f>"0.19"</f>
        <v>0.19</v>
      </c>
      <c r="C17062" t="str">
        <f>"60"</f>
        <v>60</v>
      </c>
      <c r="D17062" t="str">
        <f>"Songs III: Bird on the Water"</f>
        <v>Songs III: Bird on the Water</v>
      </c>
    </row>
    <row r="17063" spans="1:4" x14ac:dyDescent="0.2">
      <c r="A17063" t="str">
        <f>"17062"</f>
        <v>17062</v>
      </c>
      <c r="B17063" t="str">
        <f>"0.35"</f>
        <v>0.35</v>
      </c>
      <c r="C17063" t="str">
        <f>"86"</f>
        <v>86</v>
      </c>
      <c r="D17063" t="str">
        <f>"Back Numbers"</f>
        <v>Back Numbers</v>
      </c>
    </row>
    <row r="17064" spans="1:4" x14ac:dyDescent="0.2">
      <c r="A17064" t="str">
        <f>"17063"</f>
        <v>17063</v>
      </c>
      <c r="B17064" t="str">
        <f>"0.78"</f>
        <v>0.78</v>
      </c>
      <c r="C17064" t="str">
        <f>"13"</f>
        <v>13</v>
      </c>
      <c r="D17064" t="str">
        <f>"Hats Off to the Buskers"</f>
        <v>Hats Off to the Buskers</v>
      </c>
    </row>
    <row r="17065" spans="1:4" x14ac:dyDescent="0.2">
      <c r="A17065" t="str">
        <f>"17064"</f>
        <v>17064</v>
      </c>
      <c r="B17065" t="str">
        <f>"-1.01"</f>
        <v>-1.01</v>
      </c>
      <c r="C17065" t="str">
        <f>"16"</f>
        <v>16</v>
      </c>
      <c r="D17065" t="str">
        <f>"Voices of Omens"</f>
        <v>Voices of Omens</v>
      </c>
    </row>
    <row r="17066" spans="1:4" x14ac:dyDescent="0.2">
      <c r="A17066" t="str">
        <f>"17065"</f>
        <v>17065</v>
      </c>
      <c r="B17066" t="str">
        <f>"-0.43"</f>
        <v>-0.43</v>
      </c>
      <c r="C17066" t="str">
        <f>"68"</f>
        <v>68</v>
      </c>
      <c r="D17066" t="str">
        <f>"Four Winds EP"</f>
        <v>Four Winds EP</v>
      </c>
    </row>
    <row r="17067" spans="1:4" x14ac:dyDescent="0.2">
      <c r="A17067" t="str">
        <f>"17066"</f>
        <v>17066</v>
      </c>
      <c r="B17067" t="str">
        <f>"0.16"</f>
        <v>0.16</v>
      </c>
      <c r="C17067" t="str">
        <f>"30"</f>
        <v>30</v>
      </c>
      <c r="D17067" t="str">
        <f>"The Bird of Music"</f>
        <v>The Bird of Music</v>
      </c>
    </row>
    <row r="17068" spans="1:4" x14ac:dyDescent="0.2">
      <c r="A17068" t="str">
        <f>"17067"</f>
        <v>17067</v>
      </c>
      <c r="B17068" t="str">
        <f>"-0.86"</f>
        <v>-0.86</v>
      </c>
      <c r="C17068" t="str">
        <f>"32"</f>
        <v>32</v>
      </c>
      <c r="D17068" t="str">
        <f>"Here Come the Waterworks"</f>
        <v>Here Come the Waterworks</v>
      </c>
    </row>
    <row r="17069" spans="1:4" x14ac:dyDescent="0.2">
      <c r="A17069" t="str">
        <f>"17068"</f>
        <v>17068</v>
      </c>
      <c r="B17069" t="str">
        <f>"0.93"</f>
        <v>0.93</v>
      </c>
      <c r="C17069" t="str">
        <f>"24"</f>
        <v>24</v>
      </c>
      <c r="D17069" t="str">
        <f>"Painted Garden"</f>
        <v>Painted Garden</v>
      </c>
    </row>
    <row r="17070" spans="1:4" x14ac:dyDescent="0.2">
      <c r="A17070" t="str">
        <f>"17069"</f>
        <v>17069</v>
      </c>
      <c r="B17070" t="str">
        <f>"1.1"</f>
        <v>1.1</v>
      </c>
      <c r="C17070" t="str">
        <f>"79"</f>
        <v>79</v>
      </c>
      <c r="D17070" t="str">
        <f>"Brand New By Tomorrow"</f>
        <v>Brand New By Tomorrow</v>
      </c>
    </row>
    <row r="17071" spans="1:4" x14ac:dyDescent="0.2">
      <c r="A17071" t="str">
        <f>"17070"</f>
        <v>17070</v>
      </c>
      <c r="B17071" t="str">
        <f>"-0.14"</f>
        <v>-0.14</v>
      </c>
      <c r="C17071" t="str">
        <f>"36"</f>
        <v>36</v>
      </c>
      <c r="D17071" t="str">
        <f>"Neon Bible"</f>
        <v>Neon Bible</v>
      </c>
    </row>
    <row r="17072" spans="1:4" x14ac:dyDescent="0.2">
      <c r="A17072" t="str">
        <f>"17071"</f>
        <v>17071</v>
      </c>
      <c r="B17072" t="str">
        <f>"-0.47"</f>
        <v>-0.47</v>
      </c>
      <c r="C17072" t="str">
        <f>"19"</f>
        <v>19</v>
      </c>
      <c r="D17072" t="str">
        <f>"The Foley Room"</f>
        <v>The Foley Room</v>
      </c>
    </row>
    <row r="17073" spans="1:4" x14ac:dyDescent="0.2">
      <c r="A17073" t="str">
        <f>"17072"</f>
        <v>17072</v>
      </c>
      <c r="B17073" t="str">
        <f>"0.97"</f>
        <v>0.97</v>
      </c>
      <c r="C17073" t="str">
        <f>"26"</f>
        <v>26</v>
      </c>
      <c r="D17073" t="str">
        <f>"The Deep Blue"</f>
        <v>The Deep Blue</v>
      </c>
    </row>
    <row r="17074" spans="1:4" x14ac:dyDescent="0.2">
      <c r="A17074" t="str">
        <f>"17073"</f>
        <v>17073</v>
      </c>
      <c r="B17074" t="str">
        <f>"0.13"</f>
        <v>0.13</v>
      </c>
      <c r="C17074" t="str">
        <f>"32"</f>
        <v>32</v>
      </c>
      <c r="D17074" t="str">
        <f>"Happy in Grey"</f>
        <v>Happy in Grey</v>
      </c>
    </row>
    <row r="17075" spans="1:4" x14ac:dyDescent="0.2">
      <c r="A17075" t="str">
        <f>"17074"</f>
        <v>17074</v>
      </c>
      <c r="B17075" t="str">
        <f>"-0.83"</f>
        <v>-0.83</v>
      </c>
      <c r="C17075" t="str">
        <f>"78"</f>
        <v>78</v>
      </c>
      <c r="D17075" t="str">
        <f>"Summary"</f>
        <v>Summary</v>
      </c>
    </row>
    <row r="17076" spans="1:4" x14ac:dyDescent="0.2">
      <c r="A17076" t="str">
        <f>"17075"</f>
        <v>17075</v>
      </c>
      <c r="B17076" t="str">
        <f>"0.34"</f>
        <v>0.34</v>
      </c>
      <c r="C17076" t="str">
        <f>"39"</f>
        <v>39</v>
      </c>
      <c r="D17076" t="str">
        <f>"Myth Takes"</f>
        <v>Myth Takes</v>
      </c>
    </row>
    <row r="17077" spans="1:4" x14ac:dyDescent="0.2">
      <c r="A17077" t="str">
        <f>"17076"</f>
        <v>17076</v>
      </c>
      <c r="B17077" t="str">
        <f>"1.03"</f>
        <v>1.03</v>
      </c>
      <c r="C17077" t="str">
        <f>"35"</f>
        <v>35</v>
      </c>
      <c r="D17077" t="s">
        <v>553</v>
      </c>
    </row>
    <row r="17078" spans="1:4" x14ac:dyDescent="0.2">
      <c r="A17078" t="str">
        <f>"17077"</f>
        <v>17077</v>
      </c>
      <c r="B17078" t="str">
        <f>"-0.5"</f>
        <v>-0.5</v>
      </c>
      <c r="C17078" t="str">
        <f>"36"</f>
        <v>36</v>
      </c>
      <c r="D17078" t="str">
        <f>"Heavy International"</f>
        <v>Heavy International</v>
      </c>
    </row>
    <row r="17079" spans="1:4" x14ac:dyDescent="0.2">
      <c r="A17079" t="str">
        <f>"17078"</f>
        <v>17078</v>
      </c>
      <c r="B17079" t="str">
        <f>"0.35"</f>
        <v>0.35</v>
      </c>
      <c r="C17079" t="str">
        <f>"19"</f>
        <v>19</v>
      </c>
      <c r="D17079" t="str">
        <f>"Saunders Hollow"</f>
        <v>Saunders Hollow</v>
      </c>
    </row>
    <row r="17080" spans="1:4" x14ac:dyDescent="0.2">
      <c r="A17080" t="str">
        <f>"17079"</f>
        <v>17079</v>
      </c>
      <c r="B17080" t="str">
        <f>"0.5"</f>
        <v>0.5</v>
      </c>
      <c r="C17080" t="str">
        <f>"60"</f>
        <v>60</v>
      </c>
      <c r="D17080" t="str">
        <f>"Imaginary Volcano"</f>
        <v>Imaginary Volcano</v>
      </c>
    </row>
    <row r="17081" spans="1:4" x14ac:dyDescent="0.2">
      <c r="A17081" t="str">
        <f>"17080"</f>
        <v>17080</v>
      </c>
      <c r="B17081" t="str">
        <f>"-0.02"</f>
        <v>-0.02</v>
      </c>
      <c r="C17081" t="str">
        <f>"28"</f>
        <v>28</v>
      </c>
      <c r="D17081" t="s">
        <v>554</v>
      </c>
    </row>
    <row r="17082" spans="1:4" x14ac:dyDescent="0.2">
      <c r="A17082" t="str">
        <f>"17081"</f>
        <v>17081</v>
      </c>
      <c r="B17082" t="str">
        <f>"-0.85"</f>
        <v>-0.85</v>
      </c>
      <c r="C17082" t="str">
        <f>"28"</f>
        <v>28</v>
      </c>
      <c r="D17082" t="str">
        <f>"All Day"</f>
        <v>All Day</v>
      </c>
    </row>
    <row r="17083" spans="1:4" x14ac:dyDescent="0.2">
      <c r="A17083" t="str">
        <f>"17082"</f>
        <v>17082</v>
      </c>
      <c r="B17083" t="str">
        <f>"0.38"</f>
        <v>0.38</v>
      </c>
      <c r="C17083" t="str">
        <f>"25"</f>
        <v>25</v>
      </c>
      <c r="D17083" t="str">
        <f>"Out of the Blue"</f>
        <v>Out of the Blue</v>
      </c>
    </row>
    <row r="17084" spans="1:4" x14ac:dyDescent="0.2">
      <c r="A17084" t="str">
        <f>"17083"</f>
        <v>17083</v>
      </c>
      <c r="B17084" t="str">
        <f>"-0.5"</f>
        <v>-0.5</v>
      </c>
      <c r="C17084" t="str">
        <f>"26"</f>
        <v>26</v>
      </c>
      <c r="D17084" t="s">
        <v>555</v>
      </c>
    </row>
    <row r="17085" spans="1:4" x14ac:dyDescent="0.2">
      <c r="A17085" t="str">
        <f>"17084"</f>
        <v>17084</v>
      </c>
      <c r="B17085" t="str">
        <f>"0.2"</f>
        <v>0.2</v>
      </c>
      <c r="C17085" t="str">
        <f>"48"</f>
        <v>48</v>
      </c>
      <c r="D17085" t="str">
        <f>"Love of Diagrams EP"</f>
        <v>Love of Diagrams EP</v>
      </c>
    </row>
    <row r="17086" spans="1:4" x14ac:dyDescent="0.2">
      <c r="A17086" t="str">
        <f>"17085"</f>
        <v>17085</v>
      </c>
      <c r="B17086" t="str">
        <f>"0.61"</f>
        <v>0.61</v>
      </c>
      <c r="C17086" t="str">
        <f>"43"</f>
        <v>43</v>
      </c>
      <c r="D17086" t="str">
        <f>"Ultimate Gospel"</f>
        <v>Ultimate Gospel</v>
      </c>
    </row>
    <row r="17087" spans="1:4" x14ac:dyDescent="0.2">
      <c r="A17087" t="str">
        <f>"17086"</f>
        <v>17086</v>
      </c>
      <c r="B17087" t="str">
        <f>"0.75"</f>
        <v>0.75</v>
      </c>
      <c r="C17087" t="str">
        <f>"22"</f>
        <v>22</v>
      </c>
      <c r="D17087" t="str">
        <f>"Chromophobia"</f>
        <v>Chromophobia</v>
      </c>
    </row>
    <row r="17088" spans="1:4" x14ac:dyDescent="0.2">
      <c r="A17088" t="str">
        <f>"17087"</f>
        <v>17087</v>
      </c>
      <c r="B17088" t="str">
        <f>"0.1"</f>
        <v>0.1</v>
      </c>
      <c r="C17088" t="str">
        <f>"62"</f>
        <v>62</v>
      </c>
      <c r="D17088" t="str">
        <f>"Modern Currencies"</f>
        <v>Modern Currencies</v>
      </c>
    </row>
    <row r="17089" spans="1:4" x14ac:dyDescent="0.2">
      <c r="A17089" t="str">
        <f>"17088"</f>
        <v>17088</v>
      </c>
      <c r="B17089" t="str">
        <f>"-1.55"</f>
        <v>-1.55</v>
      </c>
      <c r="C17089" t="str">
        <f>"13"</f>
        <v>13</v>
      </c>
      <c r="D17089" t="str">
        <f>"Sex Change"</f>
        <v>Sex Change</v>
      </c>
    </row>
    <row r="17090" spans="1:4" x14ac:dyDescent="0.2">
      <c r="A17090" t="str">
        <f>"17089"</f>
        <v>17089</v>
      </c>
      <c r="B17090" t="str">
        <f>"-0.39"</f>
        <v>-0.39</v>
      </c>
      <c r="C17090" t="str">
        <f>"54"</f>
        <v>54</v>
      </c>
      <c r="D17090" t="str">
        <f>"Yellow Swans &amp; Birchville Cat Motel"</f>
        <v>Yellow Swans &amp; Birchville Cat Motel</v>
      </c>
    </row>
    <row r="17091" spans="1:4" x14ac:dyDescent="0.2">
      <c r="A17091" t="str">
        <f>"17090"</f>
        <v>17090</v>
      </c>
      <c r="B17091" t="str">
        <f>"0.23"</f>
        <v>0.23</v>
      </c>
      <c r="C17091" t="str">
        <f>"19"</f>
        <v>19</v>
      </c>
      <c r="D17091" t="str">
        <f>"The Early Years"</f>
        <v>The Early Years</v>
      </c>
    </row>
    <row r="17092" spans="1:4" x14ac:dyDescent="0.2">
      <c r="A17092" t="str">
        <f>"17091"</f>
        <v>17091</v>
      </c>
      <c r="B17092" t="str">
        <f>"0.36"</f>
        <v>0.36</v>
      </c>
      <c r="C17092" t="str">
        <f>"75"</f>
        <v>75</v>
      </c>
      <c r="D17092" t="str">
        <f>"Greatest Hits"</f>
        <v>Greatest Hits</v>
      </c>
    </row>
    <row r="17093" spans="1:4" x14ac:dyDescent="0.2">
      <c r="A17093" t="str">
        <f>"17092"</f>
        <v>17092</v>
      </c>
      <c r="B17093" t="str">
        <f>"0.82"</f>
        <v>0.82</v>
      </c>
      <c r="C17093" t="str">
        <f>"26"</f>
        <v>26</v>
      </c>
      <c r="D17093" t="str">
        <f>"II"</f>
        <v>II</v>
      </c>
    </row>
    <row r="17094" spans="1:4" x14ac:dyDescent="0.2">
      <c r="A17094" t="str">
        <f>"17093"</f>
        <v>17093</v>
      </c>
      <c r="B17094" t="str">
        <f>"0.42"</f>
        <v>0.42</v>
      </c>
      <c r="C17094" t="str">
        <f>"92"</f>
        <v>92</v>
      </c>
      <c r="D17094" t="str">
        <f>"To Go Home"</f>
        <v>To Go Home</v>
      </c>
    </row>
    <row r="17095" spans="1:4" x14ac:dyDescent="0.2">
      <c r="A17095" t="str">
        <f>"17094"</f>
        <v>17094</v>
      </c>
      <c r="B17095" t="str">
        <f>"-0.06"</f>
        <v>-0.06</v>
      </c>
      <c r="C17095" t="str">
        <f>"73"</f>
        <v>73</v>
      </c>
      <c r="D17095" t="str">
        <f>"Los Valientes del Mundo Nuevo"</f>
        <v>Los Valientes del Mundo Nuevo</v>
      </c>
    </row>
    <row r="17096" spans="1:4" x14ac:dyDescent="0.2">
      <c r="A17096" t="str">
        <f>"17095"</f>
        <v>17095</v>
      </c>
      <c r="B17096" t="str">
        <f>"-0.17"</f>
        <v>-0.17</v>
      </c>
      <c r="C17096" t="str">
        <f>"110"</f>
        <v>110</v>
      </c>
      <c r="D17096" t="str">
        <f>"Jonny Greenwood Is the Controller"</f>
        <v>Jonny Greenwood Is the Controller</v>
      </c>
    </row>
    <row r="17097" spans="1:4" x14ac:dyDescent="0.2">
      <c r="A17097" t="str">
        <f>"17096"</f>
        <v>17096</v>
      </c>
      <c r="B17097" t="str">
        <f>"0.66"</f>
        <v>0.66</v>
      </c>
      <c r="C17097" t="str">
        <f>"30"</f>
        <v>30</v>
      </c>
      <c r="D17097" t="str">
        <f>"Euridice Proudhon"</f>
        <v>Euridice Proudhon</v>
      </c>
    </row>
    <row r="17098" spans="1:4" x14ac:dyDescent="0.2">
      <c r="A17098" t="str">
        <f>"17097"</f>
        <v>17097</v>
      </c>
      <c r="B17098" t="str">
        <f>"0.41"</f>
        <v>0.41</v>
      </c>
      <c r="C17098" t="str">
        <f>"78"</f>
        <v>78</v>
      </c>
      <c r="D17098" t="s">
        <v>556</v>
      </c>
    </row>
    <row r="17099" spans="1:4" x14ac:dyDescent="0.2">
      <c r="A17099" t="str">
        <f>"17098"</f>
        <v>17098</v>
      </c>
      <c r="B17099" t="str">
        <f>"1.3"</f>
        <v>1.3</v>
      </c>
      <c r="C17099" t="str">
        <f>"17"</f>
        <v>17</v>
      </c>
      <c r="D17099" t="str">
        <f>"The Cavalry of Light EP"</f>
        <v>The Cavalry of Light EP</v>
      </c>
    </row>
    <row r="17100" spans="1:4" x14ac:dyDescent="0.2">
      <c r="A17100" t="str">
        <f>"17099"</f>
        <v>17099</v>
      </c>
      <c r="B17100" t="str">
        <f>"0.7"</f>
        <v>0.7</v>
      </c>
      <c r="C17100" t="str">
        <f>"56"</f>
        <v>56</v>
      </c>
      <c r="D17100" t="str">
        <f>"White Flight"</f>
        <v>White Flight</v>
      </c>
    </row>
    <row r="17101" spans="1:4" x14ac:dyDescent="0.2">
      <c r="A17101" t="str">
        <f>"17100"</f>
        <v>17100</v>
      </c>
      <c r="B17101" t="str">
        <f>"-0.79"</f>
        <v>-0.79</v>
      </c>
      <c r="C17101" t="str">
        <f>"49"</f>
        <v>49</v>
      </c>
      <c r="D17101" t="str">
        <f>"In Advance of the Broken Arm"</f>
        <v>In Advance of the Broken Arm</v>
      </c>
    </row>
    <row r="17102" spans="1:4" x14ac:dyDescent="0.2">
      <c r="A17102" t="str">
        <f>"17101"</f>
        <v>17101</v>
      </c>
      <c r="B17102" t="str">
        <f>"0.12"</f>
        <v>0.12</v>
      </c>
      <c r="C17102" t="str">
        <f>"125"</f>
        <v>125</v>
      </c>
      <c r="D17102" t="str">
        <f>"The Confessions Tour"</f>
        <v>The Confessions Tour</v>
      </c>
    </row>
    <row r="17103" spans="1:4" x14ac:dyDescent="0.2">
      <c r="A17103" t="str">
        <f>"17102"</f>
        <v>17102</v>
      </c>
      <c r="B17103" t="str">
        <f>"0.58"</f>
        <v>0.58</v>
      </c>
      <c r="C17103" t="str">
        <f>"24"</f>
        <v>24</v>
      </c>
      <c r="D17103" t="str">
        <f>"Klick Revolution"</f>
        <v>Klick Revolution</v>
      </c>
    </row>
    <row r="17104" spans="1:4" x14ac:dyDescent="0.2">
      <c r="A17104" t="str">
        <f>"17103"</f>
        <v>17103</v>
      </c>
      <c r="B17104" t="str">
        <f>"-0.01"</f>
        <v>-0.01</v>
      </c>
      <c r="C17104" t="str">
        <f>"93"</f>
        <v>93</v>
      </c>
      <c r="D17104" t="str">
        <f>"Play Pause Stop"</f>
        <v>Play Pause Stop</v>
      </c>
    </row>
    <row r="17105" spans="1:4" x14ac:dyDescent="0.2">
      <c r="A17105" t="str">
        <f>"17104"</f>
        <v>17104</v>
      </c>
      <c r="B17105" t="str">
        <f>"0.77"</f>
        <v>0.77</v>
      </c>
      <c r="C17105" t="str">
        <f>"68"</f>
        <v>68</v>
      </c>
      <c r="D17105" t="str">
        <f>"Dip"</f>
        <v>Dip</v>
      </c>
    </row>
    <row r="17106" spans="1:4" x14ac:dyDescent="0.2">
      <c r="A17106" t="str">
        <f>"17105"</f>
        <v>17105</v>
      </c>
      <c r="B17106" t="str">
        <f>"0.37"</f>
        <v>0.37</v>
      </c>
      <c r="C17106" t="str">
        <f>"79"</f>
        <v>79</v>
      </c>
      <c r="D17106" t="str">
        <f>"Can't Go Back"</f>
        <v>Can't Go Back</v>
      </c>
    </row>
    <row r="17107" spans="1:4" x14ac:dyDescent="0.2">
      <c r="A17107" t="str">
        <f>"17106"</f>
        <v>17106</v>
      </c>
      <c r="B17107" t="str">
        <f>"0.68"</f>
        <v>0.68</v>
      </c>
      <c r="C17107" t="str">
        <f>"90"</f>
        <v>90</v>
      </c>
      <c r="D17107" t="str">
        <f>"Copia"</f>
        <v>Copia</v>
      </c>
    </row>
    <row r="17108" spans="1:4" x14ac:dyDescent="0.2">
      <c r="A17108" t="str">
        <f>"17107"</f>
        <v>17107</v>
      </c>
      <c r="B17108" t="str">
        <f>"0.13"</f>
        <v>0.13</v>
      </c>
      <c r="C17108" t="str">
        <f>"85"</f>
        <v>85</v>
      </c>
      <c r="D17108" t="str">
        <f>"Dressed Up for the Letdown"</f>
        <v>Dressed Up for the Letdown</v>
      </c>
    </row>
    <row r="17109" spans="1:4" x14ac:dyDescent="0.2">
      <c r="A17109" t="str">
        <f>"17108"</f>
        <v>17108</v>
      </c>
      <c r="B17109" t="str">
        <f>"0.91"</f>
        <v>0.91</v>
      </c>
      <c r="C17109" t="str">
        <f>"41"</f>
        <v>41</v>
      </c>
      <c r="D17109" t="str">
        <f>"Daze on the Mounts"</f>
        <v>Daze on the Mounts</v>
      </c>
    </row>
    <row r="17110" spans="1:4" x14ac:dyDescent="0.2">
      <c r="A17110" t="str">
        <f>"17109"</f>
        <v>17109</v>
      </c>
      <c r="B17110" t="str">
        <f>"0.48"</f>
        <v>0.48</v>
      </c>
      <c r="C17110" t="str">
        <f>"71"</f>
        <v>71</v>
      </c>
      <c r="D17110" t="str">
        <f>"Like Drawing Blood"</f>
        <v>Like Drawing Blood</v>
      </c>
    </row>
    <row r="17111" spans="1:4" x14ac:dyDescent="0.2">
      <c r="A17111" t="str">
        <f>"17110"</f>
        <v>17110</v>
      </c>
      <c r="B17111" t="str">
        <f>"0.02"</f>
        <v>0.02</v>
      </c>
      <c r="C17111" t="str">
        <f>"47"</f>
        <v>47</v>
      </c>
      <c r="D17111" t="str">
        <f>"Super Roots 6/7/8"</f>
        <v>Super Roots 6/7/8</v>
      </c>
    </row>
    <row r="17112" spans="1:4" x14ac:dyDescent="0.2">
      <c r="A17112" t="str">
        <f>"17111"</f>
        <v>17111</v>
      </c>
      <c r="B17112" t="str">
        <f>"-0.58"</f>
        <v>-0.58</v>
      </c>
      <c r="C17112" t="str">
        <f>"81"</f>
        <v>81</v>
      </c>
      <c r="D17112" t="str">
        <f>"Grindstone"</f>
        <v>Grindstone</v>
      </c>
    </row>
    <row r="17113" spans="1:4" x14ac:dyDescent="0.2">
      <c r="A17113" t="str">
        <f>"17112"</f>
        <v>17112</v>
      </c>
      <c r="B17113" t="str">
        <f>"0.97"</f>
        <v>0.97</v>
      </c>
      <c r="C17113" t="str">
        <f>"67"</f>
        <v>67</v>
      </c>
      <c r="D17113" t="str">
        <f>"Can Cladders"</f>
        <v>Can Cladders</v>
      </c>
    </row>
    <row r="17114" spans="1:4" x14ac:dyDescent="0.2">
      <c r="A17114" t="str">
        <f>"17113"</f>
        <v>17113</v>
      </c>
      <c r="B17114" t="str">
        <f>"0.11"</f>
        <v>0.11</v>
      </c>
      <c r="C17114" t="str">
        <f>"20"</f>
        <v>20</v>
      </c>
      <c r="D17114" t="str">
        <f>"Monsters of Dancehall: The Energy God"</f>
        <v>Monsters of Dancehall: The Energy God</v>
      </c>
    </row>
    <row r="17115" spans="1:4" x14ac:dyDescent="0.2">
      <c r="A17115" t="str">
        <f>"17114"</f>
        <v>17114</v>
      </c>
      <c r="B17115" t="str">
        <f>"-0.04"</f>
        <v>-0.04</v>
      </c>
      <c r="C17115" t="str">
        <f>"23"</f>
        <v>23</v>
      </c>
      <c r="D17115" t="str">
        <f>"Slightly Sorry"</f>
        <v>Slightly Sorry</v>
      </c>
    </row>
    <row r="17116" spans="1:4" x14ac:dyDescent="0.2">
      <c r="A17116" t="str">
        <f>"17115"</f>
        <v>17115</v>
      </c>
      <c r="B17116" t="str">
        <f>"0.41"</f>
        <v>0.41</v>
      </c>
      <c r="C17116" t="str">
        <f>"90"</f>
        <v>90</v>
      </c>
      <c r="D17116" t="str">
        <f>"Charlie Louvin"</f>
        <v>Charlie Louvin</v>
      </c>
    </row>
    <row r="17117" spans="1:4" x14ac:dyDescent="0.2">
      <c r="A17117" t="str">
        <f>"17116"</f>
        <v>17116</v>
      </c>
      <c r="B17117" t="str">
        <f>"1.28"</f>
        <v>1.28</v>
      </c>
      <c r="C17117" t="str">
        <f>"17"</f>
        <v>17</v>
      </c>
      <c r="D17117" t="str">
        <f>"Are the Dark Horse"</f>
        <v>Are the Dark Horse</v>
      </c>
    </row>
    <row r="17118" spans="1:4" x14ac:dyDescent="0.2">
      <c r="A17118" t="str">
        <f>"17117"</f>
        <v>17117</v>
      </c>
      <c r="B17118" t="str">
        <f>"0.11"</f>
        <v>0.11</v>
      </c>
      <c r="C17118" t="str">
        <f>"92"</f>
        <v>92</v>
      </c>
      <c r="D17118" t="str">
        <f>"BBC in Session"</f>
        <v>BBC in Session</v>
      </c>
    </row>
    <row r="17119" spans="1:4" x14ac:dyDescent="0.2">
      <c r="A17119" t="str">
        <f>"17118"</f>
        <v>17118</v>
      </c>
      <c r="B17119" t="str">
        <f>"0.13"</f>
        <v>0.13</v>
      </c>
      <c r="C17119" t="str">
        <f>"29"</f>
        <v>29</v>
      </c>
      <c r="D17119" t="str">
        <f>"Sharp Teeth"</f>
        <v>Sharp Teeth</v>
      </c>
    </row>
    <row r="17120" spans="1:4" x14ac:dyDescent="0.2">
      <c r="A17120" t="str">
        <f>"17119"</f>
        <v>17119</v>
      </c>
      <c r="B17120" t="str">
        <f>"-0.37"</f>
        <v>-0.37</v>
      </c>
      <c r="C17120" t="str">
        <f>"13"</f>
        <v>13</v>
      </c>
      <c r="D17120" t="str">
        <f>"Phantom Parade"</f>
        <v>Phantom Parade</v>
      </c>
    </row>
    <row r="17121" spans="1:4" x14ac:dyDescent="0.2">
      <c r="A17121" t="str">
        <f>"17120"</f>
        <v>17120</v>
      </c>
      <c r="B17121" t="str">
        <f>"-0.53"</f>
        <v>-0.53</v>
      </c>
      <c r="C17121" t="str">
        <f>"42"</f>
        <v>42</v>
      </c>
      <c r="D17121" t="str">
        <f>"West"</f>
        <v>West</v>
      </c>
    </row>
    <row r="17122" spans="1:4" x14ac:dyDescent="0.2">
      <c r="A17122" t="str">
        <f>"17121"</f>
        <v>17121</v>
      </c>
      <c r="B17122" t="str">
        <f>"0.04"</f>
        <v>0.04</v>
      </c>
      <c r="C17122" t="str">
        <f>"17"</f>
        <v>17</v>
      </c>
      <c r="D17122" t="str">
        <f>"All of a Sudden I Miss Everyone"</f>
        <v>All of a Sudden I Miss Everyone</v>
      </c>
    </row>
    <row r="17123" spans="1:4" x14ac:dyDescent="0.2">
      <c r="A17123" t="str">
        <f>"17122"</f>
        <v>17122</v>
      </c>
      <c r="B17123" t="str">
        <f>"0.58"</f>
        <v>0.58</v>
      </c>
      <c r="C17123" t="str">
        <f>"40"</f>
        <v>40</v>
      </c>
      <c r="D17123" t="str">
        <f>"A Crimson Grail (For 400 Electric Guitars)"</f>
        <v>A Crimson Grail (For 400 Electric Guitars)</v>
      </c>
    </row>
    <row r="17124" spans="1:4" x14ac:dyDescent="0.2">
      <c r="A17124" t="str">
        <f>"17123"</f>
        <v>17123</v>
      </c>
      <c r="B17124" t="str">
        <f>"0.99"</f>
        <v>0.99</v>
      </c>
      <c r="C17124" t="str">
        <f>"60"</f>
        <v>60</v>
      </c>
      <c r="D17124" t="str">
        <f>"Apron Strings"</f>
        <v>Apron Strings</v>
      </c>
    </row>
    <row r="17125" spans="1:4" x14ac:dyDescent="0.2">
      <c r="A17125" t="str">
        <f>"17124"</f>
        <v>17124</v>
      </c>
      <c r="B17125" t="str">
        <f>"0.24"</f>
        <v>0.24</v>
      </c>
      <c r="C17125" t="str">
        <f>"20"</f>
        <v>20</v>
      </c>
      <c r="D17125" t="str">
        <f>"Say No to Being Cool - Say Yes to Being Happy"</f>
        <v>Say No to Being Cool - Say Yes to Being Happy</v>
      </c>
    </row>
    <row r="17126" spans="1:4" x14ac:dyDescent="0.2">
      <c r="A17126" t="str">
        <f>"17125"</f>
        <v>17125</v>
      </c>
      <c r="B17126" t="str">
        <f>"-0.75"</f>
        <v>-0.75</v>
      </c>
      <c r="C17126" t="str">
        <f>"90"</f>
        <v>90</v>
      </c>
      <c r="D17126" t="str">
        <f>"Radio Amor"</f>
        <v>Radio Amor</v>
      </c>
    </row>
    <row r="17127" spans="1:4" x14ac:dyDescent="0.2">
      <c r="A17127" t="str">
        <f>"17126"</f>
        <v>17126</v>
      </c>
      <c r="B17127" t="str">
        <f>"0.46"</f>
        <v>0.46</v>
      </c>
      <c r="C17127" t="str">
        <f>"32"</f>
        <v>32</v>
      </c>
      <c r="D17127" t="str">
        <f>"Ultimate Breaks &amp; Beats: The Complete Collection"</f>
        <v>Ultimate Breaks &amp; Beats: The Complete Collection</v>
      </c>
    </row>
    <row r="17128" spans="1:4" x14ac:dyDescent="0.2">
      <c r="A17128" t="str">
        <f>"17127"</f>
        <v>17127</v>
      </c>
      <c r="B17128" t="str">
        <f>"1.57"</f>
        <v>1.57</v>
      </c>
      <c r="C17128" t="str">
        <f>"66"</f>
        <v>66</v>
      </c>
      <c r="D17128" t="str">
        <f>"The Christ Tree"</f>
        <v>The Christ Tree</v>
      </c>
    </row>
    <row r="17129" spans="1:4" x14ac:dyDescent="0.2">
      <c r="A17129" t="str">
        <f>"17128"</f>
        <v>17128</v>
      </c>
      <c r="B17129" t="str">
        <f>"0.62"</f>
        <v>0.62</v>
      </c>
      <c r="C17129" t="str">
        <f>"45"</f>
        <v>45</v>
      </c>
      <c r="D17129" t="s">
        <v>557</v>
      </c>
    </row>
    <row r="17130" spans="1:4" x14ac:dyDescent="0.2">
      <c r="A17130" t="str">
        <f>"17129"</f>
        <v>17129</v>
      </c>
      <c r="B17130" t="str">
        <f>"-0.69"</f>
        <v>-0.69</v>
      </c>
      <c r="C17130" t="str">
        <f>"17"</f>
        <v>17</v>
      </c>
      <c r="D17130" t="str">
        <f>"Along the Quai"</f>
        <v>Along the Quai</v>
      </c>
    </row>
    <row r="17131" spans="1:4" x14ac:dyDescent="0.2">
      <c r="A17131" t="str">
        <f>"17130"</f>
        <v>17130</v>
      </c>
      <c r="B17131" t="str">
        <f>"0.47"</f>
        <v>0.47</v>
      </c>
      <c r="C17131" t="str">
        <f>"33"</f>
        <v>33</v>
      </c>
      <c r="D17131" t="str">
        <f>"CD86: 48 Tracks from the Birth of Indie Pop"</f>
        <v>CD86: 48 Tracks from the Birth of Indie Pop</v>
      </c>
    </row>
    <row r="17132" spans="1:4" x14ac:dyDescent="0.2">
      <c r="A17132" t="str">
        <f>"17131"</f>
        <v>17131</v>
      </c>
      <c r="B17132" t="str">
        <f>"0.62"</f>
        <v>0.62</v>
      </c>
      <c r="C17132" t="str">
        <f>"86"</f>
        <v>86</v>
      </c>
      <c r="D17132" t="str">
        <f>"Yearbook 1"</f>
        <v>Yearbook 1</v>
      </c>
    </row>
    <row r="17133" spans="1:4" x14ac:dyDescent="0.2">
      <c r="A17133" t="str">
        <f>"17132"</f>
        <v>17132</v>
      </c>
      <c r="B17133" t="str">
        <f>"0.69"</f>
        <v>0.69</v>
      </c>
      <c r="C17133" t="str">
        <f>"21"</f>
        <v>21</v>
      </c>
      <c r="D17133" t="str">
        <f>"Use Your Confusion"</f>
        <v>Use Your Confusion</v>
      </c>
    </row>
    <row r="17134" spans="1:4" x14ac:dyDescent="0.2">
      <c r="A17134" t="str">
        <f>"17133"</f>
        <v>17133</v>
      </c>
      <c r="B17134" t="str">
        <f>"-0.09"</f>
        <v>-0.09</v>
      </c>
      <c r="C17134" t="str">
        <f>"59"</f>
        <v>59</v>
      </c>
      <c r="D17134" t="str">
        <f>"Legendary Demo"</f>
        <v>Legendary Demo</v>
      </c>
    </row>
    <row r="17135" spans="1:4" x14ac:dyDescent="0.2">
      <c r="A17135" t="str">
        <f>"17134"</f>
        <v>17134</v>
      </c>
      <c r="B17135" t="str">
        <f>"0.58"</f>
        <v>0.58</v>
      </c>
      <c r="C17135" t="str">
        <f>"63"</f>
        <v>63</v>
      </c>
      <c r="D17135" t="str">
        <f>"Woke Myself Up"</f>
        <v>Woke Myself Up</v>
      </c>
    </row>
    <row r="17136" spans="1:4" x14ac:dyDescent="0.2">
      <c r="A17136" t="str">
        <f>"17135"</f>
        <v>17135</v>
      </c>
      <c r="B17136" t="str">
        <f>"-0.19"</f>
        <v>-0.19</v>
      </c>
      <c r="C17136" t="str">
        <f>"33"</f>
        <v>33</v>
      </c>
      <c r="D17136" t="str">
        <f>"Full Bloom"</f>
        <v>Full Bloom</v>
      </c>
    </row>
    <row r="17137" spans="1:4" x14ac:dyDescent="0.2">
      <c r="A17137" t="str">
        <f>"17136"</f>
        <v>17136</v>
      </c>
      <c r="B17137" t="str">
        <f>"0.02"</f>
        <v>0.02</v>
      </c>
      <c r="C17137" t="str">
        <f>"25"</f>
        <v>25</v>
      </c>
      <c r="D17137" t="str">
        <f>"London Is the Place for Me: Part Four"</f>
        <v>London Is the Place for Me: Part Four</v>
      </c>
    </row>
    <row r="17138" spans="1:4" x14ac:dyDescent="0.2">
      <c r="A17138" t="str">
        <f>"17137"</f>
        <v>17137</v>
      </c>
      <c r="B17138" t="str">
        <f>"-0.53"</f>
        <v>-0.53</v>
      </c>
      <c r="C17138" t="str">
        <f>"46"</f>
        <v>46</v>
      </c>
      <c r="D17138" t="s">
        <v>558</v>
      </c>
    </row>
    <row r="17139" spans="1:4" x14ac:dyDescent="0.2">
      <c r="A17139" t="str">
        <f>"17138"</f>
        <v>17138</v>
      </c>
      <c r="B17139" t="str">
        <f>"0.08"</f>
        <v>0.08</v>
      </c>
      <c r="C17139" t="str">
        <f>"58"</f>
        <v>58</v>
      </c>
      <c r="D17139" t="str">
        <f>"Casually Smashed to Pieces"</f>
        <v>Casually Smashed to Pieces</v>
      </c>
    </row>
    <row r="17140" spans="1:4" x14ac:dyDescent="0.2">
      <c r="A17140" t="str">
        <f>"17139"</f>
        <v>17139</v>
      </c>
      <c r="B17140" t="str">
        <f>"-0.88"</f>
        <v>-0.88</v>
      </c>
      <c r="C17140" t="str">
        <f>"27"</f>
        <v>27</v>
      </c>
      <c r="D17140" t="str">
        <f>"Learn to Sing Like a Star"</f>
        <v>Learn to Sing Like a Star</v>
      </c>
    </row>
    <row r="17141" spans="1:4" x14ac:dyDescent="0.2">
      <c r="A17141" t="str">
        <f>"17140"</f>
        <v>17140</v>
      </c>
      <c r="B17141" t="str">
        <f>"0.8"</f>
        <v>0.8</v>
      </c>
      <c r="C17141" t="str">
        <f>"93"</f>
        <v>93</v>
      </c>
      <c r="D17141" t="str">
        <f>"Lifetime"</f>
        <v>Lifetime</v>
      </c>
    </row>
    <row r="17142" spans="1:4" x14ac:dyDescent="0.2">
      <c r="A17142" t="str">
        <f>"17141"</f>
        <v>17141</v>
      </c>
      <c r="B17142" t="str">
        <f>"-0.14"</f>
        <v>-0.14</v>
      </c>
      <c r="C17142" t="str">
        <f>"26"</f>
        <v>26</v>
      </c>
      <c r="D17142" t="str">
        <f>"Imagine the Shapes"</f>
        <v>Imagine the Shapes</v>
      </c>
    </row>
    <row r="17143" spans="1:4" x14ac:dyDescent="0.2">
      <c r="A17143" t="str">
        <f>"17142"</f>
        <v>17142</v>
      </c>
      <c r="B17143" t="str">
        <f>"0.1"</f>
        <v>0.1</v>
      </c>
      <c r="C17143" t="str">
        <f>"44"</f>
        <v>44</v>
      </c>
      <c r="D17143" t="str">
        <f>"Sweet Beliefs"</f>
        <v>Sweet Beliefs</v>
      </c>
    </row>
    <row r="17144" spans="1:4" x14ac:dyDescent="0.2">
      <c r="A17144" t="str">
        <f>"17143"</f>
        <v>17143</v>
      </c>
      <c r="B17144" t="str">
        <f>"-0.97"</f>
        <v>-0.97</v>
      </c>
      <c r="C17144" t="str">
        <f>"70"</f>
        <v>70</v>
      </c>
      <c r="D17144" t="str">
        <f>"Arrogance"</f>
        <v>Arrogance</v>
      </c>
    </row>
    <row r="17145" spans="1:4" x14ac:dyDescent="0.2">
      <c r="A17145" t="str">
        <f>"17144"</f>
        <v>17144</v>
      </c>
      <c r="B17145" t="str">
        <f>"-0.7"</f>
        <v>-0.7</v>
      </c>
      <c r="C17145" t="str">
        <f>"64"</f>
        <v>64</v>
      </c>
      <c r="D17145" t="str">
        <f>"The Bird and the Bee"</f>
        <v>The Bird and the Bee</v>
      </c>
    </row>
    <row r="17146" spans="1:4" x14ac:dyDescent="0.2">
      <c r="A17146" t="str">
        <f>"17145"</f>
        <v>17145</v>
      </c>
      <c r="B17146" t="str">
        <f>"-0.21"</f>
        <v>-0.21</v>
      </c>
      <c r="C17146" t="str">
        <f>"16"</f>
        <v>16</v>
      </c>
      <c r="D17146" t="str">
        <f>"Strength in Numbers"</f>
        <v>Strength in Numbers</v>
      </c>
    </row>
    <row r="17147" spans="1:4" x14ac:dyDescent="0.2">
      <c r="A17147" t="str">
        <f>"17146"</f>
        <v>17146</v>
      </c>
      <c r="B17147" t="str">
        <f>"-0.46"</f>
        <v>-0.46</v>
      </c>
      <c r="C17147" t="str">
        <f>"73"</f>
        <v>73</v>
      </c>
      <c r="D17147" t="str">
        <f>"Conqueror"</f>
        <v>Conqueror</v>
      </c>
    </row>
    <row r="17148" spans="1:4" x14ac:dyDescent="0.2">
      <c r="A17148" t="str">
        <f>"17147"</f>
        <v>17147</v>
      </c>
      <c r="B17148" t="str">
        <f>"1.36"</f>
        <v>1.36</v>
      </c>
      <c r="C17148" t="str">
        <f>"43"</f>
        <v>43</v>
      </c>
      <c r="D17148" t="str">
        <f>"The Postmarks"</f>
        <v>The Postmarks</v>
      </c>
    </row>
    <row r="17149" spans="1:4" x14ac:dyDescent="0.2">
      <c r="A17149" t="str">
        <f>"17148"</f>
        <v>17148</v>
      </c>
      <c r="B17149" t="str">
        <f>"0.27"</f>
        <v>0.27</v>
      </c>
      <c r="C17149" t="str">
        <f>"54"</f>
        <v>54</v>
      </c>
      <c r="D17149" t="str">
        <f>"The Definitive Rock Collection"</f>
        <v>The Definitive Rock Collection</v>
      </c>
    </row>
    <row r="17150" spans="1:4" x14ac:dyDescent="0.2">
      <c r="A17150" t="str">
        <f>"17149"</f>
        <v>17149</v>
      </c>
      <c r="B17150" t="str">
        <f>"0.51"</f>
        <v>0.51</v>
      </c>
      <c r="C17150" t="str">
        <f>"58"</f>
        <v>58</v>
      </c>
      <c r="D17150" t="str">
        <f>"8-Bit Operators: The Music of Kraftwerk"</f>
        <v>8-Bit Operators: The Music of Kraftwerk</v>
      </c>
    </row>
    <row r="17151" spans="1:4" x14ac:dyDescent="0.2">
      <c r="A17151" t="str">
        <f>"17150"</f>
        <v>17150</v>
      </c>
      <c r="B17151" t="str">
        <f>"0.48"</f>
        <v>0.48</v>
      </c>
      <c r="C17151" t="str">
        <f>"51"</f>
        <v>51</v>
      </c>
      <c r="D17151" t="str">
        <f>"Direction Reaction Creation"</f>
        <v>Direction Reaction Creation</v>
      </c>
    </row>
    <row r="17152" spans="1:4" x14ac:dyDescent="0.2">
      <c r="A17152" t="str">
        <f>"17151"</f>
        <v>17151</v>
      </c>
      <c r="B17152" t="str">
        <f>"0.71"</f>
        <v>0.71</v>
      </c>
      <c r="C17152" t="str">
        <f>"79"</f>
        <v>79</v>
      </c>
      <c r="D17152" t="str">
        <f>"New Magnetic Wonder"</f>
        <v>New Magnetic Wonder</v>
      </c>
    </row>
    <row r="17153" spans="1:4" x14ac:dyDescent="0.2">
      <c r="A17153" t="str">
        <f>"17152"</f>
        <v>17152</v>
      </c>
      <c r="B17153" t="str">
        <f>"-0.15"</f>
        <v>-0.15</v>
      </c>
      <c r="C17153" t="str">
        <f>"48"</f>
        <v>48</v>
      </c>
      <c r="D17153" t="str">
        <f>"Settle Down City"</f>
        <v>Settle Down City</v>
      </c>
    </row>
    <row r="17154" spans="1:4" x14ac:dyDescent="0.2">
      <c r="A17154" t="str">
        <f>"17153"</f>
        <v>17153</v>
      </c>
      <c r="B17154" t="str">
        <f>"0.24"</f>
        <v>0.24</v>
      </c>
      <c r="C17154" t="str">
        <f>"64"</f>
        <v>64</v>
      </c>
      <c r="D17154" t="str">
        <f>"The Ruby Suns"</f>
        <v>The Ruby Suns</v>
      </c>
    </row>
    <row r="17155" spans="1:4" x14ac:dyDescent="0.2">
      <c r="A17155" t="str">
        <f>"17154"</f>
        <v>17154</v>
      </c>
      <c r="B17155" t="str">
        <f>"0.15"</f>
        <v>0.15</v>
      </c>
      <c r="C17155" t="str">
        <f>"55"</f>
        <v>55</v>
      </c>
      <c r="D17155" t="str">
        <f>"Law"</f>
        <v>Law</v>
      </c>
    </row>
    <row r="17156" spans="1:4" x14ac:dyDescent="0.2">
      <c r="A17156" t="str">
        <f>"17155"</f>
        <v>17155</v>
      </c>
      <c r="B17156" t="str">
        <f>"0.38"</f>
        <v>0.38</v>
      </c>
      <c r="C17156" t="str">
        <f>"20"</f>
        <v>20</v>
      </c>
      <c r="D17156" t="str">
        <f>"Monolith"</f>
        <v>Monolith</v>
      </c>
    </row>
    <row r="17157" spans="1:4" x14ac:dyDescent="0.2">
      <c r="A17157" t="str">
        <f>"17156"</f>
        <v>17156</v>
      </c>
      <c r="B17157" t="str">
        <f>"-0.31"</f>
        <v>-0.31</v>
      </c>
      <c r="C17157" t="str">
        <f>"93"</f>
        <v>93</v>
      </c>
      <c r="D17157" t="str">
        <f>"The Projected Passion Revue"</f>
        <v>The Projected Passion Revue</v>
      </c>
    </row>
    <row r="17158" spans="1:4" x14ac:dyDescent="0.2">
      <c r="A17158" t="str">
        <f>"17157"</f>
        <v>17157</v>
      </c>
      <c r="B17158" t="str">
        <f>"0.38"</f>
        <v>0.38</v>
      </c>
      <c r="C17158" t="str">
        <f>"71"</f>
        <v>71</v>
      </c>
      <c r="D17158" t="str">
        <f>"Phantom Punch"</f>
        <v>Phantom Punch</v>
      </c>
    </row>
    <row r="17159" spans="1:4" x14ac:dyDescent="0.2">
      <c r="A17159" t="str">
        <f>"17158"</f>
        <v>17158</v>
      </c>
      <c r="B17159" t="str">
        <f>"-0.53"</f>
        <v>-0.53</v>
      </c>
      <c r="C17159" t="str">
        <f>"66"</f>
        <v>66</v>
      </c>
      <c r="D17159" t="str">
        <f>"Revolt Music"</f>
        <v>Revolt Music</v>
      </c>
    </row>
    <row r="17160" spans="1:4" x14ac:dyDescent="0.2">
      <c r="A17160" t="str">
        <f>"17159"</f>
        <v>17159</v>
      </c>
      <c r="B17160" t="str">
        <f>"-0.06"</f>
        <v>-0.06</v>
      </c>
      <c r="C17160" t="str">
        <f>"47"</f>
        <v>47</v>
      </c>
      <c r="D17160" t="str">
        <f>"Fur &amp; Gold"</f>
        <v>Fur &amp; Gold</v>
      </c>
    </row>
    <row r="17161" spans="1:4" x14ac:dyDescent="0.2">
      <c r="A17161" t="str">
        <f>"17160"</f>
        <v>17160</v>
      </c>
      <c r="B17161" t="str">
        <f>"0.17"</f>
        <v>0.17</v>
      </c>
      <c r="C17161" t="str">
        <f>"67"</f>
        <v>67</v>
      </c>
      <c r="D17161" t="s">
        <v>559</v>
      </c>
    </row>
    <row r="17162" spans="1:4" x14ac:dyDescent="0.2">
      <c r="A17162" t="str">
        <f>"17161"</f>
        <v>17161</v>
      </c>
      <c r="B17162" t="str">
        <f>"-0.4"</f>
        <v>-0.4</v>
      </c>
      <c r="C17162" t="str">
        <f>"32"</f>
        <v>32</v>
      </c>
      <c r="D17162" t="str">
        <f>"Leaving the Nest"</f>
        <v>Leaving the Nest</v>
      </c>
    </row>
    <row r="17163" spans="1:4" x14ac:dyDescent="0.2">
      <c r="A17163" t="str">
        <f>"17162"</f>
        <v>17162</v>
      </c>
      <c r="B17163" t="str">
        <f>"-1.28"</f>
        <v>-1.28</v>
      </c>
      <c r="C17163" t="str">
        <f>"67"</f>
        <v>67</v>
      </c>
      <c r="D17163" t="str">
        <f>"Retrospektiv"</f>
        <v>Retrospektiv</v>
      </c>
    </row>
    <row r="17164" spans="1:4" x14ac:dyDescent="0.2">
      <c r="A17164" t="str">
        <f>"17163"</f>
        <v>17163</v>
      </c>
      <c r="B17164" t="str">
        <f>"0.35"</f>
        <v>0.35</v>
      </c>
      <c r="C17164" t="str">
        <f>"53"</f>
        <v>53</v>
      </c>
      <c r="D17164" t="str">
        <f>"Music for Total Chickens"</f>
        <v>Music for Total Chickens</v>
      </c>
    </row>
    <row r="17165" spans="1:4" x14ac:dyDescent="0.2">
      <c r="A17165" t="str">
        <f>"17164"</f>
        <v>17164</v>
      </c>
      <c r="B17165" t="str">
        <f>"-0.44"</f>
        <v>-0.44</v>
      </c>
      <c r="C17165" t="str">
        <f>"74"</f>
        <v>74</v>
      </c>
      <c r="D17165" t="str">
        <f>"The Amber Gatherers"</f>
        <v>The Amber Gatherers</v>
      </c>
    </row>
    <row r="17166" spans="1:4" x14ac:dyDescent="0.2">
      <c r="A17166" t="str">
        <f>"17165"</f>
        <v>17165</v>
      </c>
      <c r="B17166" t="str">
        <f>"1.49"</f>
        <v>1.49</v>
      </c>
      <c r="C17166" t="str">
        <f>"105"</f>
        <v>105</v>
      </c>
      <c r="D17166" t="str">
        <f>"Forever Changing: The Golden Age of Elektra Records 1963-1973"</f>
        <v>Forever Changing: The Golden Age of Elektra Records 1963-1973</v>
      </c>
    </row>
    <row r="17167" spans="1:4" x14ac:dyDescent="0.2">
      <c r="A17167" t="str">
        <f>"17166"</f>
        <v>17166</v>
      </c>
      <c r="B17167" t="str">
        <f>"0.29"</f>
        <v>0.29</v>
      </c>
      <c r="C17167" t="str">
        <f>"85"</f>
        <v>85</v>
      </c>
      <c r="D17167" t="s">
        <v>560</v>
      </c>
    </row>
    <row r="17168" spans="1:4" x14ac:dyDescent="0.2">
      <c r="A17168" t="str">
        <f>"17167"</f>
        <v>17167</v>
      </c>
      <c r="B17168" t="str">
        <f>"0.3"</f>
        <v>0.3</v>
      </c>
      <c r="C17168" t="str">
        <f>"52"</f>
        <v>52</v>
      </c>
      <c r="D17168" t="str">
        <f>"Odori"</f>
        <v>Odori</v>
      </c>
    </row>
    <row r="17169" spans="1:4" x14ac:dyDescent="0.2">
      <c r="A17169" t="str">
        <f>"17168"</f>
        <v>17168</v>
      </c>
      <c r="B17169" t="str">
        <f>"-0.83"</f>
        <v>-0.83</v>
      </c>
      <c r="C17169" t="str">
        <f>"60"</f>
        <v>60</v>
      </c>
      <c r="D17169" t="str">
        <f>"Marginalia"</f>
        <v>Marginalia</v>
      </c>
    </row>
    <row r="17170" spans="1:4" x14ac:dyDescent="0.2">
      <c r="A17170" t="str">
        <f>"17169"</f>
        <v>17169</v>
      </c>
      <c r="B17170" t="str">
        <f>"0.37"</f>
        <v>0.37</v>
      </c>
      <c r="C17170" t="str">
        <f>"59"</f>
        <v>59</v>
      </c>
      <c r="D17170" t="str">
        <f>"Some Beans &amp; an Octopus"</f>
        <v>Some Beans &amp; an Octopus</v>
      </c>
    </row>
    <row r="17171" spans="1:4" x14ac:dyDescent="0.2">
      <c r="A17171" t="str">
        <f>"17170"</f>
        <v>17170</v>
      </c>
      <c r="B17171" t="str">
        <f>"0.08"</f>
        <v>0.08</v>
      </c>
      <c r="C17171" t="str">
        <f>"32"</f>
        <v>32</v>
      </c>
      <c r="D17171" t="str">
        <f>"A Weekend in the City"</f>
        <v>A Weekend in the City</v>
      </c>
    </row>
    <row r="17172" spans="1:4" x14ac:dyDescent="0.2">
      <c r="A17172" t="str">
        <f>"17171"</f>
        <v>17171</v>
      </c>
      <c r="B17172" t="str">
        <f>"0.61"</f>
        <v>0.61</v>
      </c>
      <c r="C17172" t="str">
        <f>"18"</f>
        <v>18</v>
      </c>
      <c r="D17172" t="str">
        <f>"National Anthem of Nowhere"</f>
        <v>National Anthem of Nowhere</v>
      </c>
    </row>
    <row r="17173" spans="1:4" x14ac:dyDescent="0.2">
      <c r="A17173" t="str">
        <f>"17172"</f>
        <v>17172</v>
      </c>
      <c r="B17173" t="str">
        <f>"0.1"</f>
        <v>0.1</v>
      </c>
      <c r="C17173" t="str">
        <f>"69"</f>
        <v>69</v>
      </c>
      <c r="D17173" t="str">
        <f>"In Stormy Nights"</f>
        <v>In Stormy Nights</v>
      </c>
    </row>
    <row r="17174" spans="1:4" x14ac:dyDescent="0.2">
      <c r="A17174" t="str">
        <f>"17173"</f>
        <v>17173</v>
      </c>
      <c r="B17174" t="str">
        <f>"0.84"</f>
        <v>0.84</v>
      </c>
      <c r="C17174" t="str">
        <f>"59"</f>
        <v>59</v>
      </c>
      <c r="D17174" t="str">
        <f>"Secrets From the Clockhouse"</f>
        <v>Secrets From the Clockhouse</v>
      </c>
    </row>
    <row r="17175" spans="1:4" x14ac:dyDescent="0.2">
      <c r="A17175" t="str">
        <f>"17174"</f>
        <v>17174</v>
      </c>
      <c r="B17175" t="str">
        <f>"0.25"</f>
        <v>0.25</v>
      </c>
      <c r="C17175" t="str">
        <f>"60"</f>
        <v>60</v>
      </c>
      <c r="D17175" t="str">
        <f>"Volk"</f>
        <v>Volk</v>
      </c>
    </row>
    <row r="17176" spans="1:4" x14ac:dyDescent="0.2">
      <c r="A17176" t="str">
        <f>"17175"</f>
        <v>17175</v>
      </c>
      <c r="B17176" t="str">
        <f>"0.76"</f>
        <v>0.76</v>
      </c>
      <c r="C17176" t="str">
        <f>"18"</f>
        <v>18</v>
      </c>
      <c r="D17176" t="str">
        <f>"Endless Highway: The Music of the Band"</f>
        <v>Endless Highway: The Music of the Band</v>
      </c>
    </row>
    <row r="17177" spans="1:4" x14ac:dyDescent="0.2">
      <c r="A17177" t="str">
        <f>"17176"</f>
        <v>17176</v>
      </c>
      <c r="B17177" t="str">
        <f>"-1.3"</f>
        <v>-1.3</v>
      </c>
      <c r="C17177" t="str">
        <f>"21"</f>
        <v>21</v>
      </c>
      <c r="D17177" t="str">
        <f>"Afro Samurai: The Soundtrack"</f>
        <v>Afro Samurai: The Soundtrack</v>
      </c>
    </row>
    <row r="17178" spans="1:4" x14ac:dyDescent="0.2">
      <c r="A17178" t="str">
        <f>"17177"</f>
        <v>17177</v>
      </c>
      <c r="B17178" t="str">
        <f>"-0.18"</f>
        <v>-0.18</v>
      </c>
      <c r="C17178" t="str">
        <f>"80"</f>
        <v>80</v>
      </c>
      <c r="D17178" t="str">
        <f>"New Young Pony Club EP"</f>
        <v>New Young Pony Club EP</v>
      </c>
    </row>
    <row r="17179" spans="1:4" x14ac:dyDescent="0.2">
      <c r="A17179" t="str">
        <f>"17178"</f>
        <v>17178</v>
      </c>
      <c r="B17179" t="str">
        <f>"-0.69"</f>
        <v>-0.69</v>
      </c>
      <c r="C17179" t="str">
        <f>"34"</f>
        <v>34</v>
      </c>
      <c r="D17179" t="str">
        <f>"Exploding Demon"</f>
        <v>Exploding Demon</v>
      </c>
    </row>
    <row r="17180" spans="1:4" x14ac:dyDescent="0.2">
      <c r="A17180" t="str">
        <f>"17179"</f>
        <v>17179</v>
      </c>
      <c r="B17180" t="str">
        <f>"-0.98"</f>
        <v>-0.98</v>
      </c>
      <c r="C17180" t="str">
        <f>"75"</f>
        <v>75</v>
      </c>
      <c r="D17180" t="str">
        <f>"Offshore"</f>
        <v>Offshore</v>
      </c>
    </row>
    <row r="17181" spans="1:4" x14ac:dyDescent="0.2">
      <c r="A17181" t="str">
        <f>"17180"</f>
        <v>17180</v>
      </c>
      <c r="B17181" t="str">
        <f>"-0.38"</f>
        <v>-0.38</v>
      </c>
      <c r="C17181" t="str">
        <f>"53"</f>
        <v>53</v>
      </c>
      <c r="D17181" t="str">
        <f>"Super Roots 1"</f>
        <v>Super Roots 1</v>
      </c>
    </row>
    <row r="17182" spans="1:4" x14ac:dyDescent="0.2">
      <c r="A17182" t="str">
        <f>"17181"</f>
        <v>17181</v>
      </c>
      <c r="B17182" t="str">
        <f>"-0.8"</f>
        <v>-0.8</v>
      </c>
      <c r="C17182" t="str">
        <f>"89"</f>
        <v>89</v>
      </c>
      <c r="D17182" t="str">
        <f>"RoadKillOvercoat"</f>
        <v>RoadKillOvercoat</v>
      </c>
    </row>
    <row r="17183" spans="1:4" x14ac:dyDescent="0.2">
      <c r="A17183" t="str">
        <f>"17182"</f>
        <v>17182</v>
      </c>
      <c r="B17183" t="str">
        <f>"-0.69"</f>
        <v>-0.69</v>
      </c>
      <c r="C17183" t="str">
        <f>"83"</f>
        <v>83</v>
      </c>
      <c r="D17183" t="s">
        <v>561</v>
      </c>
    </row>
    <row r="17184" spans="1:4" x14ac:dyDescent="0.2">
      <c r="A17184" t="str">
        <f>"17183"</f>
        <v>17183</v>
      </c>
      <c r="B17184" t="str">
        <f>"0.3"</f>
        <v>0.3</v>
      </c>
      <c r="C17184" t="str">
        <f>"79"</f>
        <v>79</v>
      </c>
      <c r="D17184" t="s">
        <v>562</v>
      </c>
    </row>
    <row r="17185" spans="1:4" x14ac:dyDescent="0.2">
      <c r="A17185" t="str">
        <f>"17184"</f>
        <v>17184</v>
      </c>
      <c r="B17185" t="str">
        <f>"-1.36"</f>
        <v>-1.36</v>
      </c>
      <c r="C17185" t="str">
        <f>"80"</f>
        <v>80</v>
      </c>
      <c r="D17185" t="str">
        <f>"We Died They Remixed"</f>
        <v>We Died They Remixed</v>
      </c>
    </row>
    <row r="17186" spans="1:4" x14ac:dyDescent="0.2">
      <c r="A17186" t="str">
        <f>"17185"</f>
        <v>17185</v>
      </c>
      <c r="B17186" t="str">
        <f>"0.5"</f>
        <v>0.5</v>
      </c>
      <c r="C17186" t="str">
        <f>"110"</f>
        <v>110</v>
      </c>
      <c r="D17186" t="str">
        <f>"Lon Gisland EP"</f>
        <v>Lon Gisland EP</v>
      </c>
    </row>
    <row r="17187" spans="1:4" x14ac:dyDescent="0.2">
      <c r="A17187" t="str">
        <f>"17186"</f>
        <v>17186</v>
      </c>
      <c r="B17187" t="str">
        <f>"-0.11"</f>
        <v>-0.11</v>
      </c>
      <c r="C17187" t="str">
        <f>"136"</f>
        <v>136</v>
      </c>
      <c r="D17187" t="str">
        <f>"Vegas: Live"</f>
        <v>Vegas: Live</v>
      </c>
    </row>
    <row r="17188" spans="1:4" x14ac:dyDescent="0.2">
      <c r="A17188" t="str">
        <f>"17187"</f>
        <v>17187</v>
      </c>
      <c r="B17188" t="str">
        <f>"-0.78"</f>
        <v>-0.78</v>
      </c>
      <c r="C17188" t="str">
        <f>"69"</f>
        <v>69</v>
      </c>
      <c r="D17188" t="str">
        <f>"There's No 666 in Outer Space"</f>
        <v>There's No 666 in Outer Space</v>
      </c>
    </row>
    <row r="17189" spans="1:4" x14ac:dyDescent="0.2">
      <c r="A17189" t="str">
        <f>"17188"</f>
        <v>17188</v>
      </c>
      <c r="B17189" t="str">
        <f>"0.32"</f>
        <v>0.32</v>
      </c>
      <c r="C17189" t="str">
        <f>"73"</f>
        <v>73</v>
      </c>
      <c r="D17189" t="str">
        <f>"Ghost Is Not Real"</f>
        <v>Ghost Is Not Real</v>
      </c>
    </row>
    <row r="17190" spans="1:4" x14ac:dyDescent="0.2">
      <c r="A17190" t="str">
        <f>"17189"</f>
        <v>17189</v>
      </c>
      <c r="B17190" t="str">
        <f>"-0.56"</f>
        <v>-0.56</v>
      </c>
      <c r="C17190" t="str">
        <f>"21"</f>
        <v>21</v>
      </c>
      <c r="D17190" t="str">
        <f>"Dance and Walk"</f>
        <v>Dance and Walk</v>
      </c>
    </row>
    <row r="17191" spans="1:4" x14ac:dyDescent="0.2">
      <c r="A17191" t="str">
        <f>"17190"</f>
        <v>17190</v>
      </c>
      <c r="B17191" t="str">
        <f>"-0.12"</f>
        <v>-0.12</v>
      </c>
      <c r="C17191" t="str">
        <f>"127"</f>
        <v>127</v>
      </c>
      <c r="D17191" t="str">
        <f>"Cryptograms"</f>
        <v>Cryptograms</v>
      </c>
    </row>
    <row r="17192" spans="1:4" x14ac:dyDescent="0.2">
      <c r="A17192" t="str">
        <f>"17191"</f>
        <v>17191</v>
      </c>
      <c r="B17192" t="str">
        <f>"-0.25"</f>
        <v>-0.25</v>
      </c>
      <c r="C17192" t="str">
        <f>"75"</f>
        <v>75</v>
      </c>
      <c r="D17192" t="str">
        <f>"Ed Rec Vol. 1"</f>
        <v>Ed Rec Vol. 1</v>
      </c>
    </row>
    <row r="17193" spans="1:4" x14ac:dyDescent="0.2">
      <c r="A17193" t="str">
        <f>"17192"</f>
        <v>17192</v>
      </c>
      <c r="B17193" t="str">
        <f>"-0.65"</f>
        <v>-0.65</v>
      </c>
      <c r="C17193" t="str">
        <f>"28"</f>
        <v>28</v>
      </c>
      <c r="D17193" t="str">
        <f>"The Roots of Dubstep"</f>
        <v>The Roots of Dubstep</v>
      </c>
    </row>
    <row r="17194" spans="1:4" x14ac:dyDescent="0.2">
      <c r="A17194" t="str">
        <f>"17193"</f>
        <v>17193</v>
      </c>
      <c r="B17194" t="str">
        <f>"0.29"</f>
        <v>0.29</v>
      </c>
      <c r="C17194" t="str">
        <f>"62"</f>
        <v>62</v>
      </c>
      <c r="D17194" t="str">
        <f>"Find Shelter"</f>
        <v>Find Shelter</v>
      </c>
    </row>
    <row r="17195" spans="1:4" x14ac:dyDescent="0.2">
      <c r="A17195" t="str">
        <f>"17194"</f>
        <v>17194</v>
      </c>
      <c r="B17195" t="str">
        <f>"0.95"</f>
        <v>0.95</v>
      </c>
      <c r="C17195" t="str">
        <f>"25"</f>
        <v>25</v>
      </c>
      <c r="D17195" t="str">
        <f>"Finally"</f>
        <v>Finally</v>
      </c>
    </row>
    <row r="17196" spans="1:4" x14ac:dyDescent="0.2">
      <c r="A17196" t="str">
        <f>"17195"</f>
        <v>17195</v>
      </c>
      <c r="B17196" t="str">
        <f>"-0.18"</f>
        <v>-0.18</v>
      </c>
      <c r="C17196" t="str">
        <f>"113"</f>
        <v>113</v>
      </c>
      <c r="D17196" t="str">
        <f>"Some Loud Thunder"</f>
        <v>Some Loud Thunder</v>
      </c>
    </row>
    <row r="17197" spans="1:4" x14ac:dyDescent="0.2">
      <c r="A17197" t="str">
        <f>"17196"</f>
        <v>17196</v>
      </c>
      <c r="B17197" t="str">
        <f>"-0.81"</f>
        <v>-0.81</v>
      </c>
      <c r="C17197" t="str">
        <f>"49"</f>
        <v>49</v>
      </c>
      <c r="D17197" t="str">
        <f>"Stones Throw: Ten Years"</f>
        <v>Stones Throw: Ten Years</v>
      </c>
    </row>
    <row r="17198" spans="1:4" x14ac:dyDescent="0.2">
      <c r="A17198" t="str">
        <f>"17197"</f>
        <v>17197</v>
      </c>
      <c r="B17198" t="str">
        <f>"-0.1"</f>
        <v>-0.1</v>
      </c>
      <c r="C17198" t="str">
        <f>"94"</f>
        <v>94</v>
      </c>
      <c r="D17198" t="str">
        <f>"Rise Up"</f>
        <v>Rise Up</v>
      </c>
    </row>
    <row r="17199" spans="1:4" x14ac:dyDescent="0.2">
      <c r="A17199" t="str">
        <f>"17198"</f>
        <v>17198</v>
      </c>
      <c r="B17199" t="str">
        <f>"-0.35"</f>
        <v>-0.35</v>
      </c>
      <c r="C17199" t="str">
        <f>"54"</f>
        <v>54</v>
      </c>
      <c r="D17199" t="str">
        <f>"Is That the Tralala"</f>
        <v>Is That the Tralala</v>
      </c>
    </row>
    <row r="17200" spans="1:4" x14ac:dyDescent="0.2">
      <c r="A17200" t="str">
        <f>"17199"</f>
        <v>17199</v>
      </c>
      <c r="B17200" t="str">
        <f>"-1.22"</f>
        <v>-1.22</v>
      </c>
      <c r="C17200" t="str">
        <f>"54"</f>
        <v>54</v>
      </c>
      <c r="D17200" t="str">
        <f>"Trouble Everywhere"</f>
        <v>Trouble Everywhere</v>
      </c>
    </row>
    <row r="17201" spans="1:4" x14ac:dyDescent="0.2">
      <c r="A17201" t="str">
        <f>"17200"</f>
        <v>17200</v>
      </c>
      <c r="B17201" t="str">
        <f>"0"</f>
        <v>0</v>
      </c>
      <c r="C17201" t="str">
        <f>"41"</f>
        <v>41</v>
      </c>
      <c r="D17201" t="str">
        <f>"Raising Your Voice…Trying to Stop an Echo"</f>
        <v>Raising Your Voice…Trying to Stop an Echo</v>
      </c>
    </row>
    <row r="17202" spans="1:4" x14ac:dyDescent="0.2">
      <c r="A17202" t="str">
        <f>"17201"</f>
        <v>17201</v>
      </c>
      <c r="B17202" t="str">
        <f>"-0.2"</f>
        <v>-0.2</v>
      </c>
      <c r="C17202" t="str">
        <f>"42"</f>
        <v>42</v>
      </c>
      <c r="D17202" t="str">
        <f>"The Peel Sessions"</f>
        <v>The Peel Sessions</v>
      </c>
    </row>
    <row r="17203" spans="1:4" x14ac:dyDescent="0.2">
      <c r="A17203" t="str">
        <f>"17202"</f>
        <v>17202</v>
      </c>
      <c r="B17203" t="str">
        <f>"-0.12"</f>
        <v>-0.12</v>
      </c>
      <c r="C17203" t="str">
        <f>"49"</f>
        <v>49</v>
      </c>
      <c r="D17203" t="str">
        <f>"Fizheuer Zieheuer"</f>
        <v>Fizheuer Zieheuer</v>
      </c>
    </row>
    <row r="17204" spans="1:4" x14ac:dyDescent="0.2">
      <c r="A17204" t="str">
        <f>"17203"</f>
        <v>17203</v>
      </c>
      <c r="B17204" t="str">
        <f>"-0.58"</f>
        <v>-0.58</v>
      </c>
      <c r="C17204" t="str">
        <f>"20"</f>
        <v>20</v>
      </c>
      <c r="D17204" t="str">
        <f>"Noon &amp; Eternity"</f>
        <v>Noon &amp; Eternity</v>
      </c>
    </row>
    <row r="17205" spans="1:4" x14ac:dyDescent="0.2">
      <c r="A17205" t="str">
        <f>"17204"</f>
        <v>17204</v>
      </c>
      <c r="B17205" t="str">
        <f>"0.51"</f>
        <v>0.51</v>
      </c>
      <c r="C17205" t="str">
        <f>"55"</f>
        <v>55</v>
      </c>
      <c r="D17205" t="str">
        <f>"My Heart Has a Wish That You Would Not Go"</f>
        <v>My Heart Has a Wish That You Would Not Go</v>
      </c>
    </row>
    <row r="17206" spans="1:4" x14ac:dyDescent="0.2">
      <c r="A17206" t="str">
        <f>"17205"</f>
        <v>17205</v>
      </c>
      <c r="B17206" t="str">
        <f>"0.94"</f>
        <v>0.94</v>
      </c>
      <c r="C17206" t="str">
        <f>"53"</f>
        <v>53</v>
      </c>
      <c r="D17206" t="str">
        <f>"People EP"</f>
        <v>People EP</v>
      </c>
    </row>
    <row r="17207" spans="1:4" x14ac:dyDescent="0.2">
      <c r="A17207" t="str">
        <f>"17206"</f>
        <v>17206</v>
      </c>
      <c r="B17207" t="str">
        <f>"-1.08"</f>
        <v>-1.08</v>
      </c>
      <c r="C17207" t="str">
        <f>"30"</f>
        <v>30</v>
      </c>
      <c r="D17207" t="str">
        <f>"Unifying Themes Redux"</f>
        <v>Unifying Themes Redux</v>
      </c>
    </row>
    <row r="17208" spans="1:4" x14ac:dyDescent="0.2">
      <c r="A17208" t="str">
        <f>"17207"</f>
        <v>17207</v>
      </c>
      <c r="B17208" t="str">
        <f>"0.79"</f>
        <v>0.79</v>
      </c>
      <c r="C17208" t="str">
        <f>"30"</f>
        <v>30</v>
      </c>
      <c r="D17208" t="str">
        <f>"Living Well"</f>
        <v>Living Well</v>
      </c>
    </row>
    <row r="17209" spans="1:4" x14ac:dyDescent="0.2">
      <c r="A17209" t="str">
        <f>"17208"</f>
        <v>17208</v>
      </c>
      <c r="B17209" t="str">
        <f>"0.02"</f>
        <v>0.02</v>
      </c>
      <c r="C17209" t="str">
        <f>"32"</f>
        <v>32</v>
      </c>
      <c r="D17209" t="str">
        <f>"Atlantis: Hymns for Disco"</f>
        <v>Atlantis: Hymns for Disco</v>
      </c>
    </row>
    <row r="17210" spans="1:4" x14ac:dyDescent="0.2">
      <c r="A17210" t="str">
        <f>"17209"</f>
        <v>17209</v>
      </c>
      <c r="B17210" t="str">
        <f>"0.3"</f>
        <v>0.3</v>
      </c>
      <c r="C17210" t="str">
        <f>"24"</f>
        <v>24</v>
      </c>
      <c r="D17210" t="str">
        <f>"Continental 62"</f>
        <v>Continental 62</v>
      </c>
    </row>
    <row r="17211" spans="1:4" x14ac:dyDescent="0.2">
      <c r="A17211" t="str">
        <f>"17210"</f>
        <v>17210</v>
      </c>
      <c r="B17211" t="str">
        <f>"-0.08"</f>
        <v>-0.08</v>
      </c>
      <c r="C17211" t="str">
        <f>"22"</f>
        <v>22</v>
      </c>
      <c r="D17211" t="s">
        <v>563</v>
      </c>
    </row>
    <row r="17212" spans="1:4" x14ac:dyDescent="0.2">
      <c r="A17212" t="str">
        <f>"17211"</f>
        <v>17211</v>
      </c>
      <c r="B17212" t="str">
        <f>"0.64"</f>
        <v>0.64</v>
      </c>
      <c r="C17212" t="str">
        <f>"35"</f>
        <v>35</v>
      </c>
      <c r="D17212" t="str">
        <f>"A Life Less Lived: The Gothic Box"</f>
        <v>A Life Less Lived: The Gothic Box</v>
      </c>
    </row>
    <row r="17213" spans="1:4" x14ac:dyDescent="0.2">
      <c r="A17213" t="str">
        <f>"17212"</f>
        <v>17212</v>
      </c>
      <c r="B17213" t="str">
        <f>"-0.73"</f>
        <v>-0.73</v>
      </c>
      <c r="C17213" t="str">
        <f>"23"</f>
        <v>23</v>
      </c>
      <c r="D17213" t="str">
        <f>"Coastal"</f>
        <v>Coastal</v>
      </c>
    </row>
    <row r="17214" spans="1:4" x14ac:dyDescent="0.2">
      <c r="A17214" t="str">
        <f>"17213"</f>
        <v>17213</v>
      </c>
      <c r="B17214" t="str">
        <f>"0.15"</f>
        <v>0.15</v>
      </c>
      <c r="C17214" t="str">
        <f>"75"</f>
        <v>75</v>
      </c>
      <c r="D17214" t="str">
        <f>"Diwan 2"</f>
        <v>Diwan 2</v>
      </c>
    </row>
    <row r="17215" spans="1:4" x14ac:dyDescent="0.2">
      <c r="A17215" t="str">
        <f>"17214"</f>
        <v>17214</v>
      </c>
      <c r="B17215" t="str">
        <f>"0.11"</f>
        <v>0.11</v>
      </c>
      <c r="C17215" t="str">
        <f>"34"</f>
        <v>34</v>
      </c>
      <c r="D17215" t="str">
        <f>"Ancestral Songs"</f>
        <v>Ancestral Songs</v>
      </c>
    </row>
    <row r="17216" spans="1:4" x14ac:dyDescent="0.2">
      <c r="A17216" t="str">
        <f>"17215"</f>
        <v>17215</v>
      </c>
      <c r="B17216" t="str">
        <f>"-0.17"</f>
        <v>-0.17</v>
      </c>
      <c r="C17216" t="str">
        <f>"29"</f>
        <v>29</v>
      </c>
      <c r="D17216" t="str">
        <f>"Friend Opportunity"</f>
        <v>Friend Opportunity</v>
      </c>
    </row>
    <row r="17217" spans="1:4" x14ac:dyDescent="0.2">
      <c r="A17217" t="str">
        <f>"17216"</f>
        <v>17216</v>
      </c>
      <c r="B17217" t="str">
        <f>"0.2"</f>
        <v>0.2</v>
      </c>
      <c r="C17217" t="str">
        <f>"63"</f>
        <v>63</v>
      </c>
      <c r="D17217" t="str">
        <f>"Rites of Uncovering"</f>
        <v>Rites of Uncovering</v>
      </c>
    </row>
    <row r="17218" spans="1:4" x14ac:dyDescent="0.2">
      <c r="A17218" t="str">
        <f>"17217"</f>
        <v>17217</v>
      </c>
      <c r="B17218" t="str">
        <f>"0.51"</f>
        <v>0.51</v>
      </c>
      <c r="C17218" t="str">
        <f>"54"</f>
        <v>54</v>
      </c>
      <c r="D17218" t="str">
        <f>"Still Point of Turning"</f>
        <v>Still Point of Turning</v>
      </c>
    </row>
    <row r="17219" spans="1:4" x14ac:dyDescent="0.2">
      <c r="A17219" t="str">
        <f>"17218"</f>
        <v>17218</v>
      </c>
      <c r="B17219" t="str">
        <f>"-0.71"</f>
        <v>-0.71</v>
      </c>
      <c r="C17219" t="str">
        <f>"67"</f>
        <v>67</v>
      </c>
      <c r="D17219" t="str">
        <f>"Taiga"</f>
        <v>Taiga</v>
      </c>
    </row>
    <row r="17220" spans="1:4" x14ac:dyDescent="0.2">
      <c r="A17220" t="str">
        <f>"17219"</f>
        <v>17219</v>
      </c>
      <c r="B17220" t="str">
        <f>"0.42"</f>
        <v>0.42</v>
      </c>
      <c r="C17220" t="str">
        <f>"48"</f>
        <v>48</v>
      </c>
      <c r="D17220" t="str">
        <f>"Song Cyclops Volume Two"</f>
        <v>Song Cyclops Volume Two</v>
      </c>
    </row>
    <row r="17221" spans="1:4" x14ac:dyDescent="0.2">
      <c r="A17221" t="str">
        <f>"17220"</f>
        <v>17220</v>
      </c>
      <c r="B17221" t="str">
        <f>"1.06"</f>
        <v>1.06</v>
      </c>
      <c r="C17221" t="str">
        <f>"36"</f>
        <v>36</v>
      </c>
      <c r="D17221" t="str">
        <f>"Wincing the Night Away"</f>
        <v>Wincing the Night Away</v>
      </c>
    </row>
    <row r="17222" spans="1:4" x14ac:dyDescent="0.2">
      <c r="A17222" t="str">
        <f>"17221"</f>
        <v>17221</v>
      </c>
      <c r="B17222" t="str">
        <f>"-0.62"</f>
        <v>-0.62</v>
      </c>
      <c r="C17222" t="str">
        <f>"63"</f>
        <v>63</v>
      </c>
      <c r="D17222" t="str">
        <f>"Tones of Town"</f>
        <v>Tones of Town</v>
      </c>
    </row>
    <row r="17223" spans="1:4" x14ac:dyDescent="0.2">
      <c r="A17223" t="str">
        <f>"17222"</f>
        <v>17222</v>
      </c>
      <c r="B17223" t="str">
        <f>"0.64"</f>
        <v>0.64</v>
      </c>
      <c r="C17223" t="str">
        <f>"59"</f>
        <v>59</v>
      </c>
      <c r="D17223" t="str">
        <f>"Pop Ambient 2007"</f>
        <v>Pop Ambient 2007</v>
      </c>
    </row>
    <row r="17224" spans="1:4" x14ac:dyDescent="0.2">
      <c r="A17224" t="str">
        <f>"17223"</f>
        <v>17223</v>
      </c>
      <c r="B17224" t="str">
        <f>"0.82"</f>
        <v>0.82</v>
      </c>
      <c r="C17224" t="str">
        <f>"64"</f>
        <v>64</v>
      </c>
      <c r="D17224" t="str">
        <f>"Never Hear the End of It"</f>
        <v>Never Hear the End of It</v>
      </c>
    </row>
    <row r="17225" spans="1:4" x14ac:dyDescent="0.2">
      <c r="A17225" t="str">
        <f>"17224"</f>
        <v>17224</v>
      </c>
      <c r="B17225" t="str">
        <f>"-0.02"</f>
        <v>-0.02</v>
      </c>
      <c r="C17225" t="str">
        <f>"61"</f>
        <v>61</v>
      </c>
      <c r="D17225" t="str">
        <f>"Eingya"</f>
        <v>Eingya</v>
      </c>
    </row>
    <row r="17226" spans="1:4" x14ac:dyDescent="0.2">
      <c r="A17226" t="str">
        <f>"17225"</f>
        <v>17225</v>
      </c>
      <c r="B17226" t="str">
        <f>"-0.31"</f>
        <v>-0.31</v>
      </c>
      <c r="C17226" t="str">
        <f>"35"</f>
        <v>35</v>
      </c>
      <c r="D17226" t="str">
        <f>"Fuzzy Warbles Collector’s Album"</f>
        <v>Fuzzy Warbles Collector’s Album</v>
      </c>
    </row>
    <row r="17227" spans="1:4" x14ac:dyDescent="0.2">
      <c r="A17227" t="str">
        <f>"17226"</f>
        <v>17226</v>
      </c>
      <c r="B17227" t="str">
        <f>"-0.34"</f>
        <v>-0.34</v>
      </c>
      <c r="C17227" t="str">
        <f>"32"</f>
        <v>32</v>
      </c>
      <c r="D17227" t="str">
        <f>"Kerplunk"</f>
        <v>Kerplunk</v>
      </c>
    </row>
    <row r="17228" spans="1:4" x14ac:dyDescent="0.2">
      <c r="A17228" t="str">
        <f>"17227"</f>
        <v>17227</v>
      </c>
      <c r="B17228" t="str">
        <f>"-0.35"</f>
        <v>-0.35</v>
      </c>
      <c r="C17228" t="str">
        <f>"19"</f>
        <v>19</v>
      </c>
      <c r="D17228" t="str">
        <f>"The Return to Form Black Majick Party"</f>
        <v>The Return to Form Black Majick Party</v>
      </c>
    </row>
    <row r="17229" spans="1:4" x14ac:dyDescent="0.2">
      <c r="A17229" t="str">
        <f>"17228"</f>
        <v>17228</v>
      </c>
      <c r="B17229" t="str">
        <f>"-1.06"</f>
        <v>-1.06</v>
      </c>
      <c r="C17229" t="str">
        <f>"24"</f>
        <v>24</v>
      </c>
      <c r="D17229" t="str">
        <f>"We Know About the Need"</f>
        <v>We Know About the Need</v>
      </c>
    </row>
    <row r="17230" spans="1:4" x14ac:dyDescent="0.2">
      <c r="A17230" t="str">
        <f>"17229"</f>
        <v>17229</v>
      </c>
      <c r="B17230" t="str">
        <f>"0.27"</f>
        <v>0.27</v>
      </c>
      <c r="C17230" t="str">
        <f>"23"</f>
        <v>23</v>
      </c>
      <c r="D17230" t="str">
        <f>"...Things From Inside Your Body"</f>
        <v>...Things From Inside Your Body</v>
      </c>
    </row>
    <row r="17231" spans="1:4" x14ac:dyDescent="0.2">
      <c r="A17231" t="str">
        <f>"17230"</f>
        <v>17230</v>
      </c>
      <c r="B17231" t="str">
        <f>"0.86"</f>
        <v>0.86</v>
      </c>
      <c r="C17231" t="str">
        <f>"79"</f>
        <v>79</v>
      </c>
      <c r="D17231" t="str">
        <f>"Friend and Foe"</f>
        <v>Friend and Foe</v>
      </c>
    </row>
    <row r="17232" spans="1:4" x14ac:dyDescent="0.2">
      <c r="A17232" t="str">
        <f>"17231"</f>
        <v>17231</v>
      </c>
      <c r="B17232" t="str">
        <f>"0.1"</f>
        <v>0.1</v>
      </c>
      <c r="C17232" t="str">
        <f>"22"</f>
        <v>22</v>
      </c>
      <c r="D17232" t="str">
        <f>"The Moonstation House Band"</f>
        <v>The Moonstation House Band</v>
      </c>
    </row>
    <row r="17233" spans="1:4" x14ac:dyDescent="0.2">
      <c r="A17233" t="str">
        <f>"17232"</f>
        <v>17232</v>
      </c>
      <c r="B17233" t="str">
        <f>"-0.61"</f>
        <v>-0.61</v>
      </c>
      <c r="C17233" t="str">
        <f>"54"</f>
        <v>54</v>
      </c>
      <c r="D17233" t="str">
        <f>"Universal Indians"</f>
        <v>Universal Indians</v>
      </c>
    </row>
    <row r="17234" spans="1:4" x14ac:dyDescent="0.2">
      <c r="A17234" t="str">
        <f>"17233"</f>
        <v>17233</v>
      </c>
      <c r="B17234" t="str">
        <f>"1.08"</f>
        <v>1.08</v>
      </c>
      <c r="C17234" t="str">
        <f>"23"</f>
        <v>23</v>
      </c>
      <c r="D17234" t="str">
        <f>"We Are All From Somewhere Else"</f>
        <v>We Are All From Somewhere Else</v>
      </c>
    </row>
    <row r="17235" spans="1:4" x14ac:dyDescent="0.2">
      <c r="A17235" t="str">
        <f>"17234"</f>
        <v>17234</v>
      </c>
      <c r="B17235" t="str">
        <f>"-0.21"</f>
        <v>-0.21</v>
      </c>
      <c r="C17235" t="str">
        <f>"52"</f>
        <v>52</v>
      </c>
      <c r="D17235" t="str">
        <f>"There to Here"</f>
        <v>There to Here</v>
      </c>
    </row>
    <row r="17236" spans="1:4" x14ac:dyDescent="0.2">
      <c r="A17236" t="str">
        <f>"17235"</f>
        <v>17235</v>
      </c>
      <c r="B17236" t="str">
        <f>"-0.13"</f>
        <v>-0.13</v>
      </c>
      <c r="C17236" t="str">
        <f>"74"</f>
        <v>74</v>
      </c>
      <c r="D17236" t="str">
        <f>"Rainbow"</f>
        <v>Rainbow</v>
      </c>
    </row>
    <row r="17237" spans="1:4" x14ac:dyDescent="0.2">
      <c r="A17237" t="str">
        <f>"17236"</f>
        <v>17236</v>
      </c>
      <c r="B17237" t="str">
        <f>"0.77"</f>
        <v>0.77</v>
      </c>
      <c r="C17237" t="str">
        <f>"81"</f>
        <v>81</v>
      </c>
      <c r="D17237" t="str">
        <f>"Here &amp; Now"</f>
        <v>Here &amp; Now</v>
      </c>
    </row>
    <row r="17238" spans="1:4" x14ac:dyDescent="0.2">
      <c r="A17238" t="str">
        <f>"17237"</f>
        <v>17237</v>
      </c>
      <c r="B17238" t="str">
        <f>"-0.23"</f>
        <v>-0.23</v>
      </c>
      <c r="C17238" t="str">
        <f>"58"</f>
        <v>58</v>
      </c>
      <c r="D17238" t="str">
        <f>"The Aquarium"</f>
        <v>The Aquarium</v>
      </c>
    </row>
    <row r="17239" spans="1:4" x14ac:dyDescent="0.2">
      <c r="A17239" t="str">
        <f>"17238"</f>
        <v>17238</v>
      </c>
      <c r="B17239" t="str">
        <f>"0.96"</f>
        <v>0.96</v>
      </c>
      <c r="C17239" t="str">
        <f>"27"</f>
        <v>27</v>
      </c>
      <c r="D17239" t="str">
        <f>"Together With Cats"</f>
        <v>Together With Cats</v>
      </c>
    </row>
    <row r="17240" spans="1:4" x14ac:dyDescent="0.2">
      <c r="A17240" t="str">
        <f>"17239"</f>
        <v>17239</v>
      </c>
      <c r="B17240" t="str">
        <f>"-0.16"</f>
        <v>-0.16</v>
      </c>
      <c r="C17240" t="str">
        <f>"16"</f>
        <v>16</v>
      </c>
      <c r="D17240" t="str">
        <f>"Early Violence"</f>
        <v>Early Violence</v>
      </c>
    </row>
    <row r="17241" spans="1:4" x14ac:dyDescent="0.2">
      <c r="A17241" t="str">
        <f>"17240"</f>
        <v>17240</v>
      </c>
      <c r="B17241" t="str">
        <f>"1.17"</f>
        <v>1.17</v>
      </c>
      <c r="C17241" t="str">
        <f>"23"</f>
        <v>23</v>
      </c>
      <c r="D17241" t="str">
        <f>"How Low Can You Go?"</f>
        <v>How Low Can You Go?</v>
      </c>
    </row>
    <row r="17242" spans="1:4" x14ac:dyDescent="0.2">
      <c r="A17242" t="str">
        <f>"17241"</f>
        <v>17241</v>
      </c>
      <c r="B17242" t="str">
        <f>"-0.43"</f>
        <v>-0.43</v>
      </c>
      <c r="C17242" t="str">
        <f>"73"</f>
        <v>73</v>
      </c>
      <c r="D17242" t="str">
        <f>"The Enemy Chorus"</f>
        <v>The Enemy Chorus</v>
      </c>
    </row>
    <row r="17243" spans="1:4" x14ac:dyDescent="0.2">
      <c r="A17243" t="str">
        <f>"17242"</f>
        <v>17242</v>
      </c>
      <c r="B17243" t="str">
        <f>"0.81"</f>
        <v>0.81</v>
      </c>
      <c r="C17243" t="str">
        <f>"78"</f>
        <v>78</v>
      </c>
      <c r="D17243" t="str">
        <f>"Azioni"</f>
        <v>Azioni</v>
      </c>
    </row>
    <row r="17244" spans="1:4" x14ac:dyDescent="0.2">
      <c r="A17244" t="str">
        <f>"17243"</f>
        <v>17243</v>
      </c>
      <c r="B17244" t="str">
        <f>"0.04"</f>
        <v>0.04</v>
      </c>
      <c r="C17244" t="str">
        <f>"60"</f>
        <v>60</v>
      </c>
      <c r="D17244" t="str">
        <f>"Vietnam"</f>
        <v>Vietnam</v>
      </c>
    </row>
    <row r="17245" spans="1:4" x14ac:dyDescent="0.2">
      <c r="A17245" t="str">
        <f>"17244"</f>
        <v>17244</v>
      </c>
      <c r="B17245" t="str">
        <f>"0.72"</f>
        <v>0.72</v>
      </c>
      <c r="C17245" t="str">
        <f>"33"</f>
        <v>33</v>
      </c>
      <c r="D17245" t="str">
        <f>"The Evolution"</f>
        <v>The Evolution</v>
      </c>
    </row>
    <row r="17246" spans="1:4" x14ac:dyDescent="0.2">
      <c r="A17246" t="str">
        <f>"17245"</f>
        <v>17245</v>
      </c>
      <c r="B17246" t="str">
        <f>"-0.54"</f>
        <v>-0.54</v>
      </c>
      <c r="C17246" t="str">
        <f>"105"</f>
        <v>105</v>
      </c>
      <c r="D17246" t="s">
        <v>564</v>
      </c>
    </row>
    <row r="17247" spans="1:4" x14ac:dyDescent="0.2">
      <c r="A17247" t="str">
        <f>"17246"</f>
        <v>17246</v>
      </c>
      <c r="B17247" t="str">
        <f>"0.31"</f>
        <v>0.31</v>
      </c>
      <c r="C17247" t="str">
        <f>"31"</f>
        <v>31</v>
      </c>
      <c r="D17247" t="str">
        <f>"Mass Appeal: The Best of Gang Starr"</f>
        <v>Mass Appeal: The Best of Gang Starr</v>
      </c>
    </row>
    <row r="17248" spans="1:4" x14ac:dyDescent="0.2">
      <c r="A17248" t="str">
        <f>"17247"</f>
        <v>17247</v>
      </c>
      <c r="B17248" t="str">
        <f>"0.4"</f>
        <v>0.4</v>
      </c>
      <c r="C17248" t="str">
        <f>"86"</f>
        <v>86</v>
      </c>
      <c r="D17248" t="str">
        <f>"An Aural Symbiotic Mystery"</f>
        <v>An Aural Symbiotic Mystery</v>
      </c>
    </row>
    <row r="17249" spans="1:4" x14ac:dyDescent="0.2">
      <c r="A17249" t="str">
        <f>"17248"</f>
        <v>17248</v>
      </c>
      <c r="B17249" t="str">
        <f>"-0.65"</f>
        <v>-0.65</v>
      </c>
      <c r="C17249" t="str">
        <f>"27"</f>
        <v>27</v>
      </c>
      <c r="D17249" t="str">
        <f>"Silver &amp; Fire"</f>
        <v>Silver &amp; Fire</v>
      </c>
    </row>
    <row r="17250" spans="1:4" x14ac:dyDescent="0.2">
      <c r="A17250" t="str">
        <f>"17249"</f>
        <v>17249</v>
      </c>
      <c r="B17250" t="str">
        <f>"-0.53"</f>
        <v>-0.53</v>
      </c>
      <c r="C17250" t="str">
        <f>"47"</f>
        <v>47</v>
      </c>
      <c r="D17250" t="str">
        <f>"Harpooner"</f>
        <v>Harpooner</v>
      </c>
    </row>
    <row r="17251" spans="1:4" x14ac:dyDescent="0.2">
      <c r="A17251" t="str">
        <f>"17250"</f>
        <v>17250</v>
      </c>
      <c r="B17251" t="str">
        <f>"0.43"</f>
        <v>0.43</v>
      </c>
      <c r="C17251" t="str">
        <f>"49"</f>
        <v>49</v>
      </c>
      <c r="D17251" t="str">
        <f>"Someone to Drive You Home"</f>
        <v>Someone to Drive You Home</v>
      </c>
    </row>
    <row r="17252" spans="1:4" x14ac:dyDescent="0.2">
      <c r="A17252" t="str">
        <f>"17251"</f>
        <v>17251</v>
      </c>
      <c r="B17252" t="str">
        <f>"-0.08"</f>
        <v>-0.08</v>
      </c>
      <c r="C17252" t="str">
        <f>"73"</f>
        <v>73</v>
      </c>
      <c r="D17252" t="str">
        <f>"Kitsuné Maison 3"</f>
        <v>Kitsuné Maison 3</v>
      </c>
    </row>
    <row r="17253" spans="1:4" x14ac:dyDescent="0.2">
      <c r="A17253" t="str">
        <f>"17252"</f>
        <v>17252</v>
      </c>
      <c r="B17253" t="str">
        <f>"-0.75"</f>
        <v>-0.75</v>
      </c>
      <c r="C17253" t="str">
        <f>"61"</f>
        <v>61</v>
      </c>
      <c r="D17253" t="str">
        <f>"Kamehameha"</f>
        <v>Kamehameha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albumsentiment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2016-05-22T20:02:57Z</dcterms:created>
  <dcterms:modified xsi:type="dcterms:W3CDTF">2016-05-22T20:02:57Z</dcterms:modified>
</cp:coreProperties>
</file>