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DHEERAJ KUMAR\OneDrive\Desktop\pbl\203 FM\"/>
    </mc:Choice>
  </mc:AlternateContent>
  <xr:revisionPtr revIDLastSave="0" documentId="13_ncr:1_{7FD04468-D3CA-45BB-8C89-8C4598CCCE58}" xr6:coauthVersionLast="47" xr6:coauthVersionMax="47" xr10:uidLastSave="{00000000-0000-0000-0000-000000000000}"/>
  <bookViews>
    <workbookView xWindow="-110" yWindow="-110" windowWidth="19420" windowHeight="10300" tabRatio="768" firstSheet="1" activeTab="15" xr2:uid="{00000000-000D-0000-FFFF-FFFF00000000}"/>
  </bookViews>
  <sheets>
    <sheet name="Front Page" sheetId="1" r:id="rId1"/>
    <sheet name="list of annex." sheetId="2" r:id="rId2"/>
    <sheet name="pro. at glance" sheetId="3" r:id="rId3"/>
    <sheet name="d. of proj" sheetId="4" r:id="rId4"/>
    <sheet name="P. BD" sheetId="5" r:id="rId5"/>
    <sheet name="SW" sheetId="7" r:id="rId6"/>
    <sheet name="ins.cap." sheetId="6" r:id="rId7"/>
    <sheet name="pm" sheetId="8" r:id="rId8"/>
    <sheet name="pc&amp;mf" sheetId="9" r:id="rId9"/>
    <sheet name="intt." sheetId="10" r:id="rId10"/>
    <sheet name="Dep" sheetId="11" r:id="rId11"/>
    <sheet name="P&amp;L" sheetId="12" r:id="rId12"/>
    <sheet name="BS" sheetId="13" r:id="rId13"/>
    <sheet name="Capital" sheetId="14" r:id="rId14"/>
    <sheet name="CF" sheetId="15" r:id="rId15"/>
    <sheet name="BEP" sheetId="16" r:id="rId16"/>
  </sheets>
  <definedNames>
    <definedName name="ADD" localSheetId="13">NA()</definedName>
    <definedName name="ADD">NA()</definedName>
    <definedName name="Address" localSheetId="13">NA()</definedName>
    <definedName name="Address">NA()</definedName>
    <definedName name="Interest" localSheetId="13">NA()</definedName>
    <definedName name="Interest">NA()</definedName>
    <definedName name="Manglam" localSheetId="13">NA()</definedName>
    <definedName name="Manglam">NA()</definedName>
    <definedName name="_xlnm.Print_Area" localSheetId="12">BS!$A$1:$J$38</definedName>
    <definedName name="_xlnm.Print_Area" localSheetId="13">Capital!$A$1:$M$65</definedName>
    <definedName name="_xlnm.Print_Area" localSheetId="14">CF!$A$1:$J$34</definedName>
    <definedName name="_xlnm.Print_Area" localSheetId="3">'d. of proj'!$A$1:$E$26</definedName>
    <definedName name="_xlnm.Print_Area" localSheetId="6">ins.cap.!$A$1:$K$39</definedName>
    <definedName name="_xlnm.Print_Area" localSheetId="9">intt.!$A$1:$I$147</definedName>
    <definedName name="_xlnm.Print_Area" localSheetId="11">'P&amp;L'!$A$1:$M$71</definedName>
    <definedName name="_xlnm.Print_Area" localSheetId="4">'P. BD'!$A$1:$L$28</definedName>
    <definedName name="_xlnm.Print_Area" localSheetId="8">'pc&amp;mf'!$A$1:$I$41</definedName>
    <definedName name="_xlnm.Print_Area" localSheetId="7">pm!$A$1:$F$134</definedName>
    <definedName name="_xlnm.Print_Area" localSheetId="5">SW!$A$1:$F$82</definedName>
  </definedNames>
  <calcPr calcId="191029"/>
</workbook>
</file>

<file path=xl/calcChain.xml><?xml version="1.0" encoding="utf-8"?>
<calcChain xmlns="http://schemas.openxmlformats.org/spreadsheetml/2006/main">
  <c r="E59" i="12" l="1"/>
  <c r="E14" i="10"/>
  <c r="E20" i="7" l="1"/>
  <c r="F20" i="7" s="1"/>
  <c r="E21" i="7"/>
  <c r="F21" i="7" s="1"/>
  <c r="E22" i="7"/>
  <c r="F22" i="7" s="1"/>
  <c r="E23" i="7"/>
  <c r="F23" i="7" s="1"/>
  <c r="E24" i="7"/>
  <c r="F24" i="7" s="1"/>
  <c r="E25" i="7"/>
  <c r="F25" i="7" s="1"/>
  <c r="E26" i="7"/>
  <c r="F26" i="7" s="1"/>
  <c r="E27" i="7"/>
  <c r="F27" i="7" s="1"/>
  <c r="E28" i="7"/>
  <c r="F28" i="7" s="1"/>
  <c r="E29" i="7"/>
  <c r="F29" i="7" s="1"/>
  <c r="E30" i="7"/>
  <c r="F30" i="7" s="1"/>
  <c r="E31" i="7"/>
  <c r="F31" i="7" s="1"/>
  <c r="E32" i="7"/>
  <c r="F32" i="7" s="1"/>
  <c r="E33" i="7"/>
  <c r="F33" i="7" s="1"/>
  <c r="E34" i="7"/>
  <c r="F34" i="7" s="1"/>
  <c r="E35" i="7"/>
  <c r="F35" i="7" s="1"/>
  <c r="E36" i="7"/>
  <c r="F36" i="7" s="1"/>
  <c r="E37" i="7"/>
  <c r="F37" i="7" s="1"/>
  <c r="E38" i="7"/>
  <c r="F38" i="7" s="1"/>
  <c r="E39" i="7"/>
  <c r="F39" i="7" s="1"/>
  <c r="E40" i="7"/>
  <c r="F40" i="7" s="1"/>
  <c r="E41" i="7"/>
  <c r="F41" i="7" s="1"/>
  <c r="E42" i="7"/>
  <c r="F42" i="7" s="1"/>
  <c r="E43" i="7"/>
  <c r="F43" i="7" s="1"/>
  <c r="E44" i="7"/>
  <c r="F44" i="7" s="1"/>
  <c r="E45" i="7"/>
  <c r="F45" i="7" s="1"/>
  <c r="E46" i="7"/>
  <c r="F46" i="7" s="1"/>
  <c r="E47" i="7"/>
  <c r="F47" i="7" s="1"/>
  <c r="E48" i="7"/>
  <c r="F48" i="7" s="1"/>
  <c r="E49" i="7"/>
  <c r="F49" i="7" s="1"/>
  <c r="E50" i="7"/>
  <c r="F50" i="7" s="1"/>
  <c r="E51" i="7"/>
  <c r="F51" i="7" s="1"/>
  <c r="E52" i="7"/>
  <c r="F52" i="7" s="1"/>
  <c r="E53" i="7"/>
  <c r="F53" i="7" s="1"/>
  <c r="E54" i="7"/>
  <c r="F54" i="7" s="1"/>
  <c r="E55" i="7"/>
  <c r="F55" i="7" s="1"/>
  <c r="E56" i="7"/>
  <c r="F56" i="7" s="1"/>
  <c r="E57" i="7"/>
  <c r="F57" i="7" s="1"/>
  <c r="E58" i="7"/>
  <c r="F58" i="7" s="1"/>
  <c r="E59" i="7"/>
  <c r="F59" i="7" s="1"/>
  <c r="E60" i="7"/>
  <c r="F60" i="7" s="1"/>
  <c r="E61" i="7"/>
  <c r="F61" i="7" s="1"/>
  <c r="E62" i="7"/>
  <c r="F62" i="7" s="1"/>
  <c r="E63" i="7"/>
  <c r="F63" i="7" s="1"/>
  <c r="E64" i="7"/>
  <c r="F64" i="7" s="1"/>
  <c r="E65" i="7"/>
  <c r="F65" i="7" s="1"/>
  <c r="E66" i="7"/>
  <c r="F66" i="7" s="1"/>
  <c r="E67" i="7"/>
  <c r="F67" i="7" s="1"/>
  <c r="E68" i="7"/>
  <c r="F68" i="7" s="1"/>
  <c r="E69" i="7"/>
  <c r="F69" i="7" s="1"/>
  <c r="E70" i="7"/>
  <c r="F70" i="7" s="1"/>
  <c r="E71" i="7"/>
  <c r="F71" i="7" s="1"/>
  <c r="E72" i="7"/>
  <c r="F72" i="7" s="1"/>
  <c r="E73" i="7"/>
  <c r="F73" i="7" s="1"/>
  <c r="E74" i="7"/>
  <c r="F74" i="7" s="1"/>
  <c r="E11" i="7"/>
  <c r="F11" i="7" s="1"/>
  <c r="E12" i="7"/>
  <c r="F12" i="7" s="1"/>
  <c r="E13" i="7"/>
  <c r="F13" i="7" s="1"/>
  <c r="E14" i="7"/>
  <c r="F14" i="7" s="1"/>
  <c r="E15" i="7"/>
  <c r="F15" i="7" s="1"/>
  <c r="E16" i="7"/>
  <c r="F16" i="7" s="1"/>
  <c r="E17" i="7"/>
  <c r="F17" i="7" s="1"/>
  <c r="E18" i="7"/>
  <c r="F18" i="7" s="1"/>
  <c r="E19" i="7"/>
  <c r="F19" i="7" s="1"/>
  <c r="E10" i="7"/>
  <c r="F10" i="7" s="1"/>
  <c r="E9" i="7"/>
  <c r="F9" i="7" s="1"/>
  <c r="D77" i="7"/>
  <c r="O10" i="7" s="1"/>
  <c r="F27" i="12"/>
  <c r="G27" i="12" s="1"/>
  <c r="H27" i="12" s="1"/>
  <c r="I27" i="12" s="1"/>
  <c r="J27" i="12" s="1"/>
  <c r="K27" i="12" s="1"/>
  <c r="L27" i="12" s="1"/>
  <c r="M27" i="12" s="1"/>
  <c r="E23" i="12"/>
  <c r="F23" i="12" s="1"/>
  <c r="G23" i="12" s="1"/>
  <c r="H23" i="12" s="1"/>
  <c r="I23" i="12" s="1"/>
  <c r="J23" i="12" s="1"/>
  <c r="K23" i="12" s="1"/>
  <c r="L23" i="12" s="1"/>
  <c r="M23" i="12" s="1"/>
  <c r="E21" i="12"/>
  <c r="F21" i="12" s="1"/>
  <c r="G21" i="12" s="1"/>
  <c r="H21" i="12" s="1"/>
  <c r="I21" i="12" s="1"/>
  <c r="J21" i="12" s="1"/>
  <c r="K21" i="12" s="1"/>
  <c r="L21" i="12" s="1"/>
  <c r="M21" i="12" s="1"/>
  <c r="E15" i="10"/>
  <c r="O69" i="7" l="1"/>
  <c r="O60" i="7"/>
  <c r="O52" i="7"/>
  <c r="O44" i="7"/>
  <c r="O36" i="7"/>
  <c r="O28" i="7"/>
  <c r="O20" i="7"/>
  <c r="O74" i="7"/>
  <c r="O70" i="7"/>
  <c r="O65" i="7"/>
  <c r="O61" i="7"/>
  <c r="O57" i="7"/>
  <c r="O53" i="7"/>
  <c r="O49" i="7"/>
  <c r="O45" i="7"/>
  <c r="O41" i="7"/>
  <c r="O37" i="7"/>
  <c r="O33" i="7"/>
  <c r="O29" i="7"/>
  <c r="O25" i="7"/>
  <c r="O21" i="7"/>
  <c r="O17" i="7"/>
  <c r="O13" i="7"/>
  <c r="O12" i="7"/>
  <c r="O72" i="7"/>
  <c r="O67" i="7"/>
  <c r="O63" i="7"/>
  <c r="O59" i="7"/>
  <c r="O55" i="7"/>
  <c r="O51" i="7"/>
  <c r="O47" i="7"/>
  <c r="O43" i="7"/>
  <c r="O39" i="7"/>
  <c r="O35" i="7"/>
  <c r="O31" i="7"/>
  <c r="O27" i="7"/>
  <c r="O23" i="7"/>
  <c r="O19" i="7"/>
  <c r="O15" i="7"/>
  <c r="O11" i="7"/>
  <c r="O73" i="7"/>
  <c r="O64" i="7"/>
  <c r="O56" i="7"/>
  <c r="O48" i="7"/>
  <c r="O40" i="7"/>
  <c r="O32" i="7"/>
  <c r="O24" i="7"/>
  <c r="O16" i="7"/>
  <c r="O9" i="7"/>
  <c r="O71" i="7"/>
  <c r="O66" i="7"/>
  <c r="O62" i="7"/>
  <c r="O58" i="7"/>
  <c r="O54" i="7"/>
  <c r="O50" i="7"/>
  <c r="O46" i="7"/>
  <c r="O42" i="7"/>
  <c r="O38" i="7"/>
  <c r="O34" i="7"/>
  <c r="O30" i="7"/>
  <c r="O26" i="7"/>
  <c r="O22" i="7"/>
  <c r="O18" i="7"/>
  <c r="O14" i="7"/>
  <c r="C14" i="10"/>
  <c r="I14" i="10" s="1"/>
  <c r="C15" i="10" s="1"/>
  <c r="M17" i="10" s="1"/>
  <c r="E20" i="9"/>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104" i="8"/>
  <c r="F105" i="8"/>
  <c r="F106" i="8"/>
  <c r="F107" i="8"/>
  <c r="F108" i="8"/>
  <c r="F109" i="8"/>
  <c r="F110" i="8"/>
  <c r="F111" i="8"/>
  <c r="F112" i="8"/>
  <c r="F113" i="8"/>
  <c r="F114" i="8"/>
  <c r="F115" i="8"/>
  <c r="F116" i="8"/>
  <c r="F117" i="8"/>
  <c r="F118" i="8"/>
  <c r="F119" i="8"/>
  <c r="F120" i="8"/>
  <c r="F121" i="8"/>
  <c r="F122" i="8"/>
  <c r="F123" i="8"/>
  <c r="F124" i="8"/>
  <c r="F125" i="8"/>
  <c r="F126" i="8"/>
  <c r="F16" i="8"/>
  <c r="M16" i="8"/>
  <c r="M79" i="8"/>
  <c r="W130" i="8"/>
  <c r="M35" i="8"/>
  <c r="M36" i="8"/>
  <c r="M37" i="8"/>
  <c r="M38" i="8"/>
  <c r="M39" i="8"/>
  <c r="M40" i="8"/>
  <c r="M41" i="8"/>
  <c r="M42" i="8"/>
  <c r="M43" i="8"/>
  <c r="M44" i="8"/>
  <c r="M45" i="8"/>
  <c r="M46" i="8"/>
  <c r="M47" i="8"/>
  <c r="M48" i="8"/>
  <c r="M49" i="8"/>
  <c r="M50" i="8"/>
  <c r="M51" i="8"/>
  <c r="M52" i="8"/>
  <c r="M53" i="8"/>
  <c r="M54" i="8"/>
  <c r="M55" i="8"/>
  <c r="M56" i="8"/>
  <c r="M57" i="8"/>
  <c r="M58" i="8"/>
  <c r="M59" i="8"/>
  <c r="M60" i="8"/>
  <c r="M61" i="8"/>
  <c r="M62" i="8"/>
  <c r="M63" i="8"/>
  <c r="M64" i="8"/>
  <c r="M65" i="8"/>
  <c r="M66" i="8"/>
  <c r="M67" i="8"/>
  <c r="M68" i="8"/>
  <c r="M69" i="8"/>
  <c r="M70" i="8"/>
  <c r="M71" i="8"/>
  <c r="M72" i="8"/>
  <c r="M73" i="8"/>
  <c r="M74" i="8"/>
  <c r="M75" i="8"/>
  <c r="M76" i="8"/>
  <c r="M77" i="8"/>
  <c r="M78" i="8"/>
  <c r="M80" i="8"/>
  <c r="M81" i="8"/>
  <c r="M82" i="8"/>
  <c r="M83" i="8"/>
  <c r="M84" i="8"/>
  <c r="M85" i="8"/>
  <c r="M86" i="8"/>
  <c r="M87" i="8"/>
  <c r="M88" i="8"/>
  <c r="M89" i="8"/>
  <c r="M90" i="8"/>
  <c r="M91" i="8"/>
  <c r="M92" i="8"/>
  <c r="M93" i="8"/>
  <c r="M94" i="8"/>
  <c r="M95" i="8"/>
  <c r="M96" i="8"/>
  <c r="M97" i="8"/>
  <c r="M98" i="8"/>
  <c r="M99" i="8"/>
  <c r="M100" i="8"/>
  <c r="M101" i="8"/>
  <c r="M102" i="8"/>
  <c r="M103" i="8"/>
  <c r="M104" i="8"/>
  <c r="M105" i="8"/>
  <c r="M106" i="8"/>
  <c r="M107" i="8"/>
  <c r="M108" i="8"/>
  <c r="M109" i="8"/>
  <c r="M110" i="8"/>
  <c r="M111" i="8"/>
  <c r="M112" i="8"/>
  <c r="M113" i="8"/>
  <c r="M114" i="8"/>
  <c r="M115" i="8"/>
  <c r="M116" i="8"/>
  <c r="M117" i="8"/>
  <c r="M118" i="8"/>
  <c r="M119" i="8"/>
  <c r="M120" i="8"/>
  <c r="M121" i="8"/>
  <c r="M122" i="8"/>
  <c r="M123" i="8"/>
  <c r="M124" i="8"/>
  <c r="M125" i="8"/>
  <c r="M126" i="8"/>
  <c r="M17" i="8"/>
  <c r="M18" i="8"/>
  <c r="M19" i="8"/>
  <c r="M20" i="8"/>
  <c r="M21" i="8"/>
  <c r="M22" i="8"/>
  <c r="M23" i="8"/>
  <c r="M24" i="8"/>
  <c r="M25" i="8"/>
  <c r="M26" i="8"/>
  <c r="M27" i="8"/>
  <c r="M28" i="8"/>
  <c r="M29" i="8"/>
  <c r="M30" i="8"/>
  <c r="M31" i="8"/>
  <c r="M32" i="8"/>
  <c r="M33" i="8"/>
  <c r="M34" i="8"/>
  <c r="W132" i="8"/>
  <c r="AD134" i="8"/>
  <c r="D19" i="6"/>
  <c r="D22" i="6" s="1"/>
  <c r="D36" i="6" s="1"/>
  <c r="F12" i="12" s="1"/>
  <c r="C26" i="13"/>
  <c r="D26" i="13"/>
  <c r="E26" i="13"/>
  <c r="F26" i="13"/>
  <c r="G26" i="13"/>
  <c r="H26" i="13"/>
  <c r="I26" i="13"/>
  <c r="J26" i="13"/>
  <c r="K26" i="13"/>
  <c r="L26" i="13"/>
  <c r="C29" i="13"/>
  <c r="C25" i="15" s="1"/>
  <c r="D29" i="13"/>
  <c r="E29" i="13"/>
  <c r="F29" i="13"/>
  <c r="G29" i="13"/>
  <c r="G25" i="15" s="1"/>
  <c r="H29" i="13"/>
  <c r="I29" i="13"/>
  <c r="J25" i="15" s="1"/>
  <c r="J29" i="13"/>
  <c r="K29" i="13"/>
  <c r="K25" i="15" s="1"/>
  <c r="L29" i="13"/>
  <c r="D17" i="14"/>
  <c r="E17" i="14"/>
  <c r="F17" i="14"/>
  <c r="G17" i="14"/>
  <c r="H17" i="14"/>
  <c r="I17" i="14"/>
  <c r="J17" i="14"/>
  <c r="K17" i="14"/>
  <c r="L17" i="14"/>
  <c r="M17" i="14"/>
  <c r="D32" i="14"/>
  <c r="E32" i="14"/>
  <c r="F32" i="14"/>
  <c r="G32" i="14"/>
  <c r="H32" i="14"/>
  <c r="I32" i="14"/>
  <c r="J32" i="14"/>
  <c r="K32" i="14"/>
  <c r="L32" i="14"/>
  <c r="M32" i="14"/>
  <c r="D47" i="14"/>
  <c r="E47" i="14"/>
  <c r="F47" i="14"/>
  <c r="G47" i="14"/>
  <c r="H47" i="14"/>
  <c r="I47" i="14"/>
  <c r="J47" i="14"/>
  <c r="K47" i="14"/>
  <c r="L47" i="14"/>
  <c r="M47" i="14"/>
  <c r="D62" i="14"/>
  <c r="E62" i="14"/>
  <c r="F62" i="14"/>
  <c r="G62" i="14"/>
  <c r="H62" i="14"/>
  <c r="I62" i="14"/>
  <c r="J62" i="14"/>
  <c r="K62" i="14"/>
  <c r="L62" i="14"/>
  <c r="M62" i="14"/>
  <c r="E13" i="15"/>
  <c r="F13" i="15"/>
  <c r="G13" i="15"/>
  <c r="C14" i="15"/>
  <c r="C20" i="15"/>
  <c r="C24" i="15"/>
  <c r="D24" i="15"/>
  <c r="E24" i="15"/>
  <c r="F24" i="15"/>
  <c r="G24" i="15"/>
  <c r="H24" i="15"/>
  <c r="I24" i="15"/>
  <c r="J24" i="15"/>
  <c r="K24" i="15"/>
  <c r="L24" i="15"/>
  <c r="C26" i="15"/>
  <c r="D26" i="15"/>
  <c r="B12" i="11"/>
  <c r="B14" i="11"/>
  <c r="C16" i="11"/>
  <c r="D24" i="11"/>
  <c r="D33" i="11"/>
  <c r="D42" i="11"/>
  <c r="D51" i="11"/>
  <c r="D60" i="11"/>
  <c r="D69" i="11"/>
  <c r="D78" i="11"/>
  <c r="D86" i="11"/>
  <c r="D94" i="11"/>
  <c r="B14" i="6"/>
  <c r="B16" i="6" s="1"/>
  <c r="D33" i="12" s="1"/>
  <c r="M16" i="6"/>
  <c r="C14" i="6"/>
  <c r="C16" i="6" s="1"/>
  <c r="E33" i="12" s="1"/>
  <c r="D14" i="6"/>
  <c r="D16" i="6"/>
  <c r="F33" i="12" s="1"/>
  <c r="E14" i="6"/>
  <c r="E16" i="6" s="1"/>
  <c r="G33" i="12" s="1"/>
  <c r="G19" i="16" s="1"/>
  <c r="F14" i="6"/>
  <c r="F16" i="6"/>
  <c r="H33" i="12" s="1"/>
  <c r="G14" i="6"/>
  <c r="G16" i="6" s="1"/>
  <c r="I33" i="12" s="1"/>
  <c r="H14" i="6"/>
  <c r="I14" i="6"/>
  <c r="I16" i="6"/>
  <c r="K33" i="12" s="1"/>
  <c r="J14" i="6"/>
  <c r="J16" i="6"/>
  <c r="L33" i="12" s="1"/>
  <c r="K14" i="6"/>
  <c r="K16" i="6" s="1"/>
  <c r="H16" i="6"/>
  <c r="J33" i="12" s="1"/>
  <c r="C19" i="6"/>
  <c r="B34" i="6"/>
  <c r="C34" i="6"/>
  <c r="D34" i="6"/>
  <c r="E34" i="6"/>
  <c r="F34" i="6"/>
  <c r="G34" i="6"/>
  <c r="H34" i="6"/>
  <c r="I34" i="6"/>
  <c r="J34" i="6"/>
  <c r="K34" i="6"/>
  <c r="A1" i="10"/>
  <c r="A1" i="12" s="1"/>
  <c r="L22" i="10"/>
  <c r="L23" i="10"/>
  <c r="E24" i="10"/>
  <c r="G28" i="10"/>
  <c r="I28" i="10"/>
  <c r="C29" i="10" s="1"/>
  <c r="L28" i="10"/>
  <c r="E41" i="10"/>
  <c r="G44" i="10"/>
  <c r="I44" i="10"/>
  <c r="C45" i="10" s="1"/>
  <c r="G45" i="10" s="1"/>
  <c r="K44" i="10"/>
  <c r="E57" i="10"/>
  <c r="D20" i="15" s="1"/>
  <c r="E72" i="10"/>
  <c r="E20" i="15"/>
  <c r="E87" i="10"/>
  <c r="F20" i="15" s="1"/>
  <c r="E102" i="10"/>
  <c r="G20" i="15" s="1"/>
  <c r="E117" i="10"/>
  <c r="H20" i="15" s="1"/>
  <c r="E132" i="10"/>
  <c r="I20" i="15"/>
  <c r="E147" i="10"/>
  <c r="J20" i="15" s="1"/>
  <c r="E162" i="10"/>
  <c r="K20" i="15" s="1"/>
  <c r="K168" i="10"/>
  <c r="E178" i="10"/>
  <c r="L20" i="15" s="1"/>
  <c r="A2" i="12"/>
  <c r="A2" i="15" s="1"/>
  <c r="A2" i="14"/>
  <c r="E15" i="12"/>
  <c r="E17" i="12"/>
  <c r="F17" i="12" s="1"/>
  <c r="G17" i="12" s="1"/>
  <c r="H17" i="12" s="1"/>
  <c r="I17" i="12" s="1"/>
  <c r="J17" i="12" s="1"/>
  <c r="K17" i="12" s="1"/>
  <c r="L17" i="12" s="1"/>
  <c r="M17" i="12" s="1"/>
  <c r="E20" i="12"/>
  <c r="E22" i="12" s="1"/>
  <c r="E25" i="12" s="1"/>
  <c r="F20" i="12"/>
  <c r="F22" i="12" s="1"/>
  <c r="F25" i="12" s="1"/>
  <c r="G20" i="12"/>
  <c r="G22" i="12" s="1"/>
  <c r="G25" i="12" s="1"/>
  <c r="H20" i="12"/>
  <c r="H22" i="12" s="1"/>
  <c r="H25" i="12" s="1"/>
  <c r="I20" i="12"/>
  <c r="I22" i="12" s="1"/>
  <c r="I25" i="12" s="1"/>
  <c r="J20" i="12"/>
  <c r="J22" i="12" s="1"/>
  <c r="J25" i="12" s="1"/>
  <c r="K20" i="12"/>
  <c r="K22" i="12" s="1"/>
  <c r="K25" i="12" s="1"/>
  <c r="L20" i="12"/>
  <c r="L22" i="12" s="1"/>
  <c r="L25" i="12" s="1"/>
  <c r="M20" i="12"/>
  <c r="M22" i="12" s="1"/>
  <c r="M25" i="12" s="1"/>
  <c r="D22" i="12"/>
  <c r="D25" i="12" s="1"/>
  <c r="G13" i="16" s="1"/>
  <c r="E30" i="12"/>
  <c r="F30" i="12" s="1"/>
  <c r="G30" i="12" s="1"/>
  <c r="F34" i="12"/>
  <c r="G34" i="12"/>
  <c r="H34" i="12" s="1"/>
  <c r="I34" i="12" s="1"/>
  <c r="J34" i="12" s="1"/>
  <c r="K34" i="12" s="1"/>
  <c r="L34" i="12" s="1"/>
  <c r="M34" i="12" s="1"/>
  <c r="F35" i="12"/>
  <c r="G35" i="12"/>
  <c r="H35" i="12" s="1"/>
  <c r="I35" i="12" s="1"/>
  <c r="J35" i="12" s="1"/>
  <c r="K35" i="12" s="1"/>
  <c r="D49" i="12"/>
  <c r="E49" i="12"/>
  <c r="O51" i="12"/>
  <c r="O56" i="12"/>
  <c r="O59" i="12"/>
  <c r="O60" i="12"/>
  <c r="A1" i="9"/>
  <c r="A2" i="9"/>
  <c r="A2" i="10" s="1"/>
  <c r="E17" i="9"/>
  <c r="D12" i="11" s="1"/>
  <c r="F12" i="11" s="1"/>
  <c r="D14" i="11"/>
  <c r="F14" i="11" s="1"/>
  <c r="A2" i="8"/>
  <c r="A2" i="11" s="1"/>
  <c r="A38" i="8"/>
  <c r="A40" i="8" s="1"/>
  <c r="A42" i="8" s="1"/>
  <c r="F77" i="7"/>
  <c r="F81" i="7" s="1"/>
  <c r="B22" i="6"/>
  <c r="B36" i="6" s="1"/>
  <c r="D12" i="12" s="1"/>
  <c r="D18" i="12" s="1"/>
  <c r="D33" i="3" s="1"/>
  <c r="G31" i="16"/>
  <c r="E77" i="7"/>
  <c r="C22" i="6" l="1"/>
  <c r="C36" i="6" s="1"/>
  <c r="E12" i="12" s="1"/>
  <c r="E18" i="12" s="1"/>
  <c r="D35" i="3" s="1"/>
  <c r="G17" i="16"/>
  <c r="G33" i="16" s="1"/>
  <c r="H30" i="12"/>
  <c r="I30" i="12" s="1"/>
  <c r="J30" i="12" s="1"/>
  <c r="K30" i="12" s="1"/>
  <c r="L30" i="12" s="1"/>
  <c r="M30" i="12" s="1"/>
  <c r="P16" i="6"/>
  <c r="M33" i="12"/>
  <c r="E19" i="6"/>
  <c r="F25" i="15"/>
  <c r="O16" i="6"/>
  <c r="E25" i="15"/>
  <c r="A2" i="16"/>
  <c r="A2" i="13"/>
  <c r="D29" i="12"/>
  <c r="E29" i="12" s="1"/>
  <c r="F29" i="12" s="1"/>
  <c r="G29" i="12" s="1"/>
  <c r="N16" i="6"/>
  <c r="G29" i="16"/>
  <c r="D25" i="15"/>
  <c r="D27" i="15" s="1"/>
  <c r="H25" i="15"/>
  <c r="L25" i="15"/>
  <c r="F15" i="12"/>
  <c r="I45" i="10"/>
  <c r="C46" i="10" s="1"/>
  <c r="I29" i="10"/>
  <c r="C30" i="10" s="1"/>
  <c r="G29" i="10"/>
  <c r="A1" i="14"/>
  <c r="A1" i="15"/>
  <c r="A1" i="13"/>
  <c r="A1" i="8"/>
  <c r="A1" i="11"/>
  <c r="A1" i="16"/>
  <c r="I15" i="10"/>
  <c r="C16" i="10" s="1"/>
  <c r="I16" i="10" s="1"/>
  <c r="C17" i="10" s="1"/>
  <c r="I17" i="10" s="1"/>
  <c r="C18" i="10" s="1"/>
  <c r="I18" i="10" s="1"/>
  <c r="C19" i="10" s="1"/>
  <c r="I19" i="10" s="1"/>
  <c r="C20" i="10" s="1"/>
  <c r="I20" i="10" s="1"/>
  <c r="C21" i="10" s="1"/>
  <c r="I21" i="10" s="1"/>
  <c r="C22" i="10" s="1"/>
  <c r="I22" i="10" s="1"/>
  <c r="C23" i="10" s="1"/>
  <c r="I23" i="10" s="1"/>
  <c r="M128" i="8"/>
  <c r="G14" i="11"/>
  <c r="H14" i="11" s="1"/>
  <c r="C22" i="11" s="1"/>
  <c r="F22" i="11" s="1"/>
  <c r="G12" i="11"/>
  <c r="H12" i="11" s="1"/>
  <c r="C20" i="11" s="1"/>
  <c r="F20" i="11" s="1"/>
  <c r="G15" i="16" l="1"/>
  <c r="G27" i="16" s="1"/>
  <c r="H29" i="12"/>
  <c r="I29" i="12" s="1"/>
  <c r="J29" i="12" s="1"/>
  <c r="K29" i="12" s="1"/>
  <c r="L29" i="12" s="1"/>
  <c r="M29" i="12" s="1"/>
  <c r="E22" i="6"/>
  <c r="E36" i="6" s="1"/>
  <c r="G12" i="12" s="1"/>
  <c r="F19" i="6"/>
  <c r="D39" i="12"/>
  <c r="D61" i="12" s="1"/>
  <c r="G15" i="12"/>
  <c r="F18" i="12"/>
  <c r="D37" i="3" s="1"/>
  <c r="I46" i="10"/>
  <c r="C47" i="10" s="1"/>
  <c r="G46" i="10"/>
  <c r="G30" i="10"/>
  <c r="I30" i="10"/>
  <c r="C31" i="10" s="1"/>
  <c r="F128" i="8"/>
  <c r="E14" i="9" s="1"/>
  <c r="G22" i="11"/>
  <c r="H22" i="11" s="1"/>
  <c r="C30" i="11" s="1"/>
  <c r="F30" i="11" s="1"/>
  <c r="G20" i="11"/>
  <c r="H20" i="11" s="1"/>
  <c r="C28" i="11" s="1"/>
  <c r="F28" i="11" s="1"/>
  <c r="F22" i="6" l="1"/>
  <c r="F36" i="6" s="1"/>
  <c r="H12" i="12" s="1"/>
  <c r="G19" i="6"/>
  <c r="D40" i="12"/>
  <c r="N40" i="12" s="1"/>
  <c r="H15" i="12"/>
  <c r="G18" i="12"/>
  <c r="I47" i="10"/>
  <c r="C48" i="10" s="1"/>
  <c r="G47" i="10"/>
  <c r="G31" i="10"/>
  <c r="I31" i="10"/>
  <c r="C32" i="10" s="1"/>
  <c r="E37" i="12"/>
  <c r="F37" i="12" s="1"/>
  <c r="F134" i="8"/>
  <c r="H123" i="8" s="1"/>
  <c r="V123" i="8" s="1"/>
  <c r="W123" i="8" s="1"/>
  <c r="D10" i="11"/>
  <c r="G30" i="11"/>
  <c r="H30" i="11" s="1"/>
  <c r="C39" i="11" s="1"/>
  <c r="F39" i="11" s="1"/>
  <c r="G28" i="11"/>
  <c r="H28" i="11" s="1"/>
  <c r="C37" i="11" s="1"/>
  <c r="F37" i="11" s="1"/>
  <c r="H19" i="6" l="1"/>
  <c r="G22" i="6"/>
  <c r="G36" i="6" s="1"/>
  <c r="I12" i="12" s="1"/>
  <c r="D39" i="3"/>
  <c r="F47" i="16"/>
  <c r="I15" i="12"/>
  <c r="H18" i="12"/>
  <c r="G48" i="10"/>
  <c r="I48" i="10"/>
  <c r="C49" i="10" s="1"/>
  <c r="I32" i="10"/>
  <c r="C33" i="10" s="1"/>
  <c r="G32" i="10"/>
  <c r="H17" i="8"/>
  <c r="V17" i="8" s="1"/>
  <c r="W17" i="8" s="1"/>
  <c r="H28" i="8"/>
  <c r="V28" i="8" s="1"/>
  <c r="W28" i="8" s="1"/>
  <c r="H45" i="8"/>
  <c r="V45" i="8" s="1"/>
  <c r="W45" i="8" s="1"/>
  <c r="H54" i="8"/>
  <c r="V54" i="8" s="1"/>
  <c r="W54" i="8" s="1"/>
  <c r="H100" i="8"/>
  <c r="V100" i="8" s="1"/>
  <c r="W100" i="8" s="1"/>
  <c r="H52" i="8"/>
  <c r="V52" i="8" s="1"/>
  <c r="W52" i="8" s="1"/>
  <c r="H48" i="8"/>
  <c r="V48" i="8" s="1"/>
  <c r="W48" i="8" s="1"/>
  <c r="H53" i="8"/>
  <c r="V53" i="8" s="1"/>
  <c r="W53" i="8" s="1"/>
  <c r="H93" i="8"/>
  <c r="V93" i="8" s="1"/>
  <c r="W93" i="8" s="1"/>
  <c r="H27" i="8"/>
  <c r="V27" i="8" s="1"/>
  <c r="W27" i="8" s="1"/>
  <c r="H78" i="8"/>
  <c r="V78" i="8" s="1"/>
  <c r="W78" i="8" s="1"/>
  <c r="H50" i="8"/>
  <c r="V50" i="8" s="1"/>
  <c r="W50" i="8" s="1"/>
  <c r="H80" i="8"/>
  <c r="V80" i="8" s="1"/>
  <c r="W80" i="8" s="1"/>
  <c r="H89" i="8"/>
  <c r="V89" i="8" s="1"/>
  <c r="W89" i="8" s="1"/>
  <c r="H76" i="8"/>
  <c r="V76" i="8" s="1"/>
  <c r="W76" i="8" s="1"/>
  <c r="H128" i="8"/>
  <c r="V128" i="8" s="1"/>
  <c r="W128" i="8" s="1"/>
  <c r="H47" i="8"/>
  <c r="H75" i="8"/>
  <c r="V75" i="8" s="1"/>
  <c r="W75" i="8" s="1"/>
  <c r="H74" i="8"/>
  <c r="V74" i="8" s="1"/>
  <c r="W74" i="8" s="1"/>
  <c r="H127" i="8"/>
  <c r="V127" i="8" s="1"/>
  <c r="W127" i="8" s="1"/>
  <c r="H120" i="8"/>
  <c r="V120" i="8" s="1"/>
  <c r="W120" i="8" s="1"/>
  <c r="H77" i="8"/>
  <c r="V77" i="8" s="1"/>
  <c r="W77" i="8" s="1"/>
  <c r="H70" i="8"/>
  <c r="V70" i="8" s="1"/>
  <c r="W70" i="8" s="1"/>
  <c r="H90" i="8"/>
  <c r="V90" i="8" s="1"/>
  <c r="W90" i="8" s="1"/>
  <c r="H113" i="8"/>
  <c r="V113" i="8" s="1"/>
  <c r="W113" i="8" s="1"/>
  <c r="H71" i="8"/>
  <c r="V71" i="8" s="1"/>
  <c r="W71" i="8" s="1"/>
  <c r="H38" i="8"/>
  <c r="H122" i="8"/>
  <c r="V122" i="8" s="1"/>
  <c r="W122" i="8" s="1"/>
  <c r="H130" i="8"/>
  <c r="H118" i="8"/>
  <c r="V118" i="8" s="1"/>
  <c r="W118" i="8" s="1"/>
  <c r="H109" i="8"/>
  <c r="V109" i="8" s="1"/>
  <c r="W109" i="8" s="1"/>
  <c r="H23" i="8"/>
  <c r="V23" i="8" s="1"/>
  <c r="W23" i="8" s="1"/>
  <c r="H55" i="8"/>
  <c r="V55" i="8" s="1"/>
  <c r="W55" i="8" s="1"/>
  <c r="H44" i="8"/>
  <c r="V44" i="8" s="1"/>
  <c r="W44" i="8" s="1"/>
  <c r="H82" i="8"/>
  <c r="V82" i="8" s="1"/>
  <c r="W82" i="8" s="1"/>
  <c r="H72" i="8"/>
  <c r="V72" i="8" s="1"/>
  <c r="W72" i="8" s="1"/>
  <c r="H98" i="8"/>
  <c r="V98" i="8" s="1"/>
  <c r="W98" i="8" s="1"/>
  <c r="H61" i="8"/>
  <c r="V61" i="8" s="1"/>
  <c r="W61" i="8" s="1"/>
  <c r="H85" i="8"/>
  <c r="V85" i="8" s="1"/>
  <c r="W85" i="8" s="1"/>
  <c r="H94" i="8"/>
  <c r="V94" i="8" s="1"/>
  <c r="W94" i="8" s="1"/>
  <c r="H29" i="8"/>
  <c r="V29" i="8" s="1"/>
  <c r="W29" i="8" s="1"/>
  <c r="H115" i="8"/>
  <c r="H125" i="8"/>
  <c r="V125" i="8" s="1"/>
  <c r="W125" i="8" s="1"/>
  <c r="H104" i="8"/>
  <c r="V104" i="8" s="1"/>
  <c r="W104" i="8" s="1"/>
  <c r="H96" i="8"/>
  <c r="V96" i="8" s="1"/>
  <c r="W96" i="8" s="1"/>
  <c r="H87" i="8"/>
  <c r="H88" i="8"/>
  <c r="V88" i="8" s="1"/>
  <c r="W88" i="8" s="1"/>
  <c r="H84" i="8"/>
  <c r="V84" i="8" s="1"/>
  <c r="W84" i="8" s="1"/>
  <c r="H107" i="8"/>
  <c r="V107" i="8" s="1"/>
  <c r="W107" i="8" s="1"/>
  <c r="H36" i="8"/>
  <c r="V36" i="8" s="1"/>
  <c r="W36" i="8" s="1"/>
  <c r="H114" i="8"/>
  <c r="V114" i="8" s="1"/>
  <c r="W114" i="8" s="1"/>
  <c r="H81" i="8"/>
  <c r="V81" i="8" s="1"/>
  <c r="W81" i="8" s="1"/>
  <c r="H108" i="8"/>
  <c r="H131" i="8"/>
  <c r="V131" i="8" s="1"/>
  <c r="W131" i="8" s="1"/>
  <c r="H21" i="8"/>
  <c r="H34" i="8"/>
  <c r="V34" i="8" s="1"/>
  <c r="W34" i="8" s="1"/>
  <c r="H66" i="8"/>
  <c r="V66" i="8" s="1"/>
  <c r="W66" i="8" s="1"/>
  <c r="H95" i="8"/>
  <c r="H121" i="8"/>
  <c r="V121" i="8" s="1"/>
  <c r="W121" i="8" s="1"/>
  <c r="H126" i="8"/>
  <c r="V126" i="8" s="1"/>
  <c r="W126" i="8" s="1"/>
  <c r="H79" i="8"/>
  <c r="V79" i="8" s="1"/>
  <c r="W79" i="8" s="1"/>
  <c r="H69" i="8"/>
  <c r="H32" i="8"/>
  <c r="V32" i="8" s="1"/>
  <c r="W32" i="8" s="1"/>
  <c r="H116" i="8"/>
  <c r="V116" i="8" s="1"/>
  <c r="W116" i="8" s="1"/>
  <c r="H64" i="8"/>
  <c r="V64" i="8" s="1"/>
  <c r="W64" i="8" s="1"/>
  <c r="H42" i="8"/>
  <c r="H39" i="8"/>
  <c r="H43" i="8"/>
  <c r="V43" i="8" s="1"/>
  <c r="W43" i="8" s="1"/>
  <c r="H35" i="8"/>
  <c r="V35" i="8" s="1"/>
  <c r="W35" i="8" s="1"/>
  <c r="H103" i="8"/>
  <c r="V103" i="8" s="1"/>
  <c r="W103" i="8" s="1"/>
  <c r="H83" i="8"/>
  <c r="V83" i="8" s="1"/>
  <c r="W83" i="8" s="1"/>
  <c r="H56" i="8"/>
  <c r="V56" i="8" s="1"/>
  <c r="W56" i="8" s="1"/>
  <c r="H68" i="8"/>
  <c r="V68" i="8" s="1"/>
  <c r="W68" i="8" s="1"/>
  <c r="H18" i="8"/>
  <c r="H51" i="8"/>
  <c r="V51" i="8" s="1"/>
  <c r="W51" i="8" s="1"/>
  <c r="H58" i="8"/>
  <c r="V58" i="8" s="1"/>
  <c r="W58" i="8" s="1"/>
  <c r="H62" i="8"/>
  <c r="V62" i="8" s="1"/>
  <c r="W62" i="8" s="1"/>
  <c r="H25" i="8"/>
  <c r="V25" i="8" s="1"/>
  <c r="W25" i="8" s="1"/>
  <c r="H117" i="8"/>
  <c r="H132" i="8"/>
  <c r="H110" i="8"/>
  <c r="V110" i="8" s="1"/>
  <c r="W110" i="8" s="1"/>
  <c r="H112" i="8"/>
  <c r="V112" i="8" s="1"/>
  <c r="W112" i="8" s="1"/>
  <c r="H16" i="8"/>
  <c r="V16" i="8" s="1"/>
  <c r="W16" i="8" s="1"/>
  <c r="H106" i="8"/>
  <c r="V106" i="8" s="1"/>
  <c r="W106" i="8" s="1"/>
  <c r="H49" i="8"/>
  <c r="V49" i="8" s="1"/>
  <c r="W49" i="8" s="1"/>
  <c r="H124" i="8"/>
  <c r="H26" i="8"/>
  <c r="V26" i="8" s="1"/>
  <c r="W26" i="8" s="1"/>
  <c r="H91" i="8"/>
  <c r="V91" i="8" s="1"/>
  <c r="W91" i="8" s="1"/>
  <c r="H102" i="8"/>
  <c r="V102" i="8" s="1"/>
  <c r="W102" i="8" s="1"/>
  <c r="H73" i="8"/>
  <c r="V73" i="8" s="1"/>
  <c r="W73" i="8" s="1"/>
  <c r="H129" i="8"/>
  <c r="V129" i="8" s="1"/>
  <c r="W129" i="8" s="1"/>
  <c r="H133" i="8"/>
  <c r="V133" i="8" s="1"/>
  <c r="W133" i="8" s="1"/>
  <c r="H30" i="8"/>
  <c r="V30" i="8" s="1"/>
  <c r="W30" i="8" s="1"/>
  <c r="H134" i="8"/>
  <c r="I134" i="8" s="1"/>
  <c r="H86" i="8"/>
  <c r="V86" i="8" s="1"/>
  <c r="W86" i="8" s="1"/>
  <c r="H67" i="8"/>
  <c r="H59" i="8"/>
  <c r="H57" i="8"/>
  <c r="V57" i="8" s="1"/>
  <c r="W57" i="8" s="1"/>
  <c r="E39" i="12"/>
  <c r="E61" i="12" s="1"/>
  <c r="H105" i="8"/>
  <c r="H97" i="8"/>
  <c r="V97" i="8" s="1"/>
  <c r="W97" i="8" s="1"/>
  <c r="H46" i="8"/>
  <c r="V46" i="8" s="1"/>
  <c r="W46" i="8" s="1"/>
  <c r="H65" i="8"/>
  <c r="V65" i="8" s="1"/>
  <c r="W65" i="8" s="1"/>
  <c r="H41" i="8"/>
  <c r="V41" i="8" s="1"/>
  <c r="W41" i="8" s="1"/>
  <c r="H99" i="8"/>
  <c r="H19" i="8"/>
  <c r="H101" i="8"/>
  <c r="V101" i="8" s="1"/>
  <c r="W101" i="8" s="1"/>
  <c r="H60" i="8"/>
  <c r="V60" i="8" s="1"/>
  <c r="W60" i="8" s="1"/>
  <c r="H92" i="8"/>
  <c r="V92" i="8" s="1"/>
  <c r="W92" i="8" s="1"/>
  <c r="H24" i="8"/>
  <c r="H40" i="8"/>
  <c r="V40" i="8" s="1"/>
  <c r="W40" i="8" s="1"/>
  <c r="H119" i="8"/>
  <c r="V119" i="8" s="1"/>
  <c r="W119" i="8" s="1"/>
  <c r="H22" i="8"/>
  <c r="V22" i="8" s="1"/>
  <c r="W22" i="8" s="1"/>
  <c r="H111" i="8"/>
  <c r="H63" i="8"/>
  <c r="V63" i="8" s="1"/>
  <c r="W63" i="8" s="1"/>
  <c r="H20" i="8"/>
  <c r="V20" i="8" s="1"/>
  <c r="W20" i="8" s="1"/>
  <c r="H31" i="8"/>
  <c r="V31" i="8" s="1"/>
  <c r="W31" i="8" s="1"/>
  <c r="H37" i="8"/>
  <c r="V37" i="8" s="1"/>
  <c r="W37" i="8" s="1"/>
  <c r="H33" i="8"/>
  <c r="V33" i="8" s="1"/>
  <c r="W33" i="8" s="1"/>
  <c r="I123" i="8"/>
  <c r="F10" i="11"/>
  <c r="D16" i="11"/>
  <c r="C21" i="15" s="1"/>
  <c r="F39" i="12"/>
  <c r="G37" i="12"/>
  <c r="G37" i="11"/>
  <c r="H37" i="11" s="1"/>
  <c r="C46" i="11" s="1"/>
  <c r="F46" i="11" s="1"/>
  <c r="G39" i="11"/>
  <c r="H39" i="11" s="1"/>
  <c r="C48" i="11" s="1"/>
  <c r="F48" i="11" s="1"/>
  <c r="H22" i="6" l="1"/>
  <c r="H36" i="6" s="1"/>
  <c r="J12" i="12" s="1"/>
  <c r="I19" i="6"/>
  <c r="E40" i="12"/>
  <c r="D41" i="3"/>
  <c r="S25" i="12"/>
  <c r="I18" i="12"/>
  <c r="J15" i="12"/>
  <c r="G49" i="10"/>
  <c r="I49" i="10"/>
  <c r="C50" i="10" s="1"/>
  <c r="G33" i="10"/>
  <c r="I33" i="10"/>
  <c r="C34" i="10" s="1"/>
  <c r="I17" i="8"/>
  <c r="N17" i="8" s="1"/>
  <c r="I93" i="8"/>
  <c r="N93" i="8" s="1"/>
  <c r="I78" i="8"/>
  <c r="I52" i="8"/>
  <c r="I54" i="8"/>
  <c r="N54" i="8" s="1"/>
  <c r="I16" i="8"/>
  <c r="N16" i="8" s="1"/>
  <c r="I121" i="8"/>
  <c r="N121" i="8" s="1"/>
  <c r="I51" i="8"/>
  <c r="N51" i="8" s="1"/>
  <c r="I45" i="8"/>
  <c r="N45" i="8" s="1"/>
  <c r="I80" i="8"/>
  <c r="N80" i="8" s="1"/>
  <c r="I100" i="8"/>
  <c r="N100" i="8" s="1"/>
  <c r="AD132" i="8"/>
  <c r="AE132" i="8" s="1"/>
  <c r="I117" i="8"/>
  <c r="N117" i="8" s="1"/>
  <c r="V117" i="8"/>
  <c r="W117" i="8" s="1"/>
  <c r="I48" i="8"/>
  <c r="N48" i="8" s="1"/>
  <c r="I24" i="8"/>
  <c r="N24" i="8" s="1"/>
  <c r="V24" i="8"/>
  <c r="W24" i="8" s="1"/>
  <c r="I87" i="8"/>
  <c r="N87" i="8" s="1"/>
  <c r="V87" i="8"/>
  <c r="W87" i="8" s="1"/>
  <c r="I105" i="8"/>
  <c r="N105" i="8" s="1"/>
  <c r="V105" i="8"/>
  <c r="W105" i="8" s="1"/>
  <c r="I67" i="8"/>
  <c r="N67" i="8" s="1"/>
  <c r="V67" i="8"/>
  <c r="W67" i="8" s="1"/>
  <c r="I124" i="8"/>
  <c r="N124" i="8" s="1"/>
  <c r="V124" i="8"/>
  <c r="W124" i="8" s="1"/>
  <c r="I69" i="8"/>
  <c r="N69" i="8" s="1"/>
  <c r="V69" i="8"/>
  <c r="W69" i="8" s="1"/>
  <c r="I108" i="8"/>
  <c r="N108" i="8" s="1"/>
  <c r="V108" i="8"/>
  <c r="W108" i="8" s="1"/>
  <c r="AD130" i="8"/>
  <c r="AE130" i="8" s="1"/>
  <c r="I28" i="8"/>
  <c r="N28" i="8" s="1"/>
  <c r="I39" i="8"/>
  <c r="N39" i="8" s="1"/>
  <c r="V39" i="8"/>
  <c r="W39" i="8" s="1"/>
  <c r="I38" i="8"/>
  <c r="N38" i="8" s="1"/>
  <c r="V38" i="8"/>
  <c r="W38" i="8" s="1"/>
  <c r="I21" i="8"/>
  <c r="N21" i="8" s="1"/>
  <c r="V21" i="8"/>
  <c r="W21" i="8" s="1"/>
  <c r="I111" i="8"/>
  <c r="N111" i="8" s="1"/>
  <c r="V111" i="8"/>
  <c r="W111" i="8" s="1"/>
  <c r="I19" i="8"/>
  <c r="N19" i="8" s="1"/>
  <c r="V19" i="8"/>
  <c r="W19" i="8" s="1"/>
  <c r="I18" i="8"/>
  <c r="N18" i="8" s="1"/>
  <c r="V18" i="8"/>
  <c r="W18" i="8" s="1"/>
  <c r="I42" i="8"/>
  <c r="V42" i="8"/>
  <c r="W42" i="8" s="1"/>
  <c r="I95" i="8"/>
  <c r="N95" i="8" s="1"/>
  <c r="V95" i="8"/>
  <c r="W95" i="8" s="1"/>
  <c r="I115" i="8"/>
  <c r="N115" i="8" s="1"/>
  <c r="V115" i="8"/>
  <c r="W115" i="8" s="1"/>
  <c r="I89" i="8"/>
  <c r="N89" i="8" s="1"/>
  <c r="I99" i="8"/>
  <c r="N99" i="8" s="1"/>
  <c r="V99" i="8"/>
  <c r="W99" i="8" s="1"/>
  <c r="I59" i="8"/>
  <c r="N59" i="8" s="1"/>
  <c r="V59" i="8"/>
  <c r="W59" i="8" s="1"/>
  <c r="I47" i="8"/>
  <c r="N47" i="8" s="1"/>
  <c r="V47" i="8"/>
  <c r="W47" i="8" s="1"/>
  <c r="I27" i="8"/>
  <c r="N27" i="8" s="1"/>
  <c r="I75" i="8"/>
  <c r="N75" i="8" s="1"/>
  <c r="I36" i="8"/>
  <c r="N36" i="8" s="1"/>
  <c r="I44" i="8"/>
  <c r="N44" i="8" s="1"/>
  <c r="I55" i="8"/>
  <c r="N55" i="8" s="1"/>
  <c r="I53" i="8"/>
  <c r="N53" i="8" s="1"/>
  <c r="I56" i="8"/>
  <c r="N56" i="8" s="1"/>
  <c r="I71" i="8"/>
  <c r="N71" i="8" s="1"/>
  <c r="I112" i="8"/>
  <c r="N112" i="8" s="1"/>
  <c r="I73" i="8"/>
  <c r="N73" i="8" s="1"/>
  <c r="N78" i="8"/>
  <c r="N52" i="8"/>
  <c r="N42" i="8"/>
  <c r="N123" i="8"/>
  <c r="I64" i="8"/>
  <c r="I132" i="8"/>
  <c r="N132" i="8" s="1"/>
  <c r="I110" i="8"/>
  <c r="I102" i="8"/>
  <c r="I84" i="8"/>
  <c r="I107" i="8"/>
  <c r="I23" i="8"/>
  <c r="N134" i="8"/>
  <c r="L134" i="8" s="1"/>
  <c r="I34" i="8"/>
  <c r="I66" i="8"/>
  <c r="I91" i="8"/>
  <c r="I29" i="8"/>
  <c r="I116" i="8"/>
  <c r="I113" i="8"/>
  <c r="I76" i="8"/>
  <c r="I104" i="8"/>
  <c r="I94" i="8"/>
  <c r="I41" i="8"/>
  <c r="I90" i="8"/>
  <c r="I50" i="8"/>
  <c r="I46" i="8"/>
  <c r="I96" i="8"/>
  <c r="I133" i="8"/>
  <c r="I74" i="8"/>
  <c r="I125" i="8"/>
  <c r="I126" i="8"/>
  <c r="I129" i="8"/>
  <c r="I32" i="8"/>
  <c r="I30" i="8"/>
  <c r="I49" i="8"/>
  <c r="I81" i="8"/>
  <c r="I114" i="8"/>
  <c r="I57" i="8"/>
  <c r="I43" i="8"/>
  <c r="I82" i="8"/>
  <c r="I88" i="8"/>
  <c r="I86" i="8"/>
  <c r="I85" i="8"/>
  <c r="I26" i="8"/>
  <c r="I65" i="8"/>
  <c r="I72" i="8"/>
  <c r="I118" i="8"/>
  <c r="I98" i="8"/>
  <c r="I109" i="8"/>
  <c r="I106" i="8"/>
  <c r="I61" i="8"/>
  <c r="I120" i="8"/>
  <c r="I68" i="8"/>
  <c r="I122" i="8"/>
  <c r="I77" i="8"/>
  <c r="I25" i="8"/>
  <c r="I58" i="8"/>
  <c r="I130" i="8"/>
  <c r="M130" i="8" s="1"/>
  <c r="M134" i="8" s="1"/>
  <c r="I103" i="8"/>
  <c r="I62" i="8"/>
  <c r="I83" i="8"/>
  <c r="I97" i="8"/>
  <c r="I127" i="8"/>
  <c r="I131" i="8"/>
  <c r="I79" i="8"/>
  <c r="I70" i="8"/>
  <c r="I35" i="8"/>
  <c r="I128" i="8"/>
  <c r="I22" i="8"/>
  <c r="I119" i="8"/>
  <c r="I37" i="8"/>
  <c r="I31" i="8"/>
  <c r="I92" i="8"/>
  <c r="I20" i="8"/>
  <c r="I60" i="8"/>
  <c r="I33" i="8"/>
  <c r="I63" i="8"/>
  <c r="I40" i="8"/>
  <c r="I101" i="8"/>
  <c r="AD77" i="8"/>
  <c r="AE77" i="8" s="1"/>
  <c r="AD25" i="8"/>
  <c r="AE25" i="8" s="1"/>
  <c r="AD126" i="8"/>
  <c r="AE126" i="8" s="1"/>
  <c r="AD43" i="8"/>
  <c r="AE43" i="8" s="1"/>
  <c r="AD51" i="8"/>
  <c r="AE51" i="8" s="1"/>
  <c r="AD66" i="8"/>
  <c r="AE66" i="8" s="1"/>
  <c r="AD116" i="8"/>
  <c r="AE116" i="8" s="1"/>
  <c r="AD75" i="8"/>
  <c r="AE75" i="8" s="1"/>
  <c r="AD93" i="8"/>
  <c r="AE93" i="8" s="1"/>
  <c r="AD46" i="8"/>
  <c r="AE46" i="8" s="1"/>
  <c r="AD54" i="8"/>
  <c r="AE54" i="8" s="1"/>
  <c r="AD100" i="8"/>
  <c r="AE100" i="8" s="1"/>
  <c r="AD45" i="8"/>
  <c r="AE45" i="8" s="1"/>
  <c r="AD50" i="8"/>
  <c r="AE50" i="8" s="1"/>
  <c r="AD125" i="8"/>
  <c r="AE125" i="8" s="1"/>
  <c r="AD88" i="8"/>
  <c r="AE88" i="8" s="1"/>
  <c r="AD29" i="8"/>
  <c r="AE29" i="8" s="1"/>
  <c r="AD86" i="8"/>
  <c r="AE86" i="8" s="1"/>
  <c r="AD89" i="8"/>
  <c r="AE89" i="8" s="1"/>
  <c r="AD85" i="8"/>
  <c r="AE85" i="8" s="1"/>
  <c r="AD64" i="8"/>
  <c r="AE64" i="8" s="1"/>
  <c r="AD123" i="8"/>
  <c r="AE123" i="8" s="1"/>
  <c r="AD133" i="8"/>
  <c r="AE133" i="8" s="1"/>
  <c r="AD28" i="8"/>
  <c r="AE28" i="8" s="1"/>
  <c r="AD81" i="8"/>
  <c r="AE81" i="8" s="1"/>
  <c r="AD119" i="8"/>
  <c r="AE119" i="8" s="1"/>
  <c r="AD41" i="8"/>
  <c r="AE41" i="8" s="1"/>
  <c r="AD82" i="8"/>
  <c r="AE82" i="8" s="1"/>
  <c r="AD91" i="8"/>
  <c r="AE91" i="8" s="1"/>
  <c r="AD112" i="8"/>
  <c r="AE112" i="8" s="1"/>
  <c r="AD72" i="8"/>
  <c r="AE72" i="8" s="1"/>
  <c r="AD118" i="8"/>
  <c r="AE118" i="8" s="1"/>
  <c r="AD98" i="8"/>
  <c r="AE98" i="8" s="1"/>
  <c r="AD73" i="8"/>
  <c r="AE73" i="8" s="1"/>
  <c r="AD106" i="8"/>
  <c r="AE106" i="8" s="1"/>
  <c r="AD61" i="8"/>
  <c r="AE61" i="8" s="1"/>
  <c r="AD120" i="8"/>
  <c r="AE120" i="8" s="1"/>
  <c r="AD122" i="8"/>
  <c r="AE122" i="8" s="1"/>
  <c r="AD55" i="8"/>
  <c r="AE55" i="8" s="1"/>
  <c r="AD94" i="8"/>
  <c r="AE94" i="8" s="1"/>
  <c r="AD70" i="8"/>
  <c r="AE70" i="8" s="1"/>
  <c r="AD37" i="8"/>
  <c r="AE37" i="8" s="1"/>
  <c r="AD53" i="8"/>
  <c r="AE53" i="8" s="1"/>
  <c r="AD78" i="8"/>
  <c r="AE78" i="8" s="1"/>
  <c r="AD121" i="8"/>
  <c r="AE121" i="8" s="1"/>
  <c r="AD36" i="8"/>
  <c r="AE36" i="8" s="1"/>
  <c r="AD57" i="8"/>
  <c r="AE57" i="8" s="1"/>
  <c r="AD27" i="8"/>
  <c r="AE27" i="8" s="1"/>
  <c r="AD34" i="8"/>
  <c r="AE34" i="8" s="1"/>
  <c r="AD80" i="8"/>
  <c r="AE80" i="8" s="1"/>
  <c r="AD32" i="8"/>
  <c r="AE32" i="8" s="1"/>
  <c r="AD31" i="8"/>
  <c r="AE31" i="8" s="1"/>
  <c r="AD22" i="8"/>
  <c r="AE22" i="8" s="1"/>
  <c r="AD92" i="8"/>
  <c r="AE92" i="8" s="1"/>
  <c r="AD30" i="8"/>
  <c r="AE30" i="8" s="1"/>
  <c r="AD17" i="8"/>
  <c r="AE17" i="8" s="1"/>
  <c r="AD52" i="8"/>
  <c r="AE52" i="8" s="1"/>
  <c r="AD48" i="8"/>
  <c r="AE48" i="8" s="1"/>
  <c r="AD84" i="8"/>
  <c r="AE84" i="8" s="1"/>
  <c r="AD107" i="8"/>
  <c r="AE107" i="8" s="1"/>
  <c r="AD23" i="8"/>
  <c r="AE23" i="8" s="1"/>
  <c r="AD49" i="8"/>
  <c r="AE49" i="8" s="1"/>
  <c r="AD104" i="8"/>
  <c r="AE104" i="8" s="1"/>
  <c r="AD114" i="8"/>
  <c r="AE114" i="8" s="1"/>
  <c r="AD96" i="8"/>
  <c r="AE96" i="8" s="1"/>
  <c r="AD20" i="8"/>
  <c r="AE20" i="8" s="1"/>
  <c r="AD60" i="8"/>
  <c r="AE60" i="8" s="1"/>
  <c r="AD110" i="8"/>
  <c r="AE110" i="8" s="1"/>
  <c r="AD65" i="8"/>
  <c r="AE65" i="8" s="1"/>
  <c r="AD102" i="8"/>
  <c r="AE102" i="8" s="1"/>
  <c r="AD16" i="8"/>
  <c r="AE16" i="8" s="1"/>
  <c r="AD109" i="8"/>
  <c r="AE109" i="8" s="1"/>
  <c r="AD68" i="8"/>
  <c r="AE68" i="8" s="1"/>
  <c r="AD44" i="8"/>
  <c r="AE44" i="8" s="1"/>
  <c r="AD26" i="8"/>
  <c r="AE26" i="8" s="1"/>
  <c r="AD33" i="8"/>
  <c r="AE33" i="8" s="1"/>
  <c r="AD63" i="8"/>
  <c r="AE63" i="8" s="1"/>
  <c r="AD40" i="8"/>
  <c r="AE40" i="8" s="1"/>
  <c r="AD101" i="8"/>
  <c r="AE101" i="8" s="1"/>
  <c r="AD35" i="8"/>
  <c r="AE35" i="8" s="1"/>
  <c r="AD90" i="8"/>
  <c r="AE90" i="8" s="1"/>
  <c r="AD58" i="8"/>
  <c r="AE58" i="8" s="1"/>
  <c r="AD103" i="8"/>
  <c r="AE103" i="8" s="1"/>
  <c r="AD113" i="8"/>
  <c r="AE113" i="8" s="1"/>
  <c r="AD62" i="8"/>
  <c r="AE62" i="8" s="1"/>
  <c r="AD74" i="8"/>
  <c r="AE74" i="8" s="1"/>
  <c r="AD83" i="8"/>
  <c r="AE83" i="8" s="1"/>
  <c r="AD71" i="8"/>
  <c r="AE71" i="8" s="1"/>
  <c r="AD97" i="8"/>
  <c r="AE97" i="8" s="1"/>
  <c r="AD127" i="8"/>
  <c r="AE127" i="8" s="1"/>
  <c r="AD56" i="8"/>
  <c r="AE56" i="8" s="1"/>
  <c r="AD131" i="8"/>
  <c r="AE131" i="8" s="1"/>
  <c r="AD76" i="8"/>
  <c r="AE76" i="8" s="1"/>
  <c r="AD79" i="8"/>
  <c r="AE79" i="8" s="1"/>
  <c r="AD129" i="8"/>
  <c r="AE129" i="8" s="1"/>
  <c r="O40" i="12"/>
  <c r="G21" i="16"/>
  <c r="G23" i="16" s="1"/>
  <c r="F48" i="16" s="1"/>
  <c r="G48" i="16" s="1"/>
  <c r="G41" i="16"/>
  <c r="H37" i="12"/>
  <c r="G39" i="12"/>
  <c r="F16" i="11"/>
  <c r="G10" i="11"/>
  <c r="G16" i="11" s="1"/>
  <c r="F61" i="12"/>
  <c r="F40" i="12"/>
  <c r="G48" i="11"/>
  <c r="H48" i="11" s="1"/>
  <c r="C57" i="11" s="1"/>
  <c r="F57" i="11" s="1"/>
  <c r="G46" i="11"/>
  <c r="H46" i="11" s="1"/>
  <c r="C55" i="11" s="1"/>
  <c r="F55" i="11" s="1"/>
  <c r="J19" i="6" l="1"/>
  <c r="I22" i="6"/>
  <c r="I36" i="6" s="1"/>
  <c r="K12" i="12" s="1"/>
  <c r="K15" i="12"/>
  <c r="J18" i="12"/>
  <c r="D43" i="3"/>
  <c r="T25" i="12"/>
  <c r="I50" i="10"/>
  <c r="C51" i="10" s="1"/>
  <c r="G50" i="10"/>
  <c r="I34" i="10"/>
  <c r="C35" i="10" s="1"/>
  <c r="G34" i="10"/>
  <c r="AD18" i="8"/>
  <c r="AE18" i="8" s="1"/>
  <c r="AD87" i="8"/>
  <c r="AE87" i="8" s="1"/>
  <c r="AD69" i="8"/>
  <c r="AE69" i="8" s="1"/>
  <c r="AD38" i="8"/>
  <c r="AE38" i="8" s="1"/>
  <c r="AD99" i="8"/>
  <c r="AE99" i="8" s="1"/>
  <c r="AD19" i="8"/>
  <c r="AE19" i="8" s="1"/>
  <c r="AD115" i="8"/>
  <c r="AE115" i="8" s="1"/>
  <c r="W134" i="8"/>
  <c r="AD39" i="8"/>
  <c r="AE39" i="8" s="1"/>
  <c r="R139" i="8"/>
  <c r="V139" i="8" s="1"/>
  <c r="AD105" i="8"/>
  <c r="AE105" i="8" s="1"/>
  <c r="AD42" i="8"/>
  <c r="AE42" i="8" s="1"/>
  <c r="AD59" i="8"/>
  <c r="AE59" i="8" s="1"/>
  <c r="AD47" i="8"/>
  <c r="AE47" i="8" s="1"/>
  <c r="AD95" i="8"/>
  <c r="AE95" i="8" s="1"/>
  <c r="AD67" i="8"/>
  <c r="AE67" i="8" s="1"/>
  <c r="AD111" i="8"/>
  <c r="AE111" i="8" s="1"/>
  <c r="N83" i="8"/>
  <c r="N96" i="8"/>
  <c r="N37" i="8"/>
  <c r="N68" i="8"/>
  <c r="N43" i="8"/>
  <c r="N63" i="8"/>
  <c r="N35" i="8"/>
  <c r="N26" i="8"/>
  <c r="N23" i="8"/>
  <c r="AD21" i="8"/>
  <c r="AE21" i="8" s="1"/>
  <c r="N33" i="8"/>
  <c r="N114" i="8"/>
  <c r="N79" i="8"/>
  <c r="N58" i="8"/>
  <c r="N106" i="8"/>
  <c r="N81" i="8"/>
  <c r="N126" i="8"/>
  <c r="N104" i="8"/>
  <c r="N113" i="8"/>
  <c r="N84" i="8"/>
  <c r="N60" i="8"/>
  <c r="N119" i="8"/>
  <c r="N131" i="8"/>
  <c r="L131" i="8" s="1"/>
  <c r="N109" i="8"/>
  <c r="N85" i="8"/>
  <c r="N125" i="8"/>
  <c r="N116" i="8"/>
  <c r="N34" i="8"/>
  <c r="N102" i="8"/>
  <c r="N101" i="8"/>
  <c r="N31" i="8"/>
  <c r="N128" i="8"/>
  <c r="N122" i="8"/>
  <c r="N72" i="8"/>
  <c r="N82" i="8"/>
  <c r="N32" i="8"/>
  <c r="N41" i="8"/>
  <c r="N29" i="8"/>
  <c r="N110" i="8"/>
  <c r="N40" i="8"/>
  <c r="N62" i="8"/>
  <c r="N65" i="8"/>
  <c r="N46" i="8"/>
  <c r="N91" i="8"/>
  <c r="N103" i="8"/>
  <c r="N120" i="8"/>
  <c r="N57" i="8"/>
  <c r="N129" i="8"/>
  <c r="N50" i="8"/>
  <c r="N66" i="8"/>
  <c r="N64" i="8"/>
  <c r="N70" i="8"/>
  <c r="N61" i="8"/>
  <c r="N94" i="8"/>
  <c r="N107" i="8"/>
  <c r="N20" i="8"/>
  <c r="N22" i="8"/>
  <c r="N127" i="8"/>
  <c r="N25" i="8"/>
  <c r="N98" i="8"/>
  <c r="N86" i="8"/>
  <c r="N49" i="8"/>
  <c r="N74" i="8"/>
  <c r="N92" i="8"/>
  <c r="N97" i="8"/>
  <c r="N77" i="8"/>
  <c r="N118" i="8"/>
  <c r="N88" i="8"/>
  <c r="N30" i="8"/>
  <c r="N133" i="8"/>
  <c r="L133" i="8" s="1"/>
  <c r="N90" i="8"/>
  <c r="N76" i="8"/>
  <c r="AD108" i="8"/>
  <c r="AE108" i="8" s="1"/>
  <c r="AD124" i="8"/>
  <c r="AE124" i="8" s="1"/>
  <c r="AD117" i="8"/>
  <c r="AE117" i="8" s="1"/>
  <c r="AD128" i="8"/>
  <c r="AE128" i="8" s="1"/>
  <c r="AD24" i="8"/>
  <c r="AE24" i="8" s="1"/>
  <c r="G39" i="16"/>
  <c r="H10" i="11"/>
  <c r="H16" i="11" s="1"/>
  <c r="C22" i="13"/>
  <c r="H22" i="13"/>
  <c r="I22" i="13" s="1"/>
  <c r="J22" i="13" s="1"/>
  <c r="K22" i="13" s="1"/>
  <c r="L22" i="13" s="1"/>
  <c r="G40" i="12"/>
  <c r="G61" i="12"/>
  <c r="H39" i="12"/>
  <c r="I37" i="12"/>
  <c r="P40" i="12"/>
  <c r="C23" i="13"/>
  <c r="D47" i="12"/>
  <c r="G55" i="11"/>
  <c r="H55" i="11" s="1"/>
  <c r="C64" i="11" s="1"/>
  <c r="F64" i="11" s="1"/>
  <c r="G57" i="11"/>
  <c r="H57" i="11" s="1"/>
  <c r="C66" i="11" s="1"/>
  <c r="F66" i="11" s="1"/>
  <c r="J22" i="6" l="1"/>
  <c r="J36" i="6" s="1"/>
  <c r="L12" i="12" s="1"/>
  <c r="D49" i="3" s="1"/>
  <c r="K19" i="6"/>
  <c r="K22" i="6" s="1"/>
  <c r="K36" i="6" s="1"/>
  <c r="M12" i="12" s="1"/>
  <c r="D51" i="3" s="1"/>
  <c r="U25" i="12"/>
  <c r="D45" i="3"/>
  <c r="L15" i="12"/>
  <c r="K18" i="12"/>
  <c r="G51" i="10"/>
  <c r="I51" i="10"/>
  <c r="C52" i="10" s="1"/>
  <c r="G35" i="10"/>
  <c r="I35" i="10"/>
  <c r="C36" i="10" s="1"/>
  <c r="AE134" i="8"/>
  <c r="C18" i="11"/>
  <c r="C24" i="11" s="1"/>
  <c r="I39" i="12"/>
  <c r="J37" i="12"/>
  <c r="Q40" i="12"/>
  <c r="C15" i="15"/>
  <c r="D56" i="12"/>
  <c r="H61" i="12"/>
  <c r="H40" i="12"/>
  <c r="D22" i="13"/>
  <c r="E22" i="13" s="1"/>
  <c r="F22" i="13" s="1"/>
  <c r="G22" i="13" s="1"/>
  <c r="C24" i="13"/>
  <c r="G66" i="11"/>
  <c r="H66" i="11" s="1"/>
  <c r="C75" i="11" s="1"/>
  <c r="F75" i="11" s="1"/>
  <c r="G64" i="11"/>
  <c r="H64" i="11" s="1"/>
  <c r="C73" i="11" s="1"/>
  <c r="F73" i="11" s="1"/>
  <c r="D47" i="3" l="1"/>
  <c r="V25" i="12"/>
  <c r="L18" i="12"/>
  <c r="M15" i="12"/>
  <c r="M18" i="12" s="1"/>
  <c r="O18" i="12" s="1"/>
  <c r="G52" i="10"/>
  <c r="I52" i="10"/>
  <c r="C53" i="10" s="1"/>
  <c r="G36" i="10"/>
  <c r="I36" i="10"/>
  <c r="C37" i="10" s="1"/>
  <c r="F18" i="11"/>
  <c r="F24" i="11" s="1"/>
  <c r="J39" i="12"/>
  <c r="K37" i="12"/>
  <c r="R40" i="12"/>
  <c r="I61" i="12"/>
  <c r="I40" i="12"/>
  <c r="G73" i="11"/>
  <c r="H73" i="11" s="1"/>
  <c r="C81" i="11" s="1"/>
  <c r="F81" i="11" s="1"/>
  <c r="G75" i="11"/>
  <c r="H75" i="11" s="1"/>
  <c r="C83" i="11" s="1"/>
  <c r="F83" i="11" s="1"/>
  <c r="I53" i="10" l="1"/>
  <c r="C54" i="10" s="1"/>
  <c r="G53" i="10"/>
  <c r="G37" i="10"/>
  <c r="I37" i="10"/>
  <c r="C38" i="10" s="1"/>
  <c r="G18" i="11"/>
  <c r="G24" i="11" s="1"/>
  <c r="D23" i="13" s="1"/>
  <c r="D24" i="13" s="1"/>
  <c r="L37" i="12"/>
  <c r="K39" i="12"/>
  <c r="J61" i="12"/>
  <c r="J40" i="12"/>
  <c r="S40" i="12"/>
  <c r="G83" i="11"/>
  <c r="H83" i="11" s="1"/>
  <c r="C91" i="11" s="1"/>
  <c r="F91" i="11" s="1"/>
  <c r="G81" i="11"/>
  <c r="H81" i="11" s="1"/>
  <c r="C89" i="11" s="1"/>
  <c r="F89" i="11" s="1"/>
  <c r="G54" i="10" l="1"/>
  <c r="I54" i="10"/>
  <c r="C55" i="10" s="1"/>
  <c r="I38" i="10"/>
  <c r="C39" i="10" s="1"/>
  <c r="G38" i="10"/>
  <c r="E47" i="12"/>
  <c r="D15" i="15" s="1"/>
  <c r="H18" i="11"/>
  <c r="T40" i="12"/>
  <c r="K40" i="12"/>
  <c r="K61" i="12"/>
  <c r="L39" i="12"/>
  <c r="M37" i="12"/>
  <c r="M39" i="12" s="1"/>
  <c r="G91" i="11"/>
  <c r="H91" i="11" s="1"/>
  <c r="G89" i="11"/>
  <c r="H89" i="11" s="1"/>
  <c r="I55" i="10" l="1"/>
  <c r="G55" i="10"/>
  <c r="G57" i="10" s="1"/>
  <c r="G39" i="10"/>
  <c r="G41" i="10" s="1"/>
  <c r="D43" i="12" s="1"/>
  <c r="I39" i="10"/>
  <c r="C15" i="13" s="1"/>
  <c r="E56" i="12"/>
  <c r="C26" i="11"/>
  <c r="H24" i="11"/>
  <c r="L61" i="12"/>
  <c r="L40" i="12"/>
  <c r="O39" i="12"/>
  <c r="M61" i="12"/>
  <c r="M40" i="12"/>
  <c r="U40" i="12"/>
  <c r="E43" i="12" l="1"/>
  <c r="E45" i="12" s="1"/>
  <c r="G15" i="10"/>
  <c r="H15" i="10" s="1"/>
  <c r="C59" i="10"/>
  <c r="D15" i="13"/>
  <c r="C30" i="9"/>
  <c r="E30" i="9" s="1"/>
  <c r="G14" i="10"/>
  <c r="D45" i="12"/>
  <c r="D46" i="12" s="1"/>
  <c r="C33" i="11"/>
  <c r="F26" i="11"/>
  <c r="W40" i="12"/>
  <c r="V40" i="12"/>
  <c r="I59" i="10" l="1"/>
  <c r="C60" i="10" s="1"/>
  <c r="G59" i="10"/>
  <c r="E58" i="12"/>
  <c r="E46" i="12"/>
  <c r="N46" i="12"/>
  <c r="D48" i="12"/>
  <c r="H14" i="10"/>
  <c r="E32" i="9"/>
  <c r="E39" i="9" s="1"/>
  <c r="C23" i="15"/>
  <c r="C27" i="15" s="1"/>
  <c r="D53" i="12"/>
  <c r="C33" i="13"/>
  <c r="F33" i="11"/>
  <c r="G26" i="11"/>
  <c r="G33" i="11" s="1"/>
  <c r="E53" i="12" l="1"/>
  <c r="G60" i="10"/>
  <c r="I60" i="10"/>
  <c r="C61" i="10" s="1"/>
  <c r="O46" i="12"/>
  <c r="E48" i="12"/>
  <c r="D33" i="13"/>
  <c r="F53" i="12"/>
  <c r="G53" i="12" s="1"/>
  <c r="H53" i="12" s="1"/>
  <c r="C12" i="15"/>
  <c r="D52" i="12"/>
  <c r="D55" i="12" s="1"/>
  <c r="D14" i="14"/>
  <c r="E41" i="9"/>
  <c r="D59" i="14"/>
  <c r="D29" i="14"/>
  <c r="C13" i="15"/>
  <c r="K44" i="9"/>
  <c r="D44" i="14"/>
  <c r="D53" i="3"/>
  <c r="H26" i="11"/>
  <c r="F47" i="12"/>
  <c r="E23" i="13"/>
  <c r="E24" i="13" s="1"/>
  <c r="O53" i="12" l="1"/>
  <c r="D12" i="15"/>
  <c r="D17" i="15" s="1"/>
  <c r="D28" i="15" s="1"/>
  <c r="E52" i="12"/>
  <c r="E55" i="12" s="1"/>
  <c r="E45" i="14" s="1"/>
  <c r="G61" i="10"/>
  <c r="I61" i="10"/>
  <c r="C62" i="10" s="1"/>
  <c r="D15" i="14"/>
  <c r="D20" i="14" s="1"/>
  <c r="D45" i="14"/>
  <c r="D50" i="14" s="1"/>
  <c r="E43" i="14" s="1"/>
  <c r="D60" i="14"/>
  <c r="D65" i="14" s="1"/>
  <c r="E58" i="14" s="1"/>
  <c r="D57" i="12"/>
  <c r="C31" i="13" s="1"/>
  <c r="D30" i="14"/>
  <c r="D35" i="14" s="1"/>
  <c r="E28" i="14" s="1"/>
  <c r="M13" i="15"/>
  <c r="C17" i="15"/>
  <c r="E33" i="13"/>
  <c r="F33" i="13" s="1"/>
  <c r="G33" i="13" s="1"/>
  <c r="C35" i="11"/>
  <c r="H33" i="11"/>
  <c r="F56" i="12"/>
  <c r="E15" i="15"/>
  <c r="C30" i="15" l="1"/>
  <c r="E15" i="14"/>
  <c r="E57" i="12"/>
  <c r="E30" i="14"/>
  <c r="E35" i="14" s="1"/>
  <c r="F28" i="14" s="1"/>
  <c r="F31" i="14" s="1"/>
  <c r="E60" i="14"/>
  <c r="E65" i="14" s="1"/>
  <c r="F58" i="14" s="1"/>
  <c r="F61" i="14" s="1"/>
  <c r="I62" i="10"/>
  <c r="C63" i="10" s="1"/>
  <c r="G62" i="10"/>
  <c r="E50" i="14"/>
  <c r="F43" i="14" s="1"/>
  <c r="F46" i="14" s="1"/>
  <c r="E13" i="14"/>
  <c r="C11" i="13"/>
  <c r="M17" i="15"/>
  <c r="C28" i="15"/>
  <c r="F35" i="11"/>
  <c r="C42" i="11"/>
  <c r="D31" i="13" l="1"/>
  <c r="E20" i="14"/>
  <c r="D11" i="13" s="1"/>
  <c r="D18" i="13" s="1"/>
  <c r="G63" i="10"/>
  <c r="I63" i="10"/>
  <c r="C64" i="10" s="1"/>
  <c r="C18" i="13"/>
  <c r="C35" i="13" s="1"/>
  <c r="C36" i="13" s="1"/>
  <c r="M37" i="13"/>
  <c r="D29" i="15"/>
  <c r="C32" i="15"/>
  <c r="G35" i="11"/>
  <c r="G42" i="11" s="1"/>
  <c r="F42" i="11"/>
  <c r="D35" i="13" l="1"/>
  <c r="D36" i="13" s="1"/>
  <c r="D40" i="13" s="1"/>
  <c r="D30" i="15"/>
  <c r="D32" i="15" s="1"/>
  <c r="F13" i="14"/>
  <c r="F16" i="14" s="1"/>
  <c r="F49" i="12" s="1"/>
  <c r="G64" i="10"/>
  <c r="I64" i="10"/>
  <c r="C65" i="10" s="1"/>
  <c r="C42" i="13"/>
  <c r="C40" i="13"/>
  <c r="F23" i="13"/>
  <c r="F24" i="13" s="1"/>
  <c r="G47" i="12"/>
  <c r="H35" i="11"/>
  <c r="E29" i="15" l="1"/>
  <c r="G65" i="10"/>
  <c r="I65" i="10"/>
  <c r="C66" i="10" s="1"/>
  <c r="C44" i="11"/>
  <c r="H42" i="11"/>
  <c r="G35" i="16"/>
  <c r="F15" i="15"/>
  <c r="G56" i="12"/>
  <c r="I66" i="10" l="1"/>
  <c r="C67" i="10" s="1"/>
  <c r="G66" i="10"/>
  <c r="F44" i="11"/>
  <c r="C51" i="11"/>
  <c r="I67" i="10" l="1"/>
  <c r="C68" i="10" s="1"/>
  <c r="G67" i="10"/>
  <c r="F51" i="11"/>
  <c r="G44" i="11"/>
  <c r="G51" i="11" s="1"/>
  <c r="G68" i="10" l="1"/>
  <c r="I68" i="10"/>
  <c r="C69" i="10" s="1"/>
  <c r="H44" i="11"/>
  <c r="H51" i="11" s="1"/>
  <c r="G23" i="13"/>
  <c r="G24" i="13" s="1"/>
  <c r="H47" i="12"/>
  <c r="I69" i="10" l="1"/>
  <c r="C70" i="10" s="1"/>
  <c r="G69" i="10"/>
  <c r="C53" i="11"/>
  <c r="F53" i="11" s="1"/>
  <c r="H56" i="12"/>
  <c r="G15" i="15"/>
  <c r="G70" i="10" l="1"/>
  <c r="G72" i="10" s="1"/>
  <c r="I70" i="10"/>
  <c r="C60" i="11"/>
  <c r="G53" i="11"/>
  <c r="G60" i="11" s="1"/>
  <c r="F60" i="11"/>
  <c r="C74" i="10" l="1"/>
  <c r="E15" i="13"/>
  <c r="G16" i="10"/>
  <c r="F43" i="12"/>
  <c r="F45" i="12" s="1"/>
  <c r="H53" i="11"/>
  <c r="H60" i="11" s="1"/>
  <c r="I47" i="12"/>
  <c r="H23" i="13"/>
  <c r="H24" i="13" s="1"/>
  <c r="F58" i="12" l="1"/>
  <c r="F46" i="12"/>
  <c r="H16" i="10"/>
  <c r="I74" i="10"/>
  <c r="C75" i="10" s="1"/>
  <c r="G74" i="10"/>
  <c r="C62" i="11"/>
  <c r="F62" i="11" s="1"/>
  <c r="H15" i="15"/>
  <c r="I56" i="12"/>
  <c r="P46" i="12" l="1"/>
  <c r="F48" i="12"/>
  <c r="G75" i="10"/>
  <c r="I75" i="10"/>
  <c r="C76" i="10" s="1"/>
  <c r="C69" i="11"/>
  <c r="G62" i="11"/>
  <c r="G69" i="11" s="1"/>
  <c r="F69" i="11"/>
  <c r="G76" i="10" l="1"/>
  <c r="I76" i="10"/>
  <c r="C77" i="10" s="1"/>
  <c r="E12" i="15"/>
  <c r="E17" i="15" s="1"/>
  <c r="F52" i="12"/>
  <c r="J47" i="12"/>
  <c r="I23" i="13"/>
  <c r="I24" i="13" s="1"/>
  <c r="H62" i="11"/>
  <c r="F54" i="12" l="1"/>
  <c r="E26" i="15" s="1"/>
  <c r="E27" i="15" s="1"/>
  <c r="E28" i="15" s="1"/>
  <c r="G77" i="10"/>
  <c r="I77" i="10"/>
  <c r="C78" i="10" s="1"/>
  <c r="H69" i="11"/>
  <c r="C71" i="11"/>
  <c r="I15" i="15"/>
  <c r="J56" i="12"/>
  <c r="F55" i="12" l="1"/>
  <c r="F60" i="14" s="1"/>
  <c r="F65" i="14" s="1"/>
  <c r="G58" i="14" s="1"/>
  <c r="G61" i="14" s="1"/>
  <c r="G78" i="10"/>
  <c r="I78" i="10"/>
  <c r="C79" i="10" s="1"/>
  <c r="C78" i="11"/>
  <c r="F71" i="11"/>
  <c r="F30" i="14" l="1"/>
  <c r="F35" i="14" s="1"/>
  <c r="G28" i="14" s="1"/>
  <c r="G31" i="14" s="1"/>
  <c r="F15" i="14"/>
  <c r="F20" i="14" s="1"/>
  <c r="G13" i="14" s="1"/>
  <c r="G16" i="14" s="1"/>
  <c r="F57" i="12"/>
  <c r="F45" i="14"/>
  <c r="F50" i="14" s="1"/>
  <c r="G43" i="14" s="1"/>
  <c r="G46" i="14" s="1"/>
  <c r="G79" i="10"/>
  <c r="I79" i="10"/>
  <c r="C80" i="10" s="1"/>
  <c r="F78" i="11"/>
  <c r="G71" i="11"/>
  <c r="F59" i="12" l="1"/>
  <c r="E31" i="13"/>
  <c r="E11" i="13"/>
  <c r="E18" i="13" s="1"/>
  <c r="G49" i="12"/>
  <c r="G80" i="10"/>
  <c r="I80" i="10"/>
  <c r="C81" i="10" s="1"/>
  <c r="G78" i="11"/>
  <c r="H71" i="11"/>
  <c r="E30" i="15" l="1"/>
  <c r="E35" i="13"/>
  <c r="E36" i="13" s="1"/>
  <c r="E40" i="13" s="1"/>
  <c r="I81" i="10"/>
  <c r="C82" i="10" s="1"/>
  <c r="G81" i="10"/>
  <c r="C79" i="11"/>
  <c r="H78" i="11"/>
  <c r="J23" i="13"/>
  <c r="J24" i="13" s="1"/>
  <c r="K47" i="12"/>
  <c r="F29" i="15" l="1"/>
  <c r="E32" i="15"/>
  <c r="I82" i="10"/>
  <c r="C83" i="10" s="1"/>
  <c r="G82" i="10"/>
  <c r="C86" i="11"/>
  <c r="F79" i="11"/>
  <c r="K56" i="12"/>
  <c r="J15" i="15"/>
  <c r="I83" i="10" l="1"/>
  <c r="C84" i="10" s="1"/>
  <c r="G83" i="10"/>
  <c r="F86" i="11"/>
  <c r="G79" i="11"/>
  <c r="G86" i="11" s="1"/>
  <c r="G84" i="10" l="1"/>
  <c r="I84" i="10"/>
  <c r="C85" i="10" s="1"/>
  <c r="K23" i="13"/>
  <c r="K24" i="13" s="1"/>
  <c r="L47" i="12"/>
  <c r="H79" i="11"/>
  <c r="G85" i="10" l="1"/>
  <c r="G87" i="10" s="1"/>
  <c r="I85" i="10"/>
  <c r="K15" i="15"/>
  <c r="L56" i="12"/>
  <c r="C87" i="11"/>
  <c r="H86" i="11"/>
  <c r="C89" i="10" l="1"/>
  <c r="F15" i="13"/>
  <c r="G17" i="10"/>
  <c r="G43" i="12"/>
  <c r="C94" i="11"/>
  <c r="F87" i="11"/>
  <c r="G37" i="16" l="1"/>
  <c r="G43" i="16" s="1"/>
  <c r="G51" i="16" s="1"/>
  <c r="G45" i="12"/>
  <c r="H17" i="10"/>
  <c r="I89" i="10"/>
  <c r="C90" i="10" s="1"/>
  <c r="G89" i="10"/>
  <c r="F94" i="11"/>
  <c r="G87" i="11"/>
  <c r="G94" i="11" s="1"/>
  <c r="G58" i="12" l="1"/>
  <c r="G46" i="12"/>
  <c r="G90" i="10"/>
  <c r="I90" i="10"/>
  <c r="C91" i="10" s="1"/>
  <c r="M47" i="12"/>
  <c r="L23" i="13"/>
  <c r="L24" i="13" s="1"/>
  <c r="H87" i="11"/>
  <c r="H94" i="11" s="1"/>
  <c r="Q46" i="12" l="1"/>
  <c r="G48" i="12"/>
  <c r="G91" i="10"/>
  <c r="I91" i="10"/>
  <c r="C92" i="10" s="1"/>
  <c r="L15" i="15"/>
  <c r="M56" i="12"/>
  <c r="F12" i="15" l="1"/>
  <c r="F17" i="15" s="1"/>
  <c r="G52" i="12"/>
  <c r="G92" i="10"/>
  <c r="I92" i="10"/>
  <c r="C93" i="10" s="1"/>
  <c r="G93" i="10" l="1"/>
  <c r="I93" i="10"/>
  <c r="C94" i="10" s="1"/>
  <c r="G54" i="12"/>
  <c r="F26" i="15" s="1"/>
  <c r="F27" i="15" s="1"/>
  <c r="F28" i="15" s="1"/>
  <c r="I94" i="10" l="1"/>
  <c r="C95" i="10" s="1"/>
  <c r="G94" i="10"/>
  <c r="G55" i="12"/>
  <c r="G95" i="10" l="1"/>
  <c r="I95" i="10"/>
  <c r="C96" i="10" s="1"/>
  <c r="G60" i="14"/>
  <c r="G65" i="14" s="1"/>
  <c r="H58" i="14" s="1"/>
  <c r="H61" i="14" s="1"/>
  <c r="G45" i="14"/>
  <c r="G50" i="14" s="1"/>
  <c r="H43" i="14" s="1"/>
  <c r="H46" i="14" s="1"/>
  <c r="G57" i="12"/>
  <c r="G30" i="14"/>
  <c r="G35" i="14" s="1"/>
  <c r="H28" i="14" s="1"/>
  <c r="H31" i="14" s="1"/>
  <c r="G15" i="14"/>
  <c r="G20" i="14" s="1"/>
  <c r="G59" i="12" l="1"/>
  <c r="F31" i="13"/>
  <c r="F11" i="13"/>
  <c r="F18" i="13" s="1"/>
  <c r="H13" i="14"/>
  <c r="H16" i="14" s="1"/>
  <c r="H49" i="12" s="1"/>
  <c r="I96" i="10"/>
  <c r="C97" i="10" s="1"/>
  <c r="G96" i="10"/>
  <c r="F35" i="13" l="1"/>
  <c r="F36" i="13" s="1"/>
  <c r="F40" i="13" s="1"/>
  <c r="F30" i="15"/>
  <c r="G97" i="10"/>
  <c r="I97" i="10"/>
  <c r="C98" i="10" s="1"/>
  <c r="G29" i="15" l="1"/>
  <c r="F32" i="15"/>
  <c r="I98" i="10"/>
  <c r="C99" i="10" s="1"/>
  <c r="G98" i="10"/>
  <c r="G99" i="10" l="1"/>
  <c r="I99" i="10"/>
  <c r="C100" i="10" s="1"/>
  <c r="G100" i="10" l="1"/>
  <c r="G102" i="10" s="1"/>
  <c r="I100" i="10"/>
  <c r="G15" i="13" l="1"/>
  <c r="C104" i="10"/>
  <c r="G18" i="10"/>
  <c r="H43" i="12"/>
  <c r="H45" i="12" s="1"/>
  <c r="H58" i="12" l="1"/>
  <c r="H46" i="12"/>
  <c r="H18" i="10"/>
  <c r="G104" i="10"/>
  <c r="I104" i="10"/>
  <c r="C105" i="10" s="1"/>
  <c r="I105" i="10" l="1"/>
  <c r="C106" i="10" s="1"/>
  <c r="G105" i="10"/>
  <c r="R46" i="12"/>
  <c r="H48" i="12"/>
  <c r="G106" i="10" l="1"/>
  <c r="I106" i="10"/>
  <c r="C107" i="10" s="1"/>
  <c r="G12" i="15"/>
  <c r="G17" i="15" s="1"/>
  <c r="H52" i="12"/>
  <c r="G107" i="10" l="1"/>
  <c r="I107" i="10"/>
  <c r="C108" i="10" s="1"/>
  <c r="H54" i="12"/>
  <c r="G26" i="15" s="1"/>
  <c r="G27" i="15" s="1"/>
  <c r="G28" i="15" s="1"/>
  <c r="I108" i="10" l="1"/>
  <c r="C109" i="10" s="1"/>
  <c r="G108" i="10"/>
  <c r="H55" i="12"/>
  <c r="G109" i="10" l="1"/>
  <c r="I109" i="10"/>
  <c r="C110" i="10" s="1"/>
  <c r="H60" i="14"/>
  <c r="H65" i="14" s="1"/>
  <c r="I58" i="14" s="1"/>
  <c r="I61" i="14" s="1"/>
  <c r="H15" i="14"/>
  <c r="H20" i="14" s="1"/>
  <c r="H57" i="12"/>
  <c r="H30" i="14"/>
  <c r="H35" i="14" s="1"/>
  <c r="I28" i="14" s="1"/>
  <c r="I31" i="14" s="1"/>
  <c r="H45" i="14"/>
  <c r="H50" i="14" s="1"/>
  <c r="I43" i="14" s="1"/>
  <c r="I46" i="14" s="1"/>
  <c r="H59" i="12" l="1"/>
  <c r="G31" i="13"/>
  <c r="G110" i="10"/>
  <c r="I110" i="10"/>
  <c r="C111" i="10" s="1"/>
  <c r="I13" i="14"/>
  <c r="I16" i="14" s="1"/>
  <c r="I49" i="12" s="1"/>
  <c r="G11" i="13"/>
  <c r="G18" i="13" s="1"/>
  <c r="G35" i="13" l="1"/>
  <c r="G36" i="13" s="1"/>
  <c r="G40" i="13" s="1"/>
  <c r="G30" i="15"/>
  <c r="I111" i="10"/>
  <c r="C112" i="10" s="1"/>
  <c r="G111" i="10"/>
  <c r="H29" i="15" l="1"/>
  <c r="G32" i="15"/>
  <c r="G112" i="10"/>
  <c r="I112" i="10"/>
  <c r="C113" i="10" s="1"/>
  <c r="I113" i="10" l="1"/>
  <c r="C114" i="10" s="1"/>
  <c r="G113" i="10"/>
  <c r="G114" i="10" l="1"/>
  <c r="I114" i="10"/>
  <c r="C115" i="10" s="1"/>
  <c r="G115" i="10" l="1"/>
  <c r="G117" i="10" s="1"/>
  <c r="I115" i="10"/>
  <c r="C119" i="10" l="1"/>
  <c r="H15" i="13"/>
  <c r="G19" i="10"/>
  <c r="I43" i="12"/>
  <c r="I45" i="12" s="1"/>
  <c r="I58" i="12" l="1"/>
  <c r="I46" i="12"/>
  <c r="H19" i="10"/>
  <c r="G119" i="10"/>
  <c r="I119" i="10"/>
  <c r="C120" i="10" s="1"/>
  <c r="S46" i="12" l="1"/>
  <c r="I48" i="12"/>
  <c r="I120" i="10"/>
  <c r="C121" i="10" s="1"/>
  <c r="G120" i="10"/>
  <c r="G121" i="10" l="1"/>
  <c r="I121" i="10"/>
  <c r="C122" i="10" s="1"/>
  <c r="H12" i="15"/>
  <c r="H17" i="15" s="1"/>
  <c r="I52" i="12"/>
  <c r="G122" i="10" l="1"/>
  <c r="I122" i="10"/>
  <c r="C123" i="10" s="1"/>
  <c r="I54" i="12"/>
  <c r="H26" i="15" s="1"/>
  <c r="H27" i="15" s="1"/>
  <c r="H28" i="15" s="1"/>
  <c r="G123" i="10" l="1"/>
  <c r="I123" i="10"/>
  <c r="C124" i="10" s="1"/>
  <c r="I55" i="12"/>
  <c r="I124" i="10" l="1"/>
  <c r="C125" i="10" s="1"/>
  <c r="G124" i="10"/>
  <c r="I57" i="12"/>
  <c r="I30" i="14"/>
  <c r="I35" i="14" s="1"/>
  <c r="J28" i="14" s="1"/>
  <c r="J31" i="14" s="1"/>
  <c r="I60" i="14"/>
  <c r="I65" i="14" s="1"/>
  <c r="J58" i="14" s="1"/>
  <c r="J61" i="14" s="1"/>
  <c r="I45" i="14"/>
  <c r="I50" i="14" s="1"/>
  <c r="J43" i="14" s="1"/>
  <c r="J46" i="14" s="1"/>
  <c r="I15" i="14"/>
  <c r="I20" i="14" s="1"/>
  <c r="I59" i="12" l="1"/>
  <c r="H31" i="13"/>
  <c r="H11" i="13"/>
  <c r="H18" i="13" s="1"/>
  <c r="J13" i="14"/>
  <c r="J16" i="14" s="1"/>
  <c r="J49" i="12" s="1"/>
  <c r="I125" i="10"/>
  <c r="C126" i="10" s="1"/>
  <c r="G125" i="10"/>
  <c r="H30" i="15" l="1"/>
  <c r="H35" i="13"/>
  <c r="H36" i="13" s="1"/>
  <c r="H40" i="13" s="1"/>
  <c r="G126" i="10"/>
  <c r="I126" i="10"/>
  <c r="C127" i="10" s="1"/>
  <c r="H32" i="15" l="1"/>
  <c r="I29" i="15"/>
  <c r="G127" i="10"/>
  <c r="I127" i="10"/>
  <c r="C128" i="10" s="1"/>
  <c r="G128" i="10" l="1"/>
  <c r="I128" i="10"/>
  <c r="C129" i="10" s="1"/>
  <c r="I129" i="10" l="1"/>
  <c r="C130" i="10" s="1"/>
  <c r="G129" i="10"/>
  <c r="G130" i="10" l="1"/>
  <c r="G132" i="10" s="1"/>
  <c r="I130" i="10"/>
  <c r="I15" i="13" l="1"/>
  <c r="C134" i="10"/>
  <c r="G20" i="10"/>
  <c r="J43" i="12"/>
  <c r="J45" i="12" s="1"/>
  <c r="J58" i="12" l="1"/>
  <c r="J46" i="12"/>
  <c r="H20" i="10"/>
  <c r="I134" i="10"/>
  <c r="C135" i="10" s="1"/>
  <c r="G134" i="10"/>
  <c r="T46" i="12" l="1"/>
  <c r="J48" i="12"/>
  <c r="G135" i="10"/>
  <c r="I135" i="10"/>
  <c r="C136" i="10" s="1"/>
  <c r="I12" i="15" l="1"/>
  <c r="I17" i="15" s="1"/>
  <c r="J52" i="12"/>
  <c r="I136" i="10"/>
  <c r="C137" i="10" s="1"/>
  <c r="G136" i="10"/>
  <c r="G137" i="10" l="1"/>
  <c r="I137" i="10"/>
  <c r="C138" i="10" s="1"/>
  <c r="J54" i="12"/>
  <c r="I26" i="15" s="1"/>
  <c r="I27" i="15" s="1"/>
  <c r="I28" i="15" s="1"/>
  <c r="I138" i="10" l="1"/>
  <c r="C139" i="10" s="1"/>
  <c r="G138" i="10"/>
  <c r="J55" i="12"/>
  <c r="J60" i="14" l="1"/>
  <c r="J65" i="14" s="1"/>
  <c r="K58" i="14" s="1"/>
  <c r="K61" i="14" s="1"/>
  <c r="J15" i="14"/>
  <c r="J20" i="14" s="1"/>
  <c r="J57" i="12"/>
  <c r="J30" i="14"/>
  <c r="J35" i="14" s="1"/>
  <c r="K28" i="14" s="1"/>
  <c r="K31" i="14" s="1"/>
  <c r="J45" i="14"/>
  <c r="J50" i="14" s="1"/>
  <c r="K43" i="14" s="1"/>
  <c r="K46" i="14" s="1"/>
  <c r="G139" i="10"/>
  <c r="I139" i="10"/>
  <c r="C140" i="10" s="1"/>
  <c r="J59" i="12" l="1"/>
  <c r="I31" i="13"/>
  <c r="I140" i="10"/>
  <c r="C141" i="10" s="1"/>
  <c r="G140" i="10"/>
  <c r="I11" i="13"/>
  <c r="I18" i="13" s="1"/>
  <c r="K13" i="14"/>
  <c r="K16" i="14" s="1"/>
  <c r="K49" i="12" s="1"/>
  <c r="I35" i="13" l="1"/>
  <c r="I36" i="13" s="1"/>
  <c r="I40" i="13" s="1"/>
  <c r="I30" i="15"/>
  <c r="I141" i="10"/>
  <c r="C142" i="10" s="1"/>
  <c r="G141" i="10"/>
  <c r="I32" i="15" l="1"/>
  <c r="J29" i="15"/>
  <c r="I142" i="10"/>
  <c r="C143" i="10" s="1"/>
  <c r="G142" i="10"/>
  <c r="G143" i="10" l="1"/>
  <c r="I143" i="10"/>
  <c r="C144" i="10" s="1"/>
  <c r="G144" i="10" l="1"/>
  <c r="I144" i="10"/>
  <c r="C145" i="10" s="1"/>
  <c r="G145" i="10" l="1"/>
  <c r="G147" i="10" s="1"/>
  <c r="I145" i="10"/>
  <c r="C149" i="10" l="1"/>
  <c r="J15" i="13"/>
  <c r="K43" i="12"/>
  <c r="K45" i="12" s="1"/>
  <c r="G21" i="10"/>
  <c r="H21" i="10" s="1"/>
  <c r="K58" i="12" l="1"/>
  <c r="K46" i="12"/>
  <c r="G149" i="10"/>
  <c r="I149" i="10"/>
  <c r="C150" i="10" s="1"/>
  <c r="G150" i="10" l="1"/>
  <c r="I150" i="10"/>
  <c r="C151" i="10" s="1"/>
  <c r="U46" i="12"/>
  <c r="K48" i="12"/>
  <c r="I151" i="10" l="1"/>
  <c r="C152" i="10" s="1"/>
  <c r="G151" i="10"/>
  <c r="J12" i="15"/>
  <c r="J17" i="15" s="1"/>
  <c r="K52" i="12"/>
  <c r="K54" i="12" l="1"/>
  <c r="J26" i="15" s="1"/>
  <c r="J27" i="15" s="1"/>
  <c r="J28" i="15" s="1"/>
  <c r="I152" i="10"/>
  <c r="C153" i="10" s="1"/>
  <c r="G152" i="10"/>
  <c r="I153" i="10" l="1"/>
  <c r="C154" i="10" s="1"/>
  <c r="G153" i="10"/>
  <c r="K55" i="12"/>
  <c r="K15" i="14" l="1"/>
  <c r="K20" i="14" s="1"/>
  <c r="K57" i="12"/>
  <c r="K60" i="14"/>
  <c r="K65" i="14" s="1"/>
  <c r="L58" i="14" s="1"/>
  <c r="L61" i="14" s="1"/>
  <c r="K45" i="14"/>
  <c r="K50" i="14" s="1"/>
  <c r="L43" i="14" s="1"/>
  <c r="L46" i="14" s="1"/>
  <c r="K30" i="14"/>
  <c r="K35" i="14" s="1"/>
  <c r="L28" i="14" s="1"/>
  <c r="L31" i="14" s="1"/>
  <c r="G154" i="10"/>
  <c r="I154" i="10"/>
  <c r="C155" i="10" s="1"/>
  <c r="K59" i="12" l="1"/>
  <c r="J31" i="13"/>
  <c r="I155" i="10"/>
  <c r="C156" i="10" s="1"/>
  <c r="G155" i="10"/>
  <c r="L13" i="14"/>
  <c r="L16" i="14" s="1"/>
  <c r="L49" i="12" s="1"/>
  <c r="J11" i="13"/>
  <c r="J18" i="13" s="1"/>
  <c r="J35" i="13" l="1"/>
  <c r="J36" i="13" s="1"/>
  <c r="J40" i="13" s="1"/>
  <c r="J30" i="15"/>
  <c r="G156" i="10"/>
  <c r="I156" i="10"/>
  <c r="C157" i="10" s="1"/>
  <c r="J32" i="15" l="1"/>
  <c r="K29" i="15"/>
  <c r="I157" i="10"/>
  <c r="C158" i="10" s="1"/>
  <c r="G157" i="10"/>
  <c r="G158" i="10" l="1"/>
  <c r="I158" i="10"/>
  <c r="C159" i="10" s="1"/>
  <c r="I159" i="10" l="1"/>
  <c r="C160" i="10" s="1"/>
  <c r="G159" i="10"/>
  <c r="I160" i="10" l="1"/>
  <c r="G160" i="10"/>
  <c r="G162" i="10" s="1"/>
  <c r="G22" i="10" l="1"/>
  <c r="H22" i="10" s="1"/>
  <c r="L43" i="12"/>
  <c r="L45" i="12" s="1"/>
  <c r="K15" i="13"/>
  <c r="C165" i="10"/>
  <c r="G165" i="10" l="1"/>
  <c r="I165" i="10"/>
  <c r="C166" i="10" s="1"/>
  <c r="L58" i="12"/>
  <c r="L46" i="12"/>
  <c r="V46" i="12" l="1"/>
  <c r="L48" i="12"/>
  <c r="G166" i="10"/>
  <c r="I166" i="10"/>
  <c r="C167" i="10" s="1"/>
  <c r="K12" i="15" l="1"/>
  <c r="K17" i="15" s="1"/>
  <c r="L52" i="12"/>
  <c r="I167" i="10"/>
  <c r="C168" i="10" s="1"/>
  <c r="G167" i="10"/>
  <c r="I168" i="10" l="1"/>
  <c r="C169" i="10" s="1"/>
  <c r="G168" i="10"/>
  <c r="L54" i="12"/>
  <c r="K26" i="15" s="1"/>
  <c r="K27" i="15" s="1"/>
  <c r="K28" i="15" s="1"/>
  <c r="G169" i="10" l="1"/>
  <c r="I169" i="10"/>
  <c r="C170" i="10" s="1"/>
  <c r="L55" i="12"/>
  <c r="G170" i="10" l="1"/>
  <c r="I170" i="10"/>
  <c r="C171" i="10" s="1"/>
  <c r="L57" i="12"/>
  <c r="L45" i="14"/>
  <c r="L50" i="14" s="1"/>
  <c r="M43" i="14" s="1"/>
  <c r="M46" i="14" s="1"/>
  <c r="L60" i="14"/>
  <c r="L65" i="14" s="1"/>
  <c r="M58" i="14" s="1"/>
  <c r="M61" i="14" s="1"/>
  <c r="L15" i="14"/>
  <c r="L20" i="14" s="1"/>
  <c r="L30" i="14"/>
  <c r="L35" i="14" s="1"/>
  <c r="M28" i="14" s="1"/>
  <c r="M31" i="14" s="1"/>
  <c r="L59" i="12" l="1"/>
  <c r="K31" i="13"/>
  <c r="M13" i="14"/>
  <c r="M16" i="14" s="1"/>
  <c r="M49" i="12" s="1"/>
  <c r="K11" i="13"/>
  <c r="K18" i="13" s="1"/>
  <c r="G171" i="10"/>
  <c r="I171" i="10"/>
  <c r="C172" i="10" s="1"/>
  <c r="K35" i="13" l="1"/>
  <c r="K36" i="13" s="1"/>
  <c r="K40" i="13" s="1"/>
  <c r="K30" i="15"/>
  <c r="I172" i="10"/>
  <c r="C173" i="10" s="1"/>
  <c r="G172" i="10"/>
  <c r="K32" i="15" l="1"/>
  <c r="L29" i="15"/>
  <c r="I173" i="10"/>
  <c r="C174" i="10" s="1"/>
  <c r="G173" i="10"/>
  <c r="G174" i="10" l="1"/>
  <c r="I174" i="10"/>
  <c r="C175" i="10" s="1"/>
  <c r="G175" i="10" l="1"/>
  <c r="I175" i="10"/>
  <c r="C176" i="10" s="1"/>
  <c r="I176" i="10" l="1"/>
  <c r="L15" i="13" s="1"/>
  <c r="G176" i="10"/>
  <c r="G178" i="10" s="1"/>
  <c r="G23" i="10" l="1"/>
  <c r="M43" i="12"/>
  <c r="M45" i="12" s="1"/>
  <c r="M58" i="12" l="1"/>
  <c r="M46" i="12"/>
  <c r="H23" i="10"/>
  <c r="H24" i="10" s="1"/>
  <c r="G24" i="10"/>
  <c r="W46" i="12" l="1"/>
  <c r="M48" i="12"/>
  <c r="L12" i="15" l="1"/>
  <c r="L17" i="15" s="1"/>
  <c r="M52" i="12"/>
  <c r="M54" i="12" l="1"/>
  <c r="L26" i="15" s="1"/>
  <c r="L27" i="15" s="1"/>
  <c r="L28" i="15" s="1"/>
  <c r="M55" i="12" l="1"/>
  <c r="M57" i="12" s="1"/>
  <c r="M59" i="12" l="1"/>
  <c r="L31" i="13"/>
  <c r="M45" i="14"/>
  <c r="M50" i="14" s="1"/>
  <c r="M60" i="14"/>
  <c r="M65" i="14" s="1"/>
  <c r="M15" i="14"/>
  <c r="M20" i="14" s="1"/>
  <c r="M30" i="14"/>
  <c r="M35" i="14" s="1"/>
  <c r="L30" i="15" l="1"/>
  <c r="L32" i="15" s="1"/>
  <c r="L11" i="13"/>
  <c r="L18" i="13" s="1"/>
  <c r="L35" i="13" l="1"/>
  <c r="L36" i="13" s="1"/>
  <c r="L40" i="13" s="1"/>
</calcChain>
</file>

<file path=xl/sharedStrings.xml><?xml version="1.0" encoding="utf-8"?>
<sst xmlns="http://schemas.openxmlformats.org/spreadsheetml/2006/main" count="823" uniqueCount="484">
  <si>
    <t>PROJECT REPORT</t>
  </si>
  <si>
    <t>OF</t>
  </si>
  <si>
    <t>LIST OF CHAPTERS</t>
  </si>
  <si>
    <t>TITLE</t>
  </si>
  <si>
    <t>I</t>
  </si>
  <si>
    <t>Project at a Glance</t>
  </si>
  <si>
    <t>II</t>
  </si>
  <si>
    <t>Details about the project</t>
  </si>
  <si>
    <t>III</t>
  </si>
  <si>
    <t>Partner`s Proflle</t>
  </si>
  <si>
    <t>IV</t>
  </si>
  <si>
    <t>Details of capacity &amp; revenue realisation</t>
  </si>
  <si>
    <t>V</t>
  </si>
  <si>
    <t>Staffing &amp; Organisation</t>
  </si>
  <si>
    <t>VI</t>
  </si>
  <si>
    <t>Details of Plant &amp; Machinery</t>
  </si>
  <si>
    <t>LIST OF ANNEXURES</t>
  </si>
  <si>
    <t>Cost of Project &amp; Means of Finance</t>
  </si>
  <si>
    <t>Interest &amp; Repayment schedule of term loan</t>
  </si>
  <si>
    <t xml:space="preserve">Statement of Depreciation </t>
  </si>
  <si>
    <t>Projected profitability estimates</t>
  </si>
  <si>
    <t>Projected balance Sheet</t>
  </si>
  <si>
    <t>Projected Capital account</t>
  </si>
  <si>
    <t>VII</t>
  </si>
  <si>
    <t>Projected Cash Flow Statement</t>
  </si>
  <si>
    <t>VIII</t>
  </si>
  <si>
    <t>Break Even Analysis</t>
  </si>
  <si>
    <t>Chapter - I</t>
  </si>
  <si>
    <t>PROJECT AT A GLANCE</t>
  </si>
  <si>
    <t>Trade Name</t>
  </si>
  <si>
    <t>Address</t>
  </si>
  <si>
    <t>Status</t>
  </si>
  <si>
    <t>Nature of  the Activity</t>
  </si>
  <si>
    <t>Hospital</t>
  </si>
  <si>
    <t>Capacity</t>
  </si>
  <si>
    <t>Repayment Period (year)</t>
  </si>
  <si>
    <t>(including one year moratorium period)</t>
  </si>
  <si>
    <t>Revenue</t>
  </si>
  <si>
    <t>Amount(Rs.in lakhs)</t>
  </si>
  <si>
    <t>IX</t>
  </si>
  <si>
    <t>X</t>
  </si>
  <si>
    <t>Promoter Contribution</t>
  </si>
  <si>
    <t>Average DSCR</t>
  </si>
  <si>
    <t>Chapter - II</t>
  </si>
  <si>
    <t xml:space="preserve">multi disciplinary health centers which have led to deterioration in health services, resulting into </t>
  </si>
  <si>
    <t>outgoing of patients towards big cities.</t>
  </si>
  <si>
    <t xml:space="preserve">   All these facts have prompted to develop a health institution which will bridge the gap of health </t>
  </si>
  <si>
    <t>services in the city. All the aforesaid facts reveals hospital will enjoy good market by the quality</t>
  </si>
  <si>
    <t>health services of approved standards.</t>
  </si>
  <si>
    <t>Chapter - III</t>
  </si>
  <si>
    <t>D. Ortho. He is having the vast experience of 20 years in orthopedic surgeries including joint</t>
  </si>
  <si>
    <t>Gwalior, As he holds sufficient experience in the medical field coupled with the administration</t>
  </si>
  <si>
    <t>of running the hospital, would be a strenght for running the current project.</t>
  </si>
  <si>
    <t>tant in BSF hospital Tekanpur, and Kamla Raja Hospital, GRMC Gwalior. She possess the vast</t>
  </si>
  <si>
    <t>experience of 15 years.</t>
  </si>
  <si>
    <t>qualification coupled with experience will pave a way for the success of the project.</t>
  </si>
  <si>
    <t>Post graduate diploma in Hospital and Health Management. Her qualification will give an add on</t>
  </si>
  <si>
    <t>advantage for the administration of the hospital.</t>
  </si>
  <si>
    <t>Chapter - IV</t>
  </si>
  <si>
    <t>DETAILS OF OPERATING REVENUE REALISATION</t>
  </si>
  <si>
    <t xml:space="preserve">YEAR </t>
  </si>
  <si>
    <t>Particulars</t>
  </si>
  <si>
    <t>Bed Capacity (Nos.)</t>
  </si>
  <si>
    <t>A) Occupancy of beds</t>
  </si>
  <si>
    <t>B) Occupancy/day of beds (Nos.)</t>
  </si>
  <si>
    <t>C) Annual Occupancy (360 Days)</t>
  </si>
  <si>
    <t xml:space="preserve">     of beds(Nos.)</t>
  </si>
  <si>
    <t xml:space="preserve">      </t>
  </si>
  <si>
    <t>D) Revenue /paitent / bed (Indoor)</t>
  </si>
  <si>
    <t xml:space="preserve">    (Increment of 5% ) (in Rs.)</t>
  </si>
  <si>
    <t>E) Indoor Revenue (C*D) (Rs. in lacs)</t>
  </si>
  <si>
    <t>OPD</t>
  </si>
  <si>
    <t>F) No. of Consultants</t>
  </si>
  <si>
    <t>G) Average paitent /Consultant /day</t>
  </si>
  <si>
    <t xml:space="preserve">H) Average Charges/ paitent /Consultant </t>
  </si>
  <si>
    <t xml:space="preserve">    /day (Rs.</t>
  </si>
  <si>
    <t>I) OPD Revenue (300 days)  (Rs. in lacs)</t>
  </si>
  <si>
    <t>J) Total Revenue (E+I) (Rs. in lacs)</t>
  </si>
  <si>
    <t>Note: The above revenue in point E do not include medication charges of the patient, as it is to be borne by patient directly.</t>
  </si>
  <si>
    <t>Chapter - V</t>
  </si>
  <si>
    <t>Staffing &amp; organisation</t>
  </si>
  <si>
    <t>(Amount in Lakhs)</t>
  </si>
  <si>
    <t>S.NO.</t>
  </si>
  <si>
    <t>PARTICULARS</t>
  </si>
  <si>
    <t>SALARY/MONTH</t>
  </si>
  <si>
    <t>NOS.</t>
  </si>
  <si>
    <t>TOTAL AMOUNT</t>
  </si>
  <si>
    <t>/ PERSON</t>
  </si>
  <si>
    <t>(PER MONTH)</t>
  </si>
  <si>
    <t>(YEARLY)</t>
  </si>
  <si>
    <t>Rs.</t>
  </si>
  <si>
    <t>Nurses</t>
  </si>
  <si>
    <t>Incharges for each floor</t>
  </si>
  <si>
    <t>Ward Boys</t>
  </si>
  <si>
    <t>Sweepers</t>
  </si>
  <si>
    <t>Trained assisants for specialized work</t>
  </si>
  <si>
    <t>eg. Radiographers, audiologists etc.</t>
  </si>
  <si>
    <t>Doctors</t>
  </si>
  <si>
    <t>Full Time:  (i) Senior Consultants</t>
  </si>
  <si>
    <t xml:space="preserve">                (ii) Junior Consultants</t>
  </si>
  <si>
    <t>Dietician</t>
  </si>
  <si>
    <t xml:space="preserve">Academic Center </t>
  </si>
  <si>
    <t>(i) Librarian</t>
  </si>
  <si>
    <t xml:space="preserve">(ii) Assistant Librarian </t>
  </si>
  <si>
    <t>(iii) Attendent</t>
  </si>
  <si>
    <t>(iv) Photographer</t>
  </si>
  <si>
    <t>Public Relation Office:</t>
  </si>
  <si>
    <t>(i) PRO</t>
  </si>
  <si>
    <t>(ii) Receptionist</t>
  </si>
  <si>
    <t>(iii) Attendants</t>
  </si>
  <si>
    <t>(iv) Liasion Officer</t>
  </si>
  <si>
    <t>(v) Interpreter</t>
  </si>
  <si>
    <t>(vi) Telecommunication Operator</t>
  </si>
  <si>
    <t>Administration</t>
  </si>
  <si>
    <t>(i) Hospital manager/HR/ Medical Sup.</t>
  </si>
  <si>
    <t>(ii) Nursing Superintendent</t>
  </si>
  <si>
    <t>(iii) Administrative Officer</t>
  </si>
  <si>
    <t>(iv) Clerical Staff</t>
  </si>
  <si>
    <t>(v) Peons</t>
  </si>
  <si>
    <t>(vi) Chief A/c Officer</t>
  </si>
  <si>
    <t>(vii) Drivers</t>
  </si>
  <si>
    <t>(viii) Quality Control Manager</t>
  </si>
  <si>
    <t>(ix) Assistant Quality Control Manager</t>
  </si>
  <si>
    <t>Hospital Engineering Services</t>
  </si>
  <si>
    <t>(i) Biomedical Engineer</t>
  </si>
  <si>
    <t>(ii) Plumber</t>
  </si>
  <si>
    <t>(iii) Electrician</t>
  </si>
  <si>
    <t xml:space="preserve">Central Sterilization: </t>
  </si>
  <si>
    <t>(i) Incharge</t>
  </si>
  <si>
    <t>(ii) Attendants</t>
  </si>
  <si>
    <t>Medical Record Section:</t>
  </si>
  <si>
    <t>(i) Medical Record Officer</t>
  </si>
  <si>
    <t>(ii) Assistants</t>
  </si>
  <si>
    <t>(iii) Computer Operator</t>
  </si>
  <si>
    <t>Security:</t>
  </si>
  <si>
    <t>(i) Chief Security Officer</t>
  </si>
  <si>
    <t>(ii) Assistant Security Officer</t>
  </si>
  <si>
    <t>(iii) Gunmen</t>
  </si>
  <si>
    <t>(iv) Watchmen</t>
  </si>
  <si>
    <t>Infection Control Department:</t>
  </si>
  <si>
    <t>(i) Infection Control Officer</t>
  </si>
  <si>
    <t>(ii) Infection Control Assistant</t>
  </si>
  <si>
    <t xml:space="preserve">TOTAL </t>
  </si>
  <si>
    <t>GRAND TOTAL (ANNUAL)</t>
  </si>
  <si>
    <t>(Subject to increment of 5%)</t>
  </si>
  <si>
    <t>Chapter- VI</t>
  </si>
  <si>
    <t>DETAILS OF PLANTS &amp; MACHINERY/ COMPUTERS/FURNITURE</t>
  </si>
  <si>
    <t>PLANT AND MACHINERY</t>
  </si>
  <si>
    <t xml:space="preserve">1. DIAGNOSTIC EQUIPMENTS </t>
  </si>
  <si>
    <t>No.</t>
  </si>
  <si>
    <t>Cost/unit</t>
  </si>
  <si>
    <t>AMOUNT</t>
  </si>
  <si>
    <t>(RS.)</t>
  </si>
  <si>
    <t>A) CARDIOLOGY/ ANAESTHESIA</t>
  </si>
  <si>
    <t>Monitors</t>
  </si>
  <si>
    <t>Single Channel</t>
  </si>
  <si>
    <t>Twin Channel</t>
  </si>
  <si>
    <t>Invasive Monitor</t>
  </si>
  <si>
    <t>Central Monitor 8 Channel</t>
  </si>
  <si>
    <t>Ventilator:</t>
  </si>
  <si>
    <t>(i) Transport (Oxylogvb 300)</t>
  </si>
  <si>
    <t>(ii) ICU Ventilator</t>
  </si>
  <si>
    <t>(iii) Neouatal/ Paediatric</t>
  </si>
  <si>
    <t>Anaesthesia Workstation</t>
  </si>
  <si>
    <t>Anaesthesia Machine</t>
  </si>
  <si>
    <t>Fiber Optic Brochoscope</t>
  </si>
  <si>
    <t>Anaesthisia Accessories</t>
  </si>
  <si>
    <t>Infusion Pumps (Syringe)</t>
  </si>
  <si>
    <t>Fluid Warmer</t>
  </si>
  <si>
    <t>Patent Warming Devices</t>
  </si>
  <si>
    <t>Volume Infussion Pump</t>
  </si>
  <si>
    <t>B) Pathology</t>
  </si>
  <si>
    <t>(i) Fully Automated Hematology Analyzer</t>
  </si>
  <si>
    <t>(ii) Fully Automated Hormonal Assay Analyzer</t>
  </si>
  <si>
    <t>(iii) Fully Automated Biochemistry Analyzer</t>
  </si>
  <si>
    <t>C) Dialysis</t>
  </si>
  <si>
    <t>(i) Dialysis Machine (Dialog + 710200A)</t>
  </si>
  <si>
    <t xml:space="preserve"> </t>
  </si>
  <si>
    <t>(ii) R.O System</t>
  </si>
  <si>
    <t>(iii) Dialysis Chairs</t>
  </si>
  <si>
    <t>(iv)Uroflowmetry Machine</t>
  </si>
  <si>
    <t>D) E.N.T</t>
  </si>
  <si>
    <t>(i)ENT OPD</t>
  </si>
  <si>
    <t>(ii) Ear Surgery</t>
  </si>
  <si>
    <t>(iii) Tonsillectomy</t>
  </si>
  <si>
    <t>(iv) Septoplasty</t>
  </si>
  <si>
    <t>(v) Fess Instruments</t>
  </si>
  <si>
    <t>(vi) Rigid Oesophagoscope/ Bronchoscope</t>
  </si>
  <si>
    <t>(vii) Tracheotomy Set</t>
  </si>
  <si>
    <t>(viii) Thyroid Set</t>
  </si>
  <si>
    <t>(ix) Other Equipments</t>
  </si>
  <si>
    <t>E) Physiotherapy Equipments</t>
  </si>
  <si>
    <t>Tens &amp; MS Pocket Type with LCD</t>
  </si>
  <si>
    <t>EMS (Imported)</t>
  </si>
  <si>
    <t>Interferential Therapy</t>
  </si>
  <si>
    <t>Ultra Sound Therapy</t>
  </si>
  <si>
    <t>Muscle Stimulator</t>
  </si>
  <si>
    <t>Air Compressor Therapy Equipment</t>
  </si>
  <si>
    <t xml:space="preserve">Knee CPM Machine </t>
  </si>
  <si>
    <t>Traction Machine</t>
  </si>
  <si>
    <t>Traction Table ( 3 Fould)</t>
  </si>
  <si>
    <t xml:space="preserve">Contrast Bath </t>
  </si>
  <si>
    <t>Hydrocollator</t>
  </si>
  <si>
    <t>Paraffine Wax Bath</t>
  </si>
  <si>
    <t>Tilt Table</t>
  </si>
  <si>
    <t>Chest Exerciser</t>
  </si>
  <si>
    <t>Staircase</t>
  </si>
  <si>
    <t>Weight Cuff Stand</t>
  </si>
  <si>
    <t>Dumbell Set</t>
  </si>
  <si>
    <t>Wrist Circumductor</t>
  </si>
  <si>
    <t>Hand Gym Kit Board</t>
  </si>
  <si>
    <t>Hand Exercise Table</t>
  </si>
  <si>
    <t>Multi Exercise Table</t>
  </si>
  <si>
    <t>Wrist Roll</t>
  </si>
  <si>
    <t>Quad Ricep Table</t>
  </si>
  <si>
    <t>Exercise Tubing</t>
  </si>
  <si>
    <t>Suspension Table</t>
  </si>
  <si>
    <t>Sanding Unit Semicircular</t>
  </si>
  <si>
    <t>Sanding Unit Overhead</t>
  </si>
  <si>
    <t xml:space="preserve">Balance Board </t>
  </si>
  <si>
    <t xml:space="preserve">Physio Ball </t>
  </si>
  <si>
    <t>Postural Training Mirror</t>
  </si>
  <si>
    <t>Parallel Bar</t>
  </si>
  <si>
    <t>Trolley</t>
  </si>
  <si>
    <t>Pedo Cycle</t>
  </si>
  <si>
    <t>Ankle Exercise</t>
  </si>
  <si>
    <t>Hand Grip Exerciser</t>
  </si>
  <si>
    <t>Foot Exerciser</t>
  </si>
  <si>
    <t>Ankle Exerciser</t>
  </si>
  <si>
    <t>F) O.T and Examination  Instruments</t>
  </si>
  <si>
    <t>1. Instruments</t>
  </si>
  <si>
    <t>(i) General Surgery Major Basic Set</t>
  </si>
  <si>
    <t>(ii) Ortho General Set</t>
  </si>
  <si>
    <t>(iii) D &amp; C Set</t>
  </si>
  <si>
    <t>(iv) Abdominal hyseterectomy set</t>
  </si>
  <si>
    <t xml:space="preserve">2. C Arm image </t>
  </si>
  <si>
    <t>3. Laminar Air flow with Central Airconditioning</t>
  </si>
  <si>
    <t>4. Electro Coutery</t>
  </si>
  <si>
    <t>5. Suction Apparatus</t>
  </si>
  <si>
    <t>6. Modular OT</t>
  </si>
  <si>
    <t>2. O.T LED Light</t>
  </si>
  <si>
    <t xml:space="preserve">                                                                                                                                                                                                                                                                             </t>
  </si>
  <si>
    <t>(i) Operation Theatre LED Light Model</t>
  </si>
  <si>
    <t>(ii) Alfa 9+9</t>
  </si>
  <si>
    <t>(iii) OT Table Electric cum manual</t>
  </si>
  <si>
    <t>(iv) OT Table Hydraulic</t>
  </si>
  <si>
    <t>CSSD Project</t>
  </si>
  <si>
    <t>Hospital Furniture (Bed etc.)</t>
  </si>
  <si>
    <t>Medical Gas Pipeline</t>
  </si>
  <si>
    <t>Electric Pannel</t>
  </si>
  <si>
    <t>Taxes &amp; Duties</t>
  </si>
  <si>
    <t>TOTAL PLANT &amp; MACHINERY</t>
  </si>
  <si>
    <t>Office Furniture</t>
  </si>
  <si>
    <t>Computer /HIS / CC TV etc</t>
  </si>
  <si>
    <t>Grand Total</t>
  </si>
  <si>
    <t>ANNEXURE-I</t>
  </si>
  <si>
    <t>PROJECT COST &amp; MEANS OF FINANCE</t>
  </si>
  <si>
    <t>(RS.IN LAKHS)</t>
  </si>
  <si>
    <t>Building Rented</t>
  </si>
  <si>
    <t>Plant &amp; Machinary</t>
  </si>
  <si>
    <t>(As per Chapter no. VI)</t>
  </si>
  <si>
    <t>Furniture &amp; Fixtures</t>
  </si>
  <si>
    <t>Deposits with Owner of building</t>
  </si>
  <si>
    <t>Pre- operative Expenses</t>
  </si>
  <si>
    <t>Bank Charges, Stamp Duty &amp; Others</t>
  </si>
  <si>
    <t>(Being W/O in 5 years)</t>
  </si>
  <si>
    <t>Interest during construction period</t>
  </si>
  <si>
    <t>TOTAL</t>
  </si>
  <si>
    <t>MEANS OF FINANCE</t>
  </si>
  <si>
    <t>Term Loan</t>
  </si>
  <si>
    <t>ANNEXURE-II</t>
  </si>
  <si>
    <t>Statement of repayment of term loan and calculation of interest</t>
  </si>
  <si>
    <t>Rate of interest :</t>
  </si>
  <si>
    <t>Repayment:</t>
  </si>
  <si>
    <t xml:space="preserve">                     after moratarium period 12 Months</t>
  </si>
  <si>
    <t xml:space="preserve">        (Rs. in Lacs)</t>
  </si>
  <si>
    <t>Year</t>
  </si>
  <si>
    <t>Op. Balance</t>
  </si>
  <si>
    <t>Subsidy</t>
  </si>
  <si>
    <t>Interest</t>
  </si>
  <si>
    <t>Clo. Balance</t>
  </si>
  <si>
    <t>Details of calculation</t>
  </si>
  <si>
    <t xml:space="preserve">        (Amount in Rs)</t>
  </si>
  <si>
    <t>Month</t>
  </si>
  <si>
    <t>ANNEXURE- III</t>
  </si>
  <si>
    <t>STATEMENT OF CALCULATION OF DEPRECIATION</t>
  </si>
  <si>
    <t>(RS. IN LACS)</t>
  </si>
  <si>
    <t xml:space="preserve">Year </t>
  </si>
  <si>
    <t>Assets</t>
  </si>
  <si>
    <t>Op. WDV</t>
  </si>
  <si>
    <t>Addition</t>
  </si>
  <si>
    <t xml:space="preserve">Rate of </t>
  </si>
  <si>
    <t>Total</t>
  </si>
  <si>
    <t>Depreciation</t>
  </si>
  <si>
    <t>Dep.</t>
  </si>
  <si>
    <t>Plant &amp; Machinery</t>
  </si>
  <si>
    <t>Computer / HIS /CC TV etc.</t>
  </si>
  <si>
    <t>ANNEXURE-IV</t>
  </si>
  <si>
    <t>PROJECTED PROFITABILITY STATEMENT</t>
  </si>
  <si>
    <t xml:space="preserve">YEAR                               </t>
  </si>
  <si>
    <t>A</t>
  </si>
  <si>
    <t xml:space="preserve"> Revenue</t>
  </si>
  <si>
    <t>Operating Revenue</t>
  </si>
  <si>
    <t>(As per chapter IV    )</t>
  </si>
  <si>
    <t>Rent of Medical Store</t>
  </si>
  <si>
    <t>Rent of Canteen</t>
  </si>
  <si>
    <t>Total `A`</t>
  </si>
  <si>
    <t>B</t>
  </si>
  <si>
    <t>Cost of Consumables</t>
  </si>
  <si>
    <t>Opening stock</t>
  </si>
  <si>
    <t>Add:- Purchases</t>
  </si>
  <si>
    <t>Less: Closing stock</t>
  </si>
  <si>
    <t>Total Cost of consumption</t>
  </si>
  <si>
    <t>C</t>
  </si>
  <si>
    <t>Rent</t>
  </si>
  <si>
    <t>D</t>
  </si>
  <si>
    <t>Salary &amp; Employee Benefits</t>
  </si>
  <si>
    <t>E</t>
  </si>
  <si>
    <t>Power &amp; water Charges</t>
  </si>
  <si>
    <t>F</t>
  </si>
  <si>
    <t>Other Overheads</t>
  </si>
  <si>
    <t>Laundary Rent</t>
  </si>
  <si>
    <t>Printing &amp; Stationery</t>
  </si>
  <si>
    <t>Rent of Plant &amp; Euipment</t>
  </si>
  <si>
    <t>Promotion Expenses</t>
  </si>
  <si>
    <t>Repairs &amp; Maintainance</t>
  </si>
  <si>
    <t>Other Expenses</t>
  </si>
  <si>
    <t>Total `B` to `D`</t>
  </si>
  <si>
    <t>G</t>
  </si>
  <si>
    <t>Operating Profit (D-E)</t>
  </si>
  <si>
    <t>H</t>
  </si>
  <si>
    <t>Finacial Expenses</t>
  </si>
  <si>
    <t>1.Int. on T/L</t>
  </si>
  <si>
    <t>Total of  'H'</t>
  </si>
  <si>
    <t>Profit before Depreciation (G-H)</t>
  </si>
  <si>
    <t>J</t>
  </si>
  <si>
    <t>K</t>
  </si>
  <si>
    <t>L</t>
  </si>
  <si>
    <t>Interest on capital to Partners</t>
  </si>
  <si>
    <t>(12% of capital)</t>
  </si>
  <si>
    <t>M</t>
  </si>
  <si>
    <t>Partners Remuneration</t>
  </si>
  <si>
    <t>N</t>
  </si>
  <si>
    <t>Profit Before Tax</t>
  </si>
  <si>
    <t>O</t>
  </si>
  <si>
    <t>Less: Pre operative Exp. W/O</t>
  </si>
  <si>
    <t>P</t>
  </si>
  <si>
    <t>Tax payable (34.944%)</t>
  </si>
  <si>
    <t>Q</t>
  </si>
  <si>
    <t>Profit after tax</t>
  </si>
  <si>
    <t>R</t>
  </si>
  <si>
    <t>Add: Depreciation</t>
  </si>
  <si>
    <t>S</t>
  </si>
  <si>
    <t>T</t>
  </si>
  <si>
    <t>Repayment of T.L. with interest</t>
  </si>
  <si>
    <t>U</t>
  </si>
  <si>
    <t>DSCR (S/T)</t>
  </si>
  <si>
    <t xml:space="preserve">Notes : </t>
  </si>
  <si>
    <t>Rent: Rs. 11.00 lacs / month subject to increment of 10% every year alongwith assisstance of waiver of rent of 3 months in</t>
  </si>
  <si>
    <t xml:space="preserve"> the first year as per the terms and conditions of agreement.</t>
  </si>
  <si>
    <t>Plant &amp; Machinery for 1 ICU unit &amp; Trauma unit will be taken on rent subject to increment of 5%.</t>
  </si>
  <si>
    <t xml:space="preserve">Repairs &amp; Maitainance of the building will be undertaken by the owner for the period of three years and for machinery, </t>
  </si>
  <si>
    <t xml:space="preserve">maintainance will be free for one year. Repairs of plant &amp; Machinery and computers /HIS/CCTV has been taken 2.5% of </t>
  </si>
  <si>
    <t>the cost from the second year subject to increment of 5%.</t>
  </si>
  <si>
    <t>Projected Balance Sheet</t>
  </si>
  <si>
    <t>ANNEXURE-V</t>
  </si>
  <si>
    <t>YEAR</t>
  </si>
  <si>
    <t>A.</t>
  </si>
  <si>
    <t>Sources of funds</t>
  </si>
  <si>
    <t>Partner Capital</t>
  </si>
  <si>
    <t>(As per annexure VI)</t>
  </si>
  <si>
    <t>Secured Loan</t>
  </si>
  <si>
    <t>Unsecured Loan</t>
  </si>
  <si>
    <t>B.</t>
  </si>
  <si>
    <t>Application of funds</t>
  </si>
  <si>
    <t>Gross Block</t>
  </si>
  <si>
    <t>Less : Acc. Depreciation</t>
  </si>
  <si>
    <t>Net Block</t>
  </si>
  <si>
    <t>Deposit against building</t>
  </si>
  <si>
    <t>Current Assets</t>
  </si>
  <si>
    <t>Closing Stock</t>
  </si>
  <si>
    <t>Cash &amp; Bank Balance</t>
  </si>
  <si>
    <t>Pre operative Expenses</t>
  </si>
  <si>
    <t>(to the extent not W/o)</t>
  </si>
  <si>
    <t>NW</t>
  </si>
  <si>
    <t>CA</t>
  </si>
  <si>
    <t>ANNEXURE-VI</t>
  </si>
  <si>
    <t>Projected Capital Account</t>
  </si>
  <si>
    <t>YEARS</t>
  </si>
  <si>
    <t>Opening Capital</t>
  </si>
  <si>
    <t>Contribution</t>
  </si>
  <si>
    <t>Add: Net Profit Current Year</t>
  </si>
  <si>
    <t>Add: Intt. On Capital</t>
  </si>
  <si>
    <t>Add: Remuneration to Partner</t>
  </si>
  <si>
    <t>Less: Drawings</t>
  </si>
  <si>
    <t>Closing Balance</t>
  </si>
  <si>
    <t>ANNEXURE-VII</t>
  </si>
  <si>
    <t>Cash Flow Statement</t>
  </si>
  <si>
    <t>Inflow of cash</t>
  </si>
  <si>
    <t>Profit before Partner`s Rem.</t>
  </si>
  <si>
    <t>Outflow of cash</t>
  </si>
  <si>
    <t>Repayment of  term Loan</t>
  </si>
  <si>
    <t xml:space="preserve">Pre operative </t>
  </si>
  <si>
    <t>Partner`s Drawings</t>
  </si>
  <si>
    <t>Increase in WC</t>
  </si>
  <si>
    <t>Tax</t>
  </si>
  <si>
    <t>Total `B`</t>
  </si>
  <si>
    <t>Surplus</t>
  </si>
  <si>
    <t>Opening balance</t>
  </si>
  <si>
    <t>ANNEXURE-VIII</t>
  </si>
  <si>
    <t>BREAK EVEN ANALYSIS</t>
  </si>
  <si>
    <t>VARIABLE COST</t>
  </si>
  <si>
    <t>1. Consumables</t>
  </si>
  <si>
    <t>2. Salary (30%)</t>
  </si>
  <si>
    <t>4.Power &amp; water Charges 50%</t>
  </si>
  <si>
    <t>5. Laundary Rent</t>
  </si>
  <si>
    <t>6 Other Oveheads (30%)</t>
  </si>
  <si>
    <t>SEMIVARIABLE/FIXEDCOST</t>
  </si>
  <si>
    <t>1. Salary (70%)</t>
  </si>
  <si>
    <t>2. Building Rent</t>
  </si>
  <si>
    <t>3. Rent of P/M</t>
  </si>
  <si>
    <t>5. Depreciation</t>
  </si>
  <si>
    <t>6.Int. on Term loan</t>
  </si>
  <si>
    <t>7. Other Oveheads (70%)</t>
  </si>
  <si>
    <t>8. Repair &amp; Maintainance</t>
  </si>
  <si>
    <t>CONTRIBUTION</t>
  </si>
  <si>
    <t>Sales revenue</t>
  </si>
  <si>
    <t>Less: Variable Cost</t>
  </si>
  <si>
    <t>BEP in Sales (Rs. in lacs)</t>
  </si>
  <si>
    <t>replacement. Currently, he is running a hospital named                Hospital &amp; Trauma centre in</t>
  </si>
  <si>
    <t xml:space="preserve">(Urology). Along with his private practice he is also consultant in                Hospital. His </t>
  </si>
  <si>
    <t/>
  </si>
  <si>
    <t>C/U</t>
  </si>
  <si>
    <t>UNIT</t>
  </si>
  <si>
    <t>no</t>
  </si>
  <si>
    <t>cost/unit</t>
  </si>
  <si>
    <t>amount</t>
  </si>
  <si>
    <t>RENT PER MONTH</t>
  </si>
  <si>
    <t>Promoter's Cotribution(Balancing Figure by promoter)</t>
  </si>
  <si>
    <t>Repayment of principal</t>
  </si>
  <si>
    <t>Total EMI</t>
  </si>
  <si>
    <t>just a minute</t>
  </si>
  <si>
    <t>Profit before Partner`s Remuneration Tax(H-I)</t>
  </si>
  <si>
    <t>Dr. Dheeraj Kumar</t>
  </si>
  <si>
    <t>Dr. Rishabh Mittal</t>
  </si>
  <si>
    <t xml:space="preserve"> Smt. Tripti Tomar</t>
  </si>
  <si>
    <t>Dr. Shivani Sahu</t>
  </si>
  <si>
    <t>GOODWILL</t>
  </si>
  <si>
    <t>BEP = (FIXED COST / CONTRIBUTION)* SALES</t>
  </si>
  <si>
    <t>Cash Surplus + Intt. on T/L&amp; CC (EBITDA)</t>
  </si>
  <si>
    <t>Branch</t>
  </si>
  <si>
    <t>Indraprastha-apollo-hospitals</t>
  </si>
  <si>
    <t>Company</t>
  </si>
  <si>
    <t>Apollo-hospitals</t>
  </si>
  <si>
    <t>Indraprastha-new-delhi</t>
  </si>
  <si>
    <t>RISHABH MITTAL</t>
  </si>
  <si>
    <t>MBAN1MG23183</t>
  </si>
  <si>
    <t>DHEERAJ KUMAR</t>
  </si>
  <si>
    <t>MBAN1BA23026</t>
  </si>
  <si>
    <t>KAMMATI SAI KUMAR</t>
  </si>
  <si>
    <t>MBAN1AG23011</t>
  </si>
  <si>
    <t>SHIVANI SAHU</t>
  </si>
  <si>
    <t>MBAN1BA23033</t>
  </si>
  <si>
    <t>ANSHUL DUBEY</t>
  </si>
  <si>
    <t>MBAN1AG23012</t>
  </si>
  <si>
    <r>
      <t xml:space="preserve">   The assessee, being</t>
    </r>
    <r>
      <rPr>
        <b/>
        <sz val="11.05"/>
        <rFont val="Arial"/>
        <family val="2"/>
      </rPr>
      <t xml:space="preserve"> Indraprastha-apollo-hospitals</t>
    </r>
    <r>
      <rPr>
        <sz val="11.05"/>
        <rFont val="Arial"/>
        <family val="2"/>
      </rPr>
      <t xml:space="preserve"> is planning to do value addition in his hospital  named  </t>
    </r>
  </si>
  <si>
    <r>
      <t xml:space="preserve">                                         </t>
    </r>
    <r>
      <rPr>
        <sz val="11.05"/>
        <color rgb="FFFF0000"/>
        <rFont val="Arial"/>
        <family val="2"/>
      </rPr>
      <t>,Indraprastha-apollo-hospitals</t>
    </r>
    <r>
      <rPr>
        <sz val="11.05"/>
        <rFont val="Arial"/>
        <family val="2"/>
      </rPr>
      <t xml:space="preserve">. As a matter of fact, this city lack in modern and well </t>
    </r>
  </si>
  <si>
    <t xml:space="preserve">     The city enjoys the huge potential to serves local people along with sourroundings by </t>
  </si>
  <si>
    <t>as well places of adjoining states of U.P. Haryana,MP,HP and Rajasthan.</t>
  </si>
  <si>
    <t>Promoters</t>
  </si>
  <si>
    <r>
      <t>DSCR stands for Debt Service Coverage Ratio. It's a financial metric used by lenders to assess a company's ability to repay its debt obligations.</t>
    </r>
    <r>
      <rPr>
        <b/>
        <sz val="10"/>
        <rFont val="Arial"/>
        <family val="2"/>
      </rPr>
      <t xml:space="preserve"> The ratio is calculated by dividing a company's operating income by its total debt service obligations.</t>
    </r>
    <r>
      <rPr>
        <sz val="10"/>
        <rFont val="Arial"/>
        <family val="2"/>
      </rPr>
      <t xml:space="preserve"> A higher DSCR indicates a better ability to cover debt payments, which is generally seen as favorable by lenders. It's commonly used in credit analysis, especially when evaluating the creditworthiness of businesses seeking loans or investments.</t>
    </r>
  </si>
  <si>
    <t>PROMOTERS PROFILE</t>
  </si>
  <si>
    <r>
      <t xml:space="preserve">Dr. DHEERAJ KUMAR              </t>
    </r>
    <r>
      <rPr>
        <sz val="12"/>
        <rFont val="Arial"/>
        <family val="2"/>
      </rPr>
      <t>is a qualified medical practioner and holds the degree of M.B.B.S,</t>
    </r>
  </si>
  <si>
    <r>
      <t xml:space="preserve">Dr. RISHAB MITTAL </t>
    </r>
    <r>
      <rPr>
        <sz val="12"/>
        <rFont val="Arial"/>
        <family val="2"/>
      </rPr>
      <t>is a anaesthesiologist holds the degree of M.B.B.S, D.A.. She is a Ex Consul-</t>
    </r>
  </si>
  <si>
    <r>
      <t xml:space="preserve">Dr. TRIPTI TOMAR                    , </t>
    </r>
    <r>
      <rPr>
        <sz val="12"/>
        <rFont val="Arial"/>
        <family val="2"/>
      </rPr>
      <t xml:space="preserve">a renowned urologist with a experience of 6 years. He is M.B.B.S, M.S.,  MCH </t>
    </r>
  </si>
  <si>
    <r>
      <t xml:space="preserve">DR. SHIVANI SHAHU      </t>
    </r>
    <r>
      <rPr>
        <sz val="12"/>
        <rFont val="Arial"/>
        <family val="2"/>
      </rPr>
      <t>a post graduate in Arts, post graduate diploma in Personnel Management</t>
    </r>
  </si>
  <si>
    <r>
      <t xml:space="preserve">ANSHUL DUBEY </t>
    </r>
    <r>
      <rPr>
        <sz val="14"/>
        <color rgb="FF000000"/>
        <rFont val="Calibri"/>
        <family val="2"/>
      </rPr>
      <t>a well known Angel Investor</t>
    </r>
  </si>
  <si>
    <r>
      <t xml:space="preserve">KAMMATI SAI KUMAR </t>
    </r>
    <r>
      <rPr>
        <sz val="14"/>
        <color rgb="FF000000"/>
        <rFont val="Calibri"/>
        <family val="2"/>
      </rPr>
      <t>a well known Angel Investor</t>
    </r>
  </si>
  <si>
    <t>10 Years (120 Monthly Instalments)</t>
  </si>
  <si>
    <t>710 Bed Patient Hospital</t>
  </si>
  <si>
    <t>APOLLO DELHI</t>
  </si>
  <si>
    <t>TRIPTI TOMAR</t>
  </si>
  <si>
    <t>MBAN1BA23025</t>
  </si>
  <si>
    <t>710 Beds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</si>
</sst>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64" x14ac:knownFonts="1">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36"/>
      <name val="Arial"/>
      <family val="2"/>
    </font>
    <font>
      <b/>
      <sz val="22"/>
      <name val="Arial"/>
      <family val="2"/>
    </font>
    <font>
      <b/>
      <sz val="28"/>
      <name val="Arial"/>
      <family val="2"/>
    </font>
    <font>
      <b/>
      <sz val="20"/>
      <name val="Arial"/>
      <family val="2"/>
    </font>
    <font>
      <b/>
      <sz val="18.05"/>
      <name val="Arial"/>
      <family val="2"/>
    </font>
    <font>
      <sz val="12"/>
      <name val="Arial"/>
      <family val="2"/>
    </font>
    <font>
      <b/>
      <sz val="10"/>
      <name val="Arial"/>
      <family val="2"/>
    </font>
    <font>
      <b/>
      <u/>
      <sz val="12"/>
      <name val="Arial"/>
      <family val="2"/>
    </font>
    <font>
      <sz val="11"/>
      <name val="Arial"/>
      <family val="2"/>
    </font>
    <font>
      <sz val="11.05"/>
      <name val="Arial"/>
      <family val="2"/>
    </font>
    <font>
      <b/>
      <u/>
      <sz val="11"/>
      <name val="Arial"/>
      <family val="2"/>
    </font>
    <font>
      <b/>
      <sz val="11"/>
      <name val="Arial"/>
      <family val="2"/>
    </font>
    <font>
      <u/>
      <sz val="11"/>
      <name val="Arial"/>
      <family val="2"/>
    </font>
    <font>
      <b/>
      <sz val="12"/>
      <name val="Arial"/>
      <family val="2"/>
    </font>
    <font>
      <b/>
      <u/>
      <sz val="10"/>
      <name val="Arial"/>
      <family val="2"/>
    </font>
    <font>
      <sz val="8"/>
      <name val="Arial"/>
      <family val="2"/>
    </font>
    <font>
      <b/>
      <u/>
      <sz val="14"/>
      <name val="Arial"/>
      <family val="2"/>
    </font>
    <font>
      <u/>
      <sz val="10"/>
      <name val="Arial"/>
      <family val="2"/>
    </font>
    <font>
      <b/>
      <sz val="11.05"/>
      <name val="Arial"/>
      <family val="2"/>
    </font>
    <font>
      <b/>
      <u/>
      <sz val="11"/>
      <name val="Calibri"/>
      <family val="2"/>
    </font>
    <font>
      <sz val="11"/>
      <name val="Calibri"/>
      <family val="2"/>
    </font>
    <font>
      <b/>
      <sz val="11"/>
      <name val="Cambria"/>
      <family val="1"/>
    </font>
    <font>
      <sz val="11"/>
      <name val="Cambria"/>
      <family val="1"/>
    </font>
    <font>
      <sz val="11.05"/>
      <name val="Cambria"/>
      <family val="1"/>
    </font>
    <font>
      <b/>
      <sz val="11.05"/>
      <name val="Cambria"/>
      <family val="1"/>
    </font>
    <font>
      <b/>
      <sz val="11"/>
      <name val="Calibri"/>
      <family val="2"/>
    </font>
    <font>
      <b/>
      <u/>
      <sz val="11"/>
      <name val="Cambria"/>
      <family val="1"/>
    </font>
    <font>
      <b/>
      <sz val="12"/>
      <name val="Calibri"/>
      <family val="2"/>
    </font>
    <font>
      <b/>
      <u/>
      <sz val="12"/>
      <name val="Calibri"/>
      <family val="2"/>
    </font>
    <font>
      <sz val="12"/>
      <name val="Calibri"/>
      <family val="2"/>
    </font>
    <font>
      <sz val="9"/>
      <name val="Arial"/>
      <family val="2"/>
    </font>
    <font>
      <u/>
      <sz val="12"/>
      <name val="Calibri"/>
      <family val="2"/>
    </font>
    <font>
      <b/>
      <u/>
      <sz val="11.5"/>
      <name val="Arial"/>
      <family val="2"/>
    </font>
    <font>
      <sz val="10"/>
      <name val="Arial"/>
      <family val="2"/>
    </font>
    <font>
      <sz val="10"/>
      <color rgb="FFFF0000"/>
      <name val="Arial"/>
      <family val="2"/>
    </font>
    <font>
      <b/>
      <sz val="12"/>
      <color rgb="FFFF0000"/>
      <name val="Calibri"/>
      <family val="2"/>
    </font>
    <font>
      <sz val="12"/>
      <color rgb="FFFF0000"/>
      <name val="Calibri"/>
      <family val="2"/>
    </font>
    <font>
      <sz val="9"/>
      <color rgb="FFFF0000"/>
      <name val="Arial"/>
      <family val="2"/>
    </font>
    <font>
      <sz val="10"/>
      <color theme="1"/>
      <name val="Arial"/>
      <family val="2"/>
    </font>
    <font>
      <b/>
      <sz val="12"/>
      <color theme="1"/>
      <name val="Calibri"/>
      <family val="2"/>
    </font>
    <font>
      <sz val="12"/>
      <color theme="1"/>
      <name val="Calibri"/>
      <family val="2"/>
    </font>
    <font>
      <sz val="9"/>
      <color theme="1"/>
      <name val="Arial"/>
      <family val="2"/>
    </font>
    <font>
      <sz val="18"/>
      <color rgb="FF000000"/>
      <name val="Calibri"/>
      <family val="2"/>
    </font>
    <font>
      <sz val="14"/>
      <color rgb="FF000000"/>
      <name val="Calibri"/>
      <family val="2"/>
    </font>
    <font>
      <sz val="11.05"/>
      <color rgb="FFFF0000"/>
      <name val="Arial"/>
      <family val="2"/>
    </font>
    <font>
      <b/>
      <sz val="14"/>
      <color rgb="FF000000"/>
      <name val="Calibri"/>
      <family val="2"/>
    </font>
  </fonts>
  <fills count="39">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13"/>
        <bgColor indexed="34"/>
      </patternFill>
    </fill>
    <fill>
      <patternFill patternType="solid">
        <fgColor rgb="FFFFFF00"/>
        <bgColor indexed="64"/>
      </patternFill>
    </fill>
    <fill>
      <patternFill patternType="solid">
        <fgColor theme="9"/>
        <bgColor indexed="64"/>
      </patternFill>
    </fill>
    <fill>
      <patternFill patternType="solid">
        <fgColor theme="5" tint="0.59999389629810485"/>
        <bgColor indexed="64"/>
      </patternFill>
    </fill>
    <fill>
      <patternFill patternType="solid">
        <fgColor theme="5"/>
        <bgColor indexed="64"/>
      </patternFill>
    </fill>
    <fill>
      <patternFill patternType="solid">
        <fgColor theme="7"/>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rgb="FFFFC000"/>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499984740745262"/>
        <bgColor indexed="64"/>
      </patternFill>
    </fill>
    <fill>
      <patternFill patternType="solid">
        <fgColor theme="8"/>
        <bgColor indexed="64"/>
      </patternFill>
    </fill>
    <fill>
      <patternFill patternType="solid">
        <fgColor theme="0" tint="-0.249977111117893"/>
        <bgColor indexed="64"/>
      </patternFill>
    </fill>
  </fills>
  <borders count="2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right style="thin">
        <color indexed="8"/>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top style="thin">
        <color indexed="8"/>
      </top>
      <bottom style="double">
        <color indexed="8"/>
      </bottom>
      <diagonal/>
    </border>
    <border>
      <left/>
      <right/>
      <top style="thin">
        <color indexed="8"/>
      </top>
      <bottom style="double">
        <color indexed="8"/>
      </bottom>
      <diagonal/>
    </border>
    <border>
      <left/>
      <right style="thin">
        <color indexed="8"/>
      </right>
      <top style="thin">
        <color indexed="8"/>
      </top>
      <bottom style="double">
        <color indexed="8"/>
      </bottom>
      <diagonal/>
    </border>
    <border>
      <left style="thin">
        <color indexed="64"/>
      </left>
      <right style="thin">
        <color indexed="64"/>
      </right>
      <top style="thin">
        <color indexed="64"/>
      </top>
      <bottom style="thin">
        <color indexed="64"/>
      </bottom>
      <diagonal/>
    </border>
  </borders>
  <cellStyleXfs count="44">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51" fillId="0" borderId="0"/>
    <xf numFmtId="0" fontId="51" fillId="23" borderId="7" applyNumberFormat="0" applyAlignment="0" applyProtection="0"/>
    <xf numFmtId="0" fontId="14" fillId="20"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xf numFmtId="43" fontId="51" fillId="0" borderId="0" applyFont="0" applyFill="0" applyBorder="0" applyAlignment="0" applyProtection="0"/>
  </cellStyleXfs>
  <cellXfs count="583">
    <xf numFmtId="0" fontId="0" fillId="0" borderId="0" xfId="0"/>
    <xf numFmtId="0" fontId="0" fillId="0" borderId="0" xfId="0" applyAlignment="1">
      <alignment vertical="center"/>
    </xf>
    <xf numFmtId="0" fontId="0" fillId="0" borderId="10" xfId="0" applyBorder="1" applyAlignment="1">
      <alignment vertical="center"/>
    </xf>
    <xf numFmtId="0" fontId="0" fillId="0" borderId="11" xfId="0" applyBorder="1" applyAlignment="1">
      <alignment vertical="center"/>
    </xf>
    <xf numFmtId="0" fontId="0" fillId="0" borderId="12" xfId="0" applyBorder="1" applyAlignment="1">
      <alignment vertical="center"/>
    </xf>
    <xf numFmtId="0" fontId="0" fillId="0" borderId="13" xfId="0" applyBorder="1" applyAlignment="1">
      <alignment vertical="center"/>
    </xf>
    <xf numFmtId="0" fontId="0" fillId="0" borderId="14" xfId="0" applyBorder="1" applyAlignment="1">
      <alignment vertical="center"/>
    </xf>
    <xf numFmtId="0" fontId="20" fillId="0" borderId="13" xfId="0" applyFont="1" applyBorder="1" applyAlignment="1">
      <alignment horizontal="center" vertical="center"/>
    </xf>
    <xf numFmtId="0" fontId="20" fillId="0" borderId="0" xfId="0" applyFont="1" applyAlignment="1">
      <alignment horizontal="center" vertical="center"/>
    </xf>
    <xf numFmtId="0" fontId="20" fillId="0" borderId="14" xfId="0" applyFont="1" applyBorder="1" applyAlignment="1">
      <alignment horizontal="center" vertical="center"/>
    </xf>
    <xf numFmtId="0" fontId="21" fillId="0" borderId="13" xfId="0" applyFont="1" applyBorder="1" applyAlignment="1">
      <alignment horizontal="center" vertical="center" wrapText="1"/>
    </xf>
    <xf numFmtId="0" fontId="21" fillId="0" borderId="0" xfId="0" applyFont="1" applyAlignment="1">
      <alignment horizontal="center" vertical="center" wrapText="1"/>
    </xf>
    <xf numFmtId="0" fontId="21" fillId="0" borderId="14" xfId="0" applyFont="1" applyBorder="1" applyAlignment="1">
      <alignment horizontal="center" vertical="center" wrapText="1"/>
    </xf>
    <xf numFmtId="0" fontId="0" fillId="0" borderId="15" xfId="0" applyBorder="1" applyAlignment="1">
      <alignment vertical="center"/>
    </xf>
    <xf numFmtId="0" fontId="0" fillId="0" borderId="16" xfId="0" applyBorder="1" applyAlignment="1">
      <alignment vertical="center"/>
    </xf>
    <xf numFmtId="0" fontId="0" fillId="0" borderId="17" xfId="0" applyBorder="1" applyAlignment="1">
      <alignment vertical="center"/>
    </xf>
    <xf numFmtId="0" fontId="25" fillId="0" borderId="0" xfId="0" applyFont="1" applyAlignment="1">
      <alignment horizontal="center"/>
    </xf>
    <xf numFmtId="0" fontId="26" fillId="0" borderId="13" xfId="0" applyFont="1" applyBorder="1"/>
    <xf numFmtId="0" fontId="26" fillId="0" borderId="0" xfId="0" applyFont="1"/>
    <xf numFmtId="0" fontId="26" fillId="0" borderId="14" xfId="0" applyFont="1" applyBorder="1"/>
    <xf numFmtId="0" fontId="26" fillId="0" borderId="13" xfId="0" applyFont="1" applyBorder="1" applyAlignment="1">
      <alignment horizontal="center"/>
    </xf>
    <xf numFmtId="0" fontId="27" fillId="0" borderId="0" xfId="0" applyFont="1"/>
    <xf numFmtId="0" fontId="0" fillId="0" borderId="15" xfId="0" applyBorder="1"/>
    <xf numFmtId="0" fontId="0" fillId="0" borderId="16" xfId="0" applyBorder="1"/>
    <xf numFmtId="0" fontId="0" fillId="0" borderId="17" xfId="0" applyBorder="1"/>
    <xf numFmtId="0" fontId="0" fillId="24" borderId="0" xfId="0" applyFill="1"/>
    <xf numFmtId="0" fontId="29" fillId="0" borderId="0" xfId="0" applyFont="1"/>
    <xf numFmtId="0" fontId="0" fillId="0" borderId="12" xfId="0" applyBorder="1"/>
    <xf numFmtId="0" fontId="28" fillId="0" borderId="0" xfId="0" applyFont="1" applyAlignment="1">
      <alignment horizontal="center"/>
    </xf>
    <xf numFmtId="0" fontId="0" fillId="0" borderId="14" xfId="0" applyBorder="1"/>
    <xf numFmtId="0" fontId="0" fillId="0" borderId="13" xfId="0" applyBorder="1"/>
    <xf numFmtId="2" fontId="26" fillId="0" borderId="0" xfId="0" applyNumberFormat="1" applyFont="1"/>
    <xf numFmtId="0" fontId="28" fillId="0" borderId="0" xfId="0" applyFont="1"/>
    <xf numFmtId="2" fontId="0" fillId="0" borderId="0" xfId="0" applyNumberFormat="1"/>
    <xf numFmtId="2" fontId="0" fillId="0" borderId="16" xfId="0" applyNumberFormat="1" applyBorder="1"/>
    <xf numFmtId="0" fontId="24" fillId="0" borderId="0" xfId="0" applyFont="1" applyAlignment="1">
      <alignment horizontal="center"/>
    </xf>
    <xf numFmtId="0" fontId="32" fillId="0" borderId="0" xfId="0" applyFont="1" applyAlignment="1">
      <alignment horizontal="center"/>
    </xf>
    <xf numFmtId="0" fontId="23" fillId="0" borderId="0" xfId="0" applyFont="1"/>
    <xf numFmtId="0" fontId="31" fillId="0" borderId="0" xfId="0" applyFont="1"/>
    <xf numFmtId="0" fontId="32" fillId="0" borderId="0" xfId="0" applyFont="1" applyAlignment="1">
      <alignment horizontal="left"/>
    </xf>
    <xf numFmtId="0" fontId="0" fillId="0" borderId="18" xfId="0" applyBorder="1"/>
    <xf numFmtId="0" fontId="24" fillId="0" borderId="19" xfId="0" applyFont="1" applyBorder="1" applyAlignment="1">
      <alignment horizontal="center"/>
    </xf>
    <xf numFmtId="0" fontId="0" fillId="0" borderId="20" xfId="0" applyBorder="1"/>
    <xf numFmtId="0" fontId="0" fillId="0" borderId="21" xfId="0" applyBorder="1"/>
    <xf numFmtId="0" fontId="24" fillId="0" borderId="22" xfId="0" applyFont="1" applyBorder="1"/>
    <xf numFmtId="0" fontId="24" fillId="0" borderId="23" xfId="0" applyFont="1" applyBorder="1" applyAlignment="1">
      <alignment horizontal="center"/>
    </xf>
    <xf numFmtId="0" fontId="24" fillId="0" borderId="20" xfId="0" applyFont="1" applyBorder="1" applyAlignment="1">
      <alignment horizontal="center"/>
    </xf>
    <xf numFmtId="0" fontId="24" fillId="0" borderId="22" xfId="0" applyFont="1" applyBorder="1" applyAlignment="1">
      <alignment horizontal="center"/>
    </xf>
    <xf numFmtId="0" fontId="32" fillId="0" borderId="24" xfId="0" applyFont="1" applyBorder="1"/>
    <xf numFmtId="0" fontId="0" fillId="0" borderId="24" xfId="0" applyBorder="1"/>
    <xf numFmtId="0" fontId="24" fillId="0" borderId="13" xfId="0" applyFont="1" applyBorder="1"/>
    <xf numFmtId="0" fontId="24" fillId="0" borderId="24" xfId="0" applyFont="1" applyBorder="1"/>
    <xf numFmtId="9" fontId="0" fillId="0" borderId="13" xfId="0" applyNumberFormat="1" applyBorder="1" applyAlignment="1">
      <alignment horizontal="right"/>
    </xf>
    <xf numFmtId="9" fontId="0" fillId="0" borderId="24" xfId="0" applyNumberFormat="1" applyBorder="1" applyAlignment="1">
      <alignment horizontal="right"/>
    </xf>
    <xf numFmtId="9" fontId="0" fillId="0" borderId="0" xfId="0" applyNumberFormat="1" applyAlignment="1">
      <alignment horizontal="right"/>
    </xf>
    <xf numFmtId="0" fontId="0" fillId="0" borderId="13" xfId="0" applyBorder="1" applyAlignment="1">
      <alignment horizontal="right"/>
    </xf>
    <xf numFmtId="0" fontId="0" fillId="0" borderId="24" xfId="0" applyBorder="1" applyAlignment="1">
      <alignment horizontal="right"/>
    </xf>
    <xf numFmtId="0" fontId="0" fillId="0" borderId="0" xfId="0" applyAlignment="1">
      <alignment horizontal="right"/>
    </xf>
    <xf numFmtId="0" fontId="33" fillId="0" borderId="24" xfId="0" applyFont="1" applyBorder="1"/>
    <xf numFmtId="0" fontId="24" fillId="0" borderId="24" xfId="0" applyFont="1" applyBorder="1" applyAlignment="1">
      <alignment horizontal="right"/>
    </xf>
    <xf numFmtId="0" fontId="24" fillId="0" borderId="0" xfId="0" applyFont="1"/>
    <xf numFmtId="1" fontId="0" fillId="0" borderId="24" xfId="0" applyNumberFormat="1" applyBorder="1"/>
    <xf numFmtId="2" fontId="0" fillId="0" borderId="24" xfId="0" applyNumberFormat="1" applyBorder="1"/>
    <xf numFmtId="2" fontId="0" fillId="0" borderId="13" xfId="0" applyNumberFormat="1" applyBorder="1"/>
    <xf numFmtId="2" fontId="24" fillId="0" borderId="13" xfId="0" applyNumberFormat="1" applyFont="1" applyBorder="1"/>
    <xf numFmtId="2" fontId="24" fillId="0" borderId="24" xfId="0" applyNumberFormat="1" applyFont="1" applyBorder="1"/>
    <xf numFmtId="0" fontId="24" fillId="0" borderId="23" xfId="0" applyFont="1" applyBorder="1"/>
    <xf numFmtId="2" fontId="24" fillId="0" borderId="19" xfId="0" applyNumberFormat="1" applyFont="1" applyBorder="1"/>
    <xf numFmtId="2" fontId="24" fillId="0" borderId="23" xfId="0" applyNumberFormat="1" applyFont="1" applyBorder="1"/>
    <xf numFmtId="2" fontId="24" fillId="0" borderId="0" xfId="0" applyNumberFormat="1" applyFont="1"/>
    <xf numFmtId="0" fontId="34" fillId="0" borderId="0" xfId="0" applyFont="1"/>
    <xf numFmtId="0" fontId="24" fillId="0" borderId="0" xfId="0" applyFont="1" applyAlignment="1">
      <alignment horizontal="left"/>
    </xf>
    <xf numFmtId="0" fontId="35" fillId="0" borderId="0" xfId="0" applyFont="1" applyAlignment="1">
      <alignment horizontal="left"/>
    </xf>
    <xf numFmtId="0" fontId="24" fillId="0" borderId="10" xfId="0" applyFont="1" applyBorder="1" applyAlignment="1">
      <alignment horizontal="center"/>
    </xf>
    <xf numFmtId="0" fontId="24" fillId="0" borderId="11" xfId="0" applyFont="1" applyBorder="1"/>
    <xf numFmtId="0" fontId="24" fillId="0" borderId="11" xfId="0" applyFont="1" applyBorder="1" applyAlignment="1">
      <alignment horizontal="center"/>
    </xf>
    <xf numFmtId="0" fontId="24" fillId="0" borderId="16" xfId="0" applyFont="1" applyBorder="1"/>
    <xf numFmtId="0" fontId="36" fillId="0" borderId="0" xfId="0" applyFont="1" applyAlignment="1">
      <alignment horizontal="right"/>
    </xf>
    <xf numFmtId="0" fontId="29" fillId="0" borderId="0" xfId="0" applyFont="1" applyAlignment="1">
      <alignment horizontal="center"/>
    </xf>
    <xf numFmtId="0" fontId="0" fillId="0" borderId="13" xfId="0" applyBorder="1" applyAlignment="1">
      <alignment horizontal="center"/>
    </xf>
    <xf numFmtId="2" fontId="0" fillId="0" borderId="0" xfId="0" applyNumberFormat="1" applyAlignment="1">
      <alignment horizontal="right"/>
    </xf>
    <xf numFmtId="0" fontId="0" fillId="0" borderId="0" xfId="0" applyAlignment="1">
      <alignment horizontal="center"/>
    </xf>
    <xf numFmtId="0" fontId="0" fillId="0" borderId="15" xfId="0" applyBorder="1" applyAlignment="1">
      <alignment horizontal="center"/>
    </xf>
    <xf numFmtId="2" fontId="0" fillId="0" borderId="16" xfId="0" applyNumberFormat="1" applyBorder="1" applyAlignment="1">
      <alignment horizontal="right"/>
    </xf>
    <xf numFmtId="2" fontId="0" fillId="0" borderId="20" xfId="0" applyNumberFormat="1" applyBorder="1" applyAlignment="1">
      <alignment horizontal="right"/>
    </xf>
    <xf numFmtId="0" fontId="0" fillId="0" borderId="20" xfId="0" applyBorder="1" applyAlignment="1">
      <alignment horizontal="center"/>
    </xf>
    <xf numFmtId="2" fontId="24" fillId="0" borderId="26" xfId="0" applyNumberFormat="1" applyFont="1" applyBorder="1"/>
    <xf numFmtId="0" fontId="0" fillId="0" borderId="17" xfId="0" applyBorder="1" applyAlignment="1">
      <alignment horizontal="right"/>
    </xf>
    <xf numFmtId="2" fontId="24" fillId="0" borderId="0" xfId="0" applyNumberFormat="1" applyFont="1" applyAlignment="1">
      <alignment horizontal="right"/>
    </xf>
    <xf numFmtId="0" fontId="37" fillId="0" borderId="0" xfId="0" applyFont="1"/>
    <xf numFmtId="0" fontId="38" fillId="0" borderId="0" xfId="0" applyFont="1"/>
    <xf numFmtId="0" fontId="39" fillId="0" borderId="0" xfId="0" applyFont="1"/>
    <xf numFmtId="0" fontId="40" fillId="0" borderId="0" xfId="0" applyFont="1"/>
    <xf numFmtId="2" fontId="40" fillId="0" borderId="0" xfId="0" applyNumberFormat="1" applyFont="1"/>
    <xf numFmtId="2" fontId="26" fillId="0" borderId="0" xfId="0" applyNumberFormat="1" applyFont="1" applyAlignment="1">
      <alignment horizontal="right"/>
    </xf>
    <xf numFmtId="0" fontId="36" fillId="0" borderId="10" xfId="0" applyFont="1" applyBorder="1" applyAlignment="1">
      <alignment horizontal="center"/>
    </xf>
    <xf numFmtId="0" fontId="29" fillId="0" borderId="11" xfId="0" applyFont="1" applyBorder="1" applyAlignment="1">
      <alignment horizontal="left"/>
    </xf>
    <xf numFmtId="0" fontId="29" fillId="0" borderId="11" xfId="0" applyFont="1" applyBorder="1"/>
    <xf numFmtId="0" fontId="29" fillId="0" borderId="15" xfId="0" applyFont="1" applyBorder="1"/>
    <xf numFmtId="0" fontId="29" fillId="0" borderId="16" xfId="0" applyFont="1" applyBorder="1"/>
    <xf numFmtId="0" fontId="41" fillId="0" borderId="0" xfId="0" applyFont="1"/>
    <xf numFmtId="0" fontId="34" fillId="0" borderId="0" xfId="0" applyFont="1" applyAlignment="1">
      <alignment horizontal="center"/>
    </xf>
    <xf numFmtId="0" fontId="0" fillId="0" borderId="0" xfId="0" applyAlignment="1">
      <alignment horizontal="left"/>
    </xf>
    <xf numFmtId="0" fontId="31" fillId="0" borderId="0" xfId="0" applyFont="1" applyAlignment="1">
      <alignment horizontal="center"/>
    </xf>
    <xf numFmtId="0" fontId="29" fillId="0" borderId="11" xfId="0" applyFont="1" applyBorder="1" applyAlignment="1">
      <alignment horizontal="right"/>
    </xf>
    <xf numFmtId="0" fontId="36" fillId="0" borderId="16" xfId="0" applyFont="1" applyBorder="1" applyAlignment="1">
      <alignment horizontal="right"/>
    </xf>
    <xf numFmtId="0" fontId="26" fillId="0" borderId="0" xfId="0" applyFont="1" applyAlignment="1">
      <alignment horizontal="right"/>
    </xf>
    <xf numFmtId="2" fontId="40" fillId="0" borderId="0" xfId="0" applyNumberFormat="1" applyFont="1" applyAlignment="1">
      <alignment horizontal="right"/>
    </xf>
    <xf numFmtId="2" fontId="40" fillId="0" borderId="16" xfId="0" applyNumberFormat="1" applyFont="1" applyBorder="1" applyAlignment="1">
      <alignment horizontal="right"/>
    </xf>
    <xf numFmtId="2" fontId="24" fillId="0" borderId="20" xfId="0" applyNumberFormat="1" applyFont="1" applyBorder="1" applyAlignment="1">
      <alignment horizontal="right"/>
    </xf>
    <xf numFmtId="2" fontId="0" fillId="0" borderId="0" xfId="0" applyNumberFormat="1" applyAlignment="1">
      <alignment horizontal="center"/>
    </xf>
    <xf numFmtId="0" fontId="29" fillId="0" borderId="0" xfId="0" applyFont="1" applyAlignment="1">
      <alignment horizontal="left"/>
    </xf>
    <xf numFmtId="0" fontId="28" fillId="0" borderId="0" xfId="0" applyFont="1" applyAlignment="1">
      <alignment horizontal="left"/>
    </xf>
    <xf numFmtId="10" fontId="29" fillId="0" borderId="0" xfId="0" applyNumberFormat="1" applyFont="1" applyAlignment="1">
      <alignment horizontal="center"/>
    </xf>
    <xf numFmtId="0" fontId="29" fillId="0" borderId="0" xfId="0" applyFont="1" applyAlignment="1">
      <alignment horizontal="right"/>
    </xf>
    <xf numFmtId="3" fontId="0" fillId="0" borderId="0" xfId="0" applyNumberFormat="1"/>
    <xf numFmtId="2" fontId="0" fillId="0" borderId="20" xfId="0" applyNumberFormat="1" applyBorder="1"/>
    <xf numFmtId="0" fontId="32" fillId="0" borderId="0" xfId="0" applyFont="1"/>
    <xf numFmtId="0" fontId="0" fillId="0" borderId="10" xfId="0" applyBorder="1"/>
    <xf numFmtId="0" fontId="0" fillId="0" borderId="11" xfId="0" applyBorder="1"/>
    <xf numFmtId="2" fontId="0" fillId="0" borderId="14" xfId="0" applyNumberFormat="1" applyBorder="1"/>
    <xf numFmtId="0" fontId="0" fillId="0" borderId="19" xfId="0" applyBorder="1"/>
    <xf numFmtId="2" fontId="24" fillId="0" borderId="20" xfId="0" applyNumberFormat="1" applyFont="1" applyBorder="1"/>
    <xf numFmtId="2" fontId="0" fillId="0" borderId="21" xfId="0" applyNumberFormat="1" applyBorder="1"/>
    <xf numFmtId="0" fontId="0" fillId="0" borderId="11" xfId="0" applyBorder="1" applyAlignment="1">
      <alignment horizontal="center"/>
    </xf>
    <xf numFmtId="2" fontId="0" fillId="0" borderId="11" xfId="0" applyNumberFormat="1" applyBorder="1"/>
    <xf numFmtId="2" fontId="0" fillId="0" borderId="12" xfId="0" applyNumberFormat="1" applyBorder="1"/>
    <xf numFmtId="0" fontId="0" fillId="0" borderId="10" xfId="0" applyBorder="1" applyAlignment="1">
      <alignment horizontal="center"/>
    </xf>
    <xf numFmtId="0" fontId="45" fillId="0" borderId="0" xfId="0" applyFont="1" applyAlignment="1">
      <alignment horizontal="center"/>
    </xf>
    <xf numFmtId="0" fontId="26" fillId="0" borderId="0" xfId="0" applyFont="1" applyAlignment="1">
      <alignment horizontal="center"/>
    </xf>
    <xf numFmtId="0" fontId="24" fillId="0" borderId="18" xfId="0" applyFont="1" applyBorder="1" applyAlignment="1">
      <alignment horizontal="center"/>
    </xf>
    <xf numFmtId="0" fontId="24" fillId="0" borderId="10" xfId="0" applyFont="1" applyBorder="1"/>
    <xf numFmtId="0" fontId="24" fillId="0" borderId="10" xfId="0" applyFont="1" applyBorder="1" applyAlignment="1">
      <alignment horizontal="right"/>
    </xf>
    <xf numFmtId="0" fontId="24" fillId="0" borderId="11" xfId="0" applyFont="1" applyBorder="1" applyAlignment="1">
      <alignment horizontal="right"/>
    </xf>
    <xf numFmtId="0" fontId="24" fillId="0" borderId="12" xfId="0" applyFont="1" applyBorder="1" applyAlignment="1">
      <alignment horizontal="right"/>
    </xf>
    <xf numFmtId="0" fontId="24" fillId="0" borderId="15" xfId="0" applyFont="1" applyBorder="1"/>
    <xf numFmtId="0" fontId="24" fillId="0" borderId="19" xfId="0" applyFont="1" applyBorder="1"/>
    <xf numFmtId="0" fontId="24" fillId="0" borderId="20" xfId="0" applyFont="1" applyBorder="1"/>
    <xf numFmtId="0" fontId="24" fillId="0" borderId="21" xfId="0" applyFont="1" applyBorder="1" applyAlignment="1">
      <alignment horizontal="center"/>
    </xf>
    <xf numFmtId="0" fontId="0" fillId="0" borderId="24" xfId="0" applyBorder="1" applyAlignment="1">
      <alignment horizontal="center"/>
    </xf>
    <xf numFmtId="2" fontId="26" fillId="0" borderId="13" xfId="0" applyNumberFormat="1" applyFont="1" applyBorder="1" applyAlignment="1">
      <alignment horizontal="right"/>
    </xf>
    <xf numFmtId="9" fontId="26" fillId="0" borderId="0" xfId="0" applyNumberFormat="1" applyFont="1" applyAlignment="1">
      <alignment horizontal="center"/>
    </xf>
    <xf numFmtId="2" fontId="26" fillId="0" borderId="14" xfId="0" applyNumberFormat="1" applyFont="1" applyBorder="1"/>
    <xf numFmtId="10" fontId="26" fillId="0" borderId="0" xfId="0" applyNumberFormat="1" applyFont="1" applyAlignment="1">
      <alignment horizontal="center"/>
    </xf>
    <xf numFmtId="2" fontId="29" fillId="0" borderId="19" xfId="0" applyNumberFormat="1" applyFont="1" applyBorder="1" applyAlignment="1">
      <alignment horizontal="right"/>
    </xf>
    <xf numFmtId="2" fontId="29" fillId="0" borderId="20" xfId="0" applyNumberFormat="1" applyFont="1" applyBorder="1" applyAlignment="1">
      <alignment horizontal="right"/>
    </xf>
    <xf numFmtId="9" fontId="29" fillId="0" borderId="20" xfId="0" applyNumberFormat="1" applyFont="1" applyBorder="1" applyAlignment="1">
      <alignment horizontal="center"/>
    </xf>
    <xf numFmtId="0" fontId="0" fillId="0" borderId="18" xfId="0" applyBorder="1" applyAlignment="1">
      <alignment horizontal="center"/>
    </xf>
    <xf numFmtId="0" fontId="26" fillId="0" borderId="10" xfId="0" applyFont="1" applyBorder="1"/>
    <xf numFmtId="2" fontId="26" fillId="0" borderId="10" xfId="0" applyNumberFormat="1" applyFont="1" applyBorder="1" applyAlignment="1">
      <alignment horizontal="right"/>
    </xf>
    <xf numFmtId="2" fontId="26" fillId="0" borderId="11" xfId="0" applyNumberFormat="1" applyFont="1" applyBorder="1" applyAlignment="1">
      <alignment horizontal="right"/>
    </xf>
    <xf numFmtId="9" fontId="26" fillId="0" borderId="11" xfId="0" applyNumberFormat="1" applyFont="1" applyBorder="1" applyAlignment="1">
      <alignment horizontal="center"/>
    </xf>
    <xf numFmtId="2" fontId="26" fillId="0" borderId="12" xfId="0" applyNumberFormat="1" applyFont="1" applyBorder="1"/>
    <xf numFmtId="2" fontId="26" fillId="0" borderId="0" xfId="0" applyNumberFormat="1" applyFont="1" applyAlignment="1">
      <alignment horizontal="center"/>
    </xf>
    <xf numFmtId="2" fontId="29" fillId="0" borderId="21" xfId="0" applyNumberFormat="1" applyFont="1" applyBorder="1" applyAlignment="1">
      <alignment horizontal="right"/>
    </xf>
    <xf numFmtId="0" fontId="0" fillId="0" borderId="22" xfId="0" applyBorder="1"/>
    <xf numFmtId="0" fontId="46" fillId="0" borderId="0" xfId="0" applyFont="1" applyAlignment="1">
      <alignment horizontal="center"/>
    </xf>
    <xf numFmtId="0" fontId="47" fillId="0" borderId="0" xfId="0" applyFont="1"/>
    <xf numFmtId="0" fontId="47" fillId="0" borderId="0" xfId="0" applyFont="1" applyAlignment="1">
      <alignment horizontal="left"/>
    </xf>
    <xf numFmtId="0" fontId="48" fillId="0" borderId="0" xfId="0" applyFont="1"/>
    <xf numFmtId="0" fontId="45" fillId="0" borderId="0" xfId="0" applyFont="1"/>
    <xf numFmtId="0" fontId="45" fillId="0" borderId="19" xfId="0" applyFont="1" applyBorder="1" applyAlignment="1">
      <alignment horizontal="center"/>
    </xf>
    <xf numFmtId="0" fontId="45" fillId="0" borderId="20" xfId="0" applyFont="1" applyBorder="1" applyAlignment="1">
      <alignment horizontal="left"/>
    </xf>
    <xf numFmtId="0" fontId="47" fillId="0" borderId="20" xfId="0" applyFont="1" applyBorder="1"/>
    <xf numFmtId="0" fontId="45" fillId="0" borderId="23" xfId="0" applyFont="1" applyBorder="1" applyAlignment="1">
      <alignment horizontal="center"/>
    </xf>
    <xf numFmtId="0" fontId="45" fillId="0" borderId="20" xfId="0" applyFont="1" applyBorder="1" applyAlignment="1">
      <alignment horizontal="center"/>
    </xf>
    <xf numFmtId="0" fontId="45" fillId="0" borderId="13" xfId="0" applyFont="1" applyBorder="1" applyAlignment="1">
      <alignment horizontal="center"/>
    </xf>
    <xf numFmtId="0" fontId="47" fillId="0" borderId="24" xfId="0" applyFont="1" applyBorder="1"/>
    <xf numFmtId="0" fontId="47" fillId="0" borderId="11" xfId="0" applyFont="1" applyBorder="1"/>
    <xf numFmtId="0" fontId="47" fillId="0" borderId="18" xfId="0" applyFont="1" applyBorder="1"/>
    <xf numFmtId="0" fontId="46" fillId="0" borderId="0" xfId="0" applyFont="1"/>
    <xf numFmtId="2" fontId="47" fillId="0" borderId="24" xfId="0" applyNumberFormat="1" applyFont="1" applyBorder="1"/>
    <xf numFmtId="2" fontId="47" fillId="0" borderId="0" xfId="0" applyNumberFormat="1" applyFont="1"/>
    <xf numFmtId="0" fontId="47" fillId="0" borderId="13" xfId="0" applyFont="1" applyBorder="1"/>
    <xf numFmtId="2" fontId="45" fillId="0" borderId="23" xfId="0" applyNumberFormat="1" applyFont="1" applyBorder="1" applyAlignment="1">
      <alignment horizontal="right"/>
    </xf>
    <xf numFmtId="2" fontId="48" fillId="0" borderId="0" xfId="0" applyNumberFormat="1" applyFont="1"/>
    <xf numFmtId="0" fontId="47" fillId="0" borderId="24" xfId="0" applyFont="1" applyBorder="1" applyAlignment="1">
      <alignment horizontal="center"/>
    </xf>
    <xf numFmtId="2" fontId="47" fillId="0" borderId="24" xfId="0" applyNumberFormat="1" applyFont="1" applyBorder="1" applyAlignment="1">
      <alignment horizontal="right"/>
    </xf>
    <xf numFmtId="0" fontId="47" fillId="0" borderId="24" xfId="0" applyFont="1" applyBorder="1" applyAlignment="1">
      <alignment horizontal="right"/>
    </xf>
    <xf numFmtId="2" fontId="45" fillId="0" borderId="24" xfId="0" applyNumberFormat="1" applyFont="1" applyBorder="1" applyAlignment="1">
      <alignment horizontal="right"/>
    </xf>
    <xf numFmtId="0" fontId="45" fillId="0" borderId="24" xfId="0" applyFont="1" applyBorder="1" applyAlignment="1">
      <alignment horizontal="right"/>
    </xf>
    <xf numFmtId="2" fontId="47" fillId="0" borderId="0" xfId="0" applyNumberFormat="1" applyFont="1" applyAlignment="1">
      <alignment horizontal="right"/>
    </xf>
    <xf numFmtId="0" fontId="45" fillId="0" borderId="15" xfId="0" applyFont="1" applyBorder="1" applyAlignment="1">
      <alignment horizontal="center"/>
    </xf>
    <xf numFmtId="0" fontId="47" fillId="0" borderId="16" xfId="0" applyFont="1" applyBorder="1"/>
    <xf numFmtId="0" fontId="47" fillId="0" borderId="0" xfId="0" applyFont="1" applyAlignment="1">
      <alignment horizontal="center"/>
    </xf>
    <xf numFmtId="2" fontId="47" fillId="0" borderId="0" xfId="0" applyNumberFormat="1" applyFont="1" applyAlignment="1">
      <alignment horizontal="center"/>
    </xf>
    <xf numFmtId="0" fontId="47" fillId="0" borderId="19" xfId="0" applyFont="1" applyBorder="1"/>
    <xf numFmtId="0" fontId="45" fillId="0" borderId="21" xfId="0" applyFont="1" applyBorder="1" applyAlignment="1">
      <alignment horizontal="center"/>
    </xf>
    <xf numFmtId="0" fontId="48" fillId="0" borderId="14" xfId="0" applyFont="1" applyBorder="1"/>
    <xf numFmtId="2" fontId="47" fillId="0" borderId="22" xfId="0" applyNumberFormat="1" applyFont="1" applyBorder="1"/>
    <xf numFmtId="2" fontId="47" fillId="0" borderId="14" xfId="0" applyNumberFormat="1" applyFont="1" applyBorder="1"/>
    <xf numFmtId="0" fontId="47" fillId="0" borderId="15" xfId="0" applyFont="1" applyBorder="1"/>
    <xf numFmtId="0" fontId="47" fillId="0" borderId="22" xfId="0" applyFont="1" applyBorder="1"/>
    <xf numFmtId="0" fontId="48" fillId="0" borderId="17" xfId="0" applyFont="1" applyBorder="1"/>
    <xf numFmtId="0" fontId="51" fillId="0" borderId="0" xfId="37"/>
    <xf numFmtId="0" fontId="0" fillId="0" borderId="0" xfId="37" applyFont="1"/>
    <xf numFmtId="0" fontId="0" fillId="0" borderId="0" xfId="37" applyFont="1" applyAlignment="1">
      <alignment horizontal="center" vertical="center"/>
    </xf>
    <xf numFmtId="0" fontId="0" fillId="0" borderId="0" xfId="37" applyFont="1" applyAlignment="1">
      <alignment horizontal="left"/>
    </xf>
    <xf numFmtId="0" fontId="0" fillId="0" borderId="20" xfId="37" applyFont="1" applyBorder="1"/>
    <xf numFmtId="0" fontId="24" fillId="0" borderId="19" xfId="37" applyFont="1" applyBorder="1"/>
    <xf numFmtId="0" fontId="24" fillId="0" borderId="20" xfId="37" applyFont="1" applyBorder="1"/>
    <xf numFmtId="0" fontId="24" fillId="0" borderId="21" xfId="37" applyFont="1" applyBorder="1"/>
    <xf numFmtId="4" fontId="24" fillId="0" borderId="20" xfId="37" applyNumberFormat="1" applyFont="1" applyBorder="1"/>
    <xf numFmtId="4" fontId="24" fillId="0" borderId="23" xfId="37" applyNumberFormat="1" applyFont="1" applyBorder="1" applyAlignment="1">
      <alignment horizontal="center"/>
    </xf>
    <xf numFmtId="4" fontId="24" fillId="0" borderId="22" xfId="37" applyNumberFormat="1" applyFont="1" applyBorder="1" applyAlignment="1">
      <alignment horizontal="center"/>
    </xf>
    <xf numFmtId="4" fontId="0" fillId="0" borderId="13" xfId="37" applyNumberFormat="1" applyFont="1" applyBorder="1"/>
    <xf numFmtId="4" fontId="0" fillId="0" borderId="0" xfId="37" applyNumberFormat="1" applyFont="1"/>
    <xf numFmtId="4" fontId="0" fillId="0" borderId="14" xfId="37" applyNumberFormat="1" applyFont="1" applyBorder="1"/>
    <xf numFmtId="4" fontId="0" fillId="0" borderId="24" xfId="37" applyNumberFormat="1" applyFont="1" applyBorder="1"/>
    <xf numFmtId="0" fontId="0" fillId="0" borderId="21" xfId="37" applyFont="1" applyBorder="1"/>
    <xf numFmtId="4" fontId="24" fillId="0" borderId="23" xfId="37" applyNumberFormat="1" applyFont="1" applyBorder="1"/>
    <xf numFmtId="0" fontId="24" fillId="0" borderId="0" xfId="37" applyFont="1"/>
    <xf numFmtId="4" fontId="24" fillId="0" borderId="0" xfId="37" applyNumberFormat="1" applyFont="1"/>
    <xf numFmtId="0" fontId="51" fillId="0" borderId="19" xfId="37" applyBorder="1"/>
    <xf numFmtId="0" fontId="51" fillId="0" borderId="23" xfId="37" applyBorder="1"/>
    <xf numFmtId="0" fontId="26" fillId="0" borderId="0" xfId="0" applyFont="1" applyAlignment="1">
      <alignment horizontal="left"/>
    </xf>
    <xf numFmtId="0" fontId="29" fillId="0" borderId="20" xfId="0" applyFont="1" applyBorder="1" applyAlignment="1">
      <alignment horizontal="left"/>
    </xf>
    <xf numFmtId="0" fontId="29" fillId="0" borderId="23" xfId="0" applyFont="1" applyBorder="1" applyAlignment="1">
      <alignment horizontal="center"/>
    </xf>
    <xf numFmtId="0" fontId="29" fillId="0" borderId="21" xfId="0" applyFont="1" applyBorder="1" applyAlignment="1">
      <alignment horizontal="center"/>
    </xf>
    <xf numFmtId="2" fontId="0" fillId="0" borderId="24" xfId="0" applyNumberFormat="1" applyBorder="1" applyAlignment="1">
      <alignment horizontal="right"/>
    </xf>
    <xf numFmtId="0" fontId="26" fillId="0" borderId="11" xfId="0" applyFont="1" applyBorder="1"/>
    <xf numFmtId="0" fontId="24" fillId="0" borderId="18" xfId="0" applyFont="1" applyBorder="1" applyAlignment="1">
      <alignment horizontal="right"/>
    </xf>
    <xf numFmtId="0" fontId="24" fillId="0" borderId="22" xfId="0" applyFont="1" applyBorder="1" applyAlignment="1">
      <alignment horizontal="right"/>
    </xf>
    <xf numFmtId="0" fontId="35" fillId="0" borderId="0" xfId="0" applyFont="1"/>
    <xf numFmtId="2" fontId="24" fillId="0" borderId="23" xfId="0" applyNumberFormat="1" applyFont="1" applyBorder="1" applyAlignment="1">
      <alignment horizontal="right"/>
    </xf>
    <xf numFmtId="0" fontId="0" fillId="25" borderId="0" xfId="0" applyFill="1"/>
    <xf numFmtId="0" fontId="0" fillId="25" borderId="0" xfId="0" applyFill="1" applyAlignment="1">
      <alignment horizontal="center"/>
    </xf>
    <xf numFmtId="0" fontId="0" fillId="25" borderId="0" xfId="0" applyFill="1" applyAlignment="1">
      <alignment horizontal="center" vertical="center"/>
    </xf>
    <xf numFmtId="0" fontId="0" fillId="26" borderId="0" xfId="0" applyFill="1"/>
    <xf numFmtId="0" fontId="29" fillId="27" borderId="19" xfId="0" applyFont="1" applyFill="1" applyBorder="1" applyAlignment="1">
      <alignment horizontal="center"/>
    </xf>
    <xf numFmtId="0" fontId="0" fillId="27" borderId="20" xfId="0" applyFill="1" applyBorder="1"/>
    <xf numFmtId="0" fontId="29" fillId="27" borderId="20" xfId="0" applyFont="1" applyFill="1" applyBorder="1"/>
    <xf numFmtId="0" fontId="29" fillId="27" borderId="20" xfId="0" applyFont="1" applyFill="1" applyBorder="1" applyAlignment="1">
      <alignment horizontal="right"/>
    </xf>
    <xf numFmtId="0" fontId="36" fillId="27" borderId="21" xfId="0" applyFont="1" applyFill="1" applyBorder="1" applyAlignment="1">
      <alignment horizontal="right"/>
    </xf>
    <xf numFmtId="0" fontId="0" fillId="27" borderId="13" xfId="0" applyFill="1" applyBorder="1"/>
    <xf numFmtId="0" fontId="0" fillId="27" borderId="0" xfId="0" applyFill="1"/>
    <xf numFmtId="0" fontId="0" fillId="27" borderId="14" xfId="0" applyFill="1" applyBorder="1"/>
    <xf numFmtId="0" fontId="0" fillId="27" borderId="13" xfId="0" applyFill="1" applyBorder="1" applyAlignment="1">
      <alignment horizontal="center"/>
    </xf>
    <xf numFmtId="2" fontId="0" fillId="27" borderId="0" xfId="0" applyNumberFormat="1" applyFill="1" applyAlignment="1">
      <alignment horizontal="center"/>
    </xf>
    <xf numFmtId="2" fontId="0" fillId="27" borderId="0" xfId="0" applyNumberFormat="1" applyFill="1" applyAlignment="1">
      <alignment horizontal="right"/>
    </xf>
    <xf numFmtId="2" fontId="0" fillId="27" borderId="14" xfId="0" applyNumberFormat="1" applyFill="1" applyBorder="1" applyAlignment="1">
      <alignment horizontal="right"/>
    </xf>
    <xf numFmtId="0" fontId="0" fillId="27" borderId="19" xfId="0" applyFill="1" applyBorder="1" applyAlignment="1">
      <alignment horizontal="center"/>
    </xf>
    <xf numFmtId="2" fontId="0" fillId="27" borderId="20" xfId="0" applyNumberFormat="1" applyFill="1" applyBorder="1" applyAlignment="1">
      <alignment horizontal="center"/>
    </xf>
    <xf numFmtId="2" fontId="0" fillId="27" borderId="20" xfId="0" applyNumberFormat="1" applyFill="1" applyBorder="1"/>
    <xf numFmtId="0" fontId="0" fillId="27" borderId="21" xfId="0" applyFill="1" applyBorder="1"/>
    <xf numFmtId="43" fontId="0" fillId="0" borderId="0" xfId="43" applyFont="1"/>
    <xf numFmtId="43" fontId="0" fillId="0" borderId="11" xfId="43" applyFont="1" applyBorder="1"/>
    <xf numFmtId="0" fontId="0" fillId="27" borderId="24" xfId="0" applyFill="1" applyBorder="1" applyAlignment="1">
      <alignment horizontal="center"/>
    </xf>
    <xf numFmtId="0" fontId="26" fillId="27" borderId="13" xfId="0" applyFont="1" applyFill="1" applyBorder="1"/>
    <xf numFmtId="2" fontId="26" fillId="27" borderId="13" xfId="0" applyNumberFormat="1" applyFont="1" applyFill="1" applyBorder="1" applyAlignment="1">
      <alignment horizontal="right"/>
    </xf>
    <xf numFmtId="2" fontId="26" fillId="27" borderId="0" xfId="0" applyNumberFormat="1" applyFont="1" applyFill="1" applyAlignment="1">
      <alignment horizontal="right"/>
    </xf>
    <xf numFmtId="9" fontId="26" fillId="27" borderId="0" xfId="0" applyNumberFormat="1" applyFont="1" applyFill="1" applyAlignment="1">
      <alignment horizontal="center"/>
    </xf>
    <xf numFmtId="2" fontId="26" fillId="27" borderId="0" xfId="0" applyNumberFormat="1" applyFont="1" applyFill="1"/>
    <xf numFmtId="2" fontId="26" fillId="27" borderId="14" xfId="0" applyNumberFormat="1" applyFont="1" applyFill="1" applyBorder="1"/>
    <xf numFmtId="10" fontId="26" fillId="27" borderId="0" xfId="0" applyNumberFormat="1" applyFont="1" applyFill="1" applyAlignment="1">
      <alignment horizontal="center"/>
    </xf>
    <xf numFmtId="0" fontId="0" fillId="27" borderId="22" xfId="0" applyFill="1" applyBorder="1" applyAlignment="1">
      <alignment horizontal="center"/>
    </xf>
    <xf numFmtId="0" fontId="29" fillId="27" borderId="15" xfId="0" applyFont="1" applyFill="1" applyBorder="1"/>
    <xf numFmtId="2" fontId="29" fillId="27" borderId="19" xfId="0" applyNumberFormat="1" applyFont="1" applyFill="1" applyBorder="1" applyAlignment="1">
      <alignment horizontal="right"/>
    </xf>
    <xf numFmtId="2" fontId="29" fillId="27" borderId="20" xfId="0" applyNumberFormat="1" applyFont="1" applyFill="1" applyBorder="1" applyAlignment="1">
      <alignment horizontal="right"/>
    </xf>
    <xf numFmtId="9" fontId="29" fillId="27" borderId="20" xfId="0" applyNumberFormat="1" applyFont="1" applyFill="1" applyBorder="1" applyAlignment="1">
      <alignment horizontal="center"/>
    </xf>
    <xf numFmtId="2" fontId="29" fillId="27" borderId="20" xfId="0" applyNumberFormat="1" applyFont="1" applyFill="1" applyBorder="1"/>
    <xf numFmtId="2" fontId="29" fillId="27" borderId="21" xfId="0" applyNumberFormat="1" applyFont="1" applyFill="1" applyBorder="1"/>
    <xf numFmtId="0" fontId="0" fillId="28" borderId="18" xfId="0" applyFill="1" applyBorder="1" applyAlignment="1">
      <alignment horizontal="center"/>
    </xf>
    <xf numFmtId="0" fontId="26" fillId="28" borderId="10" xfId="0" applyFont="1" applyFill="1" applyBorder="1"/>
    <xf numFmtId="2" fontId="26" fillId="28" borderId="10" xfId="0" applyNumberFormat="1" applyFont="1" applyFill="1" applyBorder="1" applyAlignment="1">
      <alignment horizontal="right"/>
    </xf>
    <xf numFmtId="2" fontId="26" fillId="28" borderId="11" xfId="0" applyNumberFormat="1" applyFont="1" applyFill="1" applyBorder="1" applyAlignment="1">
      <alignment horizontal="right"/>
    </xf>
    <xf numFmtId="9" fontId="26" fillId="28" borderId="11" xfId="0" applyNumberFormat="1" applyFont="1" applyFill="1" applyBorder="1" applyAlignment="1">
      <alignment horizontal="center"/>
    </xf>
    <xf numFmtId="2" fontId="26" fillId="28" borderId="0" xfId="0" applyNumberFormat="1" applyFont="1" applyFill="1"/>
    <xf numFmtId="2" fontId="26" fillId="28" borderId="12" xfId="0" applyNumberFormat="1" applyFont="1" applyFill="1" applyBorder="1"/>
    <xf numFmtId="0" fontId="0" fillId="28" borderId="24" xfId="0" applyFill="1" applyBorder="1" applyAlignment="1">
      <alignment horizontal="center"/>
    </xf>
    <xf numFmtId="0" fontId="26" fillId="28" borderId="13" xfId="0" applyFont="1" applyFill="1" applyBorder="1"/>
    <xf numFmtId="2" fontId="26" fillId="28" borderId="13" xfId="0" applyNumberFormat="1" applyFont="1" applyFill="1" applyBorder="1" applyAlignment="1">
      <alignment horizontal="right"/>
    </xf>
    <xf numFmtId="2" fontId="26" fillId="28" borderId="0" xfId="0" applyNumberFormat="1" applyFont="1" applyFill="1" applyAlignment="1">
      <alignment horizontal="right"/>
    </xf>
    <xf numFmtId="10" fontId="26" fillId="28" borderId="0" xfId="0" applyNumberFormat="1" applyFont="1" applyFill="1" applyAlignment="1">
      <alignment horizontal="center"/>
    </xf>
    <xf numFmtId="2" fontId="26" fillId="28" borderId="14" xfId="0" applyNumberFormat="1" applyFont="1" applyFill="1" applyBorder="1"/>
    <xf numFmtId="9" fontId="26" fillId="28" borderId="0" xfId="0" applyNumberFormat="1" applyFont="1" applyFill="1" applyAlignment="1">
      <alignment horizontal="center"/>
    </xf>
    <xf numFmtId="0" fontId="0" fillId="28" borderId="15" xfId="0" applyFill="1" applyBorder="1"/>
    <xf numFmtId="0" fontId="29" fillId="28" borderId="15" xfId="0" applyFont="1" applyFill="1" applyBorder="1"/>
    <xf numFmtId="2" fontId="29" fillId="28" borderId="19" xfId="0" applyNumberFormat="1" applyFont="1" applyFill="1" applyBorder="1" applyAlignment="1">
      <alignment horizontal="right"/>
    </xf>
    <xf numFmtId="2" fontId="29" fillId="28" borderId="20" xfId="0" applyNumberFormat="1" applyFont="1" applyFill="1" applyBorder="1" applyAlignment="1">
      <alignment horizontal="right"/>
    </xf>
    <xf numFmtId="9" fontId="29" fillId="28" borderId="20" xfId="0" applyNumberFormat="1" applyFont="1" applyFill="1" applyBorder="1" applyAlignment="1">
      <alignment horizontal="center"/>
    </xf>
    <xf numFmtId="2" fontId="29" fillId="28" borderId="20" xfId="0" applyNumberFormat="1" applyFont="1" applyFill="1" applyBorder="1"/>
    <xf numFmtId="2" fontId="29" fillId="28" borderId="21" xfId="0" applyNumberFormat="1" applyFont="1" applyFill="1" applyBorder="1"/>
    <xf numFmtId="0" fontId="0" fillId="29" borderId="18" xfId="0" applyFill="1" applyBorder="1" applyAlignment="1">
      <alignment horizontal="center"/>
    </xf>
    <xf numFmtId="0" fontId="26" fillId="29" borderId="10" xfId="0" applyFont="1" applyFill="1" applyBorder="1"/>
    <xf numFmtId="2" fontId="26" fillId="29" borderId="10" xfId="0" applyNumberFormat="1" applyFont="1" applyFill="1" applyBorder="1" applyAlignment="1">
      <alignment horizontal="right"/>
    </xf>
    <xf numFmtId="2" fontId="26" fillId="29" borderId="11" xfId="0" applyNumberFormat="1" applyFont="1" applyFill="1" applyBorder="1" applyAlignment="1">
      <alignment horizontal="right"/>
    </xf>
    <xf numFmtId="9" fontId="26" fillId="29" borderId="11" xfId="0" applyNumberFormat="1" applyFont="1" applyFill="1" applyBorder="1" applyAlignment="1">
      <alignment horizontal="center"/>
    </xf>
    <xf numFmtId="2" fontId="26" fillId="29" borderId="0" xfId="0" applyNumberFormat="1" applyFont="1" applyFill="1"/>
    <xf numFmtId="2" fontId="26" fillId="29" borderId="12" xfId="0" applyNumberFormat="1" applyFont="1" applyFill="1" applyBorder="1"/>
    <xf numFmtId="0" fontId="0" fillId="29" borderId="24" xfId="0" applyFill="1" applyBorder="1" applyAlignment="1">
      <alignment horizontal="center"/>
    </xf>
    <xf numFmtId="0" fontId="26" fillId="29" borderId="13" xfId="0" applyFont="1" applyFill="1" applyBorder="1"/>
    <xf numFmtId="2" fontId="26" fillId="29" borderId="13" xfId="0" applyNumberFormat="1" applyFont="1" applyFill="1" applyBorder="1" applyAlignment="1">
      <alignment horizontal="right"/>
    </xf>
    <xf numFmtId="2" fontId="26" fillId="29" borderId="0" xfId="0" applyNumberFormat="1" applyFont="1" applyFill="1" applyAlignment="1">
      <alignment horizontal="right"/>
    </xf>
    <xf numFmtId="10" fontId="26" fillId="29" borderId="0" xfId="0" applyNumberFormat="1" applyFont="1" applyFill="1" applyAlignment="1">
      <alignment horizontal="center"/>
    </xf>
    <xf numFmtId="2" fontId="26" fillId="29" borderId="14" xfId="0" applyNumberFormat="1" applyFont="1" applyFill="1" applyBorder="1"/>
    <xf numFmtId="9" fontId="26" fillId="29" borderId="0" xfId="0" applyNumberFormat="1" applyFont="1" applyFill="1" applyAlignment="1">
      <alignment horizontal="center"/>
    </xf>
    <xf numFmtId="0" fontId="26" fillId="29" borderId="0" xfId="0" applyFont="1" applyFill="1"/>
    <xf numFmtId="2" fontId="26" fillId="29" borderId="0" xfId="0" applyNumberFormat="1" applyFont="1" applyFill="1" applyAlignment="1">
      <alignment horizontal="center"/>
    </xf>
    <xf numFmtId="0" fontId="0" fillId="29" borderId="22" xfId="0" applyFill="1" applyBorder="1" applyAlignment="1">
      <alignment horizontal="center"/>
    </xf>
    <xf numFmtId="0" fontId="29" fillId="29" borderId="15" xfId="0" applyFont="1" applyFill="1" applyBorder="1"/>
    <xf numFmtId="2" fontId="29" fillId="29" borderId="19" xfId="0" applyNumberFormat="1" applyFont="1" applyFill="1" applyBorder="1" applyAlignment="1">
      <alignment horizontal="right"/>
    </xf>
    <xf numFmtId="2" fontId="29" fillId="29" borderId="20" xfId="0" applyNumberFormat="1" applyFont="1" applyFill="1" applyBorder="1" applyAlignment="1">
      <alignment horizontal="right"/>
    </xf>
    <xf numFmtId="9" fontId="29" fillId="29" borderId="20" xfId="0" applyNumberFormat="1" applyFont="1" applyFill="1" applyBorder="1" applyAlignment="1">
      <alignment horizontal="center"/>
    </xf>
    <xf numFmtId="2" fontId="29" fillId="29" borderId="21" xfId="0" applyNumberFormat="1" applyFont="1" applyFill="1" applyBorder="1" applyAlignment="1">
      <alignment horizontal="right"/>
    </xf>
    <xf numFmtId="0" fontId="0" fillId="30" borderId="18" xfId="0" applyFill="1" applyBorder="1" applyAlignment="1">
      <alignment horizontal="center"/>
    </xf>
    <xf numFmtId="0" fontId="26" fillId="30" borderId="10" xfId="0" applyFont="1" applyFill="1" applyBorder="1"/>
    <xf numFmtId="2" fontId="26" fillId="30" borderId="10" xfId="0" applyNumberFormat="1" applyFont="1" applyFill="1" applyBorder="1" applyAlignment="1">
      <alignment horizontal="right"/>
    </xf>
    <xf numFmtId="2" fontId="26" fillId="30" borderId="11" xfId="0" applyNumberFormat="1" applyFont="1" applyFill="1" applyBorder="1" applyAlignment="1">
      <alignment horizontal="right"/>
    </xf>
    <xf numFmtId="9" fontId="26" fillId="30" borderId="11" xfId="0" applyNumberFormat="1" applyFont="1" applyFill="1" applyBorder="1" applyAlignment="1">
      <alignment horizontal="center"/>
    </xf>
    <xf numFmtId="2" fontId="26" fillId="30" borderId="0" xfId="0" applyNumberFormat="1" applyFont="1" applyFill="1"/>
    <xf numFmtId="2" fontId="26" fillId="30" borderId="12" xfId="0" applyNumberFormat="1" applyFont="1" applyFill="1" applyBorder="1"/>
    <xf numFmtId="0" fontId="0" fillId="30" borderId="24" xfId="0" applyFill="1" applyBorder="1" applyAlignment="1">
      <alignment horizontal="center"/>
    </xf>
    <xf numFmtId="0" fontId="26" fillId="30" borderId="13" xfId="0" applyFont="1" applyFill="1" applyBorder="1"/>
    <xf numFmtId="2" fontId="26" fillId="30" borderId="13" xfId="0" applyNumberFormat="1" applyFont="1" applyFill="1" applyBorder="1" applyAlignment="1">
      <alignment horizontal="right"/>
    </xf>
    <xf numFmtId="2" fontId="26" fillId="30" borderId="0" xfId="0" applyNumberFormat="1" applyFont="1" applyFill="1" applyAlignment="1">
      <alignment horizontal="right"/>
    </xf>
    <xf numFmtId="10" fontId="26" fillId="30" borderId="0" xfId="0" applyNumberFormat="1" applyFont="1" applyFill="1" applyAlignment="1">
      <alignment horizontal="center"/>
    </xf>
    <xf numFmtId="2" fontId="26" fillId="30" borderId="14" xfId="0" applyNumberFormat="1" applyFont="1" applyFill="1" applyBorder="1"/>
    <xf numFmtId="9" fontId="26" fillId="30" borderId="0" xfId="0" applyNumberFormat="1" applyFont="1" applyFill="1" applyAlignment="1">
      <alignment horizontal="center"/>
    </xf>
    <xf numFmtId="0" fontId="26" fillId="30" borderId="0" xfId="0" applyFont="1" applyFill="1"/>
    <xf numFmtId="2" fontId="26" fillId="30" borderId="0" xfId="0" applyNumberFormat="1" applyFont="1" applyFill="1" applyAlignment="1">
      <alignment horizontal="center"/>
    </xf>
    <xf numFmtId="0" fontId="0" fillId="30" borderId="22" xfId="0" applyFill="1" applyBorder="1" applyAlignment="1">
      <alignment horizontal="center"/>
    </xf>
    <xf numFmtId="0" fontId="29" fillId="30" borderId="15" xfId="0" applyFont="1" applyFill="1" applyBorder="1"/>
    <xf numFmtId="2" fontId="29" fillId="30" borderId="19" xfId="0" applyNumberFormat="1" applyFont="1" applyFill="1" applyBorder="1" applyAlignment="1">
      <alignment horizontal="right"/>
    </xf>
    <xf numFmtId="2" fontId="29" fillId="30" borderId="20" xfId="0" applyNumberFormat="1" applyFont="1" applyFill="1" applyBorder="1" applyAlignment="1">
      <alignment horizontal="right"/>
    </xf>
    <xf numFmtId="9" fontId="29" fillId="30" borderId="20" xfId="0" applyNumberFormat="1" applyFont="1" applyFill="1" applyBorder="1" applyAlignment="1">
      <alignment horizontal="center"/>
    </xf>
    <xf numFmtId="2" fontId="29" fillId="30" borderId="21" xfId="0" applyNumberFormat="1" applyFont="1" applyFill="1" applyBorder="1" applyAlignment="1">
      <alignment horizontal="right"/>
    </xf>
    <xf numFmtId="0" fontId="0" fillId="31" borderId="18" xfId="0" applyFill="1" applyBorder="1" applyAlignment="1">
      <alignment horizontal="center"/>
    </xf>
    <xf numFmtId="0" fontId="26" fillId="31" borderId="10" xfId="0" applyFont="1" applyFill="1" applyBorder="1"/>
    <xf numFmtId="2" fontId="26" fillId="31" borderId="10" xfId="0" applyNumberFormat="1" applyFont="1" applyFill="1" applyBorder="1" applyAlignment="1">
      <alignment horizontal="right"/>
    </xf>
    <xf numFmtId="2" fontId="26" fillId="31" borderId="11" xfId="0" applyNumberFormat="1" applyFont="1" applyFill="1" applyBorder="1" applyAlignment="1">
      <alignment horizontal="right"/>
    </xf>
    <xf numFmtId="9" fontId="26" fillId="31" borderId="11" xfId="0" applyNumberFormat="1" applyFont="1" applyFill="1" applyBorder="1" applyAlignment="1">
      <alignment horizontal="center"/>
    </xf>
    <xf numFmtId="2" fontId="26" fillId="31" borderId="0" xfId="0" applyNumberFormat="1" applyFont="1" applyFill="1"/>
    <xf numFmtId="2" fontId="26" fillId="31" borderId="12" xfId="0" applyNumberFormat="1" applyFont="1" applyFill="1" applyBorder="1"/>
    <xf numFmtId="0" fontId="0" fillId="31" borderId="24" xfId="0" applyFill="1" applyBorder="1" applyAlignment="1">
      <alignment horizontal="center"/>
    </xf>
    <xf numFmtId="0" fontId="26" fillId="31" borderId="13" xfId="0" applyFont="1" applyFill="1" applyBorder="1"/>
    <xf numFmtId="2" fontId="26" fillId="31" borderId="13" xfId="0" applyNumberFormat="1" applyFont="1" applyFill="1" applyBorder="1" applyAlignment="1">
      <alignment horizontal="right"/>
    </xf>
    <xf numFmtId="2" fontId="26" fillId="31" borderId="0" xfId="0" applyNumberFormat="1" applyFont="1" applyFill="1" applyAlignment="1">
      <alignment horizontal="right"/>
    </xf>
    <xf numFmtId="10" fontId="26" fillId="31" borderId="0" xfId="0" applyNumberFormat="1" applyFont="1" applyFill="1" applyAlignment="1">
      <alignment horizontal="center"/>
    </xf>
    <xf numFmtId="2" fontId="26" fillId="31" borderId="14" xfId="0" applyNumberFormat="1" applyFont="1" applyFill="1" applyBorder="1"/>
    <xf numFmtId="9" fontId="26" fillId="31" borderId="0" xfId="0" applyNumberFormat="1" applyFont="1" applyFill="1" applyAlignment="1">
      <alignment horizontal="center"/>
    </xf>
    <xf numFmtId="0" fontId="26" fillId="31" borderId="0" xfId="0" applyFont="1" applyFill="1"/>
    <xf numFmtId="2" fontId="26" fillId="31" borderId="0" xfId="0" applyNumberFormat="1" applyFont="1" applyFill="1" applyAlignment="1">
      <alignment horizontal="center"/>
    </xf>
    <xf numFmtId="0" fontId="0" fillId="31" borderId="22" xfId="0" applyFill="1" applyBorder="1" applyAlignment="1">
      <alignment horizontal="center"/>
    </xf>
    <xf numFmtId="0" fontId="29" fillId="31" borderId="15" xfId="0" applyFont="1" applyFill="1" applyBorder="1"/>
    <xf numFmtId="2" fontId="29" fillId="31" borderId="19" xfId="0" applyNumberFormat="1" applyFont="1" applyFill="1" applyBorder="1" applyAlignment="1">
      <alignment horizontal="right"/>
    </xf>
    <xf numFmtId="2" fontId="29" fillId="31" borderId="20" xfId="0" applyNumberFormat="1" applyFont="1" applyFill="1" applyBorder="1" applyAlignment="1">
      <alignment horizontal="right"/>
    </xf>
    <xf numFmtId="9" fontId="29" fillId="31" borderId="20" xfId="0" applyNumberFormat="1" applyFont="1" applyFill="1" applyBorder="1" applyAlignment="1">
      <alignment horizontal="center"/>
    </xf>
    <xf numFmtId="2" fontId="29" fillId="31" borderId="21" xfId="0" applyNumberFormat="1" applyFont="1" applyFill="1" applyBorder="1" applyAlignment="1">
      <alignment horizontal="right"/>
    </xf>
    <xf numFmtId="2" fontId="47" fillId="0" borderId="22" xfId="0" applyNumberFormat="1" applyFont="1" applyBorder="1" applyAlignment="1">
      <alignment horizontal="right"/>
    </xf>
    <xf numFmtId="2" fontId="47" fillId="25" borderId="24" xfId="0" applyNumberFormat="1" applyFont="1" applyFill="1" applyBorder="1" applyAlignment="1">
      <alignment horizontal="right"/>
    </xf>
    <xf numFmtId="0" fontId="52" fillId="0" borderId="0" xfId="0" applyFont="1"/>
    <xf numFmtId="0" fontId="47" fillId="25" borderId="0" xfId="0" applyFont="1" applyFill="1"/>
    <xf numFmtId="2" fontId="24" fillId="25" borderId="20" xfId="0" applyNumberFormat="1" applyFont="1" applyFill="1" applyBorder="1"/>
    <xf numFmtId="0" fontId="47" fillId="28" borderId="0" xfId="0" applyFont="1" applyFill="1"/>
    <xf numFmtId="2" fontId="47" fillId="28" borderId="24" xfId="0" applyNumberFormat="1" applyFont="1" applyFill="1" applyBorder="1" applyAlignment="1">
      <alignment horizontal="right"/>
    </xf>
    <xf numFmtId="0" fontId="28" fillId="25" borderId="0" xfId="0" applyFont="1" applyFill="1"/>
    <xf numFmtId="2" fontId="40" fillId="25" borderId="0" xfId="0" applyNumberFormat="1" applyFont="1" applyFill="1" applyAlignment="1">
      <alignment horizontal="right"/>
    </xf>
    <xf numFmtId="0" fontId="55" fillId="0" borderId="0" xfId="0" applyFont="1"/>
    <xf numFmtId="0" fontId="53" fillId="0" borderId="15" xfId="0" applyFont="1" applyBorder="1" applyAlignment="1">
      <alignment horizontal="center"/>
    </xf>
    <xf numFmtId="0" fontId="54" fillId="0" borderId="16" xfId="0" applyFont="1" applyBorder="1"/>
    <xf numFmtId="2" fontId="54" fillId="0" borderId="22" xfId="0" applyNumberFormat="1" applyFont="1" applyBorder="1" applyAlignment="1">
      <alignment horizontal="right"/>
    </xf>
    <xf numFmtId="0" fontId="47" fillId="25" borderId="13" xfId="0" applyFont="1" applyFill="1" applyBorder="1"/>
    <xf numFmtId="2" fontId="47" fillId="25" borderId="24" xfId="0" applyNumberFormat="1" applyFont="1" applyFill="1" applyBorder="1"/>
    <xf numFmtId="0" fontId="48" fillId="25" borderId="0" xfId="0" applyFont="1" applyFill="1"/>
    <xf numFmtId="43" fontId="24" fillId="0" borderId="20" xfId="43" applyFont="1" applyBorder="1"/>
    <xf numFmtId="0" fontId="26" fillId="32" borderId="0" xfId="0" applyFont="1" applyFill="1"/>
    <xf numFmtId="2" fontId="0" fillId="32" borderId="22" xfId="0" applyNumberFormat="1" applyFill="1" applyBorder="1"/>
    <xf numFmtId="0" fontId="56" fillId="32" borderId="13" xfId="0" applyFont="1" applyFill="1" applyBorder="1" applyAlignment="1">
      <alignment horizontal="center"/>
    </xf>
    <xf numFmtId="0" fontId="56" fillId="32" borderId="0" xfId="0" applyFont="1" applyFill="1"/>
    <xf numFmtId="2" fontId="56" fillId="32" borderId="24" xfId="0" applyNumberFormat="1" applyFont="1" applyFill="1" applyBorder="1" applyAlignment="1">
      <alignment horizontal="right"/>
    </xf>
    <xf numFmtId="0" fontId="57" fillId="0" borderId="13" xfId="0" applyFont="1" applyBorder="1" applyAlignment="1">
      <alignment horizontal="center"/>
    </xf>
    <xf numFmtId="0" fontId="58" fillId="0" borderId="0" xfId="0" applyFont="1"/>
    <xf numFmtId="2" fontId="58" fillId="0" borderId="24" xfId="0" applyNumberFormat="1" applyFont="1" applyBorder="1" applyAlignment="1">
      <alignment horizontal="right"/>
    </xf>
    <xf numFmtId="0" fontId="59" fillId="0" borderId="0" xfId="0" applyFont="1"/>
    <xf numFmtId="2" fontId="59" fillId="0" borderId="0" xfId="0" applyNumberFormat="1" applyFont="1"/>
    <xf numFmtId="0" fontId="28" fillId="0" borderId="28" xfId="0" applyFont="1" applyBorder="1" applyAlignment="1">
      <alignment horizontal="center"/>
    </xf>
    <xf numFmtId="0" fontId="26" fillId="0" borderId="28" xfId="0" applyFont="1" applyBorder="1"/>
    <xf numFmtId="0" fontId="27" fillId="0" borderId="28" xfId="0" applyFont="1" applyBorder="1"/>
    <xf numFmtId="0" fontId="0" fillId="0" borderId="28" xfId="0" applyBorder="1"/>
    <xf numFmtId="0" fontId="30" fillId="0" borderId="28" xfId="0" applyFont="1" applyBorder="1"/>
    <xf numFmtId="2" fontId="26" fillId="0" borderId="28" xfId="0" applyNumberFormat="1" applyFont="1" applyBorder="1"/>
    <xf numFmtId="0" fontId="28" fillId="0" borderId="28" xfId="0" applyFont="1" applyBorder="1"/>
    <xf numFmtId="2" fontId="0" fillId="0" borderId="28" xfId="0" applyNumberFormat="1" applyBorder="1"/>
    <xf numFmtId="9" fontId="0" fillId="0" borderId="28" xfId="0" applyNumberFormat="1" applyBorder="1"/>
    <xf numFmtId="0" fontId="60" fillId="0" borderId="0" xfId="0" applyFont="1" applyAlignment="1">
      <alignment horizontal="left" vertical="center" readingOrder="1"/>
    </xf>
    <xf numFmtId="0" fontId="61" fillId="0" borderId="28" xfId="0" applyFont="1" applyBorder="1" applyAlignment="1">
      <alignment horizontal="left" vertical="center" readingOrder="1"/>
    </xf>
    <xf numFmtId="0" fontId="24" fillId="33" borderId="0" xfId="0" applyFont="1" applyFill="1" applyAlignment="1">
      <alignment horizontal="center"/>
    </xf>
    <xf numFmtId="0" fontId="24" fillId="33" borderId="28" xfId="0" applyFont="1" applyFill="1" applyBorder="1" applyAlignment="1">
      <alignment horizontal="center"/>
    </xf>
    <xf numFmtId="0" fontId="0" fillId="33" borderId="28" xfId="0" applyFill="1" applyBorder="1"/>
    <xf numFmtId="0" fontId="29" fillId="33" borderId="28" xfId="0" applyFont="1" applyFill="1" applyBorder="1"/>
    <xf numFmtId="0" fontId="28" fillId="33" borderId="28" xfId="0" applyFont="1" applyFill="1" applyBorder="1" applyAlignment="1">
      <alignment horizontal="center" vertical="center"/>
    </xf>
    <xf numFmtId="0" fontId="28" fillId="33" borderId="28" xfId="0" applyFont="1" applyFill="1" applyBorder="1" applyAlignment="1">
      <alignment horizontal="center"/>
    </xf>
    <xf numFmtId="0" fontId="27" fillId="33" borderId="28" xfId="0" applyFont="1" applyFill="1" applyBorder="1" applyAlignment="1">
      <alignment horizontal="left"/>
    </xf>
    <xf numFmtId="0" fontId="26" fillId="33" borderId="28" xfId="0" applyFont="1" applyFill="1" applyBorder="1"/>
    <xf numFmtId="0" fontId="26" fillId="26" borderId="28" xfId="0" applyFont="1" applyFill="1" applyBorder="1"/>
    <xf numFmtId="0" fontId="26" fillId="34" borderId="28" xfId="0" applyFont="1" applyFill="1" applyBorder="1"/>
    <xf numFmtId="0" fontId="27" fillId="34" borderId="28" xfId="0" applyFont="1" applyFill="1" applyBorder="1"/>
    <xf numFmtId="0" fontId="32" fillId="0" borderId="28" xfId="0" applyFont="1" applyBorder="1" applyAlignment="1">
      <alignment horizontal="center"/>
    </xf>
    <xf numFmtId="0" fontId="23" fillId="0" borderId="28" xfId="0" applyFont="1" applyBorder="1"/>
    <xf numFmtId="0" fontId="23" fillId="0" borderId="28" xfId="0" applyFont="1" applyBorder="1" applyAlignment="1">
      <alignment horizontal="center"/>
    </xf>
    <xf numFmtId="0" fontId="31" fillId="0" borderId="28" xfId="0" applyFont="1" applyBorder="1"/>
    <xf numFmtId="0" fontId="0" fillId="32" borderId="25" xfId="0" applyFill="1" applyBorder="1"/>
    <xf numFmtId="0" fontId="24" fillId="32" borderId="26" xfId="0" applyFont="1" applyFill="1" applyBorder="1"/>
    <xf numFmtId="0" fontId="0" fillId="32" borderId="26" xfId="0" applyFill="1" applyBorder="1"/>
    <xf numFmtId="2" fontId="24" fillId="32" borderId="26" xfId="0" applyNumberFormat="1" applyFont="1" applyFill="1" applyBorder="1"/>
    <xf numFmtId="2" fontId="24" fillId="32" borderId="27" xfId="0" applyNumberFormat="1" applyFont="1" applyFill="1" applyBorder="1" applyAlignment="1">
      <alignment horizontal="right"/>
    </xf>
    <xf numFmtId="0" fontId="24" fillId="32" borderId="10" xfId="0" applyFont="1" applyFill="1" applyBorder="1" applyAlignment="1">
      <alignment horizontal="center"/>
    </xf>
    <xf numFmtId="0" fontId="24" fillId="32" borderId="11" xfId="0" applyFont="1" applyFill="1" applyBorder="1"/>
    <xf numFmtId="0" fontId="24" fillId="32" borderId="11" xfId="0" applyFont="1" applyFill="1" applyBorder="1" applyAlignment="1">
      <alignment horizontal="center"/>
    </xf>
    <xf numFmtId="0" fontId="24" fillId="32" borderId="12" xfId="0" applyFont="1" applyFill="1" applyBorder="1" applyAlignment="1">
      <alignment horizontal="center"/>
    </xf>
    <xf numFmtId="0" fontId="24" fillId="32" borderId="15" xfId="0" applyFont="1" applyFill="1" applyBorder="1" applyAlignment="1">
      <alignment horizontal="center"/>
    </xf>
    <xf numFmtId="0" fontId="24" fillId="32" borderId="16" xfId="0" applyFont="1" applyFill="1" applyBorder="1"/>
    <xf numFmtId="0" fontId="24" fillId="32" borderId="16" xfId="0" applyFont="1" applyFill="1" applyBorder="1" applyAlignment="1">
      <alignment horizontal="center"/>
    </xf>
    <xf numFmtId="0" fontId="24" fillId="32" borderId="17" xfId="0" applyFont="1" applyFill="1" applyBorder="1" applyAlignment="1">
      <alignment horizontal="center"/>
    </xf>
    <xf numFmtId="0" fontId="29" fillId="32" borderId="13" xfId="0" applyFont="1" applyFill="1" applyBorder="1" applyAlignment="1">
      <alignment horizontal="center"/>
    </xf>
    <xf numFmtId="0" fontId="0" fillId="32" borderId="13" xfId="0" applyFill="1" applyBorder="1" applyAlignment="1">
      <alignment horizontal="center"/>
    </xf>
    <xf numFmtId="0" fontId="0" fillId="32" borderId="15" xfId="0" applyFill="1" applyBorder="1" applyAlignment="1">
      <alignment horizontal="center"/>
    </xf>
    <xf numFmtId="0" fontId="0" fillId="32" borderId="19" xfId="0" applyFill="1" applyBorder="1" applyAlignment="1">
      <alignment horizontal="center"/>
    </xf>
    <xf numFmtId="0" fontId="0" fillId="32" borderId="13" xfId="0" applyFill="1" applyBorder="1"/>
    <xf numFmtId="0" fontId="29" fillId="32" borderId="14" xfId="0" applyFont="1" applyFill="1" applyBorder="1" applyAlignment="1">
      <alignment horizontal="center"/>
    </xf>
    <xf numFmtId="0" fontId="0" fillId="32" borderId="14" xfId="0" applyFill="1" applyBorder="1"/>
    <xf numFmtId="2" fontId="0" fillId="32" borderId="14" xfId="0" applyNumberFormat="1" applyFill="1" applyBorder="1" applyAlignment="1">
      <alignment horizontal="right"/>
    </xf>
    <xf numFmtId="0" fontId="35" fillId="32" borderId="14" xfId="0" applyFont="1" applyFill="1" applyBorder="1" applyAlignment="1">
      <alignment horizontal="right"/>
    </xf>
    <xf numFmtId="0" fontId="26" fillId="32" borderId="15" xfId="0" applyFont="1" applyFill="1" applyBorder="1" applyAlignment="1">
      <alignment horizontal="center"/>
    </xf>
    <xf numFmtId="0" fontId="29" fillId="32" borderId="16" xfId="0" applyFont="1" applyFill="1" applyBorder="1"/>
    <xf numFmtId="0" fontId="0" fillId="32" borderId="16" xfId="0" applyFill="1" applyBorder="1"/>
    <xf numFmtId="2" fontId="0" fillId="32" borderId="16" xfId="0" applyNumberFormat="1" applyFill="1" applyBorder="1"/>
    <xf numFmtId="2" fontId="24" fillId="32" borderId="17" xfId="0" applyNumberFormat="1" applyFont="1" applyFill="1" applyBorder="1" applyAlignment="1">
      <alignment horizontal="right"/>
    </xf>
    <xf numFmtId="0" fontId="36" fillId="32" borderId="10" xfId="0" applyFont="1" applyFill="1" applyBorder="1" applyAlignment="1">
      <alignment horizontal="center"/>
    </xf>
    <xf numFmtId="0" fontId="29" fillId="32" borderId="11" xfId="0" applyFont="1" applyFill="1" applyBorder="1" applyAlignment="1">
      <alignment horizontal="left"/>
    </xf>
    <xf numFmtId="0" fontId="29" fillId="32" borderId="11" xfId="0" applyFont="1" applyFill="1" applyBorder="1"/>
    <xf numFmtId="0" fontId="29" fillId="32" borderId="12" xfId="0" applyFont="1" applyFill="1" applyBorder="1" applyAlignment="1">
      <alignment horizontal="center"/>
    </xf>
    <xf numFmtId="0" fontId="29" fillId="32" borderId="15" xfId="0" applyFont="1" applyFill="1" applyBorder="1"/>
    <xf numFmtId="0" fontId="29" fillId="32" borderId="17" xfId="0" applyFont="1" applyFill="1" applyBorder="1" applyAlignment="1">
      <alignment horizontal="right"/>
    </xf>
    <xf numFmtId="0" fontId="39" fillId="32" borderId="0" xfId="0" applyFont="1" applyFill="1"/>
    <xf numFmtId="0" fontId="0" fillId="32" borderId="0" xfId="0" applyFill="1"/>
    <xf numFmtId="0" fontId="26" fillId="32" borderId="13" xfId="0" applyFont="1" applyFill="1" applyBorder="1" applyAlignment="1">
      <alignment horizontal="center"/>
    </xf>
    <xf numFmtId="0" fontId="40" fillId="32" borderId="0" xfId="0" applyFont="1" applyFill="1"/>
    <xf numFmtId="2" fontId="40" fillId="32" borderId="0" xfId="0" applyNumberFormat="1" applyFont="1" applyFill="1"/>
    <xf numFmtId="2" fontId="26" fillId="32" borderId="14" xfId="0" applyNumberFormat="1" applyFont="1" applyFill="1" applyBorder="1" applyAlignment="1">
      <alignment horizontal="right"/>
    </xf>
    <xf numFmtId="2" fontId="40" fillId="32" borderId="14" xfId="0" applyNumberFormat="1" applyFont="1" applyFill="1" applyBorder="1"/>
    <xf numFmtId="0" fontId="41" fillId="32" borderId="0" xfId="0" applyFont="1" applyFill="1"/>
    <xf numFmtId="0" fontId="41" fillId="32" borderId="16" xfId="0" applyFont="1" applyFill="1" applyBorder="1"/>
    <xf numFmtId="2" fontId="40" fillId="32" borderId="16" xfId="0" applyNumberFormat="1" applyFont="1" applyFill="1" applyBorder="1"/>
    <xf numFmtId="0" fontId="26" fillId="32" borderId="10" xfId="0" applyFont="1" applyFill="1" applyBorder="1" applyAlignment="1">
      <alignment horizontal="center"/>
    </xf>
    <xf numFmtId="0" fontId="39" fillId="32" borderId="11" xfId="0" applyFont="1" applyFill="1" applyBorder="1"/>
    <xf numFmtId="2" fontId="40" fillId="32" borderId="11" xfId="0" applyNumberFormat="1" applyFont="1" applyFill="1" applyBorder="1"/>
    <xf numFmtId="0" fontId="42" fillId="32" borderId="0" xfId="0" applyFont="1" applyFill="1"/>
    <xf numFmtId="0" fontId="40" fillId="32" borderId="16" xfId="0" applyFont="1" applyFill="1" applyBorder="1"/>
    <xf numFmtId="0" fontId="40" fillId="32" borderId="11" xfId="0" applyFont="1" applyFill="1" applyBorder="1"/>
    <xf numFmtId="0" fontId="40" fillId="32" borderId="0" xfId="0" applyFont="1" applyFill="1" applyAlignment="1">
      <alignment horizontal="left"/>
    </xf>
    <xf numFmtId="2" fontId="0" fillId="32" borderId="0" xfId="0" applyNumberFormat="1" applyFill="1"/>
    <xf numFmtId="0" fontId="43" fillId="32" borderId="16" xfId="0" applyFont="1" applyFill="1" applyBorder="1"/>
    <xf numFmtId="0" fontId="0" fillId="32" borderId="18" xfId="0" applyFill="1" applyBorder="1" applyAlignment="1">
      <alignment horizontal="center"/>
    </xf>
    <xf numFmtId="0" fontId="26" fillId="32" borderId="10" xfId="0" applyFont="1" applyFill="1" applyBorder="1"/>
    <xf numFmtId="2" fontId="26" fillId="32" borderId="10" xfId="0" applyNumberFormat="1" applyFont="1" applyFill="1" applyBorder="1" applyAlignment="1">
      <alignment horizontal="right"/>
    </xf>
    <xf numFmtId="2" fontId="26" fillId="32" borderId="11" xfId="0" applyNumberFormat="1" applyFont="1" applyFill="1" applyBorder="1" applyAlignment="1">
      <alignment horizontal="right"/>
    </xf>
    <xf numFmtId="9" fontId="26" fillId="32" borderId="11" xfId="0" applyNumberFormat="1" applyFont="1" applyFill="1" applyBorder="1" applyAlignment="1">
      <alignment horizontal="center"/>
    </xf>
    <xf numFmtId="2" fontId="26" fillId="32" borderId="0" xfId="0" applyNumberFormat="1" applyFont="1" applyFill="1"/>
    <xf numFmtId="2" fontId="26" fillId="32" borderId="12" xfId="0" applyNumberFormat="1" applyFont="1" applyFill="1" applyBorder="1"/>
    <xf numFmtId="0" fontId="0" fillId="32" borderId="24" xfId="0" applyFill="1" applyBorder="1" applyAlignment="1">
      <alignment horizontal="center"/>
    </xf>
    <xf numFmtId="0" fontId="26" fillId="32" borderId="13" xfId="0" applyFont="1" applyFill="1" applyBorder="1"/>
    <xf numFmtId="2" fontId="26" fillId="32" borderId="13" xfId="0" applyNumberFormat="1" applyFont="1" applyFill="1" applyBorder="1" applyAlignment="1">
      <alignment horizontal="right"/>
    </xf>
    <xf numFmtId="2" fontId="26" fillId="32" borderId="0" xfId="0" applyNumberFormat="1" applyFont="1" applyFill="1" applyAlignment="1">
      <alignment horizontal="right"/>
    </xf>
    <xf numFmtId="10" fontId="26" fillId="32" borderId="0" xfId="0" applyNumberFormat="1" applyFont="1" applyFill="1" applyAlignment="1">
      <alignment horizontal="center"/>
    </xf>
    <xf numFmtId="2" fontId="26" fillId="32" borderId="14" xfId="0" applyNumberFormat="1" applyFont="1" applyFill="1" applyBorder="1"/>
    <xf numFmtId="9" fontId="26" fillId="32" borderId="0" xfId="0" applyNumberFormat="1" applyFont="1" applyFill="1" applyAlignment="1">
      <alignment horizontal="center"/>
    </xf>
    <xf numFmtId="2" fontId="26" fillId="32" borderId="0" xfId="0" applyNumberFormat="1" applyFont="1" applyFill="1" applyAlignment="1">
      <alignment horizontal="center"/>
    </xf>
    <xf numFmtId="0" fontId="0" fillId="32" borderId="22" xfId="0" applyFill="1" applyBorder="1" applyAlignment="1">
      <alignment horizontal="center"/>
    </xf>
    <xf numFmtId="2" fontId="29" fillId="32" borderId="19" xfId="0" applyNumberFormat="1" applyFont="1" applyFill="1" applyBorder="1" applyAlignment="1">
      <alignment horizontal="right"/>
    </xf>
    <xf numFmtId="2" fontId="29" fillId="32" borderId="20" xfId="0" applyNumberFormat="1" applyFont="1" applyFill="1" applyBorder="1" applyAlignment="1">
      <alignment horizontal="right"/>
    </xf>
    <xf numFmtId="9" fontId="29" fillId="32" borderId="20" xfId="0" applyNumberFormat="1" applyFont="1" applyFill="1" applyBorder="1" applyAlignment="1">
      <alignment horizontal="center"/>
    </xf>
    <xf numFmtId="2" fontId="29" fillId="32" borderId="21" xfId="0" applyNumberFormat="1" applyFont="1" applyFill="1" applyBorder="1" applyAlignment="1">
      <alignment horizontal="right"/>
    </xf>
    <xf numFmtId="0" fontId="0" fillId="35" borderId="18" xfId="0" applyFill="1" applyBorder="1" applyAlignment="1">
      <alignment horizontal="center"/>
    </xf>
    <xf numFmtId="0" fontId="26" fillId="35" borderId="10" xfId="0" applyFont="1" applyFill="1" applyBorder="1"/>
    <xf numFmtId="2" fontId="26" fillId="35" borderId="10" xfId="0" applyNumberFormat="1" applyFont="1" applyFill="1" applyBorder="1" applyAlignment="1">
      <alignment horizontal="right"/>
    </xf>
    <xf numFmtId="2" fontId="26" fillId="35" borderId="11" xfId="0" applyNumberFormat="1" applyFont="1" applyFill="1" applyBorder="1" applyAlignment="1">
      <alignment horizontal="right"/>
    </xf>
    <xf numFmtId="9" fontId="26" fillId="35" borderId="11" xfId="0" applyNumberFormat="1" applyFont="1" applyFill="1" applyBorder="1" applyAlignment="1">
      <alignment horizontal="center"/>
    </xf>
    <xf numFmtId="2" fontId="26" fillId="35" borderId="0" xfId="0" applyNumberFormat="1" applyFont="1" applyFill="1"/>
    <xf numFmtId="2" fontId="26" fillId="35" borderId="12" xfId="0" applyNumberFormat="1" applyFont="1" applyFill="1" applyBorder="1"/>
    <xf numFmtId="0" fontId="0" fillId="35" borderId="24" xfId="0" applyFill="1" applyBorder="1" applyAlignment="1">
      <alignment horizontal="center"/>
    </xf>
    <xf numFmtId="0" fontId="26" fillId="35" borderId="13" xfId="0" applyFont="1" applyFill="1" applyBorder="1"/>
    <xf numFmtId="2" fontId="26" fillId="35" borderId="13" xfId="0" applyNumberFormat="1" applyFont="1" applyFill="1" applyBorder="1" applyAlignment="1">
      <alignment horizontal="right"/>
    </xf>
    <xf numFmtId="2" fontId="26" fillId="35" borderId="0" xfId="0" applyNumberFormat="1" applyFont="1" applyFill="1" applyAlignment="1">
      <alignment horizontal="right"/>
    </xf>
    <xf numFmtId="10" fontId="26" fillId="35" borderId="0" xfId="0" applyNumberFormat="1" applyFont="1" applyFill="1" applyAlignment="1">
      <alignment horizontal="center"/>
    </xf>
    <xf numFmtId="2" fontId="26" fillId="35" borderId="14" xfId="0" applyNumberFormat="1" applyFont="1" applyFill="1" applyBorder="1"/>
    <xf numFmtId="9" fontId="26" fillId="35" borderId="0" xfId="0" applyNumberFormat="1" applyFont="1" applyFill="1" applyAlignment="1">
      <alignment horizontal="center"/>
    </xf>
    <xf numFmtId="0" fontId="26" fillId="35" borderId="0" xfId="0" applyFont="1" applyFill="1"/>
    <xf numFmtId="2" fontId="26" fillId="35" borderId="0" xfId="0" applyNumberFormat="1" applyFont="1" applyFill="1" applyAlignment="1">
      <alignment horizontal="center"/>
    </xf>
    <xf numFmtId="0" fontId="0" fillId="35" borderId="22" xfId="0" applyFill="1" applyBorder="1" applyAlignment="1">
      <alignment horizontal="center"/>
    </xf>
    <xf numFmtId="0" fontId="29" fillId="35" borderId="15" xfId="0" applyFont="1" applyFill="1" applyBorder="1"/>
    <xf numFmtId="2" fontId="29" fillId="35" borderId="19" xfId="0" applyNumberFormat="1" applyFont="1" applyFill="1" applyBorder="1" applyAlignment="1">
      <alignment horizontal="right"/>
    </xf>
    <xf numFmtId="2" fontId="29" fillId="35" borderId="20" xfId="0" applyNumberFormat="1" applyFont="1" applyFill="1" applyBorder="1" applyAlignment="1">
      <alignment horizontal="right"/>
    </xf>
    <xf numFmtId="9" fontId="29" fillId="35" borderId="20" xfId="0" applyNumberFormat="1" applyFont="1" applyFill="1" applyBorder="1" applyAlignment="1">
      <alignment horizontal="center"/>
    </xf>
    <xf numFmtId="2" fontId="29" fillId="35" borderId="21" xfId="0" applyNumberFormat="1" applyFont="1" applyFill="1" applyBorder="1" applyAlignment="1">
      <alignment horizontal="right"/>
    </xf>
    <xf numFmtId="0" fontId="0" fillId="36" borderId="18" xfId="0" applyFill="1" applyBorder="1" applyAlignment="1">
      <alignment horizontal="center"/>
    </xf>
    <xf numFmtId="0" fontId="26" fillId="36" borderId="10" xfId="0" applyFont="1" applyFill="1" applyBorder="1"/>
    <xf numFmtId="2" fontId="26" fillId="36" borderId="10" xfId="0" applyNumberFormat="1" applyFont="1" applyFill="1" applyBorder="1" applyAlignment="1">
      <alignment horizontal="right"/>
    </xf>
    <xf numFmtId="2" fontId="26" fillId="36" borderId="11" xfId="0" applyNumberFormat="1" applyFont="1" applyFill="1" applyBorder="1" applyAlignment="1">
      <alignment horizontal="right"/>
    </xf>
    <xf numFmtId="9" fontId="26" fillId="36" borderId="11" xfId="0" applyNumberFormat="1" applyFont="1" applyFill="1" applyBorder="1" applyAlignment="1">
      <alignment horizontal="center"/>
    </xf>
    <xf numFmtId="2" fontId="26" fillId="36" borderId="0" xfId="0" applyNumberFormat="1" applyFont="1" applyFill="1"/>
    <xf numFmtId="2" fontId="26" fillId="36" borderId="12" xfId="0" applyNumberFormat="1" applyFont="1" applyFill="1" applyBorder="1"/>
    <xf numFmtId="0" fontId="0" fillId="36" borderId="24" xfId="0" applyFill="1" applyBorder="1"/>
    <xf numFmtId="0" fontId="26" fillId="36" borderId="13" xfId="0" applyFont="1" applyFill="1" applyBorder="1"/>
    <xf numFmtId="2" fontId="26" fillId="36" borderId="13" xfId="0" applyNumberFormat="1" applyFont="1" applyFill="1" applyBorder="1" applyAlignment="1">
      <alignment horizontal="right"/>
    </xf>
    <xf numFmtId="2" fontId="26" fillId="36" borderId="0" xfId="0" applyNumberFormat="1" applyFont="1" applyFill="1" applyAlignment="1">
      <alignment horizontal="right"/>
    </xf>
    <xf numFmtId="10" fontId="26" fillId="36" borderId="0" xfId="0" applyNumberFormat="1" applyFont="1" applyFill="1" applyAlignment="1">
      <alignment horizontal="center"/>
    </xf>
    <xf numFmtId="2" fontId="26" fillId="36" borderId="14" xfId="0" applyNumberFormat="1" applyFont="1" applyFill="1" applyBorder="1"/>
    <xf numFmtId="9" fontId="26" fillId="36" borderId="0" xfId="0" applyNumberFormat="1" applyFont="1" applyFill="1" applyAlignment="1">
      <alignment horizontal="center"/>
    </xf>
    <xf numFmtId="0" fontId="26" fillId="36" borderId="0" xfId="0" applyFont="1" applyFill="1"/>
    <xf numFmtId="2" fontId="26" fillId="36" borderId="0" xfId="0" applyNumberFormat="1" applyFont="1" applyFill="1" applyAlignment="1">
      <alignment horizontal="center"/>
    </xf>
    <xf numFmtId="0" fontId="0" fillId="36" borderId="22" xfId="0" applyFill="1" applyBorder="1"/>
    <xf numFmtId="0" fontId="29" fillId="36" borderId="15" xfId="0" applyFont="1" applyFill="1" applyBorder="1"/>
    <xf numFmtId="2" fontId="29" fillId="36" borderId="19" xfId="0" applyNumberFormat="1" applyFont="1" applyFill="1" applyBorder="1" applyAlignment="1">
      <alignment horizontal="right"/>
    </xf>
    <xf numFmtId="2" fontId="29" fillId="36" borderId="20" xfId="0" applyNumberFormat="1" applyFont="1" applyFill="1" applyBorder="1" applyAlignment="1">
      <alignment horizontal="right"/>
    </xf>
    <xf numFmtId="9" fontId="29" fillId="36" borderId="20" xfId="0" applyNumberFormat="1" applyFont="1" applyFill="1" applyBorder="1" applyAlignment="1">
      <alignment horizontal="center"/>
    </xf>
    <xf numFmtId="2" fontId="29" fillId="36" borderId="21" xfId="0" applyNumberFormat="1" applyFont="1" applyFill="1" applyBorder="1" applyAlignment="1">
      <alignment horizontal="right"/>
    </xf>
    <xf numFmtId="0" fontId="0" fillId="32" borderId="24" xfId="0" applyFill="1" applyBorder="1"/>
    <xf numFmtId="0" fontId="0" fillId="32" borderId="22" xfId="0" applyFill="1" applyBorder="1"/>
    <xf numFmtId="10" fontId="29" fillId="32" borderId="0" xfId="0" applyNumberFormat="1" applyFont="1" applyFill="1" applyAlignment="1">
      <alignment horizontal="center"/>
    </xf>
    <xf numFmtId="0" fontId="45" fillId="37" borderId="0" xfId="0" applyFont="1" applyFill="1"/>
    <xf numFmtId="2" fontId="45" fillId="37" borderId="23" xfId="0" applyNumberFormat="1" applyFont="1" applyFill="1" applyBorder="1"/>
    <xf numFmtId="0" fontId="0" fillId="37" borderId="28" xfId="0" applyFill="1" applyBorder="1"/>
    <xf numFmtId="0" fontId="26" fillId="37" borderId="28" xfId="0" applyFont="1" applyFill="1" applyBorder="1"/>
    <xf numFmtId="2" fontId="0" fillId="37" borderId="28" xfId="0" applyNumberFormat="1" applyFill="1" applyBorder="1"/>
    <xf numFmtId="0" fontId="0" fillId="37" borderId="0" xfId="0" applyFill="1"/>
    <xf numFmtId="0" fontId="39" fillId="38" borderId="0" xfId="0" applyFont="1" applyFill="1"/>
    <xf numFmtId="0" fontId="0" fillId="38" borderId="0" xfId="0" applyFill="1"/>
    <xf numFmtId="2" fontId="40" fillId="38" borderId="0" xfId="0" applyNumberFormat="1" applyFont="1" applyFill="1"/>
    <xf numFmtId="0" fontId="40" fillId="38" borderId="0" xfId="0" applyFont="1" applyFill="1"/>
    <xf numFmtId="2" fontId="40" fillId="38" borderId="14" xfId="0" applyNumberFormat="1" applyFont="1" applyFill="1" applyBorder="1"/>
    <xf numFmtId="0" fontId="44" fillId="38" borderId="0" xfId="0" applyFont="1" applyFill="1"/>
    <xf numFmtId="0" fontId="29" fillId="38" borderId="16" xfId="0" applyFont="1" applyFill="1" applyBorder="1"/>
    <xf numFmtId="0" fontId="0" fillId="38" borderId="16" xfId="0" applyFill="1" applyBorder="1"/>
    <xf numFmtId="2" fontId="0" fillId="38" borderId="16" xfId="0" applyNumberFormat="1" applyFill="1" applyBorder="1"/>
    <xf numFmtId="2" fontId="24" fillId="38" borderId="17" xfId="0" applyNumberFormat="1" applyFont="1" applyFill="1" applyBorder="1" applyAlignment="1">
      <alignment horizontal="right"/>
    </xf>
    <xf numFmtId="0" fontId="26" fillId="38" borderId="13" xfId="0" applyFont="1" applyFill="1" applyBorder="1" applyAlignment="1">
      <alignment horizontal="center"/>
    </xf>
    <xf numFmtId="0" fontId="43" fillId="38" borderId="0" xfId="0" applyFont="1" applyFill="1"/>
    <xf numFmtId="2" fontId="0" fillId="38" borderId="0" xfId="0" applyNumberFormat="1" applyFill="1"/>
    <xf numFmtId="2" fontId="24" fillId="38" borderId="27" xfId="0" applyNumberFormat="1" applyFont="1" applyFill="1" applyBorder="1" applyAlignment="1">
      <alignment horizontal="right"/>
    </xf>
    <xf numFmtId="0" fontId="26" fillId="38" borderId="0" xfId="0" applyFont="1" applyFill="1"/>
    <xf numFmtId="2" fontId="0" fillId="38" borderId="0" xfId="0" applyNumberFormat="1" applyFill="1" applyAlignment="1">
      <alignment horizontal="right"/>
    </xf>
    <xf numFmtId="0" fontId="29" fillId="38" borderId="0" xfId="0" applyFont="1" applyFill="1" applyAlignment="1">
      <alignment horizontal="center"/>
    </xf>
    <xf numFmtId="0" fontId="36" fillId="38" borderId="0" xfId="0" applyFont="1" applyFill="1" applyAlignment="1">
      <alignment horizontal="center"/>
    </xf>
    <xf numFmtId="0" fontId="23" fillId="0" borderId="24" xfId="0" applyFont="1" applyBorder="1" applyAlignment="1">
      <alignment horizontal="center" vertical="center"/>
    </xf>
    <xf numFmtId="0" fontId="24" fillId="0" borderId="24" xfId="0" applyFont="1" applyBorder="1" applyAlignment="1">
      <alignment horizontal="center" vertical="center" wrapText="1"/>
    </xf>
    <xf numFmtId="0" fontId="21" fillId="0" borderId="24" xfId="0" applyFont="1" applyBorder="1" applyAlignment="1">
      <alignment horizontal="center" vertical="center"/>
    </xf>
    <xf numFmtId="0" fontId="24" fillId="0" borderId="0" xfId="0" applyFont="1" applyAlignment="1">
      <alignment horizontal="center" vertical="center"/>
    </xf>
    <xf numFmtId="0" fontId="18" fillId="0" borderId="24" xfId="0" applyFont="1" applyBorder="1" applyAlignment="1">
      <alignment horizontal="center" vertical="center"/>
    </xf>
    <xf numFmtId="0" fontId="19" fillId="0" borderId="24" xfId="0" applyFont="1" applyBorder="1" applyAlignment="1">
      <alignment horizontal="center" vertical="center"/>
    </xf>
    <xf numFmtId="0" fontId="21" fillId="0" borderId="24" xfId="0" applyFont="1" applyBorder="1" applyAlignment="1">
      <alignment horizontal="center" vertical="center" wrapText="1"/>
    </xf>
    <xf numFmtId="0" fontId="20" fillId="0" borderId="24" xfId="0" applyFont="1" applyBorder="1" applyAlignment="1">
      <alignment horizontal="center" vertical="center" wrapText="1"/>
    </xf>
    <xf numFmtId="0" fontId="22" fillId="0" borderId="24" xfId="0" applyFont="1" applyBorder="1" applyAlignment="1">
      <alignment horizontal="center" vertical="center" wrapText="1"/>
    </xf>
    <xf numFmtId="0" fontId="26" fillId="0" borderId="13" xfId="0" applyFont="1" applyBorder="1" applyAlignment="1">
      <alignment horizontal="center"/>
    </xf>
    <xf numFmtId="0" fontId="25" fillId="0" borderId="0" xfId="0" applyFont="1" applyAlignment="1">
      <alignment horizontal="center"/>
    </xf>
    <xf numFmtId="0" fontId="25" fillId="0" borderId="18" xfId="0" applyFont="1" applyBorder="1" applyAlignment="1">
      <alignment horizontal="center"/>
    </xf>
    <xf numFmtId="0" fontId="28" fillId="0" borderId="24" xfId="0" applyFont="1" applyBorder="1" applyAlignment="1">
      <alignment horizontal="center"/>
    </xf>
    <xf numFmtId="0" fontId="28" fillId="0" borderId="28" xfId="0" applyFont="1" applyBorder="1" applyAlignment="1">
      <alignment horizontal="center"/>
    </xf>
    <xf numFmtId="0" fontId="0" fillId="0" borderId="0" xfId="0" applyAlignment="1">
      <alignment horizontal="center" wrapText="1"/>
    </xf>
    <xf numFmtId="0" fontId="31" fillId="0" borderId="0" xfId="0" applyFont="1" applyAlignment="1">
      <alignment horizontal="center"/>
    </xf>
    <xf numFmtId="0" fontId="23" fillId="0" borderId="0" xfId="0" applyFont="1" applyAlignment="1">
      <alignment horizontal="center"/>
    </xf>
    <xf numFmtId="0" fontId="32" fillId="35" borderId="28" xfId="0" applyFont="1" applyFill="1" applyBorder="1" applyAlignment="1">
      <alignment horizontal="center"/>
    </xf>
    <xf numFmtId="0" fontId="63" fillId="0" borderId="28" xfId="0" applyFont="1" applyBorder="1" applyAlignment="1">
      <alignment horizontal="left" vertical="top" readingOrder="1"/>
    </xf>
    <xf numFmtId="0" fontId="32" fillId="0" borderId="0" xfId="0" applyFont="1" applyAlignment="1">
      <alignment horizontal="center"/>
    </xf>
    <xf numFmtId="0" fontId="28" fillId="0" borderId="0" xfId="0" applyFont="1" applyAlignment="1">
      <alignment horizontal="center"/>
    </xf>
    <xf numFmtId="0" fontId="24" fillId="0" borderId="19" xfId="0" applyFont="1" applyBorder="1" applyAlignment="1">
      <alignment horizontal="center"/>
    </xf>
    <xf numFmtId="0" fontId="34" fillId="0" borderId="0" xfId="0" applyFont="1" applyAlignment="1">
      <alignment horizontal="center"/>
    </xf>
    <xf numFmtId="0" fontId="25" fillId="0" borderId="24" xfId="0" applyFont="1" applyBorder="1" applyAlignment="1">
      <alignment horizontal="center"/>
    </xf>
    <xf numFmtId="0" fontId="0" fillId="0" borderId="0" xfId="0" applyAlignment="1">
      <alignment horizontal="center"/>
    </xf>
    <xf numFmtId="0" fontId="46" fillId="0" borderId="0" xfId="0" applyFont="1" applyAlignment="1">
      <alignment horizontal="center"/>
    </xf>
    <xf numFmtId="0" fontId="45" fillId="0" borderId="16" xfId="0" applyFont="1" applyBorder="1" applyAlignment="1">
      <alignment horizontal="center"/>
    </xf>
    <xf numFmtId="0" fontId="47" fillId="0" borderId="0" xfId="0" applyFont="1" applyAlignment="1">
      <alignment horizontal="center"/>
    </xf>
    <xf numFmtId="0" fontId="49" fillId="0" borderId="0" xfId="0" applyFont="1" applyAlignment="1">
      <alignment horizontal="left"/>
    </xf>
    <xf numFmtId="0" fontId="45" fillId="0" borderId="0" xfId="0" applyFont="1" applyAlignment="1">
      <alignment horizontal="center"/>
    </xf>
    <xf numFmtId="0" fontId="45" fillId="0" borderId="0" xfId="37" applyFont="1" applyAlignment="1">
      <alignment horizontal="center"/>
    </xf>
    <xf numFmtId="0" fontId="50" fillId="0" borderId="0" xfId="37" applyFont="1" applyAlignment="1">
      <alignment horizontal="center"/>
    </xf>
    <xf numFmtId="0" fontId="0" fillId="0" borderId="0" xfId="37" applyFont="1" applyAlignment="1">
      <alignment horizontal="center" vertical="center"/>
    </xf>
    <xf numFmtId="0" fontId="32" fillId="0" borderId="0" xfId="37" applyFont="1" applyAlignment="1">
      <alignment horizontal="center"/>
    </xf>
    <xf numFmtId="4" fontId="24" fillId="0" borderId="23" xfId="37" applyNumberFormat="1" applyFont="1" applyBorder="1" applyAlignment="1">
      <alignment horizontal="center" vertical="center" wrapText="1"/>
    </xf>
    <xf numFmtId="0" fontId="0" fillId="0" borderId="16" xfId="37" applyFont="1" applyBorder="1" applyAlignment="1">
      <alignment horizontal="center"/>
    </xf>
    <xf numFmtId="0" fontId="24" fillId="0" borderId="0" xfId="0" applyFont="1" applyAlignment="1">
      <alignment horizontal="center"/>
    </xf>
    <xf numFmtId="0" fontId="24" fillId="0" borderId="16" xfId="0" applyFont="1" applyBorder="1" applyAlignment="1">
      <alignment horizont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43" builtinId="3"/>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xr:uid="{00000000-0005-0000-0000-00002600000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7:I32"/>
  <sheetViews>
    <sheetView showGridLines="0" topLeftCell="A10" workbookViewId="0">
      <selection activeCell="Q5" sqref="Q5"/>
    </sheetView>
  </sheetViews>
  <sheetFormatPr defaultColWidth="9.1796875" defaultRowHeight="12.5" x14ac:dyDescent="0.25"/>
  <cols>
    <col min="1" max="16384" width="9.1796875" style="1"/>
  </cols>
  <sheetData>
    <row r="7" spans="1:9" x14ac:dyDescent="0.25">
      <c r="A7" s="2"/>
      <c r="B7" s="3"/>
      <c r="C7" s="3"/>
      <c r="D7" s="3"/>
      <c r="E7" s="3"/>
      <c r="F7" s="3"/>
      <c r="G7" s="3"/>
      <c r="H7" s="3"/>
      <c r="I7" s="4"/>
    </row>
    <row r="8" spans="1:9" x14ac:dyDescent="0.25">
      <c r="A8" s="5"/>
      <c r="I8" s="6"/>
    </row>
    <row r="9" spans="1:9" x14ac:dyDescent="0.25">
      <c r="A9" s="5"/>
      <c r="I9" s="6"/>
    </row>
    <row r="10" spans="1:9" ht="45" x14ac:dyDescent="0.25">
      <c r="A10" s="549" t="s">
        <v>0</v>
      </c>
      <c r="B10" s="549"/>
      <c r="C10" s="549"/>
      <c r="D10" s="549"/>
      <c r="E10" s="549"/>
      <c r="F10" s="549"/>
      <c r="G10" s="549"/>
      <c r="H10" s="549"/>
      <c r="I10" s="549"/>
    </row>
    <row r="11" spans="1:9" x14ac:dyDescent="0.25">
      <c r="A11" s="5"/>
      <c r="I11" s="6"/>
    </row>
    <row r="12" spans="1:9" x14ac:dyDescent="0.25">
      <c r="A12" s="5"/>
      <c r="I12" s="6"/>
    </row>
    <row r="13" spans="1:9" x14ac:dyDescent="0.25">
      <c r="A13" s="5"/>
      <c r="I13" s="6"/>
    </row>
    <row r="14" spans="1:9" x14ac:dyDescent="0.25">
      <c r="A14" s="5"/>
      <c r="I14" s="6"/>
    </row>
    <row r="15" spans="1:9" ht="28" x14ac:dyDescent="0.25">
      <c r="A15" s="550" t="s">
        <v>1</v>
      </c>
      <c r="B15" s="550"/>
      <c r="C15" s="550"/>
      <c r="D15" s="550"/>
      <c r="E15" s="550"/>
      <c r="F15" s="550"/>
      <c r="G15" s="550"/>
      <c r="H15" s="550"/>
      <c r="I15" s="550"/>
    </row>
    <row r="16" spans="1:9" ht="35" x14ac:dyDescent="0.25">
      <c r="A16" s="7"/>
      <c r="B16" s="8"/>
      <c r="C16" s="8"/>
      <c r="D16" s="8"/>
      <c r="E16" s="8"/>
      <c r="F16" s="8"/>
      <c r="G16" s="8"/>
      <c r="H16" s="8"/>
      <c r="I16" s="9"/>
    </row>
    <row r="17" spans="1:9" ht="26.25" customHeight="1" x14ac:dyDescent="0.25">
      <c r="A17" s="551" t="s">
        <v>479</v>
      </c>
      <c r="B17" s="551"/>
      <c r="C17" s="551"/>
      <c r="D17" s="551"/>
      <c r="E17" s="551"/>
      <c r="F17" s="551"/>
      <c r="G17" s="551"/>
      <c r="H17" s="551"/>
      <c r="I17" s="551"/>
    </row>
    <row r="18" spans="1:9" ht="35.25" customHeight="1" x14ac:dyDescent="0.25">
      <c r="A18" s="551"/>
      <c r="B18" s="551"/>
      <c r="C18" s="551"/>
      <c r="D18" s="551"/>
      <c r="E18" s="551"/>
      <c r="F18" s="551"/>
      <c r="G18" s="551"/>
      <c r="H18" s="551"/>
      <c r="I18" s="551"/>
    </row>
    <row r="19" spans="1:9" ht="19.5" customHeight="1" x14ac:dyDescent="0.25">
      <c r="A19" s="10"/>
      <c r="B19" s="11"/>
      <c r="C19" s="11"/>
      <c r="D19" s="11"/>
      <c r="E19" s="11"/>
      <c r="F19" s="11"/>
      <c r="G19" s="11"/>
      <c r="H19" s="11"/>
      <c r="I19" s="12"/>
    </row>
    <row r="20" spans="1:9" ht="27.75" customHeight="1" x14ac:dyDescent="0.25">
      <c r="A20" s="552"/>
      <c r="B20" s="552"/>
      <c r="C20" s="552"/>
      <c r="D20" s="552"/>
      <c r="E20" s="552"/>
      <c r="F20" s="552"/>
      <c r="G20" s="552"/>
      <c r="H20" s="552"/>
      <c r="I20" s="552"/>
    </row>
    <row r="21" spans="1:9" ht="39.75" customHeight="1" x14ac:dyDescent="0.25">
      <c r="A21" s="552"/>
      <c r="B21" s="552"/>
      <c r="C21" s="552"/>
      <c r="D21" s="552"/>
      <c r="E21" s="552"/>
      <c r="F21" s="552"/>
      <c r="G21" s="552"/>
      <c r="H21" s="552"/>
      <c r="I21" s="552"/>
    </row>
    <row r="22" spans="1:9" ht="39.75" customHeight="1" x14ac:dyDescent="0.25">
      <c r="A22" s="553"/>
      <c r="B22" s="553"/>
      <c r="C22" s="553"/>
      <c r="D22" s="553"/>
      <c r="E22" s="553"/>
      <c r="F22" s="553"/>
      <c r="G22" s="553"/>
      <c r="H22" s="553"/>
      <c r="I22" s="553"/>
    </row>
    <row r="23" spans="1:9" ht="15.5" x14ac:dyDescent="0.25">
      <c r="A23" s="545" t="s">
        <v>480</v>
      </c>
      <c r="B23" s="545"/>
      <c r="C23" s="545"/>
      <c r="D23" s="545"/>
      <c r="E23" s="545"/>
      <c r="F23" s="545"/>
      <c r="G23" s="545"/>
      <c r="H23" s="545"/>
      <c r="I23" s="545"/>
    </row>
    <row r="24" spans="1:9" ht="15.5" x14ac:dyDescent="0.25">
      <c r="A24" s="545"/>
      <c r="B24" s="545"/>
      <c r="C24" s="545"/>
      <c r="D24" s="545"/>
      <c r="E24" s="545"/>
      <c r="F24" s="545"/>
      <c r="G24" s="545"/>
      <c r="H24" s="545"/>
      <c r="I24" s="545"/>
    </row>
    <row r="25" spans="1:9" ht="12.75" customHeight="1" x14ac:dyDescent="0.25">
      <c r="A25" s="546"/>
      <c r="B25" s="546"/>
      <c r="C25" s="546"/>
      <c r="D25" s="546"/>
      <c r="E25" s="546"/>
      <c r="F25" s="546"/>
      <c r="G25" s="546"/>
      <c r="H25" s="546"/>
      <c r="I25" s="546"/>
    </row>
    <row r="26" spans="1:9" x14ac:dyDescent="0.25">
      <c r="A26" s="5"/>
      <c r="I26" s="6"/>
    </row>
    <row r="27" spans="1:9" x14ac:dyDescent="0.25">
      <c r="A27" s="5"/>
      <c r="I27" s="6"/>
    </row>
    <row r="28" spans="1:9" ht="25" x14ac:dyDescent="0.25">
      <c r="A28" s="547"/>
      <c r="B28" s="547"/>
      <c r="C28" s="547"/>
      <c r="D28" s="547"/>
      <c r="E28" s="547"/>
      <c r="F28" s="547"/>
      <c r="G28" s="547"/>
      <c r="H28" s="547"/>
      <c r="I28" s="547"/>
    </row>
    <row r="29" spans="1:9" x14ac:dyDescent="0.25">
      <c r="A29" s="5"/>
      <c r="I29" s="6"/>
    </row>
    <row r="30" spans="1:9" ht="13" x14ac:dyDescent="0.25">
      <c r="A30" s="5"/>
      <c r="D30" s="548"/>
      <c r="E30" s="548"/>
      <c r="F30" s="548"/>
      <c r="I30" s="6"/>
    </row>
    <row r="31" spans="1:9" x14ac:dyDescent="0.25">
      <c r="A31" s="5"/>
      <c r="I31" s="6"/>
    </row>
    <row r="32" spans="1:9" x14ac:dyDescent="0.25">
      <c r="A32" s="13"/>
      <c r="B32" s="14"/>
      <c r="C32" s="14"/>
      <c r="D32" s="14"/>
      <c r="E32" s="14"/>
      <c r="F32" s="14"/>
      <c r="G32" s="14"/>
      <c r="H32" s="14"/>
      <c r="I32" s="15"/>
    </row>
  </sheetData>
  <sheetProtection selectLockedCells="1" selectUnlockedCells="1"/>
  <mergeCells count="10">
    <mergeCell ref="A24:I24"/>
    <mergeCell ref="A25:I25"/>
    <mergeCell ref="A28:I28"/>
    <mergeCell ref="D30:F30"/>
    <mergeCell ref="A10:I10"/>
    <mergeCell ref="A15:I15"/>
    <mergeCell ref="A17:I18"/>
    <mergeCell ref="A20:I21"/>
    <mergeCell ref="A22:I22"/>
    <mergeCell ref="A23:I23"/>
  </mergeCells>
  <printOptions horizontalCentered="1"/>
  <pageMargins left="0.94513888888888897" right="0.70833333333333337" top="0.90555555555555556" bottom="0.74791666666666667" header="0.51180555555555562" footer="0.51180555555555562"/>
  <pageSetup paperSize="9" firstPageNumber="0" orientation="portrait" horizontalDpi="300" verticalDpi="300"/>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178"/>
  <sheetViews>
    <sheetView showGridLines="0" topLeftCell="A10" workbookViewId="0">
      <selection activeCell="H14" sqref="H14"/>
    </sheetView>
  </sheetViews>
  <sheetFormatPr defaultRowHeight="12.5" x14ac:dyDescent="0.25"/>
  <cols>
    <col min="1" max="1" width="7.81640625" customWidth="1"/>
    <col min="2" max="2" width="5.54296875" customWidth="1"/>
    <col min="3" max="3" width="15.453125" bestFit="1" customWidth="1"/>
    <col min="4" max="4" width="11.1796875" customWidth="1"/>
    <col min="5" max="5" width="34.453125" bestFit="1" customWidth="1"/>
    <col min="6" max="6" width="2.1796875" customWidth="1"/>
    <col min="7" max="7" width="17.81640625" bestFit="1" customWidth="1"/>
    <col min="8" max="8" width="11.1796875" customWidth="1"/>
    <col min="9" max="9" width="16.54296875" customWidth="1"/>
    <col min="11" max="11" width="12" customWidth="1"/>
    <col min="12" max="12" width="13.1796875" customWidth="1"/>
    <col min="13" max="13" width="9.1796875" customWidth="1"/>
  </cols>
  <sheetData>
    <row r="1" spans="1:12" ht="15.5" x14ac:dyDescent="0.35">
      <c r="A1" s="555">
        <f>SW!A1</f>
        <v>0</v>
      </c>
      <c r="B1" s="555"/>
      <c r="C1" s="555"/>
      <c r="D1" s="555"/>
      <c r="E1" s="555"/>
      <c r="F1" s="555"/>
      <c r="G1" s="555"/>
      <c r="H1" s="555"/>
      <c r="I1" s="555"/>
    </row>
    <row r="2" spans="1:12" x14ac:dyDescent="0.25">
      <c r="A2" s="569">
        <f>'pc&amp;mf'!A2:E2</f>
        <v>0</v>
      </c>
      <c r="B2" s="569"/>
      <c r="C2" s="569"/>
      <c r="D2" s="569"/>
      <c r="E2" s="569"/>
      <c r="F2" s="569"/>
      <c r="G2" s="569"/>
      <c r="H2" s="569"/>
      <c r="I2" s="569"/>
    </row>
    <row r="3" spans="1:12" ht="14" x14ac:dyDescent="0.3">
      <c r="A3" s="111" t="s">
        <v>270</v>
      </c>
    </row>
    <row r="4" spans="1:12" ht="14" x14ac:dyDescent="0.3">
      <c r="A4" s="565" t="s">
        <v>271</v>
      </c>
      <c r="B4" s="565"/>
      <c r="C4" s="565"/>
      <c r="D4" s="565"/>
      <c r="E4" s="565"/>
      <c r="F4" s="565"/>
      <c r="G4" s="565"/>
      <c r="H4" s="565"/>
      <c r="I4" s="565"/>
    </row>
    <row r="5" spans="1:12" ht="14" x14ac:dyDescent="0.3">
      <c r="A5" s="28"/>
      <c r="B5" s="28"/>
      <c r="C5" s="28"/>
      <c r="D5" s="28"/>
      <c r="E5" s="28"/>
      <c r="F5" s="28"/>
      <c r="G5" s="28"/>
      <c r="H5" s="28"/>
      <c r="I5" s="28"/>
    </row>
    <row r="6" spans="1:12" ht="14" x14ac:dyDescent="0.3">
      <c r="A6" s="112" t="s">
        <v>272</v>
      </c>
      <c r="B6" s="28"/>
      <c r="C6" s="28"/>
      <c r="D6" s="28"/>
      <c r="E6" s="520">
        <v>0.1055</v>
      </c>
      <c r="F6" s="28"/>
      <c r="G6" s="28"/>
      <c r="H6" s="28"/>
      <c r="I6" s="28"/>
    </row>
    <row r="7" spans="1:12" ht="14" x14ac:dyDescent="0.3">
      <c r="A7" s="112"/>
      <c r="B7" s="28"/>
      <c r="C7" s="28"/>
      <c r="D7" s="28"/>
      <c r="E7" s="113"/>
      <c r="F7" s="28"/>
      <c r="G7" s="28"/>
      <c r="H7" s="28"/>
      <c r="I7" s="28"/>
    </row>
    <row r="8" spans="1:12" ht="14" x14ac:dyDescent="0.3">
      <c r="A8" s="112" t="s">
        <v>273</v>
      </c>
      <c r="B8" s="28"/>
      <c r="C8" s="28"/>
      <c r="D8" s="28"/>
      <c r="E8" s="114" t="s">
        <v>478</v>
      </c>
      <c r="F8" s="28"/>
      <c r="G8" s="28"/>
      <c r="H8" s="28"/>
      <c r="I8" s="28"/>
      <c r="L8" s="115">
        <v>100000000</v>
      </c>
    </row>
    <row r="9" spans="1:12" ht="14" x14ac:dyDescent="0.3">
      <c r="A9" s="112"/>
      <c r="B9" s="28"/>
      <c r="C9" s="543"/>
      <c r="D9" s="544" t="s">
        <v>274</v>
      </c>
      <c r="E9" s="543"/>
      <c r="F9" s="28"/>
      <c r="G9" s="28"/>
      <c r="H9" s="28"/>
      <c r="I9" s="28"/>
      <c r="L9" s="115"/>
    </row>
    <row r="10" spans="1:12" ht="14" x14ac:dyDescent="0.3">
      <c r="B10" s="28"/>
      <c r="C10" s="28"/>
      <c r="D10" s="28"/>
      <c r="E10" s="28"/>
      <c r="F10" s="28"/>
      <c r="G10" s="28"/>
      <c r="H10" s="28"/>
      <c r="I10" s="28"/>
    </row>
    <row r="11" spans="1:12" x14ac:dyDescent="0.25">
      <c r="G11" t="s">
        <v>275</v>
      </c>
    </row>
    <row r="12" spans="1:12" ht="14" x14ac:dyDescent="0.3">
      <c r="A12" s="229" t="s">
        <v>276</v>
      </c>
      <c r="B12" s="230"/>
      <c r="C12" s="231" t="s">
        <v>277</v>
      </c>
      <c r="D12" s="231" t="s">
        <v>278</v>
      </c>
      <c r="E12" s="231" t="s">
        <v>439</v>
      </c>
      <c r="F12" s="230"/>
      <c r="G12" s="232" t="s">
        <v>279</v>
      </c>
      <c r="H12" s="232" t="s">
        <v>440</v>
      </c>
      <c r="I12" s="233" t="s">
        <v>280</v>
      </c>
    </row>
    <row r="13" spans="1:12" x14ac:dyDescent="0.25">
      <c r="A13" s="234"/>
      <c r="B13" s="235"/>
      <c r="C13" s="235"/>
      <c r="D13" s="235"/>
      <c r="E13" s="235"/>
      <c r="F13" s="235"/>
      <c r="G13" s="235"/>
      <c r="H13" s="235"/>
      <c r="I13" s="236"/>
    </row>
    <row r="14" spans="1:12" x14ac:dyDescent="0.25">
      <c r="A14" s="237">
        <v>1</v>
      </c>
      <c r="B14" s="235"/>
      <c r="C14" s="238">
        <f>'pc&amp;mf'!E37</f>
        <v>8000</v>
      </c>
      <c r="D14" s="238">
        <v>0</v>
      </c>
      <c r="E14" s="238">
        <f>0*10</f>
        <v>0</v>
      </c>
      <c r="F14" s="235"/>
      <c r="G14" s="239">
        <f>G41/100000</f>
        <v>843.99995999999999</v>
      </c>
      <c r="H14" s="239">
        <f>G14+E14</f>
        <v>843.99995999999999</v>
      </c>
      <c r="I14" s="240">
        <f>C14-E14-D14</f>
        <v>8000</v>
      </c>
    </row>
    <row r="15" spans="1:12" x14ac:dyDescent="0.25">
      <c r="A15" s="237">
        <v>2</v>
      </c>
      <c r="B15" s="235"/>
      <c r="C15" s="238">
        <f t="shared" ref="C15:C23" si="0">I14</f>
        <v>8000</v>
      </c>
      <c r="D15" s="238">
        <v>0</v>
      </c>
      <c r="E15" s="238">
        <f>60*10</f>
        <v>600</v>
      </c>
      <c r="F15" s="235"/>
      <c r="G15" s="239">
        <f>G57/100000</f>
        <v>841.09875999999997</v>
      </c>
      <c r="H15" s="239">
        <f>G15+E15</f>
        <v>1441.0987599999999</v>
      </c>
      <c r="I15" s="240">
        <f>C15-E15</f>
        <v>7400</v>
      </c>
    </row>
    <row r="16" spans="1:12" x14ac:dyDescent="0.25">
      <c r="A16" s="237">
        <v>3</v>
      </c>
      <c r="B16" s="235"/>
      <c r="C16" s="238">
        <f t="shared" si="0"/>
        <v>7400</v>
      </c>
      <c r="D16" s="238">
        <v>0</v>
      </c>
      <c r="E16" s="238">
        <v>720</v>
      </c>
      <c r="F16" s="235"/>
      <c r="G16" s="239">
        <f>G72/100000</f>
        <v>834.18845999999996</v>
      </c>
      <c r="H16" s="239">
        <f t="shared" ref="H16:H23" si="1">G16+E16</f>
        <v>1554.1884599999998</v>
      </c>
      <c r="I16" s="240">
        <f t="shared" ref="I16:I22" si="2">C16-E16</f>
        <v>6680</v>
      </c>
    </row>
    <row r="17" spans="1:13" x14ac:dyDescent="0.25">
      <c r="A17" s="237">
        <v>4</v>
      </c>
      <c r="B17" s="235"/>
      <c r="C17" s="238">
        <f t="shared" si="0"/>
        <v>6680</v>
      </c>
      <c r="D17" s="238">
        <v>0</v>
      </c>
      <c r="E17" s="238">
        <v>780</v>
      </c>
      <c r="F17" s="235"/>
      <c r="G17" s="239">
        <f>G87/100000</f>
        <v>826.30237999999997</v>
      </c>
      <c r="H17" s="239">
        <f t="shared" si="1"/>
        <v>1606.3023800000001</v>
      </c>
      <c r="I17" s="240">
        <f t="shared" si="2"/>
        <v>5900</v>
      </c>
      <c r="M17">
        <f>C15/7</f>
        <v>1142.8571428571429</v>
      </c>
    </row>
    <row r="18" spans="1:13" x14ac:dyDescent="0.25">
      <c r="A18" s="237">
        <v>5</v>
      </c>
      <c r="B18" s="235"/>
      <c r="C18" s="238">
        <f t="shared" si="0"/>
        <v>5900</v>
      </c>
      <c r="D18" s="238">
        <v>0</v>
      </c>
      <c r="E18" s="238">
        <v>840</v>
      </c>
      <c r="F18" s="235"/>
      <c r="G18" s="239">
        <f>G102/100000</f>
        <v>817.78326000000004</v>
      </c>
      <c r="H18" s="239">
        <f t="shared" si="1"/>
        <v>1657.7832600000002</v>
      </c>
      <c r="I18" s="240">
        <f t="shared" si="2"/>
        <v>5060</v>
      </c>
    </row>
    <row r="19" spans="1:13" x14ac:dyDescent="0.25">
      <c r="A19" s="237">
        <v>6</v>
      </c>
      <c r="B19" s="235"/>
      <c r="C19" s="238">
        <f t="shared" si="0"/>
        <v>5060</v>
      </c>
      <c r="D19" s="238">
        <v>0</v>
      </c>
      <c r="E19" s="238">
        <v>900</v>
      </c>
      <c r="F19" s="235"/>
      <c r="G19" s="239">
        <f>G117/100000</f>
        <v>808.63112999999998</v>
      </c>
      <c r="H19" s="239">
        <f t="shared" si="1"/>
        <v>1708.63113</v>
      </c>
      <c r="I19" s="240">
        <f t="shared" si="2"/>
        <v>4160</v>
      </c>
    </row>
    <row r="20" spans="1:13" x14ac:dyDescent="0.25">
      <c r="A20" s="237">
        <v>7</v>
      </c>
      <c r="B20" s="235"/>
      <c r="C20" s="238">
        <f t="shared" si="0"/>
        <v>4160</v>
      </c>
      <c r="D20" s="238">
        <v>0</v>
      </c>
      <c r="E20" s="238">
        <v>960</v>
      </c>
      <c r="F20" s="235"/>
      <c r="G20" s="239">
        <f>G132/100000</f>
        <v>798.846</v>
      </c>
      <c r="H20" s="239">
        <f t="shared" si="1"/>
        <v>1758.846</v>
      </c>
      <c r="I20" s="240">
        <f>C20-E20</f>
        <v>3200</v>
      </c>
    </row>
    <row r="21" spans="1:13" x14ac:dyDescent="0.25">
      <c r="A21" s="237">
        <v>8</v>
      </c>
      <c r="B21" s="235"/>
      <c r="C21" s="238">
        <f t="shared" si="0"/>
        <v>3200</v>
      </c>
      <c r="D21" s="238">
        <v>0</v>
      </c>
      <c r="E21" s="238">
        <v>1020</v>
      </c>
      <c r="F21" s="235"/>
      <c r="G21" s="239">
        <f>G147/100000</f>
        <v>788.42787999999996</v>
      </c>
      <c r="H21" s="239">
        <f t="shared" si="1"/>
        <v>1808.42788</v>
      </c>
      <c r="I21" s="240">
        <f t="shared" si="2"/>
        <v>2180</v>
      </c>
    </row>
    <row r="22" spans="1:13" x14ac:dyDescent="0.25">
      <c r="A22" s="237">
        <v>9</v>
      </c>
      <c r="B22" s="235"/>
      <c r="C22" s="238">
        <f t="shared" si="0"/>
        <v>2180</v>
      </c>
      <c r="D22" s="238">
        <v>0</v>
      </c>
      <c r="E22" s="238">
        <v>1080</v>
      </c>
      <c r="F22" s="235"/>
      <c r="G22" s="239">
        <f>G162/100000</f>
        <v>777.37674000000004</v>
      </c>
      <c r="H22" s="239">
        <f t="shared" si="1"/>
        <v>1857.3767400000002</v>
      </c>
      <c r="I22" s="240">
        <f t="shared" si="2"/>
        <v>1100</v>
      </c>
      <c r="L22">
        <f>104/12</f>
        <v>8.6666666666666661</v>
      </c>
    </row>
    <row r="23" spans="1:13" x14ac:dyDescent="0.25">
      <c r="A23" s="237">
        <v>10</v>
      </c>
      <c r="B23" s="235"/>
      <c r="C23" s="238">
        <f t="shared" si="0"/>
        <v>1100</v>
      </c>
      <c r="D23" s="238">
        <v>0</v>
      </c>
      <c r="E23" s="238">
        <v>1100</v>
      </c>
      <c r="F23" s="235"/>
      <c r="G23" s="239">
        <f>G178/100000</f>
        <v>765.89571000000001</v>
      </c>
      <c r="H23" s="239">
        <f t="shared" si="1"/>
        <v>1865.89571</v>
      </c>
      <c r="I23" s="240">
        <f>C23-E23</f>
        <v>0</v>
      </c>
      <c r="L23">
        <f>E21/12</f>
        <v>85</v>
      </c>
    </row>
    <row r="24" spans="1:13" x14ac:dyDescent="0.25">
      <c r="A24" s="241"/>
      <c r="B24" s="230"/>
      <c r="C24" s="230"/>
      <c r="D24" s="230"/>
      <c r="E24" s="242">
        <f>SUM(E14:E23)</f>
        <v>8000</v>
      </c>
      <c r="F24" s="230"/>
      <c r="G24" s="243">
        <f>SUM(G14:G23)</f>
        <v>8102.5502799999995</v>
      </c>
      <c r="H24" s="243">
        <f>SUM(H14:H23)</f>
        <v>16102.550279999999</v>
      </c>
      <c r="I24" s="244"/>
    </row>
    <row r="25" spans="1:13" ht="13" x14ac:dyDescent="0.3">
      <c r="A25" s="60"/>
    </row>
    <row r="26" spans="1:13" ht="13" x14ac:dyDescent="0.3">
      <c r="A26" s="117" t="s">
        <v>281</v>
      </c>
      <c r="G26" t="s">
        <v>282</v>
      </c>
    </row>
    <row r="27" spans="1:13" x14ac:dyDescent="0.25">
      <c r="A27" s="118"/>
      <c r="B27" s="119" t="s">
        <v>283</v>
      </c>
      <c r="C27" s="119"/>
      <c r="D27" s="119"/>
      <c r="E27" s="119"/>
      <c r="F27" s="119"/>
      <c r="G27" s="119"/>
      <c r="H27" s="119"/>
      <c r="I27" s="27"/>
    </row>
    <row r="28" spans="1:13" x14ac:dyDescent="0.25">
      <c r="A28" s="79">
        <v>1</v>
      </c>
      <c r="B28" s="81">
        <v>1</v>
      </c>
      <c r="C28" s="245">
        <v>800000000</v>
      </c>
      <c r="D28" s="33"/>
      <c r="E28" s="33">
        <v>0</v>
      </c>
      <c r="G28" s="33">
        <f>ROUND(C28*10.55/100*1/12,0)</f>
        <v>7033333</v>
      </c>
      <c r="H28" s="33"/>
      <c r="I28" s="120">
        <f>C28-E28</f>
        <v>800000000</v>
      </c>
      <c r="L28">
        <f>C28/7*1/12</f>
        <v>9523809.5238095243</v>
      </c>
    </row>
    <row r="29" spans="1:13" x14ac:dyDescent="0.25">
      <c r="A29" s="30"/>
      <c r="B29" s="81">
        <v>2</v>
      </c>
      <c r="C29" s="245">
        <f>I28</f>
        <v>800000000</v>
      </c>
      <c r="D29" s="33"/>
      <c r="E29" s="33">
        <v>0</v>
      </c>
      <c r="G29" s="33">
        <f t="shared" ref="G29:G39" si="3">ROUND(C29*10.55/100*1/12,0)</f>
        <v>7033333</v>
      </c>
      <c r="H29" s="33"/>
      <c r="I29" s="120">
        <f t="shared" ref="I29:I39" si="4">C29-E29</f>
        <v>800000000</v>
      </c>
    </row>
    <row r="30" spans="1:13" x14ac:dyDescent="0.25">
      <c r="A30" s="30"/>
      <c r="B30" s="81">
        <v>3</v>
      </c>
      <c r="C30" s="245">
        <f>I29</f>
        <v>800000000</v>
      </c>
      <c r="D30" s="33"/>
      <c r="E30" s="33">
        <v>0</v>
      </c>
      <c r="G30" s="33">
        <f t="shared" si="3"/>
        <v>7033333</v>
      </c>
      <c r="H30" s="33"/>
      <c r="I30" s="120">
        <f t="shared" si="4"/>
        <v>800000000</v>
      </c>
      <c r="L30" t="s">
        <v>177</v>
      </c>
    </row>
    <row r="31" spans="1:13" x14ac:dyDescent="0.25">
      <c r="A31" s="30"/>
      <c r="B31" s="81">
        <v>4</v>
      </c>
      <c r="C31" s="245">
        <f t="shared" ref="C31:C85" si="5">I30</f>
        <v>800000000</v>
      </c>
      <c r="D31" s="33"/>
      <c r="E31" s="33">
        <v>0</v>
      </c>
      <c r="G31" s="33">
        <f t="shared" si="3"/>
        <v>7033333</v>
      </c>
      <c r="H31" s="33"/>
      <c r="I31" s="120">
        <f t="shared" si="4"/>
        <v>800000000</v>
      </c>
      <c r="L31" s="33"/>
    </row>
    <row r="32" spans="1:13" x14ac:dyDescent="0.25">
      <c r="A32" s="30"/>
      <c r="B32" s="81">
        <v>5</v>
      </c>
      <c r="C32" s="245">
        <f t="shared" si="5"/>
        <v>800000000</v>
      </c>
      <c r="D32" s="33"/>
      <c r="E32" s="33">
        <v>0</v>
      </c>
      <c r="G32" s="33">
        <f t="shared" si="3"/>
        <v>7033333</v>
      </c>
      <c r="H32" s="33"/>
      <c r="I32" s="120">
        <f t="shared" si="4"/>
        <v>800000000</v>
      </c>
    </row>
    <row r="33" spans="1:12" x14ac:dyDescent="0.25">
      <c r="A33" s="30"/>
      <c r="B33" s="81">
        <v>6</v>
      </c>
      <c r="C33" s="245">
        <f t="shared" si="5"/>
        <v>800000000</v>
      </c>
      <c r="D33" s="33"/>
      <c r="E33" s="33">
        <v>0</v>
      </c>
      <c r="G33" s="33">
        <f t="shared" si="3"/>
        <v>7033333</v>
      </c>
      <c r="H33" s="33"/>
      <c r="I33" s="120">
        <f t="shared" si="4"/>
        <v>800000000</v>
      </c>
    </row>
    <row r="34" spans="1:12" x14ac:dyDescent="0.25">
      <c r="A34" s="30"/>
      <c r="B34" s="81">
        <v>7</v>
      </c>
      <c r="C34" s="245">
        <f t="shared" si="5"/>
        <v>800000000</v>
      </c>
      <c r="D34" s="33"/>
      <c r="E34" s="33">
        <v>0</v>
      </c>
      <c r="G34" s="33">
        <f t="shared" si="3"/>
        <v>7033333</v>
      </c>
      <c r="H34" s="33"/>
      <c r="I34" s="120">
        <f t="shared" si="4"/>
        <v>800000000</v>
      </c>
    </row>
    <row r="35" spans="1:12" x14ac:dyDescent="0.25">
      <c r="A35" s="30"/>
      <c r="B35" s="81">
        <v>8</v>
      </c>
      <c r="C35" s="245">
        <f t="shared" si="5"/>
        <v>800000000</v>
      </c>
      <c r="D35" s="33"/>
      <c r="E35" s="33">
        <v>0</v>
      </c>
      <c r="G35" s="33">
        <f t="shared" si="3"/>
        <v>7033333</v>
      </c>
      <c r="H35" s="33"/>
      <c r="I35" s="120">
        <f t="shared" si="4"/>
        <v>800000000</v>
      </c>
    </row>
    <row r="36" spans="1:12" x14ac:dyDescent="0.25">
      <c r="A36" s="30"/>
      <c r="B36" s="81">
        <v>9</v>
      </c>
      <c r="C36" s="245">
        <f t="shared" si="5"/>
        <v>800000000</v>
      </c>
      <c r="D36" s="33"/>
      <c r="E36" s="33">
        <v>0</v>
      </c>
      <c r="G36" s="33">
        <f t="shared" si="3"/>
        <v>7033333</v>
      </c>
      <c r="H36" s="33"/>
      <c r="I36" s="120">
        <f t="shared" si="4"/>
        <v>800000000</v>
      </c>
    </row>
    <row r="37" spans="1:12" x14ac:dyDescent="0.25">
      <c r="A37" s="30"/>
      <c r="B37" s="81">
        <v>10</v>
      </c>
      <c r="C37" s="245">
        <f t="shared" si="5"/>
        <v>800000000</v>
      </c>
      <c r="D37" s="33"/>
      <c r="E37" s="33">
        <v>0</v>
      </c>
      <c r="G37" s="33">
        <f t="shared" si="3"/>
        <v>7033333</v>
      </c>
      <c r="H37" s="33"/>
      <c r="I37" s="120">
        <f t="shared" si="4"/>
        <v>800000000</v>
      </c>
    </row>
    <row r="38" spans="1:12" x14ac:dyDescent="0.25">
      <c r="A38" s="30"/>
      <c r="B38" s="81">
        <v>11</v>
      </c>
      <c r="C38" s="245">
        <f t="shared" si="5"/>
        <v>800000000</v>
      </c>
      <c r="D38" s="33"/>
      <c r="E38" s="33">
        <v>0</v>
      </c>
      <c r="G38" s="33">
        <f t="shared" si="3"/>
        <v>7033333</v>
      </c>
      <c r="H38" s="33"/>
      <c r="I38" s="120">
        <f t="shared" si="4"/>
        <v>800000000</v>
      </c>
    </row>
    <row r="39" spans="1:12" x14ac:dyDescent="0.25">
      <c r="A39" s="30"/>
      <c r="B39" s="81">
        <v>12</v>
      </c>
      <c r="C39" s="245">
        <f t="shared" si="5"/>
        <v>800000000</v>
      </c>
      <c r="D39" s="33"/>
      <c r="E39" s="33">
        <v>0</v>
      </c>
      <c r="G39" s="33">
        <f t="shared" si="3"/>
        <v>7033333</v>
      </c>
      <c r="H39" s="33"/>
      <c r="I39" s="120">
        <f t="shared" si="4"/>
        <v>800000000</v>
      </c>
    </row>
    <row r="40" spans="1:12" x14ac:dyDescent="0.25">
      <c r="A40" s="30"/>
      <c r="B40" s="81"/>
      <c r="C40" s="33"/>
      <c r="D40" s="33"/>
      <c r="E40" s="33"/>
      <c r="I40" s="120"/>
      <c r="L40" t="s">
        <v>441</v>
      </c>
    </row>
    <row r="41" spans="1:12" ht="13" x14ac:dyDescent="0.3">
      <c r="A41" s="121"/>
      <c r="B41" s="85"/>
      <c r="C41" s="116"/>
      <c r="D41" s="116"/>
      <c r="E41" s="122">
        <f>SUM(E28:E40)</f>
        <v>0</v>
      </c>
      <c r="F41" s="42"/>
      <c r="G41" s="353">
        <f>SUM(G28:G39)</f>
        <v>84399996</v>
      </c>
      <c r="H41" s="122"/>
      <c r="I41" s="123"/>
    </row>
    <row r="42" spans="1:12" x14ac:dyDescent="0.25">
      <c r="A42" s="118"/>
      <c r="B42" s="124"/>
      <c r="C42" s="125"/>
      <c r="D42" s="125"/>
      <c r="E42" s="125"/>
      <c r="F42" s="119"/>
      <c r="G42" s="119"/>
      <c r="H42" s="119"/>
      <c r="I42" s="126"/>
    </row>
    <row r="43" spans="1:12" x14ac:dyDescent="0.25">
      <c r="A43" s="30"/>
      <c r="C43" s="33"/>
      <c r="D43" s="33"/>
      <c r="E43" s="33"/>
      <c r="I43" s="120"/>
    </row>
    <row r="44" spans="1:12" x14ac:dyDescent="0.25">
      <c r="A44" s="79">
        <v>2</v>
      </c>
      <c r="B44" s="81">
        <v>1</v>
      </c>
      <c r="C44" s="245">
        <v>800000000</v>
      </c>
      <c r="D44" s="33"/>
      <c r="E44" s="33">
        <v>500000</v>
      </c>
      <c r="G44" s="33">
        <f>ROUND(C44*10.55/100*1/12,0)</f>
        <v>7033333</v>
      </c>
      <c r="H44" s="33"/>
      <c r="I44" s="120">
        <f>C44-E44</f>
        <v>799500000</v>
      </c>
      <c r="K44">
        <f>C44/6*1/12</f>
        <v>11111111.11111111</v>
      </c>
      <c r="L44">
        <v>1321428.57</v>
      </c>
    </row>
    <row r="45" spans="1:12" x14ac:dyDescent="0.25">
      <c r="A45" s="30"/>
      <c r="B45" s="81">
        <v>2</v>
      </c>
      <c r="C45" s="245">
        <f t="shared" si="5"/>
        <v>799500000</v>
      </c>
      <c r="D45" s="33"/>
      <c r="E45" s="33">
        <v>500000</v>
      </c>
      <c r="G45" s="33">
        <f t="shared" ref="G45:G55" si="6">ROUND(C45*10.55/100*1/12,0)</f>
        <v>7028938</v>
      </c>
      <c r="H45" s="33"/>
      <c r="I45" s="120">
        <f t="shared" ref="I45:I55" si="7">C45-E45</f>
        <v>799000000</v>
      </c>
    </row>
    <row r="46" spans="1:12" x14ac:dyDescent="0.25">
      <c r="A46" s="30"/>
      <c r="B46" s="81">
        <v>3</v>
      </c>
      <c r="C46" s="245">
        <f t="shared" si="5"/>
        <v>799000000</v>
      </c>
      <c r="D46" s="33"/>
      <c r="E46" s="33">
        <v>500000</v>
      </c>
      <c r="G46" s="33">
        <f t="shared" si="6"/>
        <v>7024542</v>
      </c>
      <c r="H46" s="33"/>
      <c r="I46" s="120">
        <f t="shared" si="7"/>
        <v>798500000</v>
      </c>
    </row>
    <row r="47" spans="1:12" x14ac:dyDescent="0.25">
      <c r="A47" s="30"/>
      <c r="B47" s="81">
        <v>4</v>
      </c>
      <c r="C47" s="245">
        <f t="shared" si="5"/>
        <v>798500000</v>
      </c>
      <c r="D47" s="33"/>
      <c r="E47" s="33">
        <v>500000</v>
      </c>
      <c r="G47" s="33">
        <f t="shared" si="6"/>
        <v>7020146</v>
      </c>
      <c r="H47" s="33"/>
      <c r="I47" s="120">
        <f t="shared" si="7"/>
        <v>798000000</v>
      </c>
    </row>
    <row r="48" spans="1:12" x14ac:dyDescent="0.25">
      <c r="A48" s="30"/>
      <c r="B48" s="81">
        <v>5</v>
      </c>
      <c r="C48" s="245">
        <f t="shared" si="5"/>
        <v>798000000</v>
      </c>
      <c r="D48" s="33"/>
      <c r="E48" s="33">
        <v>500000</v>
      </c>
      <c r="G48" s="33">
        <f t="shared" si="6"/>
        <v>7015750</v>
      </c>
      <c r="H48" s="33"/>
      <c r="I48" s="120">
        <f t="shared" si="7"/>
        <v>797500000</v>
      </c>
    </row>
    <row r="49" spans="1:11" x14ac:dyDescent="0.25">
      <c r="A49" s="30"/>
      <c r="B49" s="81">
        <v>6</v>
      </c>
      <c r="C49" s="245">
        <f t="shared" si="5"/>
        <v>797500000</v>
      </c>
      <c r="D49" s="33"/>
      <c r="E49" s="33">
        <v>500000</v>
      </c>
      <c r="G49" s="33">
        <f t="shared" si="6"/>
        <v>7011354</v>
      </c>
      <c r="H49" s="33"/>
      <c r="I49" s="120">
        <f t="shared" si="7"/>
        <v>797000000</v>
      </c>
    </row>
    <row r="50" spans="1:11" x14ac:dyDescent="0.25">
      <c r="A50" s="30"/>
      <c r="B50" s="81">
        <v>7</v>
      </c>
      <c r="C50" s="245">
        <f t="shared" si="5"/>
        <v>797000000</v>
      </c>
      <c r="D50" s="33"/>
      <c r="E50" s="33">
        <v>500000</v>
      </c>
      <c r="G50" s="33">
        <f t="shared" si="6"/>
        <v>7006958</v>
      </c>
      <c r="H50" s="33"/>
      <c r="I50" s="120">
        <f t="shared" si="7"/>
        <v>796500000</v>
      </c>
    </row>
    <row r="51" spans="1:11" x14ac:dyDescent="0.25">
      <c r="A51" s="30"/>
      <c r="B51" s="81">
        <v>8</v>
      </c>
      <c r="C51" s="245">
        <f t="shared" si="5"/>
        <v>796500000</v>
      </c>
      <c r="D51" s="33"/>
      <c r="E51" s="33">
        <v>500000</v>
      </c>
      <c r="G51" s="33">
        <f t="shared" si="6"/>
        <v>7002563</v>
      </c>
      <c r="H51" s="33"/>
      <c r="I51" s="120">
        <f t="shared" si="7"/>
        <v>796000000</v>
      </c>
    </row>
    <row r="52" spans="1:11" x14ac:dyDescent="0.25">
      <c r="A52" s="30"/>
      <c r="B52" s="81">
        <v>9</v>
      </c>
      <c r="C52" s="245">
        <f t="shared" si="5"/>
        <v>796000000</v>
      </c>
      <c r="D52" s="33"/>
      <c r="E52" s="33">
        <v>500000</v>
      </c>
      <c r="G52" s="33">
        <f t="shared" si="6"/>
        <v>6998167</v>
      </c>
      <c r="H52" s="33"/>
      <c r="I52" s="120">
        <f t="shared" si="7"/>
        <v>795500000</v>
      </c>
    </row>
    <row r="53" spans="1:11" x14ac:dyDescent="0.25">
      <c r="A53" s="30"/>
      <c r="B53" s="81">
        <v>10</v>
      </c>
      <c r="C53" s="245">
        <f t="shared" si="5"/>
        <v>795500000</v>
      </c>
      <c r="D53" s="33"/>
      <c r="E53" s="33">
        <v>500000</v>
      </c>
      <c r="G53" s="33">
        <f t="shared" si="6"/>
        <v>6993771</v>
      </c>
      <c r="H53" s="33"/>
      <c r="I53" s="120">
        <f t="shared" si="7"/>
        <v>795000000</v>
      </c>
      <c r="K53" s="33">
        <v>1028476</v>
      </c>
    </row>
    <row r="54" spans="1:11" x14ac:dyDescent="0.25">
      <c r="A54" s="30"/>
      <c r="B54" s="81">
        <v>11</v>
      </c>
      <c r="C54" s="245">
        <f t="shared" si="5"/>
        <v>795000000</v>
      </c>
      <c r="D54" s="33"/>
      <c r="E54" s="33">
        <v>500000</v>
      </c>
      <c r="G54" s="33">
        <f t="shared" si="6"/>
        <v>6989375</v>
      </c>
      <c r="H54" s="33"/>
      <c r="I54" s="120">
        <f t="shared" si="7"/>
        <v>794500000</v>
      </c>
    </row>
    <row r="55" spans="1:11" x14ac:dyDescent="0.25">
      <c r="A55" s="30"/>
      <c r="B55" s="81">
        <v>12</v>
      </c>
      <c r="C55" s="245">
        <f t="shared" si="5"/>
        <v>794500000</v>
      </c>
      <c r="D55" s="33"/>
      <c r="E55" s="33">
        <v>500000</v>
      </c>
      <c r="G55" s="33">
        <f t="shared" si="6"/>
        <v>6984979</v>
      </c>
      <c r="H55" s="33"/>
      <c r="I55" s="120">
        <f t="shared" si="7"/>
        <v>794000000</v>
      </c>
    </row>
    <row r="56" spans="1:11" x14ac:dyDescent="0.25">
      <c r="A56" s="30"/>
      <c r="B56" s="81"/>
      <c r="C56" s="245"/>
      <c r="D56" s="33"/>
      <c r="E56" s="33"/>
      <c r="I56" s="120"/>
    </row>
    <row r="57" spans="1:11" ht="13" x14ac:dyDescent="0.3">
      <c r="A57" s="121"/>
      <c r="B57" s="42"/>
      <c r="C57" s="116"/>
      <c r="D57" s="116"/>
      <c r="E57" s="365">
        <f>SUM(E44:E56)</f>
        <v>6000000</v>
      </c>
      <c r="F57" s="42"/>
      <c r="G57" s="122">
        <f>SUM(G44:G55)</f>
        <v>84109876</v>
      </c>
      <c r="H57" s="122"/>
      <c r="I57" s="123"/>
    </row>
    <row r="58" spans="1:11" ht="13" x14ac:dyDescent="0.3">
      <c r="C58" s="33"/>
      <c r="D58" s="33"/>
      <c r="E58" s="116"/>
      <c r="G58" s="60"/>
      <c r="H58" s="60"/>
      <c r="I58" s="33"/>
    </row>
    <row r="59" spans="1:11" x14ac:dyDescent="0.25">
      <c r="A59" s="127">
        <v>3</v>
      </c>
      <c r="B59" s="124">
        <v>1</v>
      </c>
      <c r="C59" s="246">
        <f>I55</f>
        <v>794000000</v>
      </c>
      <c r="D59" s="125"/>
      <c r="E59" s="33">
        <v>600000</v>
      </c>
      <c r="F59" s="119"/>
      <c r="G59" s="125">
        <f>ROUND(C59*10.55/100*1/12,0)</f>
        <v>6980583</v>
      </c>
      <c r="H59" s="125"/>
      <c r="I59" s="126">
        <f t="shared" ref="I59:I70" si="8">C59-E59</f>
        <v>793400000</v>
      </c>
    </row>
    <row r="60" spans="1:11" x14ac:dyDescent="0.25">
      <c r="A60" s="30"/>
      <c r="B60" s="81">
        <v>2</v>
      </c>
      <c r="C60" s="245">
        <f t="shared" si="5"/>
        <v>793400000</v>
      </c>
      <c r="D60" s="33"/>
      <c r="E60" s="33">
        <v>600000</v>
      </c>
      <c r="G60" s="33">
        <f t="shared" ref="G60:G70" si="9">ROUND(C60*10.55/100*1/12,0)</f>
        <v>6975308</v>
      </c>
      <c r="H60" s="33"/>
      <c r="I60" s="120">
        <f t="shared" si="8"/>
        <v>792800000</v>
      </c>
    </row>
    <row r="61" spans="1:11" x14ac:dyDescent="0.25">
      <c r="A61" s="30"/>
      <c r="B61" s="81">
        <v>3</v>
      </c>
      <c r="C61" s="245">
        <f t="shared" si="5"/>
        <v>792800000</v>
      </c>
      <c r="D61" s="33"/>
      <c r="E61" s="33">
        <v>600000</v>
      </c>
      <c r="G61" s="33">
        <f t="shared" si="9"/>
        <v>6970033</v>
      </c>
      <c r="H61" s="33"/>
      <c r="I61" s="120">
        <f t="shared" si="8"/>
        <v>792200000</v>
      </c>
    </row>
    <row r="62" spans="1:11" x14ac:dyDescent="0.25">
      <c r="A62" s="30"/>
      <c r="B62" s="81">
        <v>4</v>
      </c>
      <c r="C62" s="245">
        <f t="shared" si="5"/>
        <v>792200000</v>
      </c>
      <c r="D62" s="33"/>
      <c r="E62" s="33">
        <v>600000</v>
      </c>
      <c r="G62" s="33">
        <f t="shared" si="9"/>
        <v>6964758</v>
      </c>
      <c r="H62" s="33"/>
      <c r="I62" s="120">
        <f t="shared" si="8"/>
        <v>791600000</v>
      </c>
    </row>
    <row r="63" spans="1:11" x14ac:dyDescent="0.25">
      <c r="A63" s="30"/>
      <c r="B63" s="81">
        <v>5</v>
      </c>
      <c r="C63" s="245">
        <f t="shared" si="5"/>
        <v>791600000</v>
      </c>
      <c r="D63" s="33"/>
      <c r="E63" s="33">
        <v>600000</v>
      </c>
      <c r="G63" s="33">
        <f t="shared" si="9"/>
        <v>6959483</v>
      </c>
      <c r="H63" s="33"/>
      <c r="I63" s="120">
        <f t="shared" si="8"/>
        <v>791000000</v>
      </c>
    </row>
    <row r="64" spans="1:11" x14ac:dyDescent="0.25">
      <c r="A64" s="30"/>
      <c r="B64" s="81">
        <v>6</v>
      </c>
      <c r="C64" s="245">
        <f t="shared" si="5"/>
        <v>791000000</v>
      </c>
      <c r="D64" s="33"/>
      <c r="E64" s="33">
        <v>600000</v>
      </c>
      <c r="G64" s="33">
        <f t="shared" si="9"/>
        <v>6954208</v>
      </c>
      <c r="H64" s="33"/>
      <c r="I64" s="120">
        <f t="shared" si="8"/>
        <v>790400000</v>
      </c>
    </row>
    <row r="65" spans="1:9" x14ac:dyDescent="0.25">
      <c r="A65" s="30"/>
      <c r="B65" s="81">
        <v>7</v>
      </c>
      <c r="C65" s="245">
        <f t="shared" si="5"/>
        <v>790400000</v>
      </c>
      <c r="D65" s="33"/>
      <c r="E65" s="33">
        <v>600000</v>
      </c>
      <c r="G65" s="33">
        <f t="shared" si="9"/>
        <v>6948933</v>
      </c>
      <c r="H65" s="33"/>
      <c r="I65" s="120">
        <f t="shared" si="8"/>
        <v>789800000</v>
      </c>
    </row>
    <row r="66" spans="1:9" x14ac:dyDescent="0.25">
      <c r="A66" s="30"/>
      <c r="B66" s="81">
        <v>8</v>
      </c>
      <c r="C66" s="245">
        <f t="shared" si="5"/>
        <v>789800000</v>
      </c>
      <c r="D66" s="33"/>
      <c r="E66" s="33">
        <v>600000</v>
      </c>
      <c r="G66" s="33">
        <f t="shared" si="9"/>
        <v>6943658</v>
      </c>
      <c r="H66" s="33"/>
      <c r="I66" s="120">
        <f t="shared" si="8"/>
        <v>789200000</v>
      </c>
    </row>
    <row r="67" spans="1:9" x14ac:dyDescent="0.25">
      <c r="A67" s="30"/>
      <c r="B67" s="81">
        <v>9</v>
      </c>
      <c r="C67" s="245">
        <f t="shared" si="5"/>
        <v>789200000</v>
      </c>
      <c r="D67" s="33"/>
      <c r="E67" s="33">
        <v>600000</v>
      </c>
      <c r="G67" s="33">
        <f t="shared" si="9"/>
        <v>6938383</v>
      </c>
      <c r="H67" s="33"/>
      <c r="I67" s="120">
        <f t="shared" si="8"/>
        <v>788600000</v>
      </c>
    </row>
    <row r="68" spans="1:9" x14ac:dyDescent="0.25">
      <c r="A68" s="30"/>
      <c r="B68" s="81">
        <v>10</v>
      </c>
      <c r="C68" s="245">
        <f t="shared" si="5"/>
        <v>788600000</v>
      </c>
      <c r="D68" s="33"/>
      <c r="E68" s="33">
        <v>600000</v>
      </c>
      <c r="G68" s="33">
        <f t="shared" si="9"/>
        <v>6933108</v>
      </c>
      <c r="H68" s="33"/>
      <c r="I68" s="120">
        <f t="shared" si="8"/>
        <v>788000000</v>
      </c>
    </row>
    <row r="69" spans="1:9" x14ac:dyDescent="0.25">
      <c r="A69" s="30"/>
      <c r="B69" s="81">
        <v>11</v>
      </c>
      <c r="C69" s="245">
        <f t="shared" si="5"/>
        <v>788000000</v>
      </c>
      <c r="D69" s="33"/>
      <c r="E69" s="33">
        <v>600000</v>
      </c>
      <c r="G69" s="33">
        <f t="shared" si="9"/>
        <v>6927833</v>
      </c>
      <c r="H69" s="33"/>
      <c r="I69" s="120">
        <f t="shared" si="8"/>
        <v>787400000</v>
      </c>
    </row>
    <row r="70" spans="1:9" x14ac:dyDescent="0.25">
      <c r="A70" s="30"/>
      <c r="B70" s="81">
        <v>12</v>
      </c>
      <c r="C70" s="245">
        <f t="shared" si="5"/>
        <v>787400000</v>
      </c>
      <c r="D70" s="33"/>
      <c r="E70" s="33">
        <v>600000</v>
      </c>
      <c r="G70" s="33">
        <f t="shared" si="9"/>
        <v>6922558</v>
      </c>
      <c r="H70" s="33"/>
      <c r="I70" s="120">
        <f t="shared" si="8"/>
        <v>786800000</v>
      </c>
    </row>
    <row r="71" spans="1:9" x14ac:dyDescent="0.25">
      <c r="A71" s="30"/>
      <c r="B71" s="81"/>
      <c r="C71" s="33"/>
      <c r="D71" s="33"/>
      <c r="E71" s="33"/>
      <c r="I71" s="120"/>
    </row>
    <row r="72" spans="1:9" ht="13" x14ac:dyDescent="0.3">
      <c r="A72" s="121"/>
      <c r="B72" s="42"/>
      <c r="C72" s="116"/>
      <c r="D72" s="116"/>
      <c r="E72" s="122">
        <f>SUM(E59:E71)</f>
        <v>7200000</v>
      </c>
      <c r="F72" s="42"/>
      <c r="G72" s="122">
        <f>SUM(G59:G70)</f>
        <v>83418846</v>
      </c>
      <c r="H72" s="122"/>
      <c r="I72" s="123"/>
    </row>
    <row r="73" spans="1:9" ht="13" x14ac:dyDescent="0.3">
      <c r="C73" s="33"/>
      <c r="D73" s="33"/>
      <c r="E73" s="116"/>
      <c r="G73" s="60"/>
      <c r="H73" s="60"/>
      <c r="I73" s="33"/>
    </row>
    <row r="74" spans="1:9" x14ac:dyDescent="0.25">
      <c r="A74" s="127">
        <v>4</v>
      </c>
      <c r="B74" s="124">
        <v>1</v>
      </c>
      <c r="C74" s="246">
        <f>I70</f>
        <v>786800000</v>
      </c>
      <c r="D74" s="125"/>
      <c r="E74" s="33">
        <v>650000</v>
      </c>
      <c r="F74" s="119"/>
      <c r="G74" s="125">
        <f>ROUND(C74*10.55/100*1/12,0)</f>
        <v>6917283</v>
      </c>
      <c r="H74" s="125"/>
      <c r="I74" s="126">
        <f t="shared" ref="I74:I85" si="10">C74-E74</f>
        <v>786150000</v>
      </c>
    </row>
    <row r="75" spans="1:9" x14ac:dyDescent="0.25">
      <c r="A75" s="30"/>
      <c r="B75" s="81">
        <v>2</v>
      </c>
      <c r="C75" s="245">
        <f t="shared" si="5"/>
        <v>786150000</v>
      </c>
      <c r="D75" s="33"/>
      <c r="E75" s="33">
        <v>650000</v>
      </c>
      <c r="G75" s="33">
        <f t="shared" ref="G75:G85" si="11">ROUND(C75*10.55/100*1/12,0)</f>
        <v>6911569</v>
      </c>
      <c r="H75" s="33"/>
      <c r="I75" s="120">
        <f t="shared" si="10"/>
        <v>785500000</v>
      </c>
    </row>
    <row r="76" spans="1:9" x14ac:dyDescent="0.25">
      <c r="A76" s="30"/>
      <c r="B76" s="81">
        <v>3</v>
      </c>
      <c r="C76" s="245">
        <f t="shared" si="5"/>
        <v>785500000</v>
      </c>
      <c r="D76" s="33"/>
      <c r="E76" s="33">
        <v>650000</v>
      </c>
      <c r="G76" s="33">
        <f t="shared" si="11"/>
        <v>6905854</v>
      </c>
      <c r="H76" s="33"/>
      <c r="I76" s="120">
        <f t="shared" si="10"/>
        <v>784850000</v>
      </c>
    </row>
    <row r="77" spans="1:9" x14ac:dyDescent="0.25">
      <c r="A77" s="30"/>
      <c r="B77" s="81">
        <v>4</v>
      </c>
      <c r="C77" s="245">
        <f t="shared" si="5"/>
        <v>784850000</v>
      </c>
      <c r="D77" s="33"/>
      <c r="E77" s="33">
        <v>650000</v>
      </c>
      <c r="G77" s="33">
        <f t="shared" si="11"/>
        <v>6900140</v>
      </c>
      <c r="H77" s="33"/>
      <c r="I77" s="120">
        <f t="shared" si="10"/>
        <v>784200000</v>
      </c>
    </row>
    <row r="78" spans="1:9" x14ac:dyDescent="0.25">
      <c r="A78" s="30"/>
      <c r="B78" s="81">
        <v>5</v>
      </c>
      <c r="C78" s="245">
        <f t="shared" si="5"/>
        <v>784200000</v>
      </c>
      <c r="D78" s="33"/>
      <c r="E78" s="33">
        <v>650000</v>
      </c>
      <c r="G78" s="33">
        <f t="shared" si="11"/>
        <v>6894425</v>
      </c>
      <c r="H78" s="33"/>
      <c r="I78" s="120">
        <f t="shared" si="10"/>
        <v>783550000</v>
      </c>
    </row>
    <row r="79" spans="1:9" x14ac:dyDescent="0.25">
      <c r="A79" s="30"/>
      <c r="B79" s="81">
        <v>6</v>
      </c>
      <c r="C79" s="245">
        <f t="shared" si="5"/>
        <v>783550000</v>
      </c>
      <c r="D79" s="33"/>
      <c r="E79" s="33">
        <v>650000</v>
      </c>
      <c r="G79" s="33">
        <f t="shared" si="11"/>
        <v>6888710</v>
      </c>
      <c r="H79" s="33"/>
      <c r="I79" s="120">
        <f t="shared" si="10"/>
        <v>782900000</v>
      </c>
    </row>
    <row r="80" spans="1:9" x14ac:dyDescent="0.25">
      <c r="A80" s="30"/>
      <c r="B80" s="81">
        <v>7</v>
      </c>
      <c r="C80" s="245">
        <f t="shared" si="5"/>
        <v>782900000</v>
      </c>
      <c r="D80" s="33"/>
      <c r="E80" s="33">
        <v>650000</v>
      </c>
      <c r="G80" s="33">
        <f t="shared" si="11"/>
        <v>6882996</v>
      </c>
      <c r="H80" s="33"/>
      <c r="I80" s="120">
        <f t="shared" si="10"/>
        <v>782250000</v>
      </c>
    </row>
    <row r="81" spans="1:9" x14ac:dyDescent="0.25">
      <c r="A81" s="30"/>
      <c r="B81" s="81">
        <v>8</v>
      </c>
      <c r="C81" s="245">
        <f t="shared" si="5"/>
        <v>782250000</v>
      </c>
      <c r="D81" s="33"/>
      <c r="E81" s="33">
        <v>650000</v>
      </c>
      <c r="G81" s="33">
        <f t="shared" si="11"/>
        <v>6877281</v>
      </c>
      <c r="H81" s="33"/>
      <c r="I81" s="120">
        <f t="shared" si="10"/>
        <v>781600000</v>
      </c>
    </row>
    <row r="82" spans="1:9" x14ac:dyDescent="0.25">
      <c r="A82" s="30"/>
      <c r="B82" s="81">
        <v>9</v>
      </c>
      <c r="C82" s="245">
        <f t="shared" si="5"/>
        <v>781600000</v>
      </c>
      <c r="D82" s="33"/>
      <c r="E82" s="33">
        <v>650000</v>
      </c>
      <c r="G82" s="33">
        <f t="shared" si="11"/>
        <v>6871567</v>
      </c>
      <c r="H82" s="33"/>
      <c r="I82" s="120">
        <f t="shared" si="10"/>
        <v>780950000</v>
      </c>
    </row>
    <row r="83" spans="1:9" x14ac:dyDescent="0.25">
      <c r="A83" s="30"/>
      <c r="B83" s="81">
        <v>10</v>
      </c>
      <c r="C83" s="245">
        <f t="shared" si="5"/>
        <v>780950000</v>
      </c>
      <c r="D83" s="33"/>
      <c r="E83" s="33">
        <v>650000</v>
      </c>
      <c r="G83" s="33">
        <f t="shared" si="11"/>
        <v>6865852</v>
      </c>
      <c r="H83" s="33"/>
      <c r="I83" s="120">
        <f t="shared" si="10"/>
        <v>780300000</v>
      </c>
    </row>
    <row r="84" spans="1:9" x14ac:dyDescent="0.25">
      <c r="A84" s="30"/>
      <c r="B84" s="81">
        <v>11</v>
      </c>
      <c r="C84" s="245">
        <f t="shared" si="5"/>
        <v>780300000</v>
      </c>
      <c r="D84" s="33"/>
      <c r="E84" s="33">
        <v>650000</v>
      </c>
      <c r="G84" s="33">
        <f t="shared" si="11"/>
        <v>6860138</v>
      </c>
      <c r="H84" s="33"/>
      <c r="I84" s="120">
        <f t="shared" si="10"/>
        <v>779650000</v>
      </c>
    </row>
    <row r="85" spans="1:9" x14ac:dyDescent="0.25">
      <c r="A85" s="30"/>
      <c r="B85" s="81">
        <v>12</v>
      </c>
      <c r="C85" s="245">
        <f t="shared" si="5"/>
        <v>779650000</v>
      </c>
      <c r="D85" s="33"/>
      <c r="E85" s="33">
        <v>650000</v>
      </c>
      <c r="G85" s="33">
        <f t="shared" si="11"/>
        <v>6854423</v>
      </c>
      <c r="H85" s="33"/>
      <c r="I85" s="120">
        <f t="shared" si="10"/>
        <v>779000000</v>
      </c>
    </row>
    <row r="86" spans="1:9" x14ac:dyDescent="0.25">
      <c r="A86" s="30"/>
      <c r="B86" s="81"/>
      <c r="I86" s="120"/>
    </row>
    <row r="87" spans="1:9" ht="13" x14ac:dyDescent="0.3">
      <c r="A87" s="121"/>
      <c r="B87" s="42"/>
      <c r="C87" s="42"/>
      <c r="D87" s="42"/>
      <c r="E87" s="122">
        <f>SUM(E74:E86)</f>
        <v>7800000</v>
      </c>
      <c r="F87" s="42"/>
      <c r="G87" s="122">
        <f>SUM(G74:G86)</f>
        <v>82630238</v>
      </c>
      <c r="H87" s="122"/>
      <c r="I87" s="123"/>
    </row>
    <row r="88" spans="1:9" x14ac:dyDescent="0.25">
      <c r="E88" s="42"/>
      <c r="I88" s="33"/>
    </row>
    <row r="89" spans="1:9" x14ac:dyDescent="0.25">
      <c r="A89" s="127">
        <v>5</v>
      </c>
      <c r="B89" s="124">
        <v>1</v>
      </c>
      <c r="C89" s="246">
        <f>I85</f>
        <v>779000000</v>
      </c>
      <c r="D89" s="125"/>
      <c r="E89" s="33">
        <v>700000</v>
      </c>
      <c r="F89" s="119"/>
      <c r="G89" s="125">
        <f>ROUND(C89*10.55/100*1/12,0)</f>
        <v>6848708</v>
      </c>
      <c r="H89" s="125"/>
      <c r="I89" s="126">
        <f t="shared" ref="I89:I100" si="12">C89-E89</f>
        <v>778300000</v>
      </c>
    </row>
    <row r="90" spans="1:9" x14ac:dyDescent="0.25">
      <c r="A90" s="30"/>
      <c r="B90" s="81">
        <v>2</v>
      </c>
      <c r="C90" s="245">
        <f t="shared" ref="C90:C100" si="13">I89</f>
        <v>778300000</v>
      </c>
      <c r="D90" s="33"/>
      <c r="E90" s="33">
        <v>700000</v>
      </c>
      <c r="G90" s="33">
        <f t="shared" ref="G90:G100" si="14">ROUND(C90*10.55/100*1/12,0)</f>
        <v>6842554</v>
      </c>
      <c r="H90" s="33"/>
      <c r="I90" s="120">
        <f t="shared" si="12"/>
        <v>777600000</v>
      </c>
    </row>
    <row r="91" spans="1:9" x14ac:dyDescent="0.25">
      <c r="A91" s="30"/>
      <c r="B91" s="81">
        <v>3</v>
      </c>
      <c r="C91" s="245">
        <f t="shared" si="13"/>
        <v>777600000</v>
      </c>
      <c r="D91" s="33"/>
      <c r="E91" s="33">
        <v>700000</v>
      </c>
      <c r="G91" s="33">
        <f t="shared" si="14"/>
        <v>6836400</v>
      </c>
      <c r="H91" s="33"/>
      <c r="I91" s="120">
        <f t="shared" si="12"/>
        <v>776900000</v>
      </c>
    </row>
    <row r="92" spans="1:9" x14ac:dyDescent="0.25">
      <c r="A92" s="30"/>
      <c r="B92" s="81">
        <v>4</v>
      </c>
      <c r="C92" s="245">
        <f t="shared" si="13"/>
        <v>776900000</v>
      </c>
      <c r="D92" s="33"/>
      <c r="E92" s="33">
        <v>700000</v>
      </c>
      <c r="G92" s="33">
        <f t="shared" si="14"/>
        <v>6830246</v>
      </c>
      <c r="H92" s="33"/>
      <c r="I92" s="120">
        <f t="shared" si="12"/>
        <v>776200000</v>
      </c>
    </row>
    <row r="93" spans="1:9" x14ac:dyDescent="0.25">
      <c r="A93" s="30"/>
      <c r="B93" s="81">
        <v>5</v>
      </c>
      <c r="C93" s="245">
        <f t="shared" si="13"/>
        <v>776200000</v>
      </c>
      <c r="D93" s="33"/>
      <c r="E93" s="33">
        <v>700000</v>
      </c>
      <c r="G93" s="33">
        <f t="shared" si="14"/>
        <v>6824092</v>
      </c>
      <c r="H93" s="33"/>
      <c r="I93" s="120">
        <f t="shared" si="12"/>
        <v>775500000</v>
      </c>
    </row>
    <row r="94" spans="1:9" x14ac:dyDescent="0.25">
      <c r="A94" s="30"/>
      <c r="B94" s="81">
        <v>6</v>
      </c>
      <c r="C94" s="245">
        <f t="shared" si="13"/>
        <v>775500000</v>
      </c>
      <c r="D94" s="33"/>
      <c r="E94" s="33">
        <v>700000</v>
      </c>
      <c r="G94" s="33">
        <f t="shared" si="14"/>
        <v>6817938</v>
      </c>
      <c r="H94" s="33"/>
      <c r="I94" s="120">
        <f t="shared" si="12"/>
        <v>774800000</v>
      </c>
    </row>
    <row r="95" spans="1:9" x14ac:dyDescent="0.25">
      <c r="A95" s="30"/>
      <c r="B95" s="81">
        <v>7</v>
      </c>
      <c r="C95" s="245">
        <f t="shared" si="13"/>
        <v>774800000</v>
      </c>
      <c r="D95" s="33"/>
      <c r="E95" s="33">
        <v>700000</v>
      </c>
      <c r="G95" s="33">
        <f t="shared" si="14"/>
        <v>6811783</v>
      </c>
      <c r="H95" s="33"/>
      <c r="I95" s="120">
        <f t="shared" si="12"/>
        <v>774100000</v>
      </c>
    </row>
    <row r="96" spans="1:9" x14ac:dyDescent="0.25">
      <c r="A96" s="30"/>
      <c r="B96" s="81">
        <v>8</v>
      </c>
      <c r="C96" s="245">
        <f t="shared" si="13"/>
        <v>774100000</v>
      </c>
      <c r="D96" s="33"/>
      <c r="E96" s="33">
        <v>700000</v>
      </c>
      <c r="G96" s="33">
        <f t="shared" si="14"/>
        <v>6805629</v>
      </c>
      <c r="H96" s="33"/>
      <c r="I96" s="120">
        <f t="shared" si="12"/>
        <v>773400000</v>
      </c>
    </row>
    <row r="97" spans="1:9" x14ac:dyDescent="0.25">
      <c r="A97" s="30"/>
      <c r="B97" s="81">
        <v>9</v>
      </c>
      <c r="C97" s="245">
        <f t="shared" si="13"/>
        <v>773400000</v>
      </c>
      <c r="D97" s="33"/>
      <c r="E97" s="33">
        <v>700000</v>
      </c>
      <c r="G97" s="33">
        <f t="shared" si="14"/>
        <v>6799475</v>
      </c>
      <c r="H97" s="33"/>
      <c r="I97" s="120">
        <f t="shared" si="12"/>
        <v>772700000</v>
      </c>
    </row>
    <row r="98" spans="1:9" x14ac:dyDescent="0.25">
      <c r="A98" s="30"/>
      <c r="B98" s="81">
        <v>10</v>
      </c>
      <c r="C98" s="245">
        <f t="shared" si="13"/>
        <v>772700000</v>
      </c>
      <c r="D98" s="33"/>
      <c r="E98" s="33">
        <v>700000</v>
      </c>
      <c r="G98" s="33">
        <f t="shared" si="14"/>
        <v>6793321</v>
      </c>
      <c r="H98" s="33"/>
      <c r="I98" s="120">
        <f t="shared" si="12"/>
        <v>772000000</v>
      </c>
    </row>
    <row r="99" spans="1:9" x14ac:dyDescent="0.25">
      <c r="A99" s="30"/>
      <c r="B99" s="81">
        <v>11</v>
      </c>
      <c r="C99" s="245">
        <f t="shared" si="13"/>
        <v>772000000</v>
      </c>
      <c r="D99" s="33"/>
      <c r="E99" s="33">
        <v>700000</v>
      </c>
      <c r="G99" s="33">
        <f t="shared" si="14"/>
        <v>6787167</v>
      </c>
      <c r="H99" s="33"/>
      <c r="I99" s="120">
        <f t="shared" si="12"/>
        <v>771300000</v>
      </c>
    </row>
    <row r="100" spans="1:9" x14ac:dyDescent="0.25">
      <c r="A100" s="30"/>
      <c r="B100" s="81">
        <v>12</v>
      </c>
      <c r="C100" s="245">
        <f t="shared" si="13"/>
        <v>771300000</v>
      </c>
      <c r="D100" s="33"/>
      <c r="E100" s="33">
        <v>700000</v>
      </c>
      <c r="G100" s="33">
        <f t="shared" si="14"/>
        <v>6781013</v>
      </c>
      <c r="H100" s="33"/>
      <c r="I100" s="120">
        <f t="shared" si="12"/>
        <v>770600000</v>
      </c>
    </row>
    <row r="101" spans="1:9" x14ac:dyDescent="0.25">
      <c r="A101" s="30"/>
      <c r="C101" s="245"/>
      <c r="I101" s="29"/>
    </row>
    <row r="102" spans="1:9" ht="13" x14ac:dyDescent="0.3">
      <c r="A102" s="121"/>
      <c r="B102" s="42"/>
      <c r="C102" s="42"/>
      <c r="D102" s="42"/>
      <c r="E102" s="122">
        <f>SUM(E89:E101)</f>
        <v>8400000</v>
      </c>
      <c r="F102" s="42"/>
      <c r="G102" s="122">
        <f>SUM(G89:G101)</f>
        <v>81778326</v>
      </c>
      <c r="H102" s="122"/>
      <c r="I102" s="43"/>
    </row>
    <row r="103" spans="1:9" x14ac:dyDescent="0.25">
      <c r="E103" s="42"/>
    </row>
    <row r="104" spans="1:9" x14ac:dyDescent="0.25">
      <c r="A104" s="127">
        <v>6</v>
      </c>
      <c r="B104" s="124">
        <v>1</v>
      </c>
      <c r="C104" s="246">
        <f>I100</f>
        <v>770600000</v>
      </c>
      <c r="D104" s="125"/>
      <c r="E104" s="33">
        <v>750000</v>
      </c>
      <c r="F104" s="119"/>
      <c r="G104" s="125">
        <f>ROUND(C104*10.55/100*1/12,0)</f>
        <v>6774858</v>
      </c>
      <c r="H104" s="125"/>
      <c r="I104" s="126">
        <f t="shared" ref="I104:I115" si="15">C104-E104</f>
        <v>769850000</v>
      </c>
    </row>
    <row r="105" spans="1:9" x14ac:dyDescent="0.25">
      <c r="A105" s="30"/>
      <c r="B105" s="81">
        <v>2</v>
      </c>
      <c r="C105" s="245">
        <f t="shared" ref="C105:C115" si="16">I104</f>
        <v>769850000</v>
      </c>
      <c r="D105" s="33"/>
      <c r="E105" s="33">
        <v>750000</v>
      </c>
      <c r="G105" s="33">
        <f t="shared" ref="G105:G115" si="17">ROUND(C105*10.55/100*1/12,0)</f>
        <v>6768265</v>
      </c>
      <c r="H105" s="33"/>
      <c r="I105" s="120">
        <f t="shared" si="15"/>
        <v>769100000</v>
      </c>
    </row>
    <row r="106" spans="1:9" x14ac:dyDescent="0.25">
      <c r="A106" s="30"/>
      <c r="B106" s="81">
        <v>3</v>
      </c>
      <c r="C106" s="245">
        <f t="shared" si="16"/>
        <v>769100000</v>
      </c>
      <c r="D106" s="33"/>
      <c r="E106" s="33">
        <v>750000</v>
      </c>
      <c r="G106" s="33">
        <f t="shared" si="17"/>
        <v>6761671</v>
      </c>
      <c r="H106" s="33"/>
      <c r="I106" s="120">
        <f t="shared" si="15"/>
        <v>768350000</v>
      </c>
    </row>
    <row r="107" spans="1:9" x14ac:dyDescent="0.25">
      <c r="A107" s="30"/>
      <c r="B107" s="81">
        <v>4</v>
      </c>
      <c r="C107" s="245">
        <f t="shared" si="16"/>
        <v>768350000</v>
      </c>
      <c r="D107" s="33"/>
      <c r="E107" s="33">
        <v>750000</v>
      </c>
      <c r="G107" s="33">
        <f t="shared" si="17"/>
        <v>6755077</v>
      </c>
      <c r="H107" s="33"/>
      <c r="I107" s="120">
        <f t="shared" si="15"/>
        <v>767600000</v>
      </c>
    </row>
    <row r="108" spans="1:9" x14ac:dyDescent="0.25">
      <c r="A108" s="30"/>
      <c r="B108" s="81">
        <v>5</v>
      </c>
      <c r="C108" s="245">
        <f t="shared" si="16"/>
        <v>767600000</v>
      </c>
      <c r="D108" s="33"/>
      <c r="E108" s="33">
        <v>750000</v>
      </c>
      <c r="G108" s="33">
        <f t="shared" si="17"/>
        <v>6748483</v>
      </c>
      <c r="H108" s="33"/>
      <c r="I108" s="120">
        <f t="shared" si="15"/>
        <v>766850000</v>
      </c>
    </row>
    <row r="109" spans="1:9" x14ac:dyDescent="0.25">
      <c r="A109" s="30"/>
      <c r="B109" s="81">
        <v>6</v>
      </c>
      <c r="C109" s="245">
        <f t="shared" si="16"/>
        <v>766850000</v>
      </c>
      <c r="D109" s="33"/>
      <c r="E109" s="33">
        <v>750000</v>
      </c>
      <c r="G109" s="33">
        <f t="shared" si="17"/>
        <v>6741890</v>
      </c>
      <c r="H109" s="33"/>
      <c r="I109" s="120">
        <f t="shared" si="15"/>
        <v>766100000</v>
      </c>
    </row>
    <row r="110" spans="1:9" x14ac:dyDescent="0.25">
      <c r="A110" s="30"/>
      <c r="B110" s="81">
        <v>7</v>
      </c>
      <c r="C110" s="245">
        <f t="shared" si="16"/>
        <v>766100000</v>
      </c>
      <c r="D110" s="33"/>
      <c r="E110" s="33">
        <v>750000</v>
      </c>
      <c r="G110" s="33">
        <f t="shared" si="17"/>
        <v>6735296</v>
      </c>
      <c r="H110" s="33"/>
      <c r="I110" s="120">
        <f t="shared" si="15"/>
        <v>765350000</v>
      </c>
    </row>
    <row r="111" spans="1:9" x14ac:dyDescent="0.25">
      <c r="A111" s="30"/>
      <c r="B111" s="81">
        <v>8</v>
      </c>
      <c r="C111" s="245">
        <f t="shared" si="16"/>
        <v>765350000</v>
      </c>
      <c r="D111" s="33"/>
      <c r="E111" s="33">
        <v>750000</v>
      </c>
      <c r="G111" s="33">
        <f t="shared" si="17"/>
        <v>6728702</v>
      </c>
      <c r="H111" s="33"/>
      <c r="I111" s="120">
        <f t="shared" si="15"/>
        <v>764600000</v>
      </c>
    </row>
    <row r="112" spans="1:9" x14ac:dyDescent="0.25">
      <c r="A112" s="30"/>
      <c r="B112" s="81">
        <v>9</v>
      </c>
      <c r="C112" s="245">
        <f t="shared" si="16"/>
        <v>764600000</v>
      </c>
      <c r="D112" s="33"/>
      <c r="E112" s="33">
        <v>750000</v>
      </c>
      <c r="G112" s="33">
        <f t="shared" si="17"/>
        <v>6722108</v>
      </c>
      <c r="H112" s="33"/>
      <c r="I112" s="120">
        <f t="shared" si="15"/>
        <v>763850000</v>
      </c>
    </row>
    <row r="113" spans="1:9" x14ac:dyDescent="0.25">
      <c r="A113" s="30"/>
      <c r="B113" s="81">
        <v>10</v>
      </c>
      <c r="C113" s="245">
        <f t="shared" si="16"/>
        <v>763850000</v>
      </c>
      <c r="D113" s="33"/>
      <c r="E113" s="33">
        <v>750000</v>
      </c>
      <c r="G113" s="33">
        <f t="shared" si="17"/>
        <v>6715515</v>
      </c>
      <c r="H113" s="33"/>
      <c r="I113" s="120">
        <f t="shared" si="15"/>
        <v>763100000</v>
      </c>
    </row>
    <row r="114" spans="1:9" x14ac:dyDescent="0.25">
      <c r="A114" s="30"/>
      <c r="B114" s="81">
        <v>11</v>
      </c>
      <c r="C114" s="245">
        <f t="shared" si="16"/>
        <v>763100000</v>
      </c>
      <c r="D114" s="33"/>
      <c r="E114" s="33">
        <v>750000</v>
      </c>
      <c r="G114" s="33">
        <f t="shared" si="17"/>
        <v>6708921</v>
      </c>
      <c r="H114" s="33"/>
      <c r="I114" s="120">
        <f t="shared" si="15"/>
        <v>762350000</v>
      </c>
    </row>
    <row r="115" spans="1:9" x14ac:dyDescent="0.25">
      <c r="A115" s="30"/>
      <c r="B115" s="81">
        <v>12</v>
      </c>
      <c r="C115" s="245">
        <f t="shared" si="16"/>
        <v>762350000</v>
      </c>
      <c r="D115" s="33"/>
      <c r="E115" s="33">
        <v>750000</v>
      </c>
      <c r="G115" s="33">
        <f t="shared" si="17"/>
        <v>6702327</v>
      </c>
      <c r="H115" s="33"/>
      <c r="I115" s="120">
        <f t="shared" si="15"/>
        <v>761600000</v>
      </c>
    </row>
    <row r="116" spans="1:9" x14ac:dyDescent="0.25">
      <c r="A116" s="30"/>
      <c r="C116" s="245"/>
      <c r="I116" s="29"/>
    </row>
    <row r="117" spans="1:9" ht="13" x14ac:dyDescent="0.3">
      <c r="A117" s="121"/>
      <c r="B117" s="42"/>
      <c r="C117" s="42"/>
      <c r="D117" s="42"/>
      <c r="E117" s="122">
        <f>SUM(E104:E116)</f>
        <v>9000000</v>
      </c>
      <c r="F117" s="42"/>
      <c r="G117" s="122">
        <f>SUM(G104:G116)</f>
        <v>80863113</v>
      </c>
      <c r="H117" s="122"/>
      <c r="I117" s="43"/>
    </row>
    <row r="118" spans="1:9" x14ac:dyDescent="0.25">
      <c r="E118" s="42"/>
    </row>
    <row r="119" spans="1:9" x14ac:dyDescent="0.25">
      <c r="A119" s="127">
        <v>7</v>
      </c>
      <c r="B119" s="124">
        <v>1</v>
      </c>
      <c r="C119" s="246">
        <f>I115</f>
        <v>761600000</v>
      </c>
      <c r="D119" s="125"/>
      <c r="E119" s="33">
        <v>800000</v>
      </c>
      <c r="F119" s="119"/>
      <c r="G119" s="125">
        <f>ROUND(C119*10.55/100*1/12,0)</f>
        <v>6695733</v>
      </c>
      <c r="H119" s="125"/>
      <c r="I119" s="126">
        <f t="shared" ref="I119:I130" si="18">C119-E119</f>
        <v>760800000</v>
      </c>
    </row>
    <row r="120" spans="1:9" x14ac:dyDescent="0.25">
      <c r="A120" s="30"/>
      <c r="B120" s="81">
        <v>2</v>
      </c>
      <c r="C120" s="245">
        <f t="shared" ref="C120:C130" si="19">I119</f>
        <v>760800000</v>
      </c>
      <c r="D120" s="33"/>
      <c r="E120" s="33">
        <v>800000</v>
      </c>
      <c r="G120" s="33">
        <f t="shared" ref="G120:G130" si="20">ROUND(C120*10.55/100*1/12,0)</f>
        <v>6688700</v>
      </c>
      <c r="H120" s="33"/>
      <c r="I120" s="120">
        <f t="shared" si="18"/>
        <v>760000000</v>
      </c>
    </row>
    <row r="121" spans="1:9" x14ac:dyDescent="0.25">
      <c r="A121" s="30"/>
      <c r="B121" s="81">
        <v>3</v>
      </c>
      <c r="C121" s="245">
        <f t="shared" si="19"/>
        <v>760000000</v>
      </c>
      <c r="D121" s="33"/>
      <c r="E121" s="33">
        <v>800000</v>
      </c>
      <c r="G121" s="33">
        <f t="shared" si="20"/>
        <v>6681667</v>
      </c>
      <c r="H121" s="33"/>
      <c r="I121" s="120">
        <f t="shared" si="18"/>
        <v>759200000</v>
      </c>
    </row>
    <row r="122" spans="1:9" x14ac:dyDescent="0.25">
      <c r="A122" s="30"/>
      <c r="B122" s="81">
        <v>4</v>
      </c>
      <c r="C122" s="245">
        <f t="shared" si="19"/>
        <v>759200000</v>
      </c>
      <c r="D122" s="33"/>
      <c r="E122" s="33">
        <v>800000</v>
      </c>
      <c r="G122" s="33">
        <f t="shared" si="20"/>
        <v>6674633</v>
      </c>
      <c r="H122" s="33"/>
      <c r="I122" s="120">
        <f t="shared" si="18"/>
        <v>758400000</v>
      </c>
    </row>
    <row r="123" spans="1:9" x14ac:dyDescent="0.25">
      <c r="A123" s="30"/>
      <c r="B123" s="81">
        <v>5</v>
      </c>
      <c r="C123" s="245">
        <f t="shared" si="19"/>
        <v>758400000</v>
      </c>
      <c r="D123" s="33"/>
      <c r="E123" s="33">
        <v>800000</v>
      </c>
      <c r="G123" s="33">
        <f t="shared" si="20"/>
        <v>6667600</v>
      </c>
      <c r="H123" s="33"/>
      <c r="I123" s="120">
        <f t="shared" si="18"/>
        <v>757600000</v>
      </c>
    </row>
    <row r="124" spans="1:9" x14ac:dyDescent="0.25">
      <c r="A124" s="30"/>
      <c r="B124" s="81">
        <v>6</v>
      </c>
      <c r="C124" s="245">
        <f t="shared" si="19"/>
        <v>757600000</v>
      </c>
      <c r="D124" s="33"/>
      <c r="E124" s="33">
        <v>800000</v>
      </c>
      <c r="G124" s="33">
        <f t="shared" si="20"/>
        <v>6660567</v>
      </c>
      <c r="H124" s="33"/>
      <c r="I124" s="120">
        <f t="shared" si="18"/>
        <v>756800000</v>
      </c>
    </row>
    <row r="125" spans="1:9" x14ac:dyDescent="0.25">
      <c r="A125" s="30"/>
      <c r="B125" s="81">
        <v>7</v>
      </c>
      <c r="C125" s="245">
        <f t="shared" si="19"/>
        <v>756800000</v>
      </c>
      <c r="D125" s="33"/>
      <c r="E125" s="33">
        <v>800000</v>
      </c>
      <c r="G125" s="33">
        <f t="shared" si="20"/>
        <v>6653533</v>
      </c>
      <c r="H125" s="33"/>
      <c r="I125" s="120">
        <f t="shared" si="18"/>
        <v>756000000</v>
      </c>
    </row>
    <row r="126" spans="1:9" x14ac:dyDescent="0.25">
      <c r="A126" s="30"/>
      <c r="B126" s="81">
        <v>8</v>
      </c>
      <c r="C126" s="245">
        <f t="shared" si="19"/>
        <v>756000000</v>
      </c>
      <c r="D126" s="33"/>
      <c r="E126" s="33">
        <v>800000</v>
      </c>
      <c r="G126" s="33">
        <f t="shared" si="20"/>
        <v>6646500</v>
      </c>
      <c r="H126" s="33"/>
      <c r="I126" s="120">
        <f t="shared" si="18"/>
        <v>755200000</v>
      </c>
    </row>
    <row r="127" spans="1:9" x14ac:dyDescent="0.25">
      <c r="A127" s="30"/>
      <c r="B127" s="81">
        <v>9</v>
      </c>
      <c r="C127" s="245">
        <f t="shared" si="19"/>
        <v>755200000</v>
      </c>
      <c r="D127" s="33"/>
      <c r="E127" s="33">
        <v>800000</v>
      </c>
      <c r="G127" s="33">
        <f t="shared" si="20"/>
        <v>6639467</v>
      </c>
      <c r="H127" s="33"/>
      <c r="I127" s="120">
        <f t="shared" si="18"/>
        <v>754400000</v>
      </c>
    </row>
    <row r="128" spans="1:9" x14ac:dyDescent="0.25">
      <c r="A128" s="30"/>
      <c r="B128" s="81">
        <v>10</v>
      </c>
      <c r="C128" s="245">
        <f t="shared" si="19"/>
        <v>754400000</v>
      </c>
      <c r="D128" s="33"/>
      <c r="E128" s="33">
        <v>800000</v>
      </c>
      <c r="G128" s="33">
        <f t="shared" si="20"/>
        <v>6632433</v>
      </c>
      <c r="H128" s="33"/>
      <c r="I128" s="120">
        <f t="shared" si="18"/>
        <v>753600000</v>
      </c>
    </row>
    <row r="129" spans="1:9" x14ac:dyDescent="0.25">
      <c r="A129" s="30"/>
      <c r="B129" s="81">
        <v>11</v>
      </c>
      <c r="C129" s="245">
        <f t="shared" si="19"/>
        <v>753600000</v>
      </c>
      <c r="D129" s="33"/>
      <c r="E129" s="33">
        <v>800000</v>
      </c>
      <c r="G129" s="33">
        <f t="shared" si="20"/>
        <v>6625400</v>
      </c>
      <c r="H129" s="33"/>
      <c r="I129" s="120">
        <f t="shared" si="18"/>
        <v>752800000</v>
      </c>
    </row>
    <row r="130" spans="1:9" x14ac:dyDescent="0.25">
      <c r="A130" s="30"/>
      <c r="B130" s="81">
        <v>12</v>
      </c>
      <c r="C130" s="245">
        <f t="shared" si="19"/>
        <v>752800000</v>
      </c>
      <c r="D130" s="33"/>
      <c r="E130" s="33">
        <v>800000</v>
      </c>
      <c r="G130" s="33">
        <f t="shared" si="20"/>
        <v>6618367</v>
      </c>
      <c r="H130" s="33"/>
      <c r="I130" s="120">
        <f t="shared" si="18"/>
        <v>752000000</v>
      </c>
    </row>
    <row r="131" spans="1:9" x14ac:dyDescent="0.25">
      <c r="A131" s="30"/>
      <c r="I131" s="29"/>
    </row>
    <row r="132" spans="1:9" ht="13" x14ac:dyDescent="0.3">
      <c r="A132" s="121"/>
      <c r="B132" s="42"/>
      <c r="C132" s="42"/>
      <c r="D132" s="42"/>
      <c r="E132" s="122">
        <f>SUM(E119:E131)</f>
        <v>9600000</v>
      </c>
      <c r="F132" s="42"/>
      <c r="G132" s="122">
        <f>SUM(G119:G131)</f>
        <v>79884600</v>
      </c>
      <c r="H132" s="122"/>
      <c r="I132" s="43"/>
    </row>
    <row r="133" spans="1:9" ht="13" x14ac:dyDescent="0.3">
      <c r="E133" s="122"/>
      <c r="G133" s="69"/>
      <c r="H133" s="69"/>
    </row>
    <row r="134" spans="1:9" x14ac:dyDescent="0.25">
      <c r="A134" s="127">
        <v>8</v>
      </c>
      <c r="B134" s="124">
        <v>1</v>
      </c>
      <c r="C134" s="246">
        <f>I130</f>
        <v>752000000</v>
      </c>
      <c r="D134" s="125"/>
      <c r="E134" s="33">
        <v>850000</v>
      </c>
      <c r="F134" s="119"/>
      <c r="G134" s="125">
        <f>ROUND(C134*10.55/100*1/12,0)</f>
        <v>6611333</v>
      </c>
      <c r="H134" s="125"/>
      <c r="I134" s="126">
        <f t="shared" ref="I134:I144" si="21">C134-E134</f>
        <v>751150000</v>
      </c>
    </row>
    <row r="135" spans="1:9" x14ac:dyDescent="0.25">
      <c r="A135" s="30"/>
      <c r="B135" s="81">
        <v>2</v>
      </c>
      <c r="C135" s="245">
        <f t="shared" ref="C135:C145" si="22">I134</f>
        <v>751150000</v>
      </c>
      <c r="D135" s="33"/>
      <c r="E135" s="33">
        <v>850000</v>
      </c>
      <c r="G135" s="33">
        <f t="shared" ref="G135:G145" si="23">ROUND(C135*10.55/100*1/12,0)</f>
        <v>6603860</v>
      </c>
      <c r="H135" s="33"/>
      <c r="I135" s="120">
        <f t="shared" si="21"/>
        <v>750300000</v>
      </c>
    </row>
    <row r="136" spans="1:9" x14ac:dyDescent="0.25">
      <c r="A136" s="30"/>
      <c r="B136" s="81">
        <v>3</v>
      </c>
      <c r="C136" s="245">
        <f t="shared" si="22"/>
        <v>750300000</v>
      </c>
      <c r="D136" s="33"/>
      <c r="E136" s="33">
        <v>850000</v>
      </c>
      <c r="G136" s="33">
        <f t="shared" si="23"/>
        <v>6596388</v>
      </c>
      <c r="H136" s="33"/>
      <c r="I136" s="120">
        <f t="shared" si="21"/>
        <v>749450000</v>
      </c>
    </row>
    <row r="137" spans="1:9" x14ac:dyDescent="0.25">
      <c r="A137" s="30"/>
      <c r="B137" s="81">
        <v>4</v>
      </c>
      <c r="C137" s="245">
        <f t="shared" si="22"/>
        <v>749450000</v>
      </c>
      <c r="D137" s="33"/>
      <c r="E137" s="33">
        <v>850000</v>
      </c>
      <c r="G137" s="33">
        <f t="shared" si="23"/>
        <v>6588915</v>
      </c>
      <c r="H137" s="33"/>
      <c r="I137" s="120">
        <f t="shared" si="21"/>
        <v>748600000</v>
      </c>
    </row>
    <row r="138" spans="1:9" x14ac:dyDescent="0.25">
      <c r="A138" s="30"/>
      <c r="B138" s="81">
        <v>5</v>
      </c>
      <c r="C138" s="245">
        <f t="shared" si="22"/>
        <v>748600000</v>
      </c>
      <c r="D138" s="33"/>
      <c r="E138" s="33">
        <v>850000</v>
      </c>
      <c r="G138" s="33">
        <f t="shared" si="23"/>
        <v>6581442</v>
      </c>
      <c r="H138" s="33"/>
      <c r="I138" s="120">
        <f t="shared" si="21"/>
        <v>747750000</v>
      </c>
    </row>
    <row r="139" spans="1:9" x14ac:dyDescent="0.25">
      <c r="A139" s="30"/>
      <c r="B139" s="81">
        <v>6</v>
      </c>
      <c r="C139" s="245">
        <f t="shared" si="22"/>
        <v>747750000</v>
      </c>
      <c r="D139" s="33"/>
      <c r="E139" s="33">
        <v>850000</v>
      </c>
      <c r="G139" s="33">
        <f t="shared" si="23"/>
        <v>6573969</v>
      </c>
      <c r="H139" s="33"/>
      <c r="I139" s="120">
        <f t="shared" si="21"/>
        <v>746900000</v>
      </c>
    </row>
    <row r="140" spans="1:9" x14ac:dyDescent="0.25">
      <c r="A140" s="30"/>
      <c r="B140" s="81">
        <v>7</v>
      </c>
      <c r="C140" s="245">
        <f t="shared" si="22"/>
        <v>746900000</v>
      </c>
      <c r="D140" s="33"/>
      <c r="E140" s="33">
        <v>850000</v>
      </c>
      <c r="G140" s="33">
        <f t="shared" si="23"/>
        <v>6566496</v>
      </c>
      <c r="H140" s="33"/>
      <c r="I140" s="120">
        <f t="shared" si="21"/>
        <v>746050000</v>
      </c>
    </row>
    <row r="141" spans="1:9" x14ac:dyDescent="0.25">
      <c r="A141" s="30"/>
      <c r="B141" s="81">
        <v>8</v>
      </c>
      <c r="C141" s="245">
        <f t="shared" si="22"/>
        <v>746050000</v>
      </c>
      <c r="D141" s="33"/>
      <c r="E141" s="33">
        <v>850000</v>
      </c>
      <c r="G141" s="33">
        <f t="shared" si="23"/>
        <v>6559023</v>
      </c>
      <c r="H141" s="33"/>
      <c r="I141" s="120">
        <f t="shared" si="21"/>
        <v>745200000</v>
      </c>
    </row>
    <row r="142" spans="1:9" x14ac:dyDescent="0.25">
      <c r="A142" s="30"/>
      <c r="B142" s="81">
        <v>9</v>
      </c>
      <c r="C142" s="245">
        <f t="shared" si="22"/>
        <v>745200000</v>
      </c>
      <c r="D142" s="33"/>
      <c r="E142" s="33">
        <v>850000</v>
      </c>
      <c r="G142" s="33">
        <f t="shared" si="23"/>
        <v>6551550</v>
      </c>
      <c r="H142" s="33"/>
      <c r="I142" s="120">
        <f t="shared" si="21"/>
        <v>744350000</v>
      </c>
    </row>
    <row r="143" spans="1:9" x14ac:dyDescent="0.25">
      <c r="A143" s="30"/>
      <c r="B143" s="81">
        <v>10</v>
      </c>
      <c r="C143" s="245">
        <f t="shared" si="22"/>
        <v>744350000</v>
      </c>
      <c r="D143" s="33"/>
      <c r="E143" s="33">
        <v>850000</v>
      </c>
      <c r="G143" s="33">
        <f t="shared" si="23"/>
        <v>6544077</v>
      </c>
      <c r="H143" s="33"/>
      <c r="I143" s="120">
        <f t="shared" si="21"/>
        <v>743500000</v>
      </c>
    </row>
    <row r="144" spans="1:9" x14ac:dyDescent="0.25">
      <c r="A144" s="30"/>
      <c r="B144" s="81">
        <v>11</v>
      </c>
      <c r="C144" s="245">
        <f t="shared" si="22"/>
        <v>743500000</v>
      </c>
      <c r="D144" s="33"/>
      <c r="E144" s="33">
        <v>850000</v>
      </c>
      <c r="G144" s="33">
        <f t="shared" si="23"/>
        <v>6536604</v>
      </c>
      <c r="H144" s="33"/>
      <c r="I144" s="120">
        <f t="shared" si="21"/>
        <v>742650000</v>
      </c>
    </row>
    <row r="145" spans="1:9" x14ac:dyDescent="0.25">
      <c r="A145" s="30"/>
      <c r="B145" s="81">
        <v>12</v>
      </c>
      <c r="C145" s="245">
        <f t="shared" si="22"/>
        <v>742650000</v>
      </c>
      <c r="D145" s="33"/>
      <c r="E145" s="33">
        <v>850000</v>
      </c>
      <c r="G145" s="33">
        <f t="shared" si="23"/>
        <v>6529131</v>
      </c>
      <c r="H145" s="33"/>
      <c r="I145" s="120">
        <f>C145-E145</f>
        <v>741800000</v>
      </c>
    </row>
    <row r="146" spans="1:9" x14ac:dyDescent="0.25">
      <c r="A146" s="30"/>
      <c r="I146" s="29"/>
    </row>
    <row r="147" spans="1:9" ht="13" x14ac:dyDescent="0.3">
      <c r="A147" s="121"/>
      <c r="B147" s="42"/>
      <c r="C147" s="42"/>
      <c r="D147" s="42"/>
      <c r="E147" s="122">
        <f>SUM(E134:E146)</f>
        <v>10200000</v>
      </c>
      <c r="F147" s="42"/>
      <c r="G147" s="122">
        <f>SUM(G134:G146)</f>
        <v>78842788</v>
      </c>
      <c r="H147" s="122"/>
      <c r="I147" s="43"/>
    </row>
    <row r="148" spans="1:9" x14ac:dyDescent="0.25">
      <c r="B148" s="81"/>
      <c r="C148" s="33"/>
      <c r="D148" s="33"/>
      <c r="G148" s="33"/>
      <c r="H148" s="33"/>
      <c r="I148" s="33"/>
    </row>
    <row r="149" spans="1:9" x14ac:dyDescent="0.25">
      <c r="A149" s="81">
        <v>9</v>
      </c>
      <c r="B149" s="81">
        <v>1</v>
      </c>
      <c r="C149" s="245">
        <f>I145</f>
        <v>741800000</v>
      </c>
      <c r="D149" s="33"/>
      <c r="E149" s="33">
        <v>900000</v>
      </c>
      <c r="G149" s="33">
        <f>ROUND(C149*10.55/100*1/12,0)</f>
        <v>6521658</v>
      </c>
      <c r="H149" s="33"/>
      <c r="I149" s="33">
        <f t="shared" ref="I149:I159" si="24">C149-E149</f>
        <v>740900000</v>
      </c>
    </row>
    <row r="150" spans="1:9" x14ac:dyDescent="0.25">
      <c r="B150" s="81">
        <v>2</v>
      </c>
      <c r="C150" s="245">
        <f t="shared" ref="C150:C160" si="25">I149</f>
        <v>740900000</v>
      </c>
      <c r="D150" s="33"/>
      <c r="E150" s="33">
        <v>900000</v>
      </c>
      <c r="G150" s="33">
        <f t="shared" ref="G150:G160" si="26">ROUND(C150*10.55/100*1/12,0)</f>
        <v>6513746</v>
      </c>
      <c r="H150" s="33"/>
      <c r="I150" s="33">
        <f t="shared" si="24"/>
        <v>740000000</v>
      </c>
    </row>
    <row r="151" spans="1:9" x14ac:dyDescent="0.25">
      <c r="B151" s="81">
        <v>3</v>
      </c>
      <c r="C151" s="245">
        <f t="shared" si="25"/>
        <v>740000000</v>
      </c>
      <c r="D151" s="33"/>
      <c r="E151" s="33">
        <v>900000</v>
      </c>
      <c r="G151" s="33">
        <f t="shared" si="26"/>
        <v>6505833</v>
      </c>
      <c r="H151" s="33"/>
      <c r="I151" s="33">
        <f t="shared" si="24"/>
        <v>739100000</v>
      </c>
    </row>
    <row r="152" spans="1:9" x14ac:dyDescent="0.25">
      <c r="B152" s="81">
        <v>4</v>
      </c>
      <c r="C152" s="245">
        <f t="shared" si="25"/>
        <v>739100000</v>
      </c>
      <c r="D152" s="33"/>
      <c r="E152" s="33">
        <v>900000</v>
      </c>
      <c r="G152" s="33">
        <f t="shared" si="26"/>
        <v>6497921</v>
      </c>
      <c r="H152" s="33"/>
      <c r="I152" s="33">
        <f t="shared" si="24"/>
        <v>738200000</v>
      </c>
    </row>
    <row r="153" spans="1:9" x14ac:dyDescent="0.25">
      <c r="B153" s="81">
        <v>5</v>
      </c>
      <c r="C153" s="245">
        <f t="shared" si="25"/>
        <v>738200000</v>
      </c>
      <c r="D153" s="33"/>
      <c r="E153" s="33">
        <v>900000</v>
      </c>
      <c r="G153" s="33">
        <f t="shared" si="26"/>
        <v>6490008</v>
      </c>
      <c r="H153" s="33"/>
      <c r="I153" s="33">
        <f t="shared" si="24"/>
        <v>737300000</v>
      </c>
    </row>
    <row r="154" spans="1:9" x14ac:dyDescent="0.25">
      <c r="B154" s="81">
        <v>6</v>
      </c>
      <c r="C154" s="245">
        <f t="shared" si="25"/>
        <v>737300000</v>
      </c>
      <c r="D154" s="33"/>
      <c r="E154" s="33">
        <v>900000</v>
      </c>
      <c r="G154" s="33">
        <f t="shared" si="26"/>
        <v>6482096</v>
      </c>
      <c r="H154" s="33"/>
      <c r="I154" s="33">
        <f t="shared" si="24"/>
        <v>736400000</v>
      </c>
    </row>
    <row r="155" spans="1:9" x14ac:dyDescent="0.25">
      <c r="B155" s="81">
        <v>7</v>
      </c>
      <c r="C155" s="245">
        <f t="shared" si="25"/>
        <v>736400000</v>
      </c>
      <c r="D155" s="33"/>
      <c r="E155" s="33">
        <v>900000</v>
      </c>
      <c r="G155" s="33">
        <f t="shared" si="26"/>
        <v>6474183</v>
      </c>
      <c r="H155" s="33"/>
      <c r="I155" s="33">
        <f t="shared" si="24"/>
        <v>735500000</v>
      </c>
    </row>
    <row r="156" spans="1:9" x14ac:dyDescent="0.25">
      <c r="B156" s="81">
        <v>8</v>
      </c>
      <c r="C156" s="245">
        <f t="shared" si="25"/>
        <v>735500000</v>
      </c>
      <c r="D156" s="33"/>
      <c r="E156" s="33">
        <v>900000</v>
      </c>
      <c r="G156" s="33">
        <f t="shared" si="26"/>
        <v>6466271</v>
      </c>
      <c r="H156" s="33"/>
      <c r="I156" s="33">
        <f t="shared" si="24"/>
        <v>734600000</v>
      </c>
    </row>
    <row r="157" spans="1:9" x14ac:dyDescent="0.25">
      <c r="B157" s="81">
        <v>9</v>
      </c>
      <c r="C157" s="245">
        <f t="shared" si="25"/>
        <v>734600000</v>
      </c>
      <c r="D157" s="33"/>
      <c r="E157" s="33">
        <v>900000</v>
      </c>
      <c r="G157" s="33">
        <f t="shared" si="26"/>
        <v>6458358</v>
      </c>
      <c r="H157" s="33"/>
      <c r="I157" s="33">
        <f t="shared" si="24"/>
        <v>733700000</v>
      </c>
    </row>
    <row r="158" spans="1:9" x14ac:dyDescent="0.25">
      <c r="B158" s="81">
        <v>10</v>
      </c>
      <c r="C158" s="245">
        <f t="shared" si="25"/>
        <v>733700000</v>
      </c>
      <c r="D158" s="33"/>
      <c r="E158" s="33">
        <v>900000</v>
      </c>
      <c r="G158" s="33">
        <f t="shared" si="26"/>
        <v>6450446</v>
      </c>
      <c r="H158" s="33"/>
      <c r="I158" s="33">
        <f t="shared" si="24"/>
        <v>732800000</v>
      </c>
    </row>
    <row r="159" spans="1:9" x14ac:dyDescent="0.25">
      <c r="B159" s="81">
        <v>11</v>
      </c>
      <c r="C159" s="245">
        <f t="shared" si="25"/>
        <v>732800000</v>
      </c>
      <c r="D159" s="33"/>
      <c r="E159" s="33">
        <v>900000</v>
      </c>
      <c r="G159" s="33">
        <f t="shared" si="26"/>
        <v>6442533</v>
      </c>
      <c r="H159" s="33"/>
      <c r="I159" s="33">
        <f t="shared" si="24"/>
        <v>731900000</v>
      </c>
    </row>
    <row r="160" spans="1:9" x14ac:dyDescent="0.25">
      <c r="B160" s="81">
        <v>12</v>
      </c>
      <c r="C160" s="245">
        <f t="shared" si="25"/>
        <v>731900000</v>
      </c>
      <c r="D160" s="33"/>
      <c r="E160" s="33">
        <v>900000</v>
      </c>
      <c r="G160" s="33">
        <f t="shared" si="26"/>
        <v>6434621</v>
      </c>
      <c r="H160" s="33"/>
      <c r="I160" s="33">
        <f>C160-E160</f>
        <v>731000000</v>
      </c>
    </row>
    <row r="162" spans="1:11" ht="13" x14ac:dyDescent="0.3">
      <c r="E162" s="86">
        <f>SUM(E149:E161)</f>
        <v>10800000</v>
      </c>
      <c r="G162" s="86">
        <f>SUM(G149:G161)</f>
        <v>77737674</v>
      </c>
      <c r="H162" s="69"/>
    </row>
    <row r="163" spans="1:11" x14ac:dyDescent="0.25">
      <c r="B163" s="81"/>
      <c r="C163" s="33"/>
      <c r="D163" s="33"/>
      <c r="G163" s="33"/>
      <c r="H163" s="33"/>
      <c r="I163" s="33"/>
    </row>
    <row r="165" spans="1:11" x14ac:dyDescent="0.25">
      <c r="A165" s="81">
        <v>10</v>
      </c>
      <c r="B165" s="81">
        <v>1</v>
      </c>
      <c r="C165" s="245">
        <f>I160</f>
        <v>731000000</v>
      </c>
      <c r="D165" s="33"/>
      <c r="E165" s="33">
        <v>915000</v>
      </c>
      <c r="G165" s="33">
        <f>ROUND(C165*10.55/100*1/12,0)</f>
        <v>6426708</v>
      </c>
      <c r="H165" s="33"/>
      <c r="I165" s="33">
        <f t="shared" ref="I165:I175" si="27">C165-E165</f>
        <v>730085000</v>
      </c>
    </row>
    <row r="166" spans="1:11" x14ac:dyDescent="0.25">
      <c r="B166" s="81">
        <v>2</v>
      </c>
      <c r="C166" s="245">
        <f t="shared" ref="C166:C176" si="28">I165</f>
        <v>730085000</v>
      </c>
      <c r="D166" s="33"/>
      <c r="E166" s="33">
        <v>915000</v>
      </c>
      <c r="G166" s="33">
        <f t="shared" ref="G166:G176" si="29">ROUND(C166*10.55/100*1/12,0)</f>
        <v>6418664</v>
      </c>
      <c r="H166" s="33"/>
      <c r="I166" s="33">
        <f t="shared" si="27"/>
        <v>729170000</v>
      </c>
    </row>
    <row r="167" spans="1:11" x14ac:dyDescent="0.25">
      <c r="B167" s="81">
        <v>3</v>
      </c>
      <c r="C167" s="245">
        <f t="shared" si="28"/>
        <v>729170000</v>
      </c>
      <c r="D167" s="33"/>
      <c r="E167" s="33">
        <v>915000</v>
      </c>
      <c r="G167" s="33">
        <f t="shared" si="29"/>
        <v>6410620</v>
      </c>
      <c r="H167" s="33"/>
      <c r="I167" s="33">
        <f t="shared" si="27"/>
        <v>728255000</v>
      </c>
    </row>
    <row r="168" spans="1:11" x14ac:dyDescent="0.25">
      <c r="B168" s="81">
        <v>4</v>
      </c>
      <c r="C168" s="245">
        <f t="shared" si="28"/>
        <v>728255000</v>
      </c>
      <c r="D168" s="33"/>
      <c r="E168" s="33">
        <v>915000</v>
      </c>
      <c r="G168" s="33">
        <f t="shared" si="29"/>
        <v>6402575</v>
      </c>
      <c r="H168" s="33"/>
      <c r="I168" s="33">
        <f t="shared" si="27"/>
        <v>727340000</v>
      </c>
      <c r="K168">
        <f>110/12</f>
        <v>9.1666666666666661</v>
      </c>
    </row>
    <row r="169" spans="1:11" x14ac:dyDescent="0.25">
      <c r="B169" s="81">
        <v>5</v>
      </c>
      <c r="C169" s="245">
        <f t="shared" si="28"/>
        <v>727340000</v>
      </c>
      <c r="D169" s="33"/>
      <c r="E169" s="33">
        <v>915000</v>
      </c>
      <c r="G169" s="33">
        <f t="shared" si="29"/>
        <v>6394531</v>
      </c>
      <c r="H169" s="33"/>
      <c r="I169" s="33">
        <f t="shared" si="27"/>
        <v>726425000</v>
      </c>
    </row>
    <row r="170" spans="1:11" x14ac:dyDescent="0.25">
      <c r="B170" s="81">
        <v>6</v>
      </c>
      <c r="C170" s="245">
        <f t="shared" si="28"/>
        <v>726425000</v>
      </c>
      <c r="D170" s="33"/>
      <c r="E170" s="33">
        <v>915000</v>
      </c>
      <c r="G170" s="33">
        <f t="shared" si="29"/>
        <v>6386486</v>
      </c>
      <c r="H170" s="33"/>
      <c r="I170" s="33">
        <f t="shared" si="27"/>
        <v>725510000</v>
      </c>
    </row>
    <row r="171" spans="1:11" x14ac:dyDescent="0.25">
      <c r="B171" s="81">
        <v>7</v>
      </c>
      <c r="C171" s="245">
        <f t="shared" si="28"/>
        <v>725510000</v>
      </c>
      <c r="D171" s="33"/>
      <c r="E171" s="33">
        <v>915000</v>
      </c>
      <c r="G171" s="33">
        <f t="shared" si="29"/>
        <v>6378442</v>
      </c>
      <c r="H171" s="33"/>
      <c r="I171" s="33">
        <f t="shared" si="27"/>
        <v>724595000</v>
      </c>
    </row>
    <row r="172" spans="1:11" x14ac:dyDescent="0.25">
      <c r="B172" s="81">
        <v>8</v>
      </c>
      <c r="C172" s="245">
        <f t="shared" si="28"/>
        <v>724595000</v>
      </c>
      <c r="D172" s="33"/>
      <c r="E172" s="33">
        <v>915000</v>
      </c>
      <c r="G172" s="33">
        <f t="shared" si="29"/>
        <v>6370398</v>
      </c>
      <c r="H172" s="33"/>
      <c r="I172" s="33">
        <f t="shared" si="27"/>
        <v>723680000</v>
      </c>
    </row>
    <row r="173" spans="1:11" x14ac:dyDescent="0.25">
      <c r="B173" s="81">
        <v>9</v>
      </c>
      <c r="C173" s="245">
        <f t="shared" si="28"/>
        <v>723680000</v>
      </c>
      <c r="D173" s="33"/>
      <c r="E173" s="33">
        <v>915000</v>
      </c>
      <c r="G173" s="33">
        <f t="shared" si="29"/>
        <v>6362353</v>
      </c>
      <c r="H173" s="33"/>
      <c r="I173" s="33">
        <f t="shared" si="27"/>
        <v>722765000</v>
      </c>
    </row>
    <row r="174" spans="1:11" x14ac:dyDescent="0.25">
      <c r="B174" s="81">
        <v>10</v>
      </c>
      <c r="C174" s="245">
        <f t="shared" si="28"/>
        <v>722765000</v>
      </c>
      <c r="D174" s="33"/>
      <c r="E174" s="33">
        <v>915000</v>
      </c>
      <c r="G174" s="33">
        <f t="shared" si="29"/>
        <v>6354309</v>
      </c>
      <c r="H174" s="33"/>
      <c r="I174" s="33">
        <f t="shared" si="27"/>
        <v>721850000</v>
      </c>
    </row>
    <row r="175" spans="1:11" x14ac:dyDescent="0.25">
      <c r="B175" s="81">
        <v>11</v>
      </c>
      <c r="C175" s="245">
        <f t="shared" si="28"/>
        <v>721850000</v>
      </c>
      <c r="D175" s="33"/>
      <c r="E175" s="33">
        <v>915000</v>
      </c>
      <c r="G175" s="33">
        <f t="shared" si="29"/>
        <v>6346265</v>
      </c>
      <c r="H175" s="33"/>
      <c r="I175" s="33">
        <f t="shared" si="27"/>
        <v>720935000</v>
      </c>
    </row>
    <row r="176" spans="1:11" x14ac:dyDescent="0.25">
      <c r="B176" s="81">
        <v>12</v>
      </c>
      <c r="C176" s="245">
        <f t="shared" si="28"/>
        <v>720935000</v>
      </c>
      <c r="D176" s="33"/>
      <c r="E176" s="33">
        <v>935000</v>
      </c>
      <c r="G176" s="33">
        <f t="shared" si="29"/>
        <v>6338220</v>
      </c>
      <c r="H176" s="33"/>
      <c r="I176" s="33">
        <f>C176-E176</f>
        <v>720000000</v>
      </c>
    </row>
    <row r="178" spans="5:8" ht="13" x14ac:dyDescent="0.3">
      <c r="E178" s="86">
        <f>SUM(E165:E177)</f>
        <v>11000000</v>
      </c>
      <c r="G178" s="86">
        <f>SUM(G165:G177)</f>
        <v>76589571</v>
      </c>
      <c r="H178" s="69"/>
    </row>
  </sheetData>
  <sheetProtection selectLockedCells="1" selectUnlockedCells="1"/>
  <mergeCells count="3">
    <mergeCell ref="A1:I1"/>
    <mergeCell ref="A2:I2"/>
    <mergeCell ref="A4:I4"/>
  </mergeCells>
  <pageMargins left="1.1500000000000001" right="0.75" top="0.47013888888888888" bottom="0.62013888888888891" header="0.51180555555555562" footer="0.51180555555555562"/>
  <pageSetup scale="96" firstPageNumber="0" orientation="portrait" horizontalDpi="300" verticalDpi="300"/>
  <headerFooter alignWithMargins="0"/>
  <rowBreaks count="1" manualBreakCount="1">
    <brk id="58"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94"/>
  <sheetViews>
    <sheetView showGridLines="0" topLeftCell="A4" workbookViewId="0">
      <selection activeCell="E14" sqref="E14"/>
    </sheetView>
  </sheetViews>
  <sheetFormatPr defaultRowHeight="12.5" x14ac:dyDescent="0.25"/>
  <cols>
    <col min="1" max="1" width="7.1796875" customWidth="1"/>
    <col min="2" max="2" width="29.1796875" customWidth="1"/>
    <col min="3" max="3" width="15.1796875" customWidth="1"/>
    <col min="4" max="4" width="16.1796875" customWidth="1"/>
    <col min="5" max="5" width="9.1796875" customWidth="1"/>
    <col min="6" max="6" width="16.81640625" customWidth="1"/>
    <col min="7" max="7" width="17.1796875" customWidth="1"/>
    <col min="8" max="8" width="14.81640625" customWidth="1"/>
  </cols>
  <sheetData>
    <row r="1" spans="1:10" ht="14" x14ac:dyDescent="0.3">
      <c r="A1" s="565">
        <f>intt.!A1</f>
        <v>0</v>
      </c>
      <c r="B1" s="565"/>
      <c r="C1" s="565"/>
      <c r="D1" s="565"/>
      <c r="E1" s="565"/>
      <c r="F1" s="565"/>
      <c r="G1" s="565"/>
      <c r="H1" s="565"/>
      <c r="I1" s="18"/>
      <c r="J1" s="18"/>
    </row>
    <row r="2" spans="1:10" ht="14" x14ac:dyDescent="0.3">
      <c r="A2" s="565">
        <f>pm!A2</f>
        <v>0</v>
      </c>
      <c r="B2" s="565"/>
      <c r="C2" s="565"/>
      <c r="D2" s="565"/>
      <c r="E2" s="565"/>
      <c r="F2" s="565"/>
      <c r="G2" s="565"/>
      <c r="H2" s="565"/>
      <c r="I2" s="18"/>
      <c r="J2" s="18"/>
    </row>
    <row r="3" spans="1:10" ht="14" x14ac:dyDescent="0.3">
      <c r="A3" t="s">
        <v>284</v>
      </c>
      <c r="B3" s="28"/>
      <c r="C3" s="28"/>
      <c r="D3" s="28"/>
      <c r="E3" s="28"/>
      <c r="F3" s="28"/>
      <c r="G3" s="28"/>
      <c r="H3" s="28"/>
      <c r="I3" s="18"/>
      <c r="J3" s="18"/>
    </row>
    <row r="4" spans="1:10" ht="14" x14ac:dyDescent="0.3">
      <c r="B4" s="28"/>
      <c r="C4" s="28"/>
      <c r="D4" s="28"/>
      <c r="E4" s="28"/>
      <c r="F4" s="28"/>
      <c r="G4" s="28"/>
      <c r="H4" s="28"/>
      <c r="I4" s="18"/>
      <c r="J4" s="18"/>
    </row>
    <row r="5" spans="1:10" ht="14" x14ac:dyDescent="0.3">
      <c r="A5" s="565" t="s">
        <v>285</v>
      </c>
      <c r="B5" s="565"/>
      <c r="C5" s="565"/>
      <c r="D5" s="565"/>
      <c r="E5" s="565"/>
      <c r="F5" s="565"/>
      <c r="G5" s="565"/>
      <c r="H5" s="565"/>
      <c r="I5" s="18"/>
    </row>
    <row r="6" spans="1:10" ht="15.5" x14ac:dyDescent="0.35">
      <c r="B6" s="18"/>
      <c r="C6" s="18"/>
      <c r="D6" s="18"/>
      <c r="E6" s="18"/>
      <c r="F6" s="18"/>
      <c r="G6" s="128" t="s">
        <v>286</v>
      </c>
      <c r="H6" s="129"/>
      <c r="I6" s="18"/>
      <c r="J6" s="18"/>
    </row>
    <row r="7" spans="1:10" ht="14" x14ac:dyDescent="0.3">
      <c r="B7" s="18"/>
      <c r="C7" s="18"/>
      <c r="D7" s="18"/>
      <c r="E7" s="18"/>
      <c r="F7" s="18"/>
      <c r="G7" s="18"/>
      <c r="H7" s="18"/>
      <c r="I7" s="18"/>
      <c r="J7" s="18"/>
    </row>
    <row r="8" spans="1:10" ht="14" x14ac:dyDescent="0.3">
      <c r="A8" s="130" t="s">
        <v>287</v>
      </c>
      <c r="B8" s="131" t="s">
        <v>288</v>
      </c>
      <c r="C8" s="132" t="s">
        <v>289</v>
      </c>
      <c r="D8" s="75" t="s">
        <v>290</v>
      </c>
      <c r="E8" s="75" t="s">
        <v>291</v>
      </c>
      <c r="F8" s="75" t="s">
        <v>292</v>
      </c>
      <c r="G8" s="133" t="s">
        <v>293</v>
      </c>
      <c r="H8" s="134" t="s">
        <v>280</v>
      </c>
      <c r="I8" s="18"/>
      <c r="J8" s="18"/>
    </row>
    <row r="9" spans="1:10" ht="14" x14ac:dyDescent="0.3">
      <c r="A9" s="44"/>
      <c r="B9" s="135"/>
      <c r="C9" s="136"/>
      <c r="D9" s="137"/>
      <c r="E9" s="46" t="s">
        <v>294</v>
      </c>
      <c r="F9" s="46"/>
      <c r="G9" s="137"/>
      <c r="H9" s="138"/>
      <c r="I9" s="18"/>
      <c r="J9" s="18"/>
    </row>
    <row r="10" spans="1:10" ht="14" x14ac:dyDescent="0.3">
      <c r="A10" s="247">
        <v>1</v>
      </c>
      <c r="B10" s="248" t="s">
        <v>295</v>
      </c>
      <c r="C10" s="249">
        <v>0</v>
      </c>
      <c r="D10" s="250">
        <f>'pc&amp;mf'!E14</f>
        <v>24987.231380000001</v>
      </c>
      <c r="E10" s="251">
        <v>0.15</v>
      </c>
      <c r="F10" s="250">
        <f>C10+D10</f>
        <v>24987.231380000001</v>
      </c>
      <c r="G10" s="252">
        <f>F10*E10</f>
        <v>3748.084707</v>
      </c>
      <c r="H10" s="253">
        <f>F10-G10</f>
        <v>21239.146673000003</v>
      </c>
      <c r="I10" s="18"/>
      <c r="J10" s="18"/>
    </row>
    <row r="11" spans="1:10" ht="14" x14ac:dyDescent="0.3">
      <c r="A11" s="247"/>
      <c r="B11" s="248"/>
      <c r="C11" s="249"/>
      <c r="D11" s="250"/>
      <c r="E11" s="254"/>
      <c r="F11" s="250"/>
      <c r="G11" s="252"/>
      <c r="H11" s="253"/>
      <c r="I11" s="18"/>
      <c r="J11" s="18"/>
    </row>
    <row r="12" spans="1:10" ht="14" x14ac:dyDescent="0.3">
      <c r="A12" s="247"/>
      <c r="B12" s="248" t="str">
        <f>'pc&amp;mf'!B17</f>
        <v>Computer /HIS / CC TV etc</v>
      </c>
      <c r="C12" s="249">
        <v>0</v>
      </c>
      <c r="D12" s="250">
        <f>'pc&amp;mf'!E17</f>
        <v>1449.6985999999999</v>
      </c>
      <c r="E12" s="251">
        <v>0.4</v>
      </c>
      <c r="F12" s="250">
        <f>C12+D12</f>
        <v>1449.6985999999999</v>
      </c>
      <c r="G12" s="252">
        <f>F12*E12</f>
        <v>579.87944000000005</v>
      </c>
      <c r="H12" s="253">
        <f>F12-G12</f>
        <v>869.8191599999999</v>
      </c>
      <c r="I12" s="18"/>
      <c r="J12" s="18"/>
    </row>
    <row r="13" spans="1:10" ht="14" x14ac:dyDescent="0.3">
      <c r="A13" s="247"/>
      <c r="B13" s="248"/>
      <c r="C13" s="249"/>
      <c r="D13" s="250"/>
      <c r="E13" s="254"/>
      <c r="F13" s="250"/>
      <c r="G13" s="252"/>
      <c r="H13" s="253"/>
      <c r="I13" s="18"/>
      <c r="J13" s="18"/>
    </row>
    <row r="14" spans="1:10" ht="14" x14ac:dyDescent="0.3">
      <c r="A14" s="247"/>
      <c r="B14" s="248" t="str">
        <f>'pc&amp;mf'!B20</f>
        <v>Furniture &amp; Fixtures</v>
      </c>
      <c r="C14" s="249">
        <v>0</v>
      </c>
      <c r="D14" s="250">
        <f>'pc&amp;mf'!E20</f>
        <v>789.07002</v>
      </c>
      <c r="E14" s="251">
        <v>0.1</v>
      </c>
      <c r="F14" s="250">
        <f>C14+D14</f>
        <v>789.07002</v>
      </c>
      <c r="G14" s="252">
        <f>F14*E14</f>
        <v>78.907002000000006</v>
      </c>
      <c r="H14" s="253">
        <f>F14-G14</f>
        <v>710.16301799999997</v>
      </c>
      <c r="I14" s="18"/>
      <c r="J14" s="18"/>
    </row>
    <row r="15" spans="1:10" ht="14" x14ac:dyDescent="0.3">
      <c r="A15" s="247"/>
      <c r="B15" s="248"/>
      <c r="C15" s="249"/>
      <c r="D15" s="250"/>
      <c r="E15" s="251"/>
      <c r="F15" s="251"/>
      <c r="G15" s="252"/>
      <c r="H15" s="253"/>
      <c r="I15" s="18"/>
      <c r="J15" s="18"/>
    </row>
    <row r="16" spans="1:10" ht="14" x14ac:dyDescent="0.3">
      <c r="A16" s="255"/>
      <c r="B16" s="256" t="s">
        <v>292</v>
      </c>
      <c r="C16" s="257">
        <f>SUM(C10:C14)</f>
        <v>0</v>
      </c>
      <c r="D16" s="258">
        <f>SUM(D10:D14)</f>
        <v>27226</v>
      </c>
      <c r="E16" s="259"/>
      <c r="F16" s="258">
        <f>SUM(F10:F14)</f>
        <v>27226</v>
      </c>
      <c r="G16" s="260">
        <f>SUM(G10:G14)</f>
        <v>4406.8711489999996</v>
      </c>
      <c r="H16" s="261">
        <f>SUM(H10:H14)</f>
        <v>22819.128851000001</v>
      </c>
      <c r="I16" s="18"/>
      <c r="J16" s="18"/>
    </row>
    <row r="17" spans="1:10" ht="14" x14ac:dyDescent="0.3">
      <c r="A17" s="139"/>
      <c r="B17" s="17"/>
      <c r="C17" s="20"/>
      <c r="D17" s="129"/>
      <c r="E17" s="141"/>
      <c r="F17" s="141"/>
      <c r="G17" s="31"/>
      <c r="H17" s="142"/>
      <c r="I17" s="18"/>
      <c r="J17" s="18"/>
    </row>
    <row r="18" spans="1:10" ht="14" x14ac:dyDescent="0.3">
      <c r="A18" s="262">
        <v>2</v>
      </c>
      <c r="B18" s="263" t="s">
        <v>295</v>
      </c>
      <c r="C18" s="264">
        <f>H10</f>
        <v>21239.146673000003</v>
      </c>
      <c r="D18" s="265">
        <v>0</v>
      </c>
      <c r="E18" s="266">
        <v>0.15</v>
      </c>
      <c r="F18" s="265">
        <f>C18+D18</f>
        <v>21239.146673000003</v>
      </c>
      <c r="G18" s="267">
        <f>F18*E18</f>
        <v>3185.8720009500003</v>
      </c>
      <c r="H18" s="268">
        <f>F18-G18</f>
        <v>18053.274672050004</v>
      </c>
      <c r="I18" s="18"/>
      <c r="J18" s="18"/>
    </row>
    <row r="19" spans="1:10" ht="14" x14ac:dyDescent="0.3">
      <c r="A19" s="269"/>
      <c r="B19" s="270"/>
      <c r="C19" s="271"/>
      <c r="D19" s="272"/>
      <c r="E19" s="273"/>
      <c r="F19" s="272"/>
      <c r="G19" s="267"/>
      <c r="H19" s="274"/>
      <c r="I19" s="18"/>
      <c r="J19" s="18"/>
    </row>
    <row r="20" spans="1:10" ht="14" x14ac:dyDescent="0.3">
      <c r="A20" s="269"/>
      <c r="B20" s="270" t="s">
        <v>296</v>
      </c>
      <c r="C20" s="271">
        <f>H12</f>
        <v>869.8191599999999</v>
      </c>
      <c r="D20" s="272">
        <v>0</v>
      </c>
      <c r="E20" s="275">
        <v>0.4</v>
      </c>
      <c r="F20" s="272">
        <f>C20+D20</f>
        <v>869.8191599999999</v>
      </c>
      <c r="G20" s="267">
        <f>F20*E20</f>
        <v>347.92766399999999</v>
      </c>
      <c r="H20" s="274">
        <f>F20-G20</f>
        <v>521.89149599999996</v>
      </c>
      <c r="I20" s="18"/>
      <c r="J20" s="18"/>
    </row>
    <row r="21" spans="1:10" ht="14" x14ac:dyDescent="0.3">
      <c r="A21" s="269"/>
      <c r="B21" s="270"/>
      <c r="C21" s="271"/>
      <c r="D21" s="272"/>
      <c r="E21" s="273"/>
      <c r="F21" s="272"/>
      <c r="G21" s="267"/>
      <c r="H21" s="274"/>
      <c r="I21" s="18"/>
      <c r="J21" s="18"/>
    </row>
    <row r="22" spans="1:10" ht="14" x14ac:dyDescent="0.3">
      <c r="A22" s="269"/>
      <c r="B22" s="270" t="s">
        <v>261</v>
      </c>
      <c r="C22" s="271">
        <f>H14</f>
        <v>710.16301799999997</v>
      </c>
      <c r="D22" s="272">
        <v>0</v>
      </c>
      <c r="E22" s="275">
        <v>0.1</v>
      </c>
      <c r="F22" s="272">
        <f>C22+D22</f>
        <v>710.16301799999997</v>
      </c>
      <c r="G22" s="267">
        <f>F22*E22</f>
        <v>71.016301799999994</v>
      </c>
      <c r="H22" s="274">
        <f>F22-G22</f>
        <v>639.14671620000001</v>
      </c>
      <c r="I22" s="18"/>
      <c r="J22" s="18"/>
    </row>
    <row r="23" spans="1:10" ht="14" x14ac:dyDescent="0.3">
      <c r="A23" s="269"/>
      <c r="B23" s="270"/>
      <c r="C23" s="271"/>
      <c r="D23" s="272"/>
      <c r="E23" s="273"/>
      <c r="F23" s="272"/>
      <c r="G23" s="267"/>
      <c r="H23" s="274"/>
      <c r="I23" s="18"/>
      <c r="J23" s="18"/>
    </row>
    <row r="24" spans="1:10" ht="14" x14ac:dyDescent="0.3">
      <c r="A24" s="276"/>
      <c r="B24" s="277" t="s">
        <v>292</v>
      </c>
      <c r="C24" s="278">
        <f>SUM(C18:C22)</f>
        <v>22819.128851000001</v>
      </c>
      <c r="D24" s="279">
        <f>SUM(D18:D22)</f>
        <v>0</v>
      </c>
      <c r="E24" s="280"/>
      <c r="F24" s="279">
        <f>SUM(F18:F22)</f>
        <v>22819.128851000001</v>
      </c>
      <c r="G24" s="281">
        <f>SUM(G18:G22)</f>
        <v>3604.8159667499999</v>
      </c>
      <c r="H24" s="282">
        <f>SUM(H18:H22)</f>
        <v>19214.312884250005</v>
      </c>
      <c r="I24" s="18"/>
      <c r="J24" s="18"/>
    </row>
    <row r="25" spans="1:10" ht="14" x14ac:dyDescent="0.3">
      <c r="A25" s="139"/>
      <c r="B25" s="17"/>
      <c r="C25" s="140"/>
      <c r="D25" s="94"/>
      <c r="E25" s="143"/>
      <c r="F25" s="94"/>
      <c r="G25" s="31"/>
      <c r="H25" s="142"/>
      <c r="I25" s="18"/>
      <c r="J25" s="18"/>
    </row>
    <row r="26" spans="1:10" ht="14" x14ac:dyDescent="0.3">
      <c r="A26" s="283">
        <v>3</v>
      </c>
      <c r="B26" s="284" t="s">
        <v>295</v>
      </c>
      <c r="C26" s="285">
        <f>H18</f>
        <v>18053.274672050004</v>
      </c>
      <c r="D26" s="286">
        <v>0</v>
      </c>
      <c r="E26" s="287">
        <v>0.15</v>
      </c>
      <c r="F26" s="286">
        <f>C26+D26</f>
        <v>18053.274672050004</v>
      </c>
      <c r="G26" s="288">
        <f>F26*E26</f>
        <v>2707.9912008075003</v>
      </c>
      <c r="H26" s="289">
        <f>F26-G26</f>
        <v>15345.283471242503</v>
      </c>
      <c r="I26" s="18"/>
      <c r="J26" s="18"/>
    </row>
    <row r="27" spans="1:10" ht="14" x14ac:dyDescent="0.3">
      <c r="A27" s="290"/>
      <c r="B27" s="291"/>
      <c r="C27" s="292"/>
      <c r="D27" s="293"/>
      <c r="E27" s="294"/>
      <c r="F27" s="293"/>
      <c r="G27" s="288"/>
      <c r="H27" s="295"/>
      <c r="I27" s="18"/>
      <c r="J27" s="18"/>
    </row>
    <row r="28" spans="1:10" ht="14" x14ac:dyDescent="0.3">
      <c r="A28" s="290"/>
      <c r="B28" s="291" t="s">
        <v>296</v>
      </c>
      <c r="C28" s="292">
        <f>H20</f>
        <v>521.89149599999996</v>
      </c>
      <c r="D28" s="293">
        <v>0</v>
      </c>
      <c r="E28" s="296">
        <v>0.4</v>
      </c>
      <c r="F28" s="293">
        <f>C28+D28</f>
        <v>521.89149599999996</v>
      </c>
      <c r="G28" s="288">
        <f>F28*E28</f>
        <v>208.7565984</v>
      </c>
      <c r="H28" s="295">
        <f>F28-G28</f>
        <v>313.13489759999993</v>
      </c>
      <c r="I28" s="18"/>
      <c r="J28" s="18"/>
    </row>
    <row r="29" spans="1:10" ht="14" x14ac:dyDescent="0.3">
      <c r="A29" s="290"/>
      <c r="B29" s="291"/>
      <c r="C29" s="292"/>
      <c r="D29" s="293"/>
      <c r="E29" s="294"/>
      <c r="F29" s="293"/>
      <c r="G29" s="288"/>
      <c r="H29" s="295"/>
      <c r="I29" s="18"/>
      <c r="J29" s="18"/>
    </row>
    <row r="30" spans="1:10" ht="14" x14ac:dyDescent="0.3">
      <c r="A30" s="290"/>
      <c r="B30" s="291" t="s">
        <v>261</v>
      </c>
      <c r="C30" s="292">
        <f>H22</f>
        <v>639.14671620000001</v>
      </c>
      <c r="D30" s="293">
        <v>0</v>
      </c>
      <c r="E30" s="296">
        <v>0.1</v>
      </c>
      <c r="F30" s="293">
        <f>C30+D30</f>
        <v>639.14671620000001</v>
      </c>
      <c r="G30" s="288">
        <f>F30*E30</f>
        <v>63.914671620000007</v>
      </c>
      <c r="H30" s="295">
        <f>F30-G30</f>
        <v>575.23204457999998</v>
      </c>
      <c r="I30" s="18"/>
      <c r="J30" s="18"/>
    </row>
    <row r="31" spans="1:10" ht="14" x14ac:dyDescent="0.3">
      <c r="A31" s="290"/>
      <c r="B31" s="291"/>
      <c r="C31" s="292"/>
      <c r="D31" s="293"/>
      <c r="E31" s="294"/>
      <c r="F31" s="293"/>
      <c r="G31" s="288"/>
      <c r="H31" s="295"/>
      <c r="I31" s="18"/>
      <c r="J31" s="18"/>
    </row>
    <row r="32" spans="1:10" ht="14" x14ac:dyDescent="0.3">
      <c r="A32" s="290"/>
      <c r="B32" s="297"/>
      <c r="C32" s="292"/>
      <c r="D32" s="293"/>
      <c r="E32" s="296"/>
      <c r="F32" s="298"/>
      <c r="G32" s="288"/>
      <c r="H32" s="295"/>
      <c r="I32" s="18"/>
      <c r="J32" s="18"/>
    </row>
    <row r="33" spans="1:10" ht="14" x14ac:dyDescent="0.3">
      <c r="A33" s="299"/>
      <c r="B33" s="300" t="s">
        <v>292</v>
      </c>
      <c r="C33" s="301">
        <f>SUM(C26:C31)</f>
        <v>19214.312884250005</v>
      </c>
      <c r="D33" s="302">
        <f>SUM(D18:D20)</f>
        <v>0</v>
      </c>
      <c r="E33" s="303"/>
      <c r="F33" s="302">
        <f>SUM(F26:F31)</f>
        <v>19214.312884250005</v>
      </c>
      <c r="G33" s="302">
        <f>SUM(G26:G31)</f>
        <v>2980.6624708274999</v>
      </c>
      <c r="H33" s="304">
        <f>SUM(H26:H31)</f>
        <v>16233.650413422503</v>
      </c>
      <c r="I33" s="18"/>
      <c r="J33" s="18"/>
    </row>
    <row r="34" spans="1:10" ht="14" x14ac:dyDescent="0.3">
      <c r="A34" s="139"/>
      <c r="B34" s="17"/>
      <c r="C34" s="140"/>
      <c r="D34" s="94"/>
      <c r="E34" s="141"/>
      <c r="F34" s="153"/>
      <c r="G34" s="31"/>
      <c r="H34" s="142"/>
      <c r="I34" s="18"/>
      <c r="J34" s="18"/>
    </row>
    <row r="35" spans="1:10" ht="14" x14ac:dyDescent="0.3">
      <c r="A35" s="305">
        <v>4</v>
      </c>
      <c r="B35" s="306" t="s">
        <v>295</v>
      </c>
      <c r="C35" s="307">
        <f>H26</f>
        <v>15345.283471242503</v>
      </c>
      <c r="D35" s="308">
        <v>0</v>
      </c>
      <c r="E35" s="309">
        <v>0.15</v>
      </c>
      <c r="F35" s="308">
        <f>C35+D35</f>
        <v>15345.283471242503</v>
      </c>
      <c r="G35" s="310">
        <f>F35*E35</f>
        <v>2301.7925206863752</v>
      </c>
      <c r="H35" s="311">
        <f>F35-G35</f>
        <v>13043.490950556128</v>
      </c>
      <c r="I35" s="18"/>
      <c r="J35" s="18"/>
    </row>
    <row r="36" spans="1:10" ht="14" x14ac:dyDescent="0.3">
      <c r="A36" s="312"/>
      <c r="B36" s="313"/>
      <c r="C36" s="314"/>
      <c r="D36" s="315"/>
      <c r="E36" s="316"/>
      <c r="F36" s="315"/>
      <c r="G36" s="310"/>
      <c r="H36" s="317"/>
      <c r="I36" s="18"/>
      <c r="J36" s="18"/>
    </row>
    <row r="37" spans="1:10" ht="14" x14ac:dyDescent="0.3">
      <c r="A37" s="312"/>
      <c r="B37" s="313" t="s">
        <v>296</v>
      </c>
      <c r="C37" s="314">
        <f>H28</f>
        <v>313.13489759999993</v>
      </c>
      <c r="D37" s="315">
        <v>0</v>
      </c>
      <c r="E37" s="318">
        <v>0.4</v>
      </c>
      <c r="F37" s="315">
        <f>C37+D37</f>
        <v>313.13489759999993</v>
      </c>
      <c r="G37" s="310">
        <f>F37*E37</f>
        <v>125.25395903999998</v>
      </c>
      <c r="H37" s="317">
        <f>F37-G37</f>
        <v>187.88093855999995</v>
      </c>
      <c r="I37" s="18"/>
      <c r="J37" s="18"/>
    </row>
    <row r="38" spans="1:10" ht="14" x14ac:dyDescent="0.3">
      <c r="A38" s="312"/>
      <c r="B38" s="313"/>
      <c r="C38" s="314"/>
      <c r="D38" s="315"/>
      <c r="E38" s="316"/>
      <c r="F38" s="315"/>
      <c r="G38" s="310"/>
      <c r="H38" s="317"/>
      <c r="I38" s="18"/>
      <c r="J38" s="18"/>
    </row>
    <row r="39" spans="1:10" ht="14" x14ac:dyDescent="0.3">
      <c r="A39" s="312"/>
      <c r="B39" s="313" t="s">
        <v>261</v>
      </c>
      <c r="C39" s="314">
        <f>H30</f>
        <v>575.23204457999998</v>
      </c>
      <c r="D39" s="315">
        <v>0</v>
      </c>
      <c r="E39" s="318">
        <v>0.1</v>
      </c>
      <c r="F39" s="315">
        <f>C39+D39</f>
        <v>575.23204457999998</v>
      </c>
      <c r="G39" s="310">
        <f>F39*E39</f>
        <v>57.523204458000002</v>
      </c>
      <c r="H39" s="317">
        <f>F39-G39</f>
        <v>517.70884012199997</v>
      </c>
      <c r="I39" s="18"/>
      <c r="J39" s="18"/>
    </row>
    <row r="40" spans="1:10" ht="14" x14ac:dyDescent="0.3">
      <c r="A40" s="312"/>
      <c r="B40" s="313"/>
      <c r="C40" s="314"/>
      <c r="D40" s="315"/>
      <c r="E40" s="316"/>
      <c r="F40" s="315"/>
      <c r="G40" s="310"/>
      <c r="H40" s="317"/>
      <c r="I40" s="18"/>
      <c r="J40" s="18"/>
    </row>
    <row r="41" spans="1:10" ht="14" x14ac:dyDescent="0.3">
      <c r="A41" s="312"/>
      <c r="B41" s="319"/>
      <c r="C41" s="314"/>
      <c r="D41" s="315"/>
      <c r="E41" s="318"/>
      <c r="F41" s="320"/>
      <c r="G41" s="310"/>
      <c r="H41" s="317"/>
      <c r="I41" s="18"/>
      <c r="J41" s="18"/>
    </row>
    <row r="42" spans="1:10" ht="14" x14ac:dyDescent="0.3">
      <c r="A42" s="321"/>
      <c r="B42" s="322" t="s">
        <v>292</v>
      </c>
      <c r="C42" s="323">
        <f>SUM(C35:C40)</f>
        <v>16233.650413422503</v>
      </c>
      <c r="D42" s="324">
        <f>SUM(D27:D29)</f>
        <v>0</v>
      </c>
      <c r="E42" s="325"/>
      <c r="F42" s="324">
        <f>SUM(F35:F40)</f>
        <v>16233.650413422503</v>
      </c>
      <c r="G42" s="324">
        <f>SUM(G35:G40)</f>
        <v>2484.5696841843751</v>
      </c>
      <c r="H42" s="326">
        <f>SUM(H35:H40)</f>
        <v>13749.080729238129</v>
      </c>
      <c r="I42" s="18"/>
      <c r="J42" s="18"/>
    </row>
    <row r="43" spans="1:10" ht="14" x14ac:dyDescent="0.3">
      <c r="A43" s="139"/>
      <c r="B43" s="17"/>
      <c r="C43" s="140"/>
      <c r="D43" s="94"/>
      <c r="E43" s="143"/>
      <c r="F43" s="94"/>
      <c r="G43" s="31"/>
      <c r="H43" s="142"/>
      <c r="I43" s="18"/>
      <c r="J43" s="18"/>
    </row>
    <row r="44" spans="1:10" ht="14" x14ac:dyDescent="0.3">
      <c r="A44" s="327">
        <v>5</v>
      </c>
      <c r="B44" s="328" t="s">
        <v>295</v>
      </c>
      <c r="C44" s="329">
        <f>H35</f>
        <v>13043.490950556128</v>
      </c>
      <c r="D44" s="330">
        <v>0</v>
      </c>
      <c r="E44" s="331">
        <v>0.15</v>
      </c>
      <c r="F44" s="330">
        <f>C44+D44</f>
        <v>13043.490950556128</v>
      </c>
      <c r="G44" s="332">
        <f>F44*E44</f>
        <v>1956.5236425834191</v>
      </c>
      <c r="H44" s="333">
        <f>F44-G44</f>
        <v>11086.967307972709</v>
      </c>
      <c r="I44" s="18"/>
      <c r="J44" s="18"/>
    </row>
    <row r="45" spans="1:10" ht="14" x14ac:dyDescent="0.3">
      <c r="A45" s="334"/>
      <c r="B45" s="335"/>
      <c r="C45" s="336"/>
      <c r="D45" s="337"/>
      <c r="E45" s="338"/>
      <c r="F45" s="337"/>
      <c r="G45" s="332"/>
      <c r="H45" s="339"/>
      <c r="I45" s="18"/>
      <c r="J45" s="18"/>
    </row>
    <row r="46" spans="1:10" ht="14" x14ac:dyDescent="0.3">
      <c r="A46" s="334"/>
      <c r="B46" s="335" t="s">
        <v>296</v>
      </c>
      <c r="C46" s="336">
        <f>H37</f>
        <v>187.88093855999995</v>
      </c>
      <c r="D46" s="337">
        <v>0</v>
      </c>
      <c r="E46" s="340">
        <v>0.4</v>
      </c>
      <c r="F46" s="337">
        <f>C46+D46</f>
        <v>187.88093855999995</v>
      </c>
      <c r="G46" s="332">
        <f>F46*E46</f>
        <v>75.152375423999985</v>
      </c>
      <c r="H46" s="339">
        <f>F46-G46</f>
        <v>112.72856313599996</v>
      </c>
      <c r="I46" s="18"/>
      <c r="J46" s="18"/>
    </row>
    <row r="47" spans="1:10" ht="14" x14ac:dyDescent="0.3">
      <c r="A47" s="334"/>
      <c r="B47" s="335"/>
      <c r="C47" s="336"/>
      <c r="D47" s="337"/>
      <c r="E47" s="338"/>
      <c r="F47" s="337"/>
      <c r="G47" s="332"/>
      <c r="H47" s="339"/>
      <c r="I47" s="18"/>
      <c r="J47" s="18"/>
    </row>
    <row r="48" spans="1:10" ht="14" x14ac:dyDescent="0.3">
      <c r="A48" s="334"/>
      <c r="B48" s="335" t="s">
        <v>261</v>
      </c>
      <c r="C48" s="336">
        <f>H39</f>
        <v>517.70884012199997</v>
      </c>
      <c r="D48" s="337">
        <v>0</v>
      </c>
      <c r="E48" s="340">
        <v>0.1</v>
      </c>
      <c r="F48" s="337">
        <f>C48+D48</f>
        <v>517.70884012199997</v>
      </c>
      <c r="G48" s="332">
        <f>F48*E48</f>
        <v>51.7708840122</v>
      </c>
      <c r="H48" s="339">
        <f>F48-G48</f>
        <v>465.93795610979998</v>
      </c>
      <c r="I48" s="18"/>
      <c r="J48" s="18"/>
    </row>
    <row r="49" spans="1:10" ht="14" x14ac:dyDescent="0.3">
      <c r="A49" s="334"/>
      <c r="B49" s="335"/>
      <c r="C49" s="336"/>
      <c r="D49" s="337"/>
      <c r="E49" s="338"/>
      <c r="F49" s="337"/>
      <c r="G49" s="332"/>
      <c r="H49" s="339"/>
      <c r="I49" s="18"/>
      <c r="J49" s="18"/>
    </row>
    <row r="50" spans="1:10" ht="14" x14ac:dyDescent="0.3">
      <c r="A50" s="334"/>
      <c r="B50" s="341"/>
      <c r="C50" s="336"/>
      <c r="D50" s="337"/>
      <c r="E50" s="340"/>
      <c r="F50" s="342"/>
      <c r="G50" s="332"/>
      <c r="H50" s="339"/>
      <c r="I50" s="18"/>
      <c r="J50" s="18"/>
    </row>
    <row r="51" spans="1:10" ht="14" x14ac:dyDescent="0.3">
      <c r="A51" s="343"/>
      <c r="B51" s="344" t="s">
        <v>292</v>
      </c>
      <c r="C51" s="345">
        <f>SUM(C44:C49)</f>
        <v>13749.080729238129</v>
      </c>
      <c r="D51" s="346">
        <f>SUM(D36:D38)</f>
        <v>0</v>
      </c>
      <c r="E51" s="347"/>
      <c r="F51" s="346">
        <f>SUM(F44:F49)</f>
        <v>13749.080729238129</v>
      </c>
      <c r="G51" s="346">
        <f>SUM(G44:G49)</f>
        <v>2083.4469020196193</v>
      </c>
      <c r="H51" s="348">
        <f>SUM(H44:H49)</f>
        <v>11665.633827218508</v>
      </c>
      <c r="I51" s="18"/>
      <c r="J51" s="18"/>
    </row>
    <row r="52" spans="1:10" ht="14" x14ac:dyDescent="0.3">
      <c r="A52" s="139"/>
      <c r="B52" s="17"/>
      <c r="C52" s="140"/>
      <c r="D52" s="94"/>
      <c r="E52" s="143"/>
      <c r="F52" s="94"/>
      <c r="G52" s="31"/>
      <c r="H52" s="142"/>
      <c r="I52" s="18"/>
      <c r="J52" s="18"/>
    </row>
    <row r="53" spans="1:10" ht="14" x14ac:dyDescent="0.3">
      <c r="A53" s="454">
        <v>6</v>
      </c>
      <c r="B53" s="455" t="s">
        <v>295</v>
      </c>
      <c r="C53" s="456">
        <f>H44</f>
        <v>11086.967307972709</v>
      </c>
      <c r="D53" s="457">
        <v>0</v>
      </c>
      <c r="E53" s="458">
        <v>0.15</v>
      </c>
      <c r="F53" s="457">
        <f>C53+D53</f>
        <v>11086.967307972709</v>
      </c>
      <c r="G53" s="459">
        <f>F53*E53</f>
        <v>1663.0450961959064</v>
      </c>
      <c r="H53" s="460">
        <f>F53-G53</f>
        <v>9423.9222117768022</v>
      </c>
      <c r="I53" s="18"/>
      <c r="J53" s="18"/>
    </row>
    <row r="54" spans="1:10" ht="14" x14ac:dyDescent="0.3">
      <c r="A54" s="461"/>
      <c r="B54" s="462"/>
      <c r="C54" s="463"/>
      <c r="D54" s="464"/>
      <c r="E54" s="465"/>
      <c r="F54" s="464"/>
      <c r="G54" s="459"/>
      <c r="H54" s="466"/>
      <c r="I54" s="18"/>
      <c r="J54" s="18"/>
    </row>
    <row r="55" spans="1:10" ht="14" x14ac:dyDescent="0.3">
      <c r="A55" s="461"/>
      <c r="B55" s="462" t="s">
        <v>296</v>
      </c>
      <c r="C55" s="463">
        <f>H46</f>
        <v>112.72856313599996</v>
      </c>
      <c r="D55" s="464">
        <v>0</v>
      </c>
      <c r="E55" s="467">
        <v>0.4</v>
      </c>
      <c r="F55" s="464">
        <f>C55+D55</f>
        <v>112.72856313599996</v>
      </c>
      <c r="G55" s="459">
        <f>F55*E55</f>
        <v>45.091425254399986</v>
      </c>
      <c r="H55" s="466">
        <f>F55-G55</f>
        <v>67.637137881599983</v>
      </c>
      <c r="I55" s="18"/>
      <c r="J55" s="18"/>
    </row>
    <row r="56" spans="1:10" ht="14" x14ac:dyDescent="0.3">
      <c r="A56" s="461"/>
      <c r="B56" s="462"/>
      <c r="C56" s="463"/>
      <c r="D56" s="464"/>
      <c r="E56" s="465"/>
      <c r="F56" s="464"/>
      <c r="G56" s="459"/>
      <c r="H56" s="466"/>
      <c r="I56" s="18"/>
      <c r="J56" s="18"/>
    </row>
    <row r="57" spans="1:10" ht="14" x14ac:dyDescent="0.3">
      <c r="A57" s="461"/>
      <c r="B57" s="462" t="s">
        <v>261</v>
      </c>
      <c r="C57" s="463">
        <f>H48</f>
        <v>465.93795610979998</v>
      </c>
      <c r="D57" s="464">
        <v>0</v>
      </c>
      <c r="E57" s="467">
        <v>0.1</v>
      </c>
      <c r="F57" s="464">
        <f>C57+D57</f>
        <v>465.93795610979998</v>
      </c>
      <c r="G57" s="459">
        <f>F57*E57</f>
        <v>46.593795610980003</v>
      </c>
      <c r="H57" s="466">
        <f>F57-G57</f>
        <v>419.34416049881997</v>
      </c>
      <c r="I57" s="18"/>
      <c r="J57" s="18"/>
    </row>
    <row r="58" spans="1:10" ht="14" x14ac:dyDescent="0.3">
      <c r="A58" s="461"/>
      <c r="B58" s="462"/>
      <c r="C58" s="463"/>
      <c r="D58" s="464"/>
      <c r="E58" s="465"/>
      <c r="F58" s="464"/>
      <c r="G58" s="459"/>
      <c r="H58" s="466"/>
      <c r="I58" s="18"/>
      <c r="J58" s="18"/>
    </row>
    <row r="59" spans="1:10" ht="14" x14ac:dyDescent="0.3">
      <c r="A59" s="461"/>
      <c r="B59" s="366"/>
      <c r="C59" s="463"/>
      <c r="D59" s="464"/>
      <c r="E59" s="467"/>
      <c r="F59" s="468"/>
      <c r="G59" s="459"/>
      <c r="H59" s="466"/>
      <c r="I59" s="18"/>
      <c r="J59" s="18"/>
    </row>
    <row r="60" spans="1:10" ht="14" x14ac:dyDescent="0.3">
      <c r="A60" s="469"/>
      <c r="B60" s="433" t="s">
        <v>292</v>
      </c>
      <c r="C60" s="470">
        <f>SUM(C53:C58)</f>
        <v>11665.633827218508</v>
      </c>
      <c r="D60" s="471">
        <f>SUM(D45:D47)</f>
        <v>0</v>
      </c>
      <c r="E60" s="472"/>
      <c r="F60" s="471">
        <f>SUM(F53:F58)</f>
        <v>11665.633827218508</v>
      </c>
      <c r="G60" s="471">
        <f>SUM(G53:G58)</f>
        <v>1754.7303170612863</v>
      </c>
      <c r="H60" s="473">
        <f>SUM(H53:H58)</f>
        <v>9910.9035101572226</v>
      </c>
      <c r="I60" s="18"/>
      <c r="J60" s="18"/>
    </row>
    <row r="61" spans="1:10" ht="14" x14ac:dyDescent="0.3">
      <c r="A61" s="139"/>
      <c r="B61" s="17"/>
      <c r="C61" s="140"/>
      <c r="D61" s="94"/>
      <c r="E61" s="143"/>
      <c r="F61" s="94"/>
      <c r="G61" s="31"/>
      <c r="H61" s="142"/>
      <c r="I61" s="18"/>
      <c r="J61" s="18"/>
    </row>
    <row r="62" spans="1:10" ht="14" x14ac:dyDescent="0.3">
      <c r="A62" s="474">
        <v>7</v>
      </c>
      <c r="B62" s="475" t="s">
        <v>295</v>
      </c>
      <c r="C62" s="476">
        <f>H53</f>
        <v>9423.9222117768022</v>
      </c>
      <c r="D62" s="477">
        <v>0</v>
      </c>
      <c r="E62" s="478">
        <v>0.15</v>
      </c>
      <c r="F62" s="477">
        <f>C62+D62</f>
        <v>9423.9222117768022</v>
      </c>
      <c r="G62" s="479">
        <f>F62*E62</f>
        <v>1413.5883317665202</v>
      </c>
      <c r="H62" s="480">
        <f>F62-G62</f>
        <v>8010.333880010282</v>
      </c>
      <c r="I62" s="18"/>
      <c r="J62" s="18"/>
    </row>
    <row r="63" spans="1:10" ht="14" x14ac:dyDescent="0.3">
      <c r="A63" s="481"/>
      <c r="B63" s="482"/>
      <c r="C63" s="483"/>
      <c r="D63" s="484"/>
      <c r="E63" s="485"/>
      <c r="F63" s="484"/>
      <c r="G63" s="479"/>
      <c r="H63" s="486"/>
      <c r="I63" s="18"/>
      <c r="J63" s="18"/>
    </row>
    <row r="64" spans="1:10" ht="14" x14ac:dyDescent="0.3">
      <c r="A64" s="481"/>
      <c r="B64" s="482" t="s">
        <v>296</v>
      </c>
      <c r="C64" s="483">
        <f>H55</f>
        <v>67.637137881599983</v>
      </c>
      <c r="D64" s="484">
        <v>0</v>
      </c>
      <c r="E64" s="487">
        <v>0.4</v>
      </c>
      <c r="F64" s="484">
        <f>C64+D64</f>
        <v>67.637137881599983</v>
      </c>
      <c r="G64" s="479">
        <f>F64*E64</f>
        <v>27.054855152639995</v>
      </c>
      <c r="H64" s="486">
        <f>F64-G64</f>
        <v>40.582282728959989</v>
      </c>
      <c r="I64" s="18"/>
      <c r="J64" s="18"/>
    </row>
    <row r="65" spans="1:10" ht="14" x14ac:dyDescent="0.3">
      <c r="A65" s="481"/>
      <c r="B65" s="482"/>
      <c r="C65" s="483"/>
      <c r="D65" s="484"/>
      <c r="E65" s="485"/>
      <c r="F65" s="484"/>
      <c r="G65" s="479"/>
      <c r="H65" s="486"/>
      <c r="I65" s="18"/>
      <c r="J65" s="18"/>
    </row>
    <row r="66" spans="1:10" ht="14" x14ac:dyDescent="0.3">
      <c r="A66" s="481"/>
      <c r="B66" s="482" t="s">
        <v>261</v>
      </c>
      <c r="C66" s="483">
        <f>H57</f>
        <v>419.34416049881997</v>
      </c>
      <c r="D66" s="484">
        <v>0</v>
      </c>
      <c r="E66" s="487">
        <v>0.1</v>
      </c>
      <c r="F66" s="484">
        <f>C66+D66</f>
        <v>419.34416049881997</v>
      </c>
      <c r="G66" s="479">
        <f>F66*E66</f>
        <v>41.934416049882003</v>
      </c>
      <c r="H66" s="486">
        <f>F66-G66</f>
        <v>377.409744448938</v>
      </c>
      <c r="I66" s="18"/>
      <c r="J66" s="18"/>
    </row>
    <row r="67" spans="1:10" ht="14" x14ac:dyDescent="0.3">
      <c r="A67" s="481"/>
      <c r="B67" s="482"/>
      <c r="C67" s="483"/>
      <c r="D67" s="484"/>
      <c r="E67" s="485"/>
      <c r="F67" s="484"/>
      <c r="G67" s="479"/>
      <c r="H67" s="486"/>
      <c r="I67" s="18"/>
      <c r="J67" s="18"/>
    </row>
    <row r="68" spans="1:10" ht="14" x14ac:dyDescent="0.3">
      <c r="A68" s="481"/>
      <c r="B68" s="488"/>
      <c r="C68" s="483"/>
      <c r="D68" s="484"/>
      <c r="E68" s="487"/>
      <c r="F68" s="489"/>
      <c r="G68" s="479"/>
      <c r="H68" s="486"/>
      <c r="I68" s="18"/>
      <c r="J68" s="18"/>
    </row>
    <row r="69" spans="1:10" ht="14" x14ac:dyDescent="0.3">
      <c r="A69" s="490"/>
      <c r="B69" s="491" t="s">
        <v>292</v>
      </c>
      <c r="C69" s="492">
        <f>SUM(C62:C67)</f>
        <v>9910.9035101572226</v>
      </c>
      <c r="D69" s="493">
        <f>SUM(D54:D56)</f>
        <v>0</v>
      </c>
      <c r="E69" s="494"/>
      <c r="F69" s="493">
        <f>SUM(F62:F67)</f>
        <v>9910.9035101572226</v>
      </c>
      <c r="G69" s="493">
        <f>SUM(G62:G67)</f>
        <v>1482.5776029690421</v>
      </c>
      <c r="H69" s="495">
        <f>SUM(H62:H67)</f>
        <v>8428.3259071881803</v>
      </c>
      <c r="I69" s="18"/>
      <c r="J69" s="18"/>
    </row>
    <row r="70" spans="1:10" ht="14" x14ac:dyDescent="0.3">
      <c r="A70" s="139"/>
      <c r="B70" s="18"/>
      <c r="C70" s="140"/>
      <c r="D70" s="94"/>
      <c r="E70" s="143"/>
      <c r="F70" s="94"/>
      <c r="G70" s="31"/>
      <c r="H70" s="142"/>
      <c r="I70" s="18"/>
      <c r="J70" s="18"/>
    </row>
    <row r="71" spans="1:10" ht="14" x14ac:dyDescent="0.3">
      <c r="A71" s="496">
        <v>8</v>
      </c>
      <c r="B71" s="497" t="s">
        <v>295</v>
      </c>
      <c r="C71" s="498">
        <f>H62</f>
        <v>8010.333880010282</v>
      </c>
      <c r="D71" s="499">
        <v>0</v>
      </c>
      <c r="E71" s="500">
        <v>0.15</v>
      </c>
      <c r="F71" s="499">
        <f>C71+D71</f>
        <v>8010.333880010282</v>
      </c>
      <c r="G71" s="501">
        <f>F71*E71</f>
        <v>1201.5500820015423</v>
      </c>
      <c r="H71" s="502">
        <f>F71-G71</f>
        <v>6808.7837980087397</v>
      </c>
    </row>
    <row r="72" spans="1:10" ht="14" x14ac:dyDescent="0.3">
      <c r="A72" s="503"/>
      <c r="B72" s="504"/>
      <c r="C72" s="505"/>
      <c r="D72" s="506"/>
      <c r="E72" s="507"/>
      <c r="F72" s="506"/>
      <c r="G72" s="501"/>
      <c r="H72" s="508"/>
    </row>
    <row r="73" spans="1:10" ht="14" x14ac:dyDescent="0.3">
      <c r="A73" s="503"/>
      <c r="B73" s="504" t="s">
        <v>296</v>
      </c>
      <c r="C73" s="505">
        <f>H64</f>
        <v>40.582282728959989</v>
      </c>
      <c r="D73" s="506">
        <v>0</v>
      </c>
      <c r="E73" s="509">
        <v>0.4</v>
      </c>
      <c r="F73" s="506">
        <f>C73+D73</f>
        <v>40.582282728959989</v>
      </c>
      <c r="G73" s="501">
        <f>F73*E73</f>
        <v>16.232913091583995</v>
      </c>
      <c r="H73" s="508">
        <f>F73-G73</f>
        <v>24.349369637375993</v>
      </c>
    </row>
    <row r="74" spans="1:10" ht="14" x14ac:dyDescent="0.3">
      <c r="A74" s="503"/>
      <c r="B74" s="504"/>
      <c r="C74" s="505"/>
      <c r="D74" s="506"/>
      <c r="E74" s="507"/>
      <c r="F74" s="506"/>
      <c r="G74" s="501"/>
      <c r="H74" s="508"/>
    </row>
    <row r="75" spans="1:10" ht="14" x14ac:dyDescent="0.3">
      <c r="A75" s="503"/>
      <c r="B75" s="504" t="s">
        <v>261</v>
      </c>
      <c r="C75" s="505">
        <f>H66</f>
        <v>377.409744448938</v>
      </c>
      <c r="D75" s="506">
        <v>0</v>
      </c>
      <c r="E75" s="509">
        <v>0.1</v>
      </c>
      <c r="F75" s="506">
        <f>C75+D75</f>
        <v>377.409744448938</v>
      </c>
      <c r="G75" s="501">
        <f>F75*E75</f>
        <v>37.740974444893801</v>
      </c>
      <c r="H75" s="508">
        <f>F75-G75</f>
        <v>339.66877000404418</v>
      </c>
    </row>
    <row r="76" spans="1:10" ht="14" x14ac:dyDescent="0.3">
      <c r="A76" s="503"/>
      <c r="B76" s="504"/>
      <c r="C76" s="505"/>
      <c r="D76" s="506"/>
      <c r="E76" s="507"/>
      <c r="F76" s="506"/>
      <c r="G76" s="501"/>
      <c r="H76" s="508"/>
    </row>
    <row r="77" spans="1:10" ht="14" x14ac:dyDescent="0.3">
      <c r="A77" s="503"/>
      <c r="B77" s="510"/>
      <c r="C77" s="505"/>
      <c r="D77" s="506"/>
      <c r="E77" s="509"/>
      <c r="F77" s="511"/>
      <c r="G77" s="501"/>
      <c r="H77" s="508"/>
    </row>
    <row r="78" spans="1:10" ht="14" x14ac:dyDescent="0.3">
      <c r="A78" s="512"/>
      <c r="B78" s="513" t="s">
        <v>292</v>
      </c>
      <c r="C78" s="514">
        <f>SUM(C71:C76)</f>
        <v>8428.3259071881803</v>
      </c>
      <c r="D78" s="515">
        <f>SUM(D66:D68)</f>
        <v>0</v>
      </c>
      <c r="E78" s="516"/>
      <c r="F78" s="515">
        <f>SUM(F71:F76)</f>
        <v>8428.3259071881803</v>
      </c>
      <c r="G78" s="515">
        <f>SUM(G71:G76)</f>
        <v>1255.5239695380199</v>
      </c>
      <c r="H78" s="517">
        <f>SUM(H71:H76)</f>
        <v>7172.8019376501597</v>
      </c>
    </row>
    <row r="79" spans="1:10" ht="14" x14ac:dyDescent="0.3">
      <c r="A79" s="454">
        <v>9</v>
      </c>
      <c r="B79" s="455" t="s">
        <v>295</v>
      </c>
      <c r="C79" s="456">
        <f>H71</f>
        <v>6808.7837980087397</v>
      </c>
      <c r="D79" s="457">
        <v>0</v>
      </c>
      <c r="E79" s="458">
        <v>0.15</v>
      </c>
      <c r="F79" s="457">
        <f>C79+D79</f>
        <v>6808.7837980087397</v>
      </c>
      <c r="G79" s="459">
        <f>F79*E79</f>
        <v>1021.317569701311</v>
      </c>
      <c r="H79" s="460">
        <f>F79-G79</f>
        <v>5787.4662283074285</v>
      </c>
    </row>
    <row r="80" spans="1:10" ht="14" x14ac:dyDescent="0.3">
      <c r="A80" s="518"/>
      <c r="B80" s="462"/>
      <c r="C80" s="463"/>
      <c r="D80" s="464"/>
      <c r="E80" s="465"/>
      <c r="F80" s="464"/>
      <c r="G80" s="459"/>
      <c r="H80" s="466"/>
    </row>
    <row r="81" spans="1:8" ht="14" x14ac:dyDescent="0.3">
      <c r="A81" s="518"/>
      <c r="B81" s="462" t="s">
        <v>296</v>
      </c>
      <c r="C81" s="463">
        <f>H73</f>
        <v>24.349369637375993</v>
      </c>
      <c r="D81" s="464">
        <v>0</v>
      </c>
      <c r="E81" s="467">
        <v>0.4</v>
      </c>
      <c r="F81" s="464">
        <f>C81+D81</f>
        <v>24.349369637375993</v>
      </c>
      <c r="G81" s="459">
        <f>F81*E81</f>
        <v>9.739747854950398</v>
      </c>
      <c r="H81" s="466">
        <f>F81-G81</f>
        <v>14.609621782425595</v>
      </c>
    </row>
    <row r="82" spans="1:8" ht="14" x14ac:dyDescent="0.3">
      <c r="A82" s="518"/>
      <c r="B82" s="462"/>
      <c r="C82" s="463"/>
      <c r="D82" s="464"/>
      <c r="E82" s="465"/>
      <c r="F82" s="464"/>
      <c r="G82" s="459"/>
      <c r="H82" s="466"/>
    </row>
    <row r="83" spans="1:8" ht="14" x14ac:dyDescent="0.3">
      <c r="A83" s="518"/>
      <c r="B83" s="462" t="s">
        <v>261</v>
      </c>
      <c r="C83" s="463">
        <f>H75</f>
        <v>339.66877000404418</v>
      </c>
      <c r="D83" s="464">
        <v>0</v>
      </c>
      <c r="E83" s="467">
        <v>0.1</v>
      </c>
      <c r="F83" s="464">
        <f>C83+D83</f>
        <v>339.66877000404418</v>
      </c>
      <c r="G83" s="459">
        <f>F83*E83</f>
        <v>33.966877000404416</v>
      </c>
      <c r="H83" s="466">
        <f>F83-G83</f>
        <v>305.70189300363978</v>
      </c>
    </row>
    <row r="84" spans="1:8" ht="14" x14ac:dyDescent="0.3">
      <c r="A84" s="518"/>
      <c r="B84" s="462"/>
      <c r="C84" s="463"/>
      <c r="D84" s="464"/>
      <c r="E84" s="465"/>
      <c r="F84" s="464"/>
      <c r="G84" s="459"/>
      <c r="H84" s="466"/>
    </row>
    <row r="85" spans="1:8" ht="14" x14ac:dyDescent="0.3">
      <c r="A85" s="518"/>
      <c r="B85" s="366"/>
      <c r="C85" s="463"/>
      <c r="D85" s="464"/>
      <c r="E85" s="467"/>
      <c r="F85" s="468"/>
      <c r="G85" s="459"/>
      <c r="H85" s="466"/>
    </row>
    <row r="86" spans="1:8" ht="14" x14ac:dyDescent="0.3">
      <c r="A86" s="519"/>
      <c r="B86" s="433" t="s">
        <v>292</v>
      </c>
      <c r="C86" s="470">
        <f>SUM(C79:C84)</f>
        <v>7172.8019376501597</v>
      </c>
      <c r="D86" s="471">
        <f>SUM(D74:D76)</f>
        <v>0</v>
      </c>
      <c r="E86" s="472"/>
      <c r="F86" s="471">
        <f>SUM(F79:F84)</f>
        <v>7172.8019376501597</v>
      </c>
      <c r="G86" s="471">
        <f>SUM(G79:G84)</f>
        <v>1065.0241945566656</v>
      </c>
      <c r="H86" s="473">
        <f>SUM(H79:H84)</f>
        <v>6107.7777430934939</v>
      </c>
    </row>
    <row r="87" spans="1:8" ht="14" x14ac:dyDescent="0.3">
      <c r="A87" s="147">
        <v>10</v>
      </c>
      <c r="B87" s="148" t="s">
        <v>295</v>
      </c>
      <c r="C87" s="149">
        <f>H79</f>
        <v>5787.4662283074285</v>
      </c>
      <c r="D87" s="150">
        <v>0</v>
      </c>
      <c r="E87" s="151">
        <v>0.15</v>
      </c>
      <c r="F87" s="150">
        <f>C87+D87</f>
        <v>5787.4662283074285</v>
      </c>
      <c r="G87" s="31">
        <f>F87*E87</f>
        <v>868.11993424611421</v>
      </c>
      <c r="H87" s="152">
        <f>F87-G87</f>
        <v>4919.3462940613144</v>
      </c>
    </row>
    <row r="88" spans="1:8" ht="14" x14ac:dyDescent="0.3">
      <c r="A88" s="49"/>
      <c r="B88" s="17"/>
      <c r="C88" s="140"/>
      <c r="D88" s="94"/>
      <c r="E88" s="143"/>
      <c r="F88" s="94"/>
      <c r="G88" s="31"/>
      <c r="H88" s="142"/>
    </row>
    <row r="89" spans="1:8" ht="14" x14ac:dyDescent="0.3">
      <c r="A89" s="49"/>
      <c r="B89" s="17" t="s">
        <v>296</v>
      </c>
      <c r="C89" s="140">
        <f>H81</f>
        <v>14.609621782425595</v>
      </c>
      <c r="D89" s="94">
        <v>0</v>
      </c>
      <c r="E89" s="141">
        <v>0.4</v>
      </c>
      <c r="F89" s="94">
        <f>C89+D89</f>
        <v>14.609621782425595</v>
      </c>
      <c r="G89" s="31">
        <f>F89*E89</f>
        <v>5.8438487129702388</v>
      </c>
      <c r="H89" s="142">
        <f>F89-G89</f>
        <v>8.7657730694553564</v>
      </c>
    </row>
    <row r="90" spans="1:8" ht="14" x14ac:dyDescent="0.3">
      <c r="A90" s="49"/>
      <c r="B90" s="17"/>
      <c r="C90" s="140"/>
      <c r="D90" s="94"/>
      <c r="E90" s="143"/>
      <c r="F90" s="94"/>
      <c r="G90" s="31"/>
      <c r="H90" s="142"/>
    </row>
    <row r="91" spans="1:8" ht="14" x14ac:dyDescent="0.3">
      <c r="A91" s="49"/>
      <c r="B91" s="17" t="s">
        <v>261</v>
      </c>
      <c r="C91" s="140">
        <f>H83</f>
        <v>305.70189300363978</v>
      </c>
      <c r="D91" s="94">
        <v>0</v>
      </c>
      <c r="E91" s="141">
        <v>0.1</v>
      </c>
      <c r="F91" s="94">
        <f>C91+D91</f>
        <v>305.70189300363978</v>
      </c>
      <c r="G91" s="31">
        <f>F91*E91</f>
        <v>30.570189300363978</v>
      </c>
      <c r="H91" s="142">
        <f>F91-G91</f>
        <v>275.13170370327578</v>
      </c>
    </row>
    <row r="92" spans="1:8" ht="14" x14ac:dyDescent="0.3">
      <c r="A92" s="49"/>
      <c r="B92" s="17"/>
      <c r="C92" s="140"/>
      <c r="D92" s="94"/>
      <c r="E92" s="143"/>
      <c r="F92" s="94"/>
      <c r="G92" s="31"/>
      <c r="H92" s="142"/>
    </row>
    <row r="93" spans="1:8" ht="14" x14ac:dyDescent="0.3">
      <c r="A93" s="49"/>
      <c r="B93" s="18"/>
      <c r="C93" s="140"/>
      <c r="D93" s="94"/>
      <c r="E93" s="141"/>
      <c r="F93" s="153"/>
      <c r="G93" s="31"/>
      <c r="H93" s="142"/>
    </row>
    <row r="94" spans="1:8" ht="14" x14ac:dyDescent="0.3">
      <c r="A94" s="155"/>
      <c r="B94" s="98" t="s">
        <v>292</v>
      </c>
      <c r="C94" s="144">
        <f>SUM(C87:C92)</f>
        <v>6107.7777430934939</v>
      </c>
      <c r="D94" s="145">
        <f>SUM(D82:D84)</f>
        <v>0</v>
      </c>
      <c r="E94" s="146"/>
      <c r="F94" s="145">
        <f>SUM(F87:F92)</f>
        <v>6107.7777430934939</v>
      </c>
      <c r="G94" s="145">
        <f>SUM(G87:G92)</f>
        <v>904.53397225944843</v>
      </c>
      <c r="H94" s="154">
        <f>SUM(H87:H92)</f>
        <v>5203.2437708340458</v>
      </c>
    </row>
  </sheetData>
  <sheetProtection selectLockedCells="1" selectUnlockedCells="1"/>
  <mergeCells count="3">
    <mergeCell ref="A1:H1"/>
    <mergeCell ref="A2:H2"/>
    <mergeCell ref="A5:H5"/>
  </mergeCells>
  <pageMargins left="0.35972222222222222" right="0.2" top="0.47986111111111113" bottom="0.45" header="0.51180555555555562" footer="0.51180555555555562"/>
  <pageSetup scale="79" firstPageNumber="0" orientation="portrait" horizontalDpi="300" verticalDpi="300"/>
  <headerFooter alignWithMargins="0"/>
  <rowBreaks count="1" manualBreakCount="1">
    <brk id="60"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W70"/>
  <sheetViews>
    <sheetView showGridLines="0" topLeftCell="A20" zoomScale="99" workbookViewId="0">
      <selection activeCell="E58" sqref="E58"/>
    </sheetView>
  </sheetViews>
  <sheetFormatPr defaultRowHeight="12.5" x14ac:dyDescent="0.25"/>
  <cols>
    <col min="1" max="1" width="5" customWidth="1"/>
    <col min="2" max="2" width="26.81640625" customWidth="1"/>
    <col min="3" max="3" width="8" customWidth="1"/>
    <col min="4" max="4" width="10.1796875" customWidth="1"/>
    <col min="5" max="5" width="10.81640625" customWidth="1"/>
    <col min="6" max="6" width="9.81640625" customWidth="1"/>
    <col min="7" max="7" width="10.81640625" customWidth="1"/>
    <col min="8" max="8" width="9.453125" bestFit="1" customWidth="1"/>
    <col min="9" max="13" width="10.54296875" bestFit="1" customWidth="1"/>
    <col min="14" max="19" width="9.1796875" customWidth="1"/>
  </cols>
  <sheetData>
    <row r="1" spans="1:13" ht="15.5" x14ac:dyDescent="0.35">
      <c r="A1" s="570">
        <f>intt.!A1</f>
        <v>0</v>
      </c>
      <c r="B1" s="570"/>
      <c r="C1" s="570"/>
      <c r="D1" s="570"/>
      <c r="E1" s="570"/>
      <c r="F1" s="570"/>
      <c r="G1" s="570"/>
      <c r="H1" s="570"/>
      <c r="I1" s="570"/>
      <c r="J1" s="570"/>
      <c r="K1" s="570"/>
      <c r="L1" s="570"/>
      <c r="M1" s="570"/>
    </row>
    <row r="2" spans="1:13" ht="15.5" x14ac:dyDescent="0.35">
      <c r="A2" s="570">
        <f>ins.cap.!A2</f>
        <v>0</v>
      </c>
      <c r="B2" s="570"/>
      <c r="C2" s="570"/>
      <c r="D2" s="570"/>
      <c r="E2" s="570"/>
      <c r="F2" s="570"/>
      <c r="G2" s="570"/>
      <c r="H2" s="570"/>
      <c r="I2" s="570"/>
      <c r="J2" s="570"/>
      <c r="K2" s="570"/>
      <c r="L2" s="570"/>
      <c r="M2" s="570"/>
    </row>
    <row r="3" spans="1:13" ht="15.5" x14ac:dyDescent="0.35">
      <c r="A3" s="156"/>
      <c r="B3" s="156"/>
      <c r="C3" s="156"/>
      <c r="D3" s="156"/>
      <c r="E3" s="156"/>
      <c r="F3" s="156"/>
      <c r="G3" s="156"/>
      <c r="H3" s="156"/>
      <c r="I3" s="157"/>
      <c r="J3" s="157"/>
      <c r="K3" s="157"/>
    </row>
    <row r="4" spans="1:13" s="159" customFormat="1" ht="15.5" x14ac:dyDescent="0.35">
      <c r="A4" s="158" t="s">
        <v>297</v>
      </c>
      <c r="B4" s="156"/>
      <c r="C4" s="156"/>
      <c r="D4" s="156"/>
      <c r="E4" s="156"/>
      <c r="F4" s="156"/>
      <c r="G4" s="157"/>
      <c r="H4" s="156"/>
      <c r="I4" s="157"/>
      <c r="J4" s="157"/>
      <c r="K4" s="157"/>
    </row>
    <row r="5" spans="1:13" s="159" customFormat="1" ht="15.5" x14ac:dyDescent="0.35">
      <c r="A5" s="158"/>
      <c r="B5" s="156"/>
      <c r="C5" s="156"/>
      <c r="D5" s="156"/>
      <c r="E5" s="156"/>
      <c r="F5" s="156"/>
      <c r="G5" s="157"/>
      <c r="H5" s="156"/>
      <c r="I5" s="157"/>
      <c r="J5" s="157"/>
      <c r="K5" s="157"/>
    </row>
    <row r="6" spans="1:13" s="159" customFormat="1" ht="15.5" x14ac:dyDescent="0.35">
      <c r="A6" s="570" t="s">
        <v>298</v>
      </c>
      <c r="B6" s="570"/>
      <c r="C6" s="570"/>
      <c r="D6" s="570"/>
      <c r="E6" s="570"/>
      <c r="F6" s="570"/>
      <c r="G6" s="570"/>
      <c r="H6" s="570"/>
      <c r="I6" s="570"/>
      <c r="J6" s="570"/>
      <c r="K6" s="570"/>
      <c r="L6" s="570"/>
      <c r="M6" s="570"/>
    </row>
    <row r="7" spans="1:13" s="159" customFormat="1" ht="15.5" x14ac:dyDescent="0.35">
      <c r="A7" s="160" t="s">
        <v>177</v>
      </c>
      <c r="B7" s="160"/>
      <c r="C7" s="160"/>
      <c r="D7" s="160"/>
      <c r="E7" s="160"/>
      <c r="F7" s="160"/>
      <c r="G7" s="128" t="s">
        <v>286</v>
      </c>
      <c r="H7" s="160"/>
      <c r="I7" s="157"/>
      <c r="J7" s="157"/>
      <c r="K7" s="157"/>
    </row>
    <row r="8" spans="1:13" s="159" customFormat="1" ht="12.75" customHeight="1" x14ac:dyDescent="0.35">
      <c r="A8" s="571" t="s">
        <v>299</v>
      </c>
      <c r="B8" s="571"/>
      <c r="C8" s="571"/>
      <c r="D8" s="571"/>
      <c r="E8" s="571"/>
      <c r="F8" s="571"/>
      <c r="G8" s="571"/>
      <c r="H8" s="571"/>
      <c r="I8" s="157"/>
      <c r="J8" s="157"/>
      <c r="K8" s="157"/>
    </row>
    <row r="9" spans="1:13" s="159" customFormat="1" ht="15.5" x14ac:dyDescent="0.35">
      <c r="A9" s="161" t="s">
        <v>82</v>
      </c>
      <c r="B9" s="162" t="s">
        <v>83</v>
      </c>
      <c r="C9" s="163"/>
      <c r="D9" s="164" t="s">
        <v>4</v>
      </c>
      <c r="E9" s="164" t="s">
        <v>6</v>
      </c>
      <c r="F9" s="164" t="s">
        <v>8</v>
      </c>
      <c r="G9" s="164" t="s">
        <v>10</v>
      </c>
      <c r="H9" s="164" t="s">
        <v>12</v>
      </c>
      <c r="I9" s="165" t="s">
        <v>14</v>
      </c>
      <c r="J9" s="164" t="s">
        <v>23</v>
      </c>
      <c r="K9" s="164" t="s">
        <v>25</v>
      </c>
      <c r="L9" s="164" t="s">
        <v>39</v>
      </c>
      <c r="M9" s="164" t="s">
        <v>40</v>
      </c>
    </row>
    <row r="10" spans="1:13" s="159" customFormat="1" ht="15.5" x14ac:dyDescent="0.35">
      <c r="A10" s="166"/>
      <c r="B10" s="157"/>
      <c r="C10" s="157"/>
      <c r="D10" s="167"/>
      <c r="E10" s="167"/>
      <c r="F10" s="167"/>
      <c r="G10" s="167"/>
      <c r="H10" s="167"/>
      <c r="I10" s="168"/>
      <c r="J10" s="169"/>
      <c r="K10" s="169"/>
      <c r="L10" s="169"/>
      <c r="M10" s="169"/>
    </row>
    <row r="11" spans="1:13" s="159" customFormat="1" ht="15.5" x14ac:dyDescent="0.35">
      <c r="A11" s="166" t="s">
        <v>300</v>
      </c>
      <c r="B11" s="170" t="s">
        <v>301</v>
      </c>
      <c r="C11" s="157"/>
      <c r="D11" s="167"/>
      <c r="E11" s="167"/>
      <c r="F11" s="167"/>
      <c r="G11" s="167"/>
      <c r="H11" s="167"/>
      <c r="I11" s="157"/>
      <c r="J11" s="167"/>
      <c r="K11" s="167"/>
      <c r="L11" s="167"/>
      <c r="M11" s="167"/>
    </row>
    <row r="12" spans="1:13" s="159" customFormat="1" ht="15.5" x14ac:dyDescent="0.35">
      <c r="A12" s="166"/>
      <c r="B12" s="157" t="s">
        <v>302</v>
      </c>
      <c r="C12" s="157"/>
      <c r="D12" s="171">
        <f>ins.cap.!B36</f>
        <v>51840</v>
      </c>
      <c r="E12" s="171">
        <f>ins.cap.!C36</f>
        <v>61970</v>
      </c>
      <c r="F12" s="171">
        <f>ins.cap.!D36</f>
        <v>72430</v>
      </c>
      <c r="G12" s="171">
        <f>ins.cap.!E36</f>
        <v>76190</v>
      </c>
      <c r="H12" s="171">
        <f>ins.cap.!F36</f>
        <v>95653</v>
      </c>
      <c r="I12" s="172">
        <f>ins.cap.!G36</f>
        <v>100476</v>
      </c>
      <c r="J12" s="171">
        <f>ins.cap.!H36</f>
        <v>114178</v>
      </c>
      <c r="K12" s="171">
        <f>ins.cap.!I36</f>
        <v>119996</v>
      </c>
      <c r="L12" s="171">
        <f>ins.cap.!J36</f>
        <v>135281</v>
      </c>
      <c r="M12" s="171">
        <f>ins.cap.!K36</f>
        <v>141890</v>
      </c>
    </row>
    <row r="13" spans="1:13" s="159" customFormat="1" ht="15.5" x14ac:dyDescent="0.35">
      <c r="A13" s="173"/>
      <c r="B13" s="157" t="s">
        <v>303</v>
      </c>
      <c r="C13" s="157"/>
      <c r="D13" s="167"/>
      <c r="E13" s="167"/>
      <c r="F13" s="167"/>
      <c r="G13" s="167"/>
      <c r="H13" s="167"/>
      <c r="I13" s="157"/>
      <c r="J13" s="167"/>
      <c r="K13" s="167"/>
      <c r="L13" s="167"/>
      <c r="M13" s="167"/>
    </row>
    <row r="14" spans="1:13" s="159" customFormat="1" ht="15.5" x14ac:dyDescent="0.35">
      <c r="A14" s="173"/>
      <c r="B14" s="157"/>
      <c r="C14" s="157"/>
      <c r="D14" s="167"/>
      <c r="E14" s="167"/>
      <c r="F14" s="167"/>
      <c r="G14" s="167"/>
      <c r="H14" s="167"/>
      <c r="I14" s="157"/>
      <c r="J14" s="167"/>
      <c r="K14" s="167"/>
      <c r="L14" s="167"/>
      <c r="M14" s="167"/>
    </row>
    <row r="15" spans="1:13" s="159" customFormat="1" ht="15.5" x14ac:dyDescent="0.35">
      <c r="A15" s="173"/>
      <c r="B15" s="157" t="s">
        <v>304</v>
      </c>
      <c r="C15" s="157"/>
      <c r="D15" s="171">
        <v>240</v>
      </c>
      <c r="E15" s="171">
        <f>D15*110/100</f>
        <v>264</v>
      </c>
      <c r="F15" s="167">
        <f t="shared" ref="F15:K15" si="0">E15*110/100</f>
        <v>290.39999999999998</v>
      </c>
      <c r="G15" s="171">
        <f t="shared" si="0"/>
        <v>319.43999999999994</v>
      </c>
      <c r="H15" s="171">
        <f t="shared" si="0"/>
        <v>351.38399999999996</v>
      </c>
      <c r="I15" s="171">
        <f t="shared" si="0"/>
        <v>386.5224</v>
      </c>
      <c r="J15" s="171">
        <f t="shared" si="0"/>
        <v>425.17464000000001</v>
      </c>
      <c r="K15" s="171">
        <f t="shared" si="0"/>
        <v>467.69210400000003</v>
      </c>
      <c r="L15" s="171">
        <f>K15*110/100</f>
        <v>514.46131439999999</v>
      </c>
      <c r="M15" s="171">
        <f>L15*110/100</f>
        <v>565.90744584000004</v>
      </c>
    </row>
    <row r="16" spans="1:13" s="159" customFormat="1" ht="15.5" x14ac:dyDescent="0.35">
      <c r="A16" s="173"/>
      <c r="B16" s="157"/>
      <c r="C16" s="157"/>
      <c r="D16" s="171"/>
      <c r="E16" s="167"/>
      <c r="F16" s="167"/>
      <c r="G16" s="167"/>
      <c r="H16" s="167"/>
      <c r="I16" s="157"/>
      <c r="J16" s="167"/>
      <c r="K16" s="167"/>
      <c r="L16" s="167"/>
      <c r="M16" s="167"/>
    </row>
    <row r="17" spans="1:22" s="159" customFormat="1" ht="15.5" x14ac:dyDescent="0.35">
      <c r="A17" s="173"/>
      <c r="B17" s="157" t="s">
        <v>305</v>
      </c>
      <c r="C17" s="157"/>
      <c r="D17" s="171">
        <v>60</v>
      </c>
      <c r="E17" s="171">
        <f>D17*105/100</f>
        <v>63</v>
      </c>
      <c r="F17" s="171">
        <f t="shared" ref="F17:K17" si="1">E17*105/100</f>
        <v>66.150000000000006</v>
      </c>
      <c r="G17" s="171">
        <f t="shared" si="1"/>
        <v>69.45750000000001</v>
      </c>
      <c r="H17" s="171">
        <f t="shared" si="1"/>
        <v>72.930375000000012</v>
      </c>
      <c r="I17" s="171">
        <f t="shared" si="1"/>
        <v>76.576893750000011</v>
      </c>
      <c r="J17" s="171">
        <f t="shared" si="1"/>
        <v>80.40573843750002</v>
      </c>
      <c r="K17" s="171">
        <f t="shared" si="1"/>
        <v>84.426025359375018</v>
      </c>
      <c r="L17" s="171">
        <f>K17*105/100</f>
        <v>88.647326627343773</v>
      </c>
      <c r="M17" s="171">
        <f>L17*105/100</f>
        <v>93.079692958710964</v>
      </c>
    </row>
    <row r="18" spans="1:22" s="159" customFormat="1" ht="15.5" x14ac:dyDescent="0.35">
      <c r="A18" s="173"/>
      <c r="B18" s="160" t="s">
        <v>306</v>
      </c>
      <c r="C18" s="157"/>
      <c r="D18" s="174">
        <f>SUM(D12:D17)</f>
        <v>52140</v>
      </c>
      <c r="E18" s="174">
        <f t="shared" ref="E18:K18" si="2">SUM(E12:E17)</f>
        <v>62297</v>
      </c>
      <c r="F18" s="174">
        <f t="shared" si="2"/>
        <v>72786.549999999988</v>
      </c>
      <c r="G18" s="174">
        <f t="shared" si="2"/>
        <v>76578.897500000006</v>
      </c>
      <c r="H18" s="174">
        <f t="shared" si="2"/>
        <v>96077.314375000002</v>
      </c>
      <c r="I18" s="174">
        <f t="shared" si="2"/>
        <v>100939.09929375</v>
      </c>
      <c r="J18" s="174">
        <f t="shared" si="2"/>
        <v>114683.5803784375</v>
      </c>
      <c r="K18" s="174">
        <f t="shared" si="2"/>
        <v>120548.11812935938</v>
      </c>
      <c r="L18" s="174">
        <f>SUM(L12:L17)</f>
        <v>135884.10864102733</v>
      </c>
      <c r="M18" s="174">
        <f>SUM(M12:M17)</f>
        <v>142548.98713879872</v>
      </c>
      <c r="O18" s="175">
        <f>M18-L18</f>
        <v>6664.8784977713949</v>
      </c>
    </row>
    <row r="19" spans="1:22" s="159" customFormat="1" ht="15.5" x14ac:dyDescent="0.35">
      <c r="A19" s="166" t="s">
        <v>307</v>
      </c>
      <c r="B19" s="170" t="s">
        <v>308</v>
      </c>
      <c r="C19" s="157"/>
      <c r="D19" s="176"/>
      <c r="E19" s="176"/>
      <c r="F19" s="176"/>
      <c r="G19" s="176"/>
      <c r="H19" s="176"/>
      <c r="I19" s="157"/>
      <c r="J19" s="167"/>
      <c r="K19" s="167"/>
      <c r="L19" s="167"/>
      <c r="M19" s="167"/>
    </row>
    <row r="20" spans="1:22" s="159" customFormat="1" ht="15.5" x14ac:dyDescent="0.35">
      <c r="A20" s="166"/>
      <c r="B20" s="157" t="s">
        <v>309</v>
      </c>
      <c r="C20" s="157"/>
      <c r="D20" s="177">
        <v>90</v>
      </c>
      <c r="E20" s="177">
        <f t="shared" ref="E20:K20" si="3">D23</f>
        <v>150</v>
      </c>
      <c r="F20" s="177">
        <f t="shared" si="3"/>
        <v>157.5</v>
      </c>
      <c r="G20" s="177">
        <f t="shared" si="3"/>
        <v>149.625</v>
      </c>
      <c r="H20" s="177">
        <f t="shared" si="3"/>
        <v>157.10625000000002</v>
      </c>
      <c r="I20" s="177">
        <f t="shared" si="3"/>
        <v>149.25093750000002</v>
      </c>
      <c r="J20" s="177">
        <f t="shared" si="3"/>
        <v>156.71348437500004</v>
      </c>
      <c r="K20" s="177">
        <f t="shared" si="3"/>
        <v>148.87781015625004</v>
      </c>
      <c r="L20" s="177">
        <f>K23</f>
        <v>156.32170066406255</v>
      </c>
      <c r="M20" s="177">
        <f>L23</f>
        <v>148.50561563085941</v>
      </c>
    </row>
    <row r="21" spans="1:22" s="159" customFormat="1" ht="15.5" x14ac:dyDescent="0.35">
      <c r="A21" s="166"/>
      <c r="B21" s="157" t="s">
        <v>310</v>
      </c>
      <c r="C21" s="157"/>
      <c r="D21" s="349">
        <v>1000</v>
      </c>
      <c r="E21" s="349">
        <f>D21*105%</f>
        <v>1050</v>
      </c>
      <c r="F21" s="349">
        <f t="shared" ref="F21:M21" si="4">E21*105%</f>
        <v>1102.5</v>
      </c>
      <c r="G21" s="349">
        <f t="shared" si="4"/>
        <v>1157.625</v>
      </c>
      <c r="H21" s="349">
        <f t="shared" si="4"/>
        <v>1215.5062500000001</v>
      </c>
      <c r="I21" s="349">
        <f t="shared" si="4"/>
        <v>1276.2815625000003</v>
      </c>
      <c r="J21" s="349">
        <f t="shared" si="4"/>
        <v>1340.0956406250004</v>
      </c>
      <c r="K21" s="349">
        <f t="shared" si="4"/>
        <v>1407.1004226562504</v>
      </c>
      <c r="L21" s="349">
        <f t="shared" si="4"/>
        <v>1477.4554437890631</v>
      </c>
      <c r="M21" s="349">
        <f t="shared" si="4"/>
        <v>1551.3282159785163</v>
      </c>
    </row>
    <row r="22" spans="1:22" s="159" customFormat="1" ht="15.5" x14ac:dyDescent="0.35">
      <c r="A22" s="166"/>
      <c r="B22" s="157" t="s">
        <v>292</v>
      </c>
      <c r="C22" s="157"/>
      <c r="D22" s="177">
        <f t="shared" ref="D22:K22" si="5">SUM(D20:D21)</f>
        <v>1090</v>
      </c>
      <c r="E22" s="177">
        <f t="shared" si="5"/>
        <v>1200</v>
      </c>
      <c r="F22" s="177">
        <f t="shared" si="5"/>
        <v>1260</v>
      </c>
      <c r="G22" s="177">
        <f t="shared" si="5"/>
        <v>1307.25</v>
      </c>
      <c r="H22" s="177">
        <f t="shared" si="5"/>
        <v>1372.6125000000002</v>
      </c>
      <c r="I22" s="177">
        <f t="shared" si="5"/>
        <v>1425.5325000000003</v>
      </c>
      <c r="J22" s="177">
        <f t="shared" si="5"/>
        <v>1496.8091250000004</v>
      </c>
      <c r="K22" s="177">
        <f t="shared" si="5"/>
        <v>1555.9782328125004</v>
      </c>
      <c r="L22" s="177">
        <f>SUM(L20:L21)</f>
        <v>1633.7771444531256</v>
      </c>
      <c r="M22" s="177">
        <f>SUM(M20:M21)</f>
        <v>1699.8338316093757</v>
      </c>
    </row>
    <row r="23" spans="1:22" s="159" customFormat="1" ht="15.5" x14ac:dyDescent="0.35">
      <c r="A23" s="166"/>
      <c r="B23" s="157" t="s">
        <v>311</v>
      </c>
      <c r="C23" s="157"/>
      <c r="D23" s="177">
        <v>150</v>
      </c>
      <c r="E23" s="177">
        <f>D23*105%</f>
        <v>157.5</v>
      </c>
      <c r="F23" s="177">
        <f>E23*95%</f>
        <v>149.625</v>
      </c>
      <c r="G23" s="177">
        <f t="shared" ref="G23" si="6">F23*105%</f>
        <v>157.10625000000002</v>
      </c>
      <c r="H23" s="177">
        <f t="shared" ref="H23" si="7">G23*95%</f>
        <v>149.25093750000002</v>
      </c>
      <c r="I23" s="177">
        <f t="shared" ref="I23" si="8">H23*105%</f>
        <v>156.71348437500004</v>
      </c>
      <c r="J23" s="177">
        <f t="shared" ref="J23" si="9">I23*95%</f>
        <v>148.87781015625004</v>
      </c>
      <c r="K23" s="177">
        <f t="shared" ref="K23" si="10">J23*105%</f>
        <v>156.32170066406255</v>
      </c>
      <c r="L23" s="177">
        <f t="shared" ref="L23" si="11">K23*95%</f>
        <v>148.50561563085941</v>
      </c>
      <c r="M23" s="177">
        <f t="shared" ref="M23" si="12">L23*105%</f>
        <v>155.93089641240238</v>
      </c>
    </row>
    <row r="24" spans="1:22" s="159" customFormat="1" ht="15.5" x14ac:dyDescent="0.35">
      <c r="A24" s="166"/>
      <c r="B24" s="157"/>
      <c r="C24" s="157"/>
      <c r="D24" s="177"/>
      <c r="E24" s="178"/>
      <c r="F24" s="177"/>
      <c r="G24" s="177"/>
      <c r="H24" s="177"/>
      <c r="I24" s="157"/>
      <c r="J24" s="167"/>
      <c r="K24" s="167"/>
      <c r="L24" s="167"/>
      <c r="M24" s="167"/>
    </row>
    <row r="25" spans="1:22" s="159" customFormat="1" ht="15.5" x14ac:dyDescent="0.35">
      <c r="A25" s="166"/>
      <c r="B25" s="160" t="s">
        <v>312</v>
      </c>
      <c r="C25" s="157"/>
      <c r="D25" s="174">
        <f t="shared" ref="D25:K25" si="13">D22-D23</f>
        <v>940</v>
      </c>
      <c r="E25" s="174">
        <f t="shared" si="13"/>
        <v>1042.5</v>
      </c>
      <c r="F25" s="174">
        <f t="shared" si="13"/>
        <v>1110.375</v>
      </c>
      <c r="G25" s="174">
        <f t="shared" si="13"/>
        <v>1150.14375</v>
      </c>
      <c r="H25" s="174">
        <f t="shared" si="13"/>
        <v>1223.3615625000002</v>
      </c>
      <c r="I25" s="174">
        <f t="shared" si="13"/>
        <v>1268.8190156250002</v>
      </c>
      <c r="J25" s="174">
        <f t="shared" si="13"/>
        <v>1347.9313148437504</v>
      </c>
      <c r="K25" s="174">
        <f t="shared" si="13"/>
        <v>1399.6565321484379</v>
      </c>
      <c r="L25" s="174">
        <f>L22-L23</f>
        <v>1485.2715288222662</v>
      </c>
      <c r="M25" s="174">
        <f>M22-M23</f>
        <v>1543.9029351969734</v>
      </c>
      <c r="S25" s="159">
        <f>H25/H18</f>
        <v>1.2733094908597149E-2</v>
      </c>
      <c r="T25" s="159">
        <f>I25/I18</f>
        <v>1.2570144022511241E-2</v>
      </c>
      <c r="U25" s="159">
        <f>J25/J18</f>
        <v>1.1753481277753906E-2</v>
      </c>
      <c r="V25" s="159">
        <f>K25/K18</f>
        <v>1.161077048624248E-2</v>
      </c>
    </row>
    <row r="26" spans="1:22" s="159" customFormat="1" ht="15.5" x14ac:dyDescent="0.35">
      <c r="A26" s="166"/>
      <c r="B26" s="160"/>
      <c r="C26" s="157"/>
      <c r="D26" s="176"/>
      <c r="E26" s="178"/>
      <c r="F26" s="178"/>
      <c r="G26" s="178"/>
      <c r="H26" s="176"/>
      <c r="I26" s="157"/>
      <c r="J26" s="167"/>
      <c r="K26" s="167"/>
      <c r="L26" s="167"/>
      <c r="M26" s="167"/>
    </row>
    <row r="27" spans="1:22" s="159" customFormat="1" ht="15.5" x14ac:dyDescent="0.35">
      <c r="A27" s="166" t="s">
        <v>313</v>
      </c>
      <c r="B27" s="157" t="s">
        <v>314</v>
      </c>
      <c r="C27" s="157"/>
      <c r="D27" s="177">
        <v>1200</v>
      </c>
      <c r="E27" s="177">
        <v>1200</v>
      </c>
      <c r="F27" s="177">
        <f>E27*104/100</f>
        <v>1248</v>
      </c>
      <c r="G27" s="177">
        <f t="shared" ref="G27:M27" si="14">F27*104/100</f>
        <v>1297.92</v>
      </c>
      <c r="H27" s="177">
        <f t="shared" si="14"/>
        <v>1349.8368</v>
      </c>
      <c r="I27" s="177">
        <f t="shared" si="14"/>
        <v>1403.8302720000002</v>
      </c>
      <c r="J27" s="177">
        <f t="shared" si="14"/>
        <v>1459.9834828800001</v>
      </c>
      <c r="K27" s="177">
        <f t="shared" si="14"/>
        <v>1518.3828221952001</v>
      </c>
      <c r="L27" s="177">
        <f t="shared" si="14"/>
        <v>1579.1181350830082</v>
      </c>
      <c r="M27" s="177">
        <f t="shared" si="14"/>
        <v>1642.2828604863284</v>
      </c>
    </row>
    <row r="28" spans="1:22" s="159" customFormat="1" ht="15.5" x14ac:dyDescent="0.35">
      <c r="A28" s="166"/>
      <c r="B28" s="157"/>
      <c r="C28" s="157"/>
      <c r="D28" s="179"/>
      <c r="E28" s="179"/>
      <c r="F28" s="179"/>
      <c r="G28" s="180"/>
      <c r="H28" s="180"/>
      <c r="I28" s="157"/>
      <c r="J28" s="167"/>
      <c r="K28" s="167"/>
      <c r="L28" s="167"/>
      <c r="M28" s="167"/>
    </row>
    <row r="29" spans="1:22" s="159" customFormat="1" ht="15.5" x14ac:dyDescent="0.35">
      <c r="A29" s="166" t="s">
        <v>315</v>
      </c>
      <c r="B29" s="157" t="s">
        <v>316</v>
      </c>
      <c r="C29" s="157"/>
      <c r="D29" s="350">
        <f>SW!F81</f>
        <v>1123.9200000000003</v>
      </c>
      <c r="E29" s="350">
        <f>D29*105%</f>
        <v>1180.1160000000004</v>
      </c>
      <c r="F29" s="177">
        <f>E29*105/100</f>
        <v>1239.1218000000006</v>
      </c>
      <c r="G29" s="177">
        <f t="shared" ref="G29:M29" si="15">ROUND(F29*105/100,0)</f>
        <v>1301</v>
      </c>
      <c r="H29" s="177">
        <f t="shared" si="15"/>
        <v>1366</v>
      </c>
      <c r="I29" s="177">
        <f t="shared" si="15"/>
        <v>1434</v>
      </c>
      <c r="J29" s="177">
        <f t="shared" si="15"/>
        <v>1506</v>
      </c>
      <c r="K29" s="177">
        <f t="shared" si="15"/>
        <v>1581</v>
      </c>
      <c r="L29" s="177">
        <f t="shared" si="15"/>
        <v>1660</v>
      </c>
      <c r="M29" s="177">
        <f t="shared" si="15"/>
        <v>1743</v>
      </c>
    </row>
    <row r="30" spans="1:22" s="159" customFormat="1" ht="15.5" x14ac:dyDescent="0.35">
      <c r="A30" s="166" t="s">
        <v>317</v>
      </c>
      <c r="B30" s="157" t="s">
        <v>318</v>
      </c>
      <c r="C30" s="157"/>
      <c r="D30" s="177">
        <v>96</v>
      </c>
      <c r="E30" s="177">
        <f t="shared" ref="E30:J30" si="16">ROUND(D30*105/100,2)</f>
        <v>100.8</v>
      </c>
      <c r="F30" s="177">
        <f t="shared" si="16"/>
        <v>105.84</v>
      </c>
      <c r="G30" s="177">
        <f t="shared" si="16"/>
        <v>111.13</v>
      </c>
      <c r="H30" s="177">
        <f t="shared" si="16"/>
        <v>116.69</v>
      </c>
      <c r="I30" s="177">
        <f t="shared" si="16"/>
        <v>122.52</v>
      </c>
      <c r="J30" s="177">
        <f t="shared" si="16"/>
        <v>128.65</v>
      </c>
      <c r="K30" s="177">
        <f>ROUND(J30*105/100,2)</f>
        <v>135.08000000000001</v>
      </c>
      <c r="L30" s="177">
        <f>ROUND(K30*105/100,2)</f>
        <v>141.83000000000001</v>
      </c>
      <c r="M30" s="177">
        <f>ROUND(L30*105/100,2)</f>
        <v>148.91999999999999</v>
      </c>
    </row>
    <row r="31" spans="1:22" s="159" customFormat="1" ht="15.5" x14ac:dyDescent="0.35">
      <c r="A31" s="166"/>
      <c r="B31" s="157"/>
      <c r="C31" s="157"/>
      <c r="D31" s="177"/>
      <c r="E31" s="177"/>
      <c r="F31" s="177"/>
      <c r="G31" s="177"/>
      <c r="H31" s="177"/>
      <c r="I31" s="181"/>
      <c r="J31" s="177"/>
      <c r="K31" s="177"/>
      <c r="L31" s="177"/>
      <c r="M31" s="177"/>
    </row>
    <row r="32" spans="1:22" s="159" customFormat="1" ht="15.5" x14ac:dyDescent="0.35">
      <c r="A32" s="166" t="s">
        <v>319</v>
      </c>
      <c r="B32" s="170" t="s">
        <v>320</v>
      </c>
      <c r="C32" s="157"/>
      <c r="D32" s="177"/>
      <c r="E32" s="177"/>
      <c r="F32" s="177"/>
      <c r="G32" s="177"/>
      <c r="H32" s="177"/>
      <c r="I32" s="157"/>
      <c r="J32" s="167"/>
      <c r="K32" s="167"/>
      <c r="L32" s="167"/>
      <c r="M32" s="167"/>
    </row>
    <row r="33" spans="1:23" s="159" customFormat="1" ht="15.5" x14ac:dyDescent="0.35">
      <c r="A33" s="166"/>
      <c r="B33" s="157" t="s">
        <v>321</v>
      </c>
      <c r="C33" s="157"/>
      <c r="D33" s="177">
        <f>250*ins.cap.!B16/100000</f>
        <v>255.6</v>
      </c>
      <c r="E33" s="177">
        <f>275*ins.cap.!C16/100000</f>
        <v>316.30500000000001</v>
      </c>
      <c r="F33" s="177">
        <f>300*ins.cap.!D16/100000</f>
        <v>383.4</v>
      </c>
      <c r="G33" s="177">
        <f>325*ins.cap.!E16/100000</f>
        <v>415.35</v>
      </c>
      <c r="H33" s="177">
        <f>350*ins.cap.!F16/100000</f>
        <v>536.76</v>
      </c>
      <c r="I33" s="177">
        <f>375*ins.cap.!G16/100000</f>
        <v>575.1</v>
      </c>
      <c r="J33" s="177">
        <f>395*ins.cap.!H16/100000</f>
        <v>656.25300000000004</v>
      </c>
      <c r="K33" s="177">
        <f>400*ins.cap.!I16/100000</f>
        <v>664.56</v>
      </c>
      <c r="L33" s="177">
        <f>425*ins.cap.!J16/100000</f>
        <v>760.40999999999985</v>
      </c>
      <c r="M33" s="177">
        <f>425*ins.cap.!K16/100000</f>
        <v>760.40999999999985</v>
      </c>
    </row>
    <row r="34" spans="1:23" s="159" customFormat="1" ht="15.5" x14ac:dyDescent="0.35">
      <c r="A34" s="166"/>
      <c r="B34" s="157" t="s">
        <v>322</v>
      </c>
      <c r="C34" s="157"/>
      <c r="D34" s="177">
        <v>6</v>
      </c>
      <c r="E34" s="177">
        <v>13.2</v>
      </c>
      <c r="F34" s="177">
        <f t="shared" ref="F34:K35" si="17">E34*105/100</f>
        <v>13.86</v>
      </c>
      <c r="G34" s="177">
        <f t="shared" si="17"/>
        <v>14.552999999999999</v>
      </c>
      <c r="H34" s="177">
        <f t="shared" si="17"/>
        <v>15.280649999999998</v>
      </c>
      <c r="I34" s="177">
        <f t="shared" si="17"/>
        <v>16.044682499999997</v>
      </c>
      <c r="J34" s="177">
        <f t="shared" si="17"/>
        <v>16.846916624999995</v>
      </c>
      <c r="K34" s="177">
        <f t="shared" si="17"/>
        <v>17.689262456249995</v>
      </c>
      <c r="L34" s="177">
        <f>K34*105/100</f>
        <v>18.573725579062497</v>
      </c>
      <c r="M34" s="177">
        <f>L34*105/100</f>
        <v>19.50241185801562</v>
      </c>
    </row>
    <row r="35" spans="1:23" s="159" customFormat="1" ht="15.5" x14ac:dyDescent="0.35">
      <c r="A35" s="166"/>
      <c r="B35" s="157" t="s">
        <v>323</v>
      </c>
      <c r="C35" s="157"/>
      <c r="D35" s="177">
        <v>18</v>
      </c>
      <c r="E35" s="177">
        <v>37.799999999999997</v>
      </c>
      <c r="F35" s="177">
        <f>E35*105/100</f>
        <v>39.69</v>
      </c>
      <c r="G35" s="177">
        <f t="shared" si="17"/>
        <v>41.674499999999995</v>
      </c>
      <c r="H35" s="177">
        <f t="shared" si="17"/>
        <v>43.758224999999996</v>
      </c>
      <c r="I35" s="177">
        <f t="shared" si="17"/>
        <v>45.946136250000002</v>
      </c>
      <c r="J35" s="177">
        <f t="shared" si="17"/>
        <v>48.243443062499999</v>
      </c>
      <c r="K35" s="177">
        <f t="shared" si="17"/>
        <v>50.655615215625005</v>
      </c>
      <c r="L35" s="177">
        <v>50.66</v>
      </c>
      <c r="M35" s="177">
        <v>50.66</v>
      </c>
    </row>
    <row r="36" spans="1:23" s="159" customFormat="1" ht="15.5" x14ac:dyDescent="0.35">
      <c r="A36" s="166"/>
      <c r="B36" s="157" t="s">
        <v>324</v>
      </c>
      <c r="C36" s="157"/>
      <c r="D36" s="177">
        <v>5</v>
      </c>
      <c r="E36" s="177">
        <v>6</v>
      </c>
      <c r="F36" s="177">
        <v>7</v>
      </c>
      <c r="G36" s="171">
        <v>8</v>
      </c>
      <c r="H36" s="177">
        <v>9</v>
      </c>
      <c r="I36" s="172">
        <v>10</v>
      </c>
      <c r="J36" s="171">
        <v>11</v>
      </c>
      <c r="K36" s="171">
        <v>12</v>
      </c>
      <c r="L36" s="171">
        <v>13</v>
      </c>
      <c r="M36" s="171">
        <v>14</v>
      </c>
    </row>
    <row r="37" spans="1:23" s="159" customFormat="1" ht="15.5" x14ac:dyDescent="0.35">
      <c r="A37" s="166"/>
      <c r="B37" s="157" t="s">
        <v>325</v>
      </c>
      <c r="C37" s="157"/>
      <c r="D37" s="177">
        <v>2</v>
      </c>
      <c r="E37" s="177">
        <f>(pm!F128+pm!F132)*2.5/100/100000</f>
        <v>644.40753500000005</v>
      </c>
      <c r="F37" s="177">
        <f t="shared" ref="F37:K37" si="18">105/100*(E37)</f>
        <v>676.62791175000007</v>
      </c>
      <c r="G37" s="177">
        <f t="shared" si="18"/>
        <v>710.45930733750015</v>
      </c>
      <c r="H37" s="177">
        <f t="shared" si="18"/>
        <v>745.98227270437519</v>
      </c>
      <c r="I37" s="177">
        <f>105/100*(H37)</f>
        <v>783.28138633959395</v>
      </c>
      <c r="J37" s="177">
        <f t="shared" si="18"/>
        <v>822.4454556565737</v>
      </c>
      <c r="K37" s="177">
        <f t="shared" si="18"/>
        <v>863.56772843940246</v>
      </c>
      <c r="L37" s="177">
        <f>105/100*(K37)</f>
        <v>906.74611486137258</v>
      </c>
      <c r="M37" s="177">
        <f>105/100*(L37)</f>
        <v>952.08342060444124</v>
      </c>
    </row>
    <row r="38" spans="1:23" s="159" customFormat="1" ht="15.5" x14ac:dyDescent="0.35">
      <c r="A38" s="166"/>
      <c r="B38" s="157" t="s">
        <v>326</v>
      </c>
      <c r="C38" s="157"/>
      <c r="D38" s="177">
        <v>3</v>
      </c>
      <c r="E38" s="177">
        <v>10</v>
      </c>
      <c r="F38" s="177">
        <v>15</v>
      </c>
      <c r="G38" s="171">
        <v>20</v>
      </c>
      <c r="H38" s="177">
        <v>25</v>
      </c>
      <c r="I38" s="172">
        <v>30</v>
      </c>
      <c r="J38" s="171">
        <v>32</v>
      </c>
      <c r="K38" s="171">
        <v>34</v>
      </c>
      <c r="L38" s="171">
        <v>36</v>
      </c>
      <c r="M38" s="171">
        <v>38</v>
      </c>
    </row>
    <row r="39" spans="1:23" s="159" customFormat="1" ht="15.5" x14ac:dyDescent="0.35">
      <c r="A39" s="166"/>
      <c r="B39" s="160" t="s">
        <v>327</v>
      </c>
      <c r="C39" s="157"/>
      <c r="D39" s="174">
        <f>SUM(D25:D38)</f>
        <v>3649.52</v>
      </c>
      <c r="E39" s="174">
        <f t="shared" ref="E39:M39" si="19">SUM(E25:E38)</f>
        <v>4551.1285350000007</v>
      </c>
      <c r="F39" s="174">
        <f t="shared" si="19"/>
        <v>4838.9147117500006</v>
      </c>
      <c r="G39" s="174">
        <f t="shared" si="19"/>
        <v>5070.2305573375006</v>
      </c>
      <c r="H39" s="174">
        <f t="shared" si="19"/>
        <v>5431.6695102043741</v>
      </c>
      <c r="I39" s="174">
        <f t="shared" si="19"/>
        <v>5689.5414927145948</v>
      </c>
      <c r="J39" s="174">
        <f t="shared" si="19"/>
        <v>6029.3536130678231</v>
      </c>
      <c r="K39" s="174">
        <f t="shared" si="19"/>
        <v>6276.5919604549154</v>
      </c>
      <c r="L39" s="174">
        <f t="shared" si="19"/>
        <v>6651.6095043457099</v>
      </c>
      <c r="M39" s="174">
        <f t="shared" si="19"/>
        <v>6912.7616281457586</v>
      </c>
      <c r="O39" s="175">
        <f>M39-L39</f>
        <v>261.15212380004868</v>
      </c>
    </row>
    <row r="40" spans="1:23" s="159" customFormat="1" ht="15.5" x14ac:dyDescent="0.35">
      <c r="A40" s="166" t="s">
        <v>328</v>
      </c>
      <c r="B40" s="160" t="s">
        <v>329</v>
      </c>
      <c r="C40" s="157"/>
      <c r="D40" s="179">
        <f t="shared" ref="D40:M40" si="20">D18-D39</f>
        <v>48490.48</v>
      </c>
      <c r="E40" s="179">
        <f t="shared" si="20"/>
        <v>57745.871464999997</v>
      </c>
      <c r="F40" s="179">
        <f t="shared" si="20"/>
        <v>67947.635288249992</v>
      </c>
      <c r="G40" s="179">
        <f t="shared" si="20"/>
        <v>71508.666942662501</v>
      </c>
      <c r="H40" s="179">
        <f t="shared" si="20"/>
        <v>90645.644864795628</v>
      </c>
      <c r="I40" s="179">
        <f t="shared" si="20"/>
        <v>95249.557801035407</v>
      </c>
      <c r="J40" s="179">
        <f t="shared" si="20"/>
        <v>108654.22676536968</v>
      </c>
      <c r="K40" s="179">
        <f t="shared" si="20"/>
        <v>114271.52616890447</v>
      </c>
      <c r="L40" s="179">
        <f t="shared" si="20"/>
        <v>129232.49913668161</v>
      </c>
      <c r="M40" s="179">
        <f t="shared" si="20"/>
        <v>135636.22551065296</v>
      </c>
      <c r="N40" s="159">
        <f>D40/D18</f>
        <v>0.93000537015726892</v>
      </c>
      <c r="O40" s="159">
        <f t="shared" ref="O40:W40" si="21">E40/E18</f>
        <v>0.92694465969468831</v>
      </c>
      <c r="P40" s="159">
        <f t="shared" si="21"/>
        <v>0.93351910879482547</v>
      </c>
      <c r="Q40" s="159">
        <f t="shared" si="21"/>
        <v>0.93379076060297805</v>
      </c>
      <c r="R40" s="159">
        <f t="shared" si="21"/>
        <v>0.94346563967219166</v>
      </c>
      <c r="S40" s="159">
        <f t="shared" si="21"/>
        <v>0.94363391854570589</v>
      </c>
      <c r="T40" s="159">
        <f t="shared" si="21"/>
        <v>0.94742618260458977</v>
      </c>
      <c r="U40" s="159">
        <f t="shared" si="21"/>
        <v>0.94793289138102066</v>
      </c>
      <c r="V40" s="159">
        <f t="shared" si="21"/>
        <v>0.95104939370123365</v>
      </c>
      <c r="W40" s="159">
        <f t="shared" si="21"/>
        <v>0.9515060628146389</v>
      </c>
    </row>
    <row r="41" spans="1:23" s="159" customFormat="1" ht="15.5" x14ac:dyDescent="0.35">
      <c r="A41" s="166"/>
      <c r="B41" s="160"/>
      <c r="C41" s="157"/>
      <c r="D41" s="179"/>
      <c r="E41" s="177"/>
      <c r="F41" s="179"/>
      <c r="G41" s="171"/>
      <c r="H41" s="180"/>
      <c r="I41" s="157"/>
      <c r="J41" s="167"/>
      <c r="K41" s="167"/>
      <c r="L41" s="167"/>
      <c r="M41" s="167"/>
    </row>
    <row r="42" spans="1:23" s="159" customFormat="1" ht="15.5" x14ac:dyDescent="0.35">
      <c r="A42" s="166" t="s">
        <v>330</v>
      </c>
      <c r="B42" s="170" t="s">
        <v>331</v>
      </c>
      <c r="C42" s="157"/>
      <c r="D42" s="178"/>
      <c r="E42" s="178"/>
      <c r="F42" s="177"/>
      <c r="G42" s="171"/>
      <c r="H42" s="178"/>
      <c r="I42" s="157"/>
      <c r="J42" s="167"/>
      <c r="K42" s="167"/>
      <c r="L42" s="167"/>
      <c r="M42" s="167"/>
    </row>
    <row r="43" spans="1:23" s="159" customFormat="1" ht="15.5" x14ac:dyDescent="0.35">
      <c r="A43" s="166"/>
      <c r="B43" s="352" t="s">
        <v>332</v>
      </c>
      <c r="C43" s="157"/>
      <c r="D43" s="177">
        <f>(intt.!G41/100000)</f>
        <v>843.99995999999999</v>
      </c>
      <c r="E43" s="177">
        <f>intt.!G57/100000</f>
        <v>841.09875999999997</v>
      </c>
      <c r="F43" s="177">
        <f>intt.!G72/100000</f>
        <v>834.18845999999996</v>
      </c>
      <c r="G43" s="177">
        <f>intt.!G87/100000</f>
        <v>826.30237999999997</v>
      </c>
      <c r="H43" s="177">
        <f>intt.!G102/100000</f>
        <v>817.78326000000004</v>
      </c>
      <c r="I43" s="177">
        <f>intt.!G117/100000</f>
        <v>808.63112999999998</v>
      </c>
      <c r="J43" s="177">
        <f>intt.!G132/100000</f>
        <v>798.846</v>
      </c>
      <c r="K43" s="177">
        <f>intt.!G147/100000</f>
        <v>788.42787999999996</v>
      </c>
      <c r="L43" s="177">
        <f>intt.!G162/100000</f>
        <v>777.37674000000004</v>
      </c>
      <c r="M43" s="177">
        <f>intt.!G178/100000</f>
        <v>765.89571000000001</v>
      </c>
    </row>
    <row r="44" spans="1:23" s="159" customFormat="1" ht="15.5" x14ac:dyDescent="0.35">
      <c r="A44" s="166"/>
      <c r="B44" s="157"/>
      <c r="C44" s="157"/>
      <c r="D44" s="177"/>
      <c r="E44" s="177"/>
      <c r="F44" s="177"/>
      <c r="G44" s="177"/>
      <c r="H44" s="177"/>
      <c r="I44" s="157"/>
      <c r="J44" s="167"/>
      <c r="K44" s="167"/>
      <c r="L44" s="167"/>
      <c r="M44" s="167"/>
    </row>
    <row r="45" spans="1:23" s="159" customFormat="1" ht="15.5" x14ac:dyDescent="0.35">
      <c r="A45" s="166"/>
      <c r="B45" s="160" t="s">
        <v>333</v>
      </c>
      <c r="C45" s="157"/>
      <c r="D45" s="174">
        <f t="shared" ref="D45:K45" si="22">SUM(D43:D44)</f>
        <v>843.99995999999999</v>
      </c>
      <c r="E45" s="174">
        <f t="shared" si="22"/>
        <v>841.09875999999997</v>
      </c>
      <c r="F45" s="174">
        <f t="shared" si="22"/>
        <v>834.18845999999996</v>
      </c>
      <c r="G45" s="174">
        <f t="shared" si="22"/>
        <v>826.30237999999997</v>
      </c>
      <c r="H45" s="174">
        <f t="shared" si="22"/>
        <v>817.78326000000004</v>
      </c>
      <c r="I45" s="174">
        <f t="shared" si="22"/>
        <v>808.63112999999998</v>
      </c>
      <c r="J45" s="174">
        <f t="shared" si="22"/>
        <v>798.846</v>
      </c>
      <c r="K45" s="174">
        <f t="shared" si="22"/>
        <v>788.42787999999996</v>
      </c>
      <c r="L45" s="174">
        <f>SUM(L43:L44)</f>
        <v>777.37674000000004</v>
      </c>
      <c r="M45" s="174">
        <f>SUM(M43:M44)</f>
        <v>765.89571000000001</v>
      </c>
    </row>
    <row r="46" spans="1:23" s="159" customFormat="1" ht="15.5" x14ac:dyDescent="0.35">
      <c r="A46" s="166" t="s">
        <v>4</v>
      </c>
      <c r="B46" s="160" t="s">
        <v>334</v>
      </c>
      <c r="C46" s="157"/>
      <c r="D46" s="177">
        <f>D40-D45</f>
        <v>47646.480040000002</v>
      </c>
      <c r="E46" s="177">
        <f t="shared" ref="E46:K46" si="23">E40-E45</f>
        <v>56904.772704999996</v>
      </c>
      <c r="F46" s="177">
        <f t="shared" si="23"/>
        <v>67113.446828249987</v>
      </c>
      <c r="G46" s="177">
        <f t="shared" si="23"/>
        <v>70682.364562662508</v>
      </c>
      <c r="H46" s="177">
        <f t="shared" si="23"/>
        <v>89827.861604795631</v>
      </c>
      <c r="I46" s="177">
        <f t="shared" si="23"/>
        <v>94440.926671035413</v>
      </c>
      <c r="J46" s="177">
        <f t="shared" si="23"/>
        <v>107855.38076536967</v>
      </c>
      <c r="K46" s="177">
        <f t="shared" si="23"/>
        <v>113483.09828890447</v>
      </c>
      <c r="L46" s="177">
        <f>L40-L45</f>
        <v>128455.1223966816</v>
      </c>
      <c r="M46" s="177">
        <f>M40-M45</f>
        <v>134870.32980065295</v>
      </c>
      <c r="N46" s="159">
        <f>D46/D18*100</f>
        <v>91.381818258534722</v>
      </c>
      <c r="O46" s="159">
        <f t="shared" ref="O46:W46" si="24">E46/E18*100</f>
        <v>91.344322688090912</v>
      </c>
      <c r="P46" s="159">
        <f t="shared" si="24"/>
        <v>92.205835869745172</v>
      </c>
      <c r="Q46" s="159">
        <f t="shared" si="24"/>
        <v>92.300055067602017</v>
      </c>
      <c r="R46" s="159">
        <f t="shared" si="24"/>
        <v>93.495391903012518</v>
      </c>
      <c r="S46" s="159">
        <f t="shared" si="24"/>
        <v>93.56228392349351</v>
      </c>
      <c r="T46" s="159">
        <f t="shared" si="24"/>
        <v>94.046052982880497</v>
      </c>
      <c r="U46" s="159">
        <f t="shared" si="24"/>
        <v>94.139253312213896</v>
      </c>
      <c r="V46" s="159">
        <f t="shared" si="24"/>
        <v>94.532851325557658</v>
      </c>
      <c r="W46" s="159">
        <f t="shared" si="24"/>
        <v>94.613320310252973</v>
      </c>
    </row>
    <row r="47" spans="1:23" s="159" customFormat="1" ht="15.5" x14ac:dyDescent="0.35">
      <c r="A47" s="166" t="s">
        <v>335</v>
      </c>
      <c r="B47" s="157" t="s">
        <v>293</v>
      </c>
      <c r="C47" s="157"/>
      <c r="D47" s="177">
        <f>Dep!G16</f>
        <v>4406.8711489999996</v>
      </c>
      <c r="E47" s="177">
        <f>Dep!G24</f>
        <v>3604.8159667499999</v>
      </c>
      <c r="F47" s="177">
        <f>Dep!G33</f>
        <v>2980.6624708274999</v>
      </c>
      <c r="G47" s="171">
        <f>Dep!G42</f>
        <v>2484.5696841843751</v>
      </c>
      <c r="H47" s="177">
        <f>Dep!G51</f>
        <v>2083.4469020196193</v>
      </c>
      <c r="I47" s="172">
        <f>Dep!G60</f>
        <v>1754.7303170612863</v>
      </c>
      <c r="J47" s="171">
        <f>Dep!G69</f>
        <v>1482.5776029690421</v>
      </c>
      <c r="K47" s="171">
        <f>Dep!G78</f>
        <v>1255.5239695380199</v>
      </c>
      <c r="L47" s="171">
        <f>Dep!G86</f>
        <v>1065.0241945566656</v>
      </c>
      <c r="M47" s="171">
        <f>Dep!G94</f>
        <v>904.53397225944843</v>
      </c>
    </row>
    <row r="48" spans="1:23" s="159" customFormat="1" ht="15.5" x14ac:dyDescent="0.35">
      <c r="A48" s="166" t="s">
        <v>336</v>
      </c>
      <c r="B48" s="157" t="s">
        <v>442</v>
      </c>
      <c r="C48" s="157"/>
      <c r="D48" s="177">
        <f>D46-D47</f>
        <v>43239.608891000003</v>
      </c>
      <c r="E48" s="177">
        <f t="shared" ref="E48:K48" si="25">E46-E47</f>
        <v>53299.956738249995</v>
      </c>
      <c r="F48" s="177">
        <f t="shared" si="25"/>
        <v>64132.78435742249</v>
      </c>
      <c r="G48" s="177">
        <f t="shared" si="25"/>
        <v>68197.794878478133</v>
      </c>
      <c r="H48" s="177">
        <f t="shared" si="25"/>
        <v>87744.414702776005</v>
      </c>
      <c r="I48" s="177">
        <f t="shared" si="25"/>
        <v>92686.196353974126</v>
      </c>
      <c r="J48" s="177">
        <f t="shared" si="25"/>
        <v>106372.80316240063</v>
      </c>
      <c r="K48" s="177">
        <f t="shared" si="25"/>
        <v>112227.57431936645</v>
      </c>
      <c r="L48" s="177">
        <f>L46-L47</f>
        <v>127390.09820212494</v>
      </c>
      <c r="M48" s="177">
        <f>M46-M47</f>
        <v>133965.79582839351</v>
      </c>
    </row>
    <row r="49" spans="1:15" s="159" customFormat="1" ht="15.5" x14ac:dyDescent="0.35">
      <c r="A49" s="166" t="s">
        <v>337</v>
      </c>
      <c r="B49" s="157" t="s">
        <v>338</v>
      </c>
      <c r="C49" s="157"/>
      <c r="D49" s="177">
        <f>Capital!D16+Capital!D31+Capital!D46+Capital!D61</f>
        <v>0</v>
      </c>
      <c r="E49" s="177">
        <f>Capital!E16+Capital!E31+Capital!E46+Capital!E61</f>
        <v>0</v>
      </c>
      <c r="F49" s="177">
        <f>Capital!F16+Capital!F31+Capital!F46+Capital!F61</f>
        <v>14085.475874069998</v>
      </c>
      <c r="G49" s="177">
        <f>Capital!G16+Capital!G31+Capital!G46+Capital!G61</f>
        <v>19666.236780269974</v>
      </c>
      <c r="H49" s="177">
        <f>Capital!H16+Capital!H31+Capital!H46+Capital!H61</f>
        <v>25793.558606746807</v>
      </c>
      <c r="I49" s="177">
        <f>Capital!I16+Capital!I31+Capital!I46+Capital!I61</f>
        <v>33707.352633056355</v>
      </c>
      <c r="J49" s="177">
        <f>Capital!J16+Capital!J31+Capital!J46+Capital!J61</f>
        <v>42344.521257552748</v>
      </c>
      <c r="K49" s="177">
        <f>Capital!K16+Capital!K31+Capital!K46+Capital!K61</f>
        <v>52411.738897581214</v>
      </c>
      <c r="L49" s="177">
        <f>Capital!L16+Capital!L31+Capital!L46+Capital!L61</f>
        <v>63353.368752330549</v>
      </c>
      <c r="M49" s="177">
        <f>Capital!M16+Capital!M31+Capital!M46+Capital!M61</f>
        <v>75935.10756791319</v>
      </c>
    </row>
    <row r="50" spans="1:15" s="159" customFormat="1" ht="15.5" x14ac:dyDescent="0.35">
      <c r="A50" s="166"/>
      <c r="B50" s="157" t="s">
        <v>339</v>
      </c>
      <c r="C50" s="157"/>
      <c r="D50" s="177"/>
      <c r="E50" s="177"/>
      <c r="F50" s="177"/>
      <c r="G50" s="177"/>
      <c r="H50" s="177"/>
      <c r="I50" s="177"/>
      <c r="J50" s="177"/>
      <c r="K50" s="177"/>
      <c r="L50" s="177"/>
      <c r="M50" s="177"/>
    </row>
    <row r="51" spans="1:15" s="159" customFormat="1" ht="15.5" x14ac:dyDescent="0.35">
      <c r="A51" s="166" t="s">
        <v>340</v>
      </c>
      <c r="B51" s="157" t="s">
        <v>341</v>
      </c>
      <c r="C51" s="157"/>
      <c r="D51" s="177">
        <v>0</v>
      </c>
      <c r="E51" s="177">
        <v>0</v>
      </c>
      <c r="F51" s="177">
        <v>200</v>
      </c>
      <c r="G51" s="177">
        <v>200</v>
      </c>
      <c r="H51" s="177">
        <v>400</v>
      </c>
      <c r="I51" s="177">
        <v>400</v>
      </c>
      <c r="J51" s="177">
        <v>500</v>
      </c>
      <c r="K51" s="177">
        <v>500</v>
      </c>
      <c r="L51" s="177">
        <v>500</v>
      </c>
      <c r="M51" s="177">
        <v>500</v>
      </c>
      <c r="O51" s="159">
        <f>8.83-5.83</f>
        <v>3</v>
      </c>
    </row>
    <row r="52" spans="1:15" s="159" customFormat="1" ht="15.5" x14ac:dyDescent="0.35">
      <c r="A52" s="166" t="s">
        <v>342</v>
      </c>
      <c r="B52" s="354" t="s">
        <v>343</v>
      </c>
      <c r="C52" s="354"/>
      <c r="D52" s="355">
        <f>D48-D49-D51</f>
        <v>43239.608891000003</v>
      </c>
      <c r="E52" s="355">
        <f t="shared" ref="E52:K52" si="26">E48-E49-E51</f>
        <v>53299.956738249995</v>
      </c>
      <c r="F52" s="355">
        <f t="shared" si="26"/>
        <v>49847.308483352492</v>
      </c>
      <c r="G52" s="355">
        <f t="shared" si="26"/>
        <v>48331.558098208159</v>
      </c>
      <c r="H52" s="355">
        <f t="shared" si="26"/>
        <v>61550.856096029194</v>
      </c>
      <c r="I52" s="355">
        <f t="shared" si="26"/>
        <v>58578.843720917772</v>
      </c>
      <c r="J52" s="355">
        <f t="shared" si="26"/>
        <v>63528.281904847878</v>
      </c>
      <c r="K52" s="355">
        <f t="shared" si="26"/>
        <v>59315.835421785239</v>
      </c>
      <c r="L52" s="355">
        <f>L48-L49-L51</f>
        <v>63536.729449794388</v>
      </c>
      <c r="M52" s="355">
        <f>M48-M49-M51</f>
        <v>57530.688260480325</v>
      </c>
    </row>
    <row r="53" spans="1:15" s="159" customFormat="1" ht="15.5" x14ac:dyDescent="0.35">
      <c r="A53" s="166" t="s">
        <v>344</v>
      </c>
      <c r="B53" s="157" t="s">
        <v>345</v>
      </c>
      <c r="C53" s="157"/>
      <c r="D53" s="177">
        <f>'pc&amp;mf'!E30/5</f>
        <v>87.799995999999993</v>
      </c>
      <c r="E53" s="177">
        <f>D53</f>
        <v>87.799995999999993</v>
      </c>
      <c r="F53" s="177">
        <f>E53</f>
        <v>87.799995999999993</v>
      </c>
      <c r="G53" s="177">
        <f>F53</f>
        <v>87.799995999999993</v>
      </c>
      <c r="H53" s="177">
        <f>G53</f>
        <v>87.799995999999993</v>
      </c>
      <c r="I53" s="177">
        <v>0</v>
      </c>
      <c r="J53" s="177">
        <v>0</v>
      </c>
      <c r="K53" s="177">
        <v>0</v>
      </c>
      <c r="L53" s="177">
        <v>0</v>
      </c>
      <c r="M53" s="177">
        <v>0</v>
      </c>
      <c r="O53" s="175">
        <f>SUM(D53:H53)</f>
        <v>438.99997999999994</v>
      </c>
    </row>
    <row r="54" spans="1:15" s="159" customFormat="1" ht="15.5" x14ac:dyDescent="0.35">
      <c r="A54" s="166" t="s">
        <v>346</v>
      </c>
      <c r="B54" s="157" t="s">
        <v>347</v>
      </c>
      <c r="C54" s="157"/>
      <c r="D54" s="177">
        <v>0</v>
      </c>
      <c r="E54" s="177">
        <v>0</v>
      </c>
      <c r="F54" s="177">
        <f t="shared" ref="F54:K54" si="27">F52*34.944%</f>
        <v>17418.643476422698</v>
      </c>
      <c r="G54" s="177">
        <f t="shared" si="27"/>
        <v>16888.97966183786</v>
      </c>
      <c r="H54" s="177">
        <f t="shared" si="27"/>
        <v>21508.331154196443</v>
      </c>
      <c r="I54" s="177">
        <f>I52*34.944%</f>
        <v>20469.791149837507</v>
      </c>
      <c r="J54" s="177">
        <f t="shared" si="27"/>
        <v>22199.322828830045</v>
      </c>
      <c r="K54" s="177">
        <f t="shared" si="27"/>
        <v>20727.325529788635</v>
      </c>
      <c r="L54" s="177">
        <f>L52*34.944%</f>
        <v>22202.274738936154</v>
      </c>
      <c r="M54" s="177">
        <f>M52*34.944%</f>
        <v>20103.523705742246</v>
      </c>
    </row>
    <row r="55" spans="1:15" s="159" customFormat="1" ht="15.5" x14ac:dyDescent="0.35">
      <c r="A55" s="166" t="s">
        <v>348</v>
      </c>
      <c r="B55" s="157" t="s">
        <v>349</v>
      </c>
      <c r="C55" s="157"/>
      <c r="D55" s="177">
        <f>D52-D54-D53</f>
        <v>43151.808895000002</v>
      </c>
      <c r="E55" s="177">
        <f>E52-E54-E53</f>
        <v>53212.156742249994</v>
      </c>
      <c r="F55" s="177">
        <f t="shared" ref="F55:K55" si="28">F52-F54-F53</f>
        <v>32340.865010929792</v>
      </c>
      <c r="G55" s="177">
        <f t="shared" si="28"/>
        <v>31354.778440370297</v>
      </c>
      <c r="H55" s="177">
        <f t="shared" si="28"/>
        <v>39954.72494583275</v>
      </c>
      <c r="I55" s="177">
        <f t="shared" si="28"/>
        <v>38109.052571080261</v>
      </c>
      <c r="J55" s="177">
        <f t="shared" si="28"/>
        <v>41328.959076017833</v>
      </c>
      <c r="K55" s="177">
        <f t="shared" si="28"/>
        <v>38588.509891996604</v>
      </c>
      <c r="L55" s="177">
        <f>L52-L54-L53</f>
        <v>41334.454710858234</v>
      </c>
      <c r="M55" s="177">
        <f>M52-M54-M53</f>
        <v>37427.164554738076</v>
      </c>
    </row>
    <row r="56" spans="1:15" s="159" customFormat="1" ht="15.5" x14ac:dyDescent="0.35">
      <c r="A56" s="166" t="s">
        <v>350</v>
      </c>
      <c r="B56" s="157" t="s">
        <v>351</v>
      </c>
      <c r="C56" s="157"/>
      <c r="D56" s="177">
        <f>D47</f>
        <v>4406.8711489999996</v>
      </c>
      <c r="E56" s="177">
        <f t="shared" ref="E56:K56" si="29">E47</f>
        <v>3604.8159667499999</v>
      </c>
      <c r="F56" s="177">
        <f t="shared" si="29"/>
        <v>2980.6624708274999</v>
      </c>
      <c r="G56" s="177">
        <f t="shared" si="29"/>
        <v>2484.5696841843751</v>
      </c>
      <c r="H56" s="177">
        <f t="shared" si="29"/>
        <v>2083.4469020196193</v>
      </c>
      <c r="I56" s="177">
        <f t="shared" si="29"/>
        <v>1754.7303170612863</v>
      </c>
      <c r="J56" s="177">
        <f t="shared" si="29"/>
        <v>1482.5776029690421</v>
      </c>
      <c r="K56" s="177">
        <f t="shared" si="29"/>
        <v>1255.5239695380199</v>
      </c>
      <c r="L56" s="177">
        <f>L47</f>
        <v>1065.0241945566656</v>
      </c>
      <c r="M56" s="177">
        <f>M47</f>
        <v>904.53397225944843</v>
      </c>
      <c r="O56" s="159">
        <f>8.86-5.83</f>
        <v>3.0299999999999994</v>
      </c>
    </row>
    <row r="57" spans="1:15" s="374" customFormat="1" ht="15.5" x14ac:dyDescent="0.35">
      <c r="A57" s="371" t="s">
        <v>352</v>
      </c>
      <c r="B57" s="372" t="s">
        <v>449</v>
      </c>
      <c r="C57" s="372"/>
      <c r="D57" s="373">
        <f>D55+D47+D45+D53</f>
        <v>48490.48</v>
      </c>
      <c r="E57" s="373">
        <f>E55+E47+E45+E53</f>
        <v>57745.871464999997</v>
      </c>
      <c r="F57" s="373">
        <f t="shared" ref="F57:M57" si="30">F55+F47+F45+F53</f>
        <v>36243.515937757293</v>
      </c>
      <c r="G57" s="373">
        <f t="shared" si="30"/>
        <v>34753.450500554674</v>
      </c>
      <c r="H57" s="373">
        <f t="shared" si="30"/>
        <v>42943.755103852367</v>
      </c>
      <c r="I57" s="373">
        <f t="shared" si="30"/>
        <v>40672.41401814155</v>
      </c>
      <c r="J57" s="373">
        <f t="shared" si="30"/>
        <v>43610.382678986869</v>
      </c>
      <c r="K57" s="373">
        <f t="shared" si="30"/>
        <v>40632.461741534629</v>
      </c>
      <c r="L57" s="373">
        <f t="shared" si="30"/>
        <v>43176.8556454149</v>
      </c>
      <c r="M57" s="373">
        <f t="shared" si="30"/>
        <v>39097.594236997524</v>
      </c>
      <c r="O57" s="375"/>
    </row>
    <row r="58" spans="1:15" s="159" customFormat="1" ht="15.5" x14ac:dyDescent="0.35">
      <c r="A58" s="182" t="s">
        <v>353</v>
      </c>
      <c r="B58" s="157" t="s">
        <v>354</v>
      </c>
      <c r="C58" s="157"/>
      <c r="D58" s="177">
        <v>0</v>
      </c>
      <c r="E58" s="177">
        <f>E45+(intt.!E15)</f>
        <v>1441.0987599999999</v>
      </c>
      <c r="F58" s="177">
        <f>F45+(intt.!E16)</f>
        <v>1554.1884599999998</v>
      </c>
      <c r="G58" s="177">
        <f>G45+(intt.!E17)</f>
        <v>1606.3023800000001</v>
      </c>
      <c r="H58" s="177">
        <f>H45+(intt.!E18)</f>
        <v>1657.7832600000002</v>
      </c>
      <c r="I58" s="177">
        <f>I45+(intt.!E19)</f>
        <v>1708.63113</v>
      </c>
      <c r="J58" s="177">
        <f>J45+(intt.!E20)</f>
        <v>1758.846</v>
      </c>
      <c r="K58" s="177">
        <f>K45+(intt.!E21)</f>
        <v>1808.42788</v>
      </c>
      <c r="L58" s="177">
        <f>L45+(intt.!E22)</f>
        <v>1857.3767400000002</v>
      </c>
      <c r="M58" s="177">
        <f>M45+(intt.!E23)</f>
        <v>1865.89571</v>
      </c>
      <c r="O58" s="175"/>
    </row>
    <row r="59" spans="1:15" s="358" customFormat="1" ht="15.5" x14ac:dyDescent="0.35">
      <c r="A59" s="359" t="s">
        <v>355</v>
      </c>
      <c r="B59" s="360" t="s">
        <v>356</v>
      </c>
      <c r="C59" s="360"/>
      <c r="D59" s="361"/>
      <c r="E59" s="361">
        <f>E57/E58</f>
        <v>40.070724552562936</v>
      </c>
      <c r="F59" s="361">
        <f t="shared" ref="F59:K59" si="31">F57/F58</f>
        <v>23.319897728334244</v>
      </c>
      <c r="G59" s="361">
        <f t="shared" si="31"/>
        <v>21.63568387451102</v>
      </c>
      <c r="H59" s="361">
        <f t="shared" si="31"/>
        <v>25.904324250356083</v>
      </c>
      <c r="I59" s="361">
        <f t="shared" si="31"/>
        <v>23.804092822622017</v>
      </c>
      <c r="J59" s="361">
        <f t="shared" si="31"/>
        <v>24.794884076824729</v>
      </c>
      <c r="K59" s="361">
        <f t="shared" si="31"/>
        <v>22.468389362330903</v>
      </c>
      <c r="L59" s="361">
        <f>L57/L58</f>
        <v>23.24614856833778</v>
      </c>
      <c r="M59" s="361">
        <f>M57/M58</f>
        <v>20.953793948643316</v>
      </c>
      <c r="O59" s="358">
        <f>-3.62+11.07</f>
        <v>7.45</v>
      </c>
    </row>
    <row r="60" spans="1:15" s="18" customFormat="1" ht="15.5" x14ac:dyDescent="0.35">
      <c r="A60" s="128"/>
      <c r="B60" s="157"/>
      <c r="C60" s="157"/>
      <c r="D60" s="184"/>
      <c r="E60" s="184"/>
      <c r="F60" s="184"/>
      <c r="G60" s="172"/>
      <c r="H60" s="184"/>
      <c r="I60" s="157"/>
      <c r="J60" s="157"/>
      <c r="K60" s="157"/>
      <c r="O60" s="18">
        <f>3.62+11.07</f>
        <v>14.690000000000001</v>
      </c>
    </row>
    <row r="61" spans="1:15" ht="15.5" x14ac:dyDescent="0.35">
      <c r="A61" s="160"/>
      <c r="B61" s="157"/>
      <c r="C61" s="184"/>
      <c r="D61" s="185">
        <f>D39-D37-D27-D29-D30-D25</f>
        <v>287.59999999999968</v>
      </c>
      <c r="E61" s="185">
        <f>E39-E37-E27-E29-E30-E25</f>
        <v>383.30500000000006</v>
      </c>
      <c r="F61" s="185">
        <f t="shared" ref="F61:M61" si="32">F39-F37-F27-F29-F30-F25</f>
        <v>458.95000000000027</v>
      </c>
      <c r="G61" s="185">
        <f t="shared" si="32"/>
        <v>499.57750000000055</v>
      </c>
      <c r="H61" s="185">
        <f t="shared" si="32"/>
        <v>629.79887499999813</v>
      </c>
      <c r="I61" s="185">
        <f t="shared" si="32"/>
        <v>677.09081875000038</v>
      </c>
      <c r="J61" s="185">
        <f t="shared" si="32"/>
        <v>764.34335968749883</v>
      </c>
      <c r="K61" s="185">
        <f t="shared" si="32"/>
        <v>778.90487767187528</v>
      </c>
      <c r="L61" s="185">
        <f t="shared" si="32"/>
        <v>878.64372557906245</v>
      </c>
      <c r="M61" s="185">
        <f t="shared" si="32"/>
        <v>882.57241185801604</v>
      </c>
    </row>
    <row r="62" spans="1:15" ht="14" x14ac:dyDescent="0.3">
      <c r="A62" s="26"/>
      <c r="D62">
        <v>897.12</v>
      </c>
      <c r="E62">
        <v>135.5</v>
      </c>
      <c r="F62">
        <v>163.71</v>
      </c>
      <c r="G62">
        <v>176.17</v>
      </c>
      <c r="H62">
        <v>206.9</v>
      </c>
      <c r="I62">
        <v>218.3</v>
      </c>
      <c r="J62">
        <v>245.49</v>
      </c>
      <c r="K62">
        <v>261.3</v>
      </c>
      <c r="L62">
        <v>280.17</v>
      </c>
      <c r="M62">
        <v>287.63</v>
      </c>
    </row>
    <row r="63" spans="1:15" ht="13" x14ac:dyDescent="0.3">
      <c r="A63" s="60" t="s">
        <v>357</v>
      </c>
    </row>
    <row r="64" spans="1:15" ht="15.5" x14ac:dyDescent="0.35">
      <c r="B64" s="157"/>
      <c r="C64" s="157"/>
      <c r="D64" s="157"/>
      <c r="E64" s="157"/>
      <c r="F64" s="157"/>
      <c r="G64" s="157"/>
      <c r="H64" s="157"/>
      <c r="I64" s="157"/>
      <c r="J64" s="157"/>
      <c r="K64" s="157"/>
    </row>
    <row r="65" spans="1:11" ht="15.5" x14ac:dyDescent="0.35">
      <c r="A65">
        <v>1</v>
      </c>
      <c r="B65" s="157" t="s">
        <v>358</v>
      </c>
      <c r="C65" s="157"/>
      <c r="D65" s="157"/>
      <c r="E65" s="157"/>
      <c r="F65" s="157"/>
      <c r="G65" s="157"/>
      <c r="H65" s="157"/>
      <c r="I65" s="157"/>
      <c r="J65" s="157"/>
      <c r="K65" s="157"/>
    </row>
    <row r="66" spans="1:11" ht="15.5" x14ac:dyDescent="0.35">
      <c r="B66" s="157" t="s">
        <v>359</v>
      </c>
      <c r="C66" s="157"/>
      <c r="D66" s="157"/>
      <c r="E66" s="157"/>
      <c r="F66" s="157"/>
      <c r="G66" s="157"/>
      <c r="H66" s="157"/>
      <c r="I66" s="157"/>
      <c r="J66" s="157"/>
      <c r="K66" s="157"/>
    </row>
    <row r="67" spans="1:11" ht="15.5" x14ac:dyDescent="0.35">
      <c r="A67">
        <v>2</v>
      </c>
      <c r="B67" s="157" t="s">
        <v>360</v>
      </c>
      <c r="C67" s="157"/>
      <c r="D67" s="157"/>
      <c r="E67" s="157"/>
      <c r="F67" s="157"/>
      <c r="G67" s="157"/>
      <c r="H67" s="157"/>
      <c r="I67" s="157"/>
      <c r="J67" s="157"/>
      <c r="K67" s="157"/>
    </row>
    <row r="68" spans="1:11" ht="15.5" x14ac:dyDescent="0.35">
      <c r="A68">
        <v>3</v>
      </c>
      <c r="B68" s="157" t="s">
        <v>361</v>
      </c>
      <c r="C68" s="157"/>
      <c r="D68" s="157"/>
      <c r="E68" s="157"/>
      <c r="F68" s="157"/>
      <c r="G68" s="157"/>
      <c r="H68" s="157"/>
      <c r="I68" s="157"/>
      <c r="J68" s="157"/>
      <c r="K68" s="157"/>
    </row>
    <row r="69" spans="1:11" ht="15.5" x14ac:dyDescent="0.35">
      <c r="B69" s="157" t="s">
        <v>362</v>
      </c>
      <c r="C69" s="157"/>
      <c r="D69" s="157"/>
      <c r="E69" s="157"/>
      <c r="F69" s="157"/>
      <c r="G69" s="157"/>
      <c r="H69" s="157"/>
      <c r="I69" s="157"/>
      <c r="J69" s="157"/>
      <c r="K69" s="157"/>
    </row>
    <row r="70" spans="1:11" ht="15.5" x14ac:dyDescent="0.35">
      <c r="B70" s="157" t="s">
        <v>363</v>
      </c>
      <c r="C70" s="157"/>
      <c r="D70" s="157"/>
      <c r="E70" s="157"/>
      <c r="F70" s="157"/>
      <c r="G70" s="157"/>
      <c r="H70" s="157"/>
      <c r="I70" s="157"/>
      <c r="J70" s="157"/>
      <c r="K70" s="157"/>
    </row>
  </sheetData>
  <sheetProtection selectLockedCells="1" selectUnlockedCells="1"/>
  <mergeCells count="4">
    <mergeCell ref="A1:M1"/>
    <mergeCell ref="A2:M2"/>
    <mergeCell ref="A6:M6"/>
    <mergeCell ref="A8:H8"/>
  </mergeCells>
  <pageMargins left="0.65972222222222221" right="0.20972222222222223" top="0.65" bottom="1" header="0.51180555555555562" footer="0.51180555555555562"/>
  <pageSetup scale="64" firstPageNumber="0" orientation="portrait" horizontalDpi="300" verticalDpi="300" r:id="rId1"/>
  <headerFooter alignWithMargins="0"/>
  <rowBreaks count="1" manualBreakCount="1">
    <brk id="70"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50"/>
  <sheetViews>
    <sheetView showGridLines="0" topLeftCell="A13" workbookViewId="0">
      <selection activeCell="M28" sqref="M28:CR28"/>
    </sheetView>
  </sheetViews>
  <sheetFormatPr defaultRowHeight="12.5" x14ac:dyDescent="0.25"/>
  <cols>
    <col min="1" max="1" width="4.1796875" customWidth="1"/>
    <col min="2" max="2" width="22.81640625" bestFit="1" customWidth="1"/>
    <col min="3" max="3" width="9.36328125" bestFit="1" customWidth="1"/>
    <col min="4" max="6" width="10.453125" bestFit="1" customWidth="1"/>
    <col min="7" max="7" width="12.6328125" bestFit="1" customWidth="1"/>
    <col min="8" max="10" width="10.453125" bestFit="1" customWidth="1"/>
    <col min="11" max="11" width="11" customWidth="1"/>
    <col min="12" max="12" width="13.90625" bestFit="1" customWidth="1"/>
    <col min="13" max="15" width="9.1796875" customWidth="1"/>
  </cols>
  <sheetData>
    <row r="1" spans="1:15" s="159" customFormat="1" ht="15.5" x14ac:dyDescent="0.35">
      <c r="A1" s="570">
        <f>intt.!A1</f>
        <v>0</v>
      </c>
      <c r="B1" s="570"/>
      <c r="C1" s="570"/>
      <c r="D1" s="570"/>
      <c r="E1" s="570"/>
      <c r="F1" s="570"/>
      <c r="G1" s="570"/>
      <c r="H1" s="570"/>
      <c r="I1" s="570"/>
      <c r="J1" s="570"/>
      <c r="K1" s="570"/>
      <c r="L1" s="570"/>
    </row>
    <row r="2" spans="1:15" s="159" customFormat="1" ht="14.25" customHeight="1" x14ac:dyDescent="0.35">
      <c r="A2" s="572">
        <f>'P&amp;L'!A2:K2</f>
        <v>0</v>
      </c>
      <c r="B2" s="572"/>
      <c r="C2" s="572"/>
      <c r="D2" s="572"/>
      <c r="E2" s="572"/>
      <c r="F2" s="572"/>
      <c r="G2" s="572"/>
      <c r="H2" s="572"/>
      <c r="I2" s="572"/>
      <c r="J2" s="572"/>
      <c r="K2" s="572"/>
      <c r="L2" s="572"/>
    </row>
    <row r="3" spans="1:15" s="159" customFormat="1" ht="14.25" customHeight="1" x14ac:dyDescent="0.35">
      <c r="A3" s="158"/>
      <c r="B3" s="156"/>
      <c r="C3" s="156"/>
      <c r="D3" s="156"/>
      <c r="E3" s="156"/>
      <c r="F3" s="156"/>
      <c r="G3" s="156"/>
      <c r="H3" s="156"/>
      <c r="I3" s="157"/>
    </row>
    <row r="4" spans="1:15" s="159" customFormat="1" ht="14.25" customHeight="1" x14ac:dyDescent="0.35">
      <c r="A4" s="570" t="s">
        <v>364</v>
      </c>
      <c r="B4" s="570"/>
      <c r="C4" s="570"/>
      <c r="D4" s="570"/>
      <c r="E4" s="570"/>
      <c r="F4" s="570"/>
      <c r="G4" s="570"/>
      <c r="H4" s="570"/>
      <c r="I4" s="570"/>
      <c r="J4" s="570"/>
      <c r="K4" s="570"/>
      <c r="L4" s="570"/>
    </row>
    <row r="5" spans="1:15" s="159" customFormat="1" ht="15.5" x14ac:dyDescent="0.35">
      <c r="A5" s="573" t="s">
        <v>365</v>
      </c>
      <c r="B5" s="573"/>
      <c r="C5" s="573"/>
      <c r="D5" s="573"/>
      <c r="E5" s="573"/>
      <c r="F5" s="573"/>
      <c r="G5" s="573"/>
      <c r="H5" s="573"/>
      <c r="I5" s="157"/>
    </row>
    <row r="6" spans="1:15" s="159" customFormat="1" ht="15.5" x14ac:dyDescent="0.35">
      <c r="A6" s="574" t="s">
        <v>366</v>
      </c>
      <c r="B6" s="574"/>
      <c r="C6" s="574"/>
      <c r="D6" s="574"/>
      <c r="E6" s="574"/>
      <c r="F6" s="574"/>
      <c r="G6" s="574"/>
      <c r="H6" s="574"/>
      <c r="I6" s="157"/>
    </row>
    <row r="7" spans="1:15" s="159" customFormat="1" ht="15.5" x14ac:dyDescent="0.35">
      <c r="A7" s="157"/>
      <c r="B7" s="157"/>
      <c r="C7" s="157"/>
      <c r="D7" s="157"/>
      <c r="E7" s="157"/>
      <c r="F7" s="157"/>
      <c r="G7" s="128" t="s">
        <v>286</v>
      </c>
      <c r="H7" s="157"/>
      <c r="I7" s="157"/>
    </row>
    <row r="8" spans="1:15" s="159" customFormat="1" ht="15.5" x14ac:dyDescent="0.35">
      <c r="A8" s="186"/>
      <c r="B8" s="162" t="s">
        <v>61</v>
      </c>
      <c r="C8" s="164" t="s">
        <v>4</v>
      </c>
      <c r="D8" s="164" t="s">
        <v>6</v>
      </c>
      <c r="E8" s="164" t="s">
        <v>8</v>
      </c>
      <c r="F8" s="164" t="s">
        <v>10</v>
      </c>
      <c r="G8" s="164" t="s">
        <v>12</v>
      </c>
      <c r="H8" s="164" t="s">
        <v>14</v>
      </c>
      <c r="I8" s="164" t="s">
        <v>23</v>
      </c>
      <c r="J8" s="187" t="s">
        <v>25</v>
      </c>
      <c r="K8" s="187" t="s">
        <v>39</v>
      </c>
      <c r="L8" s="187" t="s">
        <v>40</v>
      </c>
    </row>
    <row r="9" spans="1:15" s="159" customFormat="1" ht="15.5" x14ac:dyDescent="0.35">
      <c r="A9" s="173"/>
      <c r="B9" s="157"/>
      <c r="C9" s="167"/>
      <c r="D9" s="167"/>
      <c r="E9" s="167"/>
      <c r="F9" s="167"/>
      <c r="G9" s="169"/>
      <c r="H9" s="167"/>
      <c r="I9" s="167"/>
      <c r="J9" s="188"/>
      <c r="K9" s="188"/>
      <c r="L9" s="188"/>
    </row>
    <row r="10" spans="1:15" s="159" customFormat="1" ht="15.5" x14ac:dyDescent="0.35">
      <c r="A10" s="173" t="s">
        <v>367</v>
      </c>
      <c r="B10" s="170" t="s">
        <v>368</v>
      </c>
      <c r="C10" s="167"/>
      <c r="D10" s="167"/>
      <c r="E10" s="167"/>
      <c r="F10" s="167"/>
      <c r="G10" s="167"/>
      <c r="H10" s="167"/>
      <c r="I10" s="167"/>
      <c r="J10" s="188"/>
      <c r="K10" s="188"/>
      <c r="L10" s="188"/>
    </row>
    <row r="11" spans="1:15" s="159" customFormat="1" ht="15.5" x14ac:dyDescent="0.35">
      <c r="A11" s="173"/>
      <c r="B11" s="157" t="s">
        <v>369</v>
      </c>
      <c r="C11" s="171">
        <f>Capital!D20+Capital!D35+Capital!D50+Capital!D65</f>
        <v>64166.808875000002</v>
      </c>
      <c r="D11" s="171">
        <f>Capital!E20+Capital!E35+Capital!E50+Capital!E65</f>
        <v>117378.96561725</v>
      </c>
      <c r="E11" s="171">
        <f>Capital!F20+Capital!F35+Capital!F50+Capital!F65</f>
        <v>163885.30650224979</v>
      </c>
      <c r="F11" s="171">
        <f>Capital!G20+Capital!G35+Capital!G50+Capital!G65</f>
        <v>214946.32172289005</v>
      </c>
      <c r="G11" s="171">
        <f>Capital!H20+Capital!H35+Capital!H50+Capital!H65</f>
        <v>280894.6052754696</v>
      </c>
      <c r="H11" s="171">
        <f>Capital!I20+Capital!I35+Capital!I50+Capital!I65</f>
        <v>352871.01047960622</v>
      </c>
      <c r="I11" s="171">
        <f>Capital!J20+Capital!J35+Capital!J50+Capital!J65</f>
        <v>436764.49081317679</v>
      </c>
      <c r="J11" s="171">
        <f>Capital!K20+Capital!K35+Capital!K50+Capital!K65</f>
        <v>527944.73960275459</v>
      </c>
      <c r="K11" s="171">
        <f>Capital!L20+Capital!L35+Capital!L50+Capital!L65</f>
        <v>632792.56306594331</v>
      </c>
      <c r="L11" s="171">
        <f>Capital!M20+Capital!M35+Capital!M50+Capital!M65</f>
        <v>746294.83518859465</v>
      </c>
    </row>
    <row r="12" spans="1:15" s="159" customFormat="1" ht="15.5" x14ac:dyDescent="0.35">
      <c r="A12" s="173"/>
      <c r="B12" s="157" t="s">
        <v>370</v>
      </c>
      <c r="C12" s="171"/>
      <c r="D12" s="171"/>
      <c r="E12" s="171"/>
      <c r="F12" s="171"/>
      <c r="G12" s="171"/>
      <c r="H12" s="171"/>
      <c r="I12" s="167"/>
      <c r="J12" s="188"/>
      <c r="K12" s="188"/>
      <c r="L12" s="188"/>
    </row>
    <row r="13" spans="1:15" s="159" customFormat="1" ht="15.5" x14ac:dyDescent="0.35">
      <c r="A13" s="173"/>
      <c r="B13" s="157"/>
      <c r="C13" s="171"/>
      <c r="D13" s="171"/>
      <c r="E13" s="171"/>
      <c r="F13" s="171"/>
      <c r="G13" s="171"/>
      <c r="H13" s="171"/>
      <c r="I13" s="167"/>
      <c r="J13" s="188"/>
      <c r="K13" s="188"/>
      <c r="L13" s="188"/>
    </row>
    <row r="14" spans="1:15" s="159" customFormat="1" ht="15.5" x14ac:dyDescent="0.35">
      <c r="A14" s="173"/>
      <c r="B14" s="170" t="s">
        <v>371</v>
      </c>
      <c r="C14" s="167"/>
      <c r="D14" s="167"/>
      <c r="E14" s="167"/>
      <c r="F14" s="167"/>
      <c r="G14" s="167"/>
      <c r="H14" s="171"/>
      <c r="I14" s="167"/>
      <c r="J14" s="188"/>
      <c r="K14" s="188"/>
      <c r="L14" s="188"/>
    </row>
    <row r="15" spans="1:15" s="159" customFormat="1" ht="15.5" x14ac:dyDescent="0.35">
      <c r="A15" s="173"/>
      <c r="B15" s="157" t="s">
        <v>269</v>
      </c>
      <c r="C15" s="171">
        <f>intt.!I39/100000</f>
        <v>8000</v>
      </c>
      <c r="D15" s="171">
        <f>intt.!I55/100000</f>
        <v>7940</v>
      </c>
      <c r="E15" s="171">
        <f>intt.!I70/100000</f>
        <v>7868</v>
      </c>
      <c r="F15" s="171">
        <f>intt.!I85/100000</f>
        <v>7790</v>
      </c>
      <c r="G15" s="171">
        <f>intt.!I100/100000</f>
        <v>7706</v>
      </c>
      <c r="H15" s="171">
        <f>intt.!I115/100000</f>
        <v>7616</v>
      </c>
      <c r="I15" s="171">
        <f>intt.!I130/100000</f>
        <v>7520</v>
      </c>
      <c r="J15" s="171">
        <f>intt.!I145/100000</f>
        <v>7418</v>
      </c>
      <c r="K15" s="171">
        <f>intt.!I160/100000</f>
        <v>7310</v>
      </c>
      <c r="L15" s="171">
        <f>intt.!I176/100000</f>
        <v>7200</v>
      </c>
    </row>
    <row r="16" spans="1:15" s="159" customFormat="1" ht="15.5" x14ac:dyDescent="0.35">
      <c r="A16" s="173"/>
      <c r="B16" s="170"/>
      <c r="C16" s="171"/>
      <c r="D16" s="171"/>
      <c r="E16" s="171"/>
      <c r="F16" s="171"/>
      <c r="G16" s="171"/>
      <c r="H16" s="171"/>
      <c r="I16" s="167"/>
      <c r="J16" s="188"/>
      <c r="K16" s="188"/>
      <c r="L16" s="188"/>
      <c r="N16" s="175"/>
      <c r="O16" s="175"/>
    </row>
    <row r="17" spans="1:15" s="159" customFormat="1" ht="15.5" x14ac:dyDescent="0.35">
      <c r="A17" s="173"/>
      <c r="B17" s="157" t="s">
        <v>372</v>
      </c>
      <c r="C17" s="171">
        <v>100</v>
      </c>
      <c r="D17" s="171">
        <v>100</v>
      </c>
      <c r="E17" s="171">
        <v>100</v>
      </c>
      <c r="F17" s="171">
        <v>100</v>
      </c>
      <c r="G17" s="171">
        <v>100</v>
      </c>
      <c r="H17" s="171">
        <v>100</v>
      </c>
      <c r="I17" s="171">
        <v>100</v>
      </c>
      <c r="J17" s="171">
        <v>100</v>
      </c>
      <c r="K17" s="171">
        <v>100</v>
      </c>
      <c r="L17" s="171">
        <v>100</v>
      </c>
    </row>
    <row r="18" spans="1:15" s="159" customFormat="1" ht="15.5" x14ac:dyDescent="0.35">
      <c r="A18" s="173"/>
      <c r="B18" s="521" t="s">
        <v>292</v>
      </c>
      <c r="C18" s="522">
        <f t="shared" ref="C18:L18" si="0">SUM(C11:C17)</f>
        <v>72266.808875000002</v>
      </c>
      <c r="D18" s="522">
        <f t="shared" si="0"/>
        <v>125418.96561725</v>
      </c>
      <c r="E18" s="522">
        <f t="shared" si="0"/>
        <v>171853.30650224979</v>
      </c>
      <c r="F18" s="522">
        <f t="shared" si="0"/>
        <v>222836.32172289005</v>
      </c>
      <c r="G18" s="522">
        <f t="shared" si="0"/>
        <v>288700.6052754696</v>
      </c>
      <c r="H18" s="522">
        <f t="shared" si="0"/>
        <v>360587.01047960622</v>
      </c>
      <c r="I18" s="522">
        <f t="shared" si="0"/>
        <v>444384.49081317679</v>
      </c>
      <c r="J18" s="522">
        <f t="shared" si="0"/>
        <v>535462.73960275459</v>
      </c>
      <c r="K18" s="522">
        <f t="shared" si="0"/>
        <v>640202.56306594331</v>
      </c>
      <c r="L18" s="522">
        <f t="shared" si="0"/>
        <v>753594.83518859465</v>
      </c>
      <c r="O18" s="175"/>
    </row>
    <row r="19" spans="1:15" s="159" customFormat="1" ht="15.5" x14ac:dyDescent="0.35">
      <c r="A19" s="173"/>
      <c r="B19" s="157"/>
      <c r="C19" s="167"/>
      <c r="D19" s="167"/>
      <c r="E19" s="167"/>
      <c r="F19" s="167"/>
      <c r="G19" s="167"/>
      <c r="H19" s="167"/>
      <c r="I19" s="167"/>
      <c r="J19" s="188"/>
      <c r="K19" s="188"/>
      <c r="L19" s="188"/>
      <c r="O19" s="175"/>
    </row>
    <row r="20" spans="1:15" s="159" customFormat="1" ht="15.5" x14ac:dyDescent="0.35">
      <c r="A20" s="173" t="s">
        <v>373</v>
      </c>
      <c r="B20" s="170" t="s">
        <v>374</v>
      </c>
      <c r="C20" s="167"/>
      <c r="D20" s="167"/>
      <c r="E20" s="167"/>
      <c r="F20" s="167"/>
      <c r="G20" s="167"/>
      <c r="H20" s="167"/>
      <c r="I20" s="167"/>
      <c r="J20" s="188"/>
      <c r="K20" s="188"/>
      <c r="L20" s="188"/>
      <c r="O20" s="175"/>
    </row>
    <row r="21" spans="1:15" s="159" customFormat="1" ht="15.5" x14ac:dyDescent="0.35">
      <c r="A21" s="173"/>
      <c r="B21" s="157"/>
      <c r="C21" s="167"/>
      <c r="D21" s="167"/>
      <c r="E21" s="167"/>
      <c r="F21" s="167"/>
      <c r="G21" s="167"/>
      <c r="H21" s="167"/>
      <c r="I21" s="167"/>
      <c r="J21" s="188"/>
      <c r="K21" s="188"/>
      <c r="L21" s="188"/>
    </row>
    <row r="22" spans="1:15" s="159" customFormat="1" ht="15.5" x14ac:dyDescent="0.35">
      <c r="A22" s="173"/>
      <c r="B22" s="157" t="s">
        <v>375</v>
      </c>
      <c r="C22" s="171">
        <f>Dep!F16</f>
        <v>27226</v>
      </c>
      <c r="D22" s="171">
        <f>C22</f>
        <v>27226</v>
      </c>
      <c r="E22" s="171">
        <f t="shared" ref="E22:J22" si="1">D22</f>
        <v>27226</v>
      </c>
      <c r="F22" s="171">
        <f t="shared" si="1"/>
        <v>27226</v>
      </c>
      <c r="G22" s="171">
        <f t="shared" si="1"/>
        <v>27226</v>
      </c>
      <c r="H22" s="171">
        <f>Dep!F16</f>
        <v>27226</v>
      </c>
      <c r="I22" s="171">
        <f>H22</f>
        <v>27226</v>
      </c>
      <c r="J22" s="171">
        <f t="shared" si="1"/>
        <v>27226</v>
      </c>
      <c r="K22" s="171">
        <f>J22</f>
        <v>27226</v>
      </c>
      <c r="L22" s="171">
        <f>K22</f>
        <v>27226</v>
      </c>
    </row>
    <row r="23" spans="1:15" s="159" customFormat="1" ht="15.5" x14ac:dyDescent="0.35">
      <c r="A23" s="173"/>
      <c r="B23" s="157" t="s">
        <v>376</v>
      </c>
      <c r="C23" s="189">
        <f>Dep!G16</f>
        <v>4406.8711489999996</v>
      </c>
      <c r="D23" s="189">
        <f>C23+(Dep!G24)</f>
        <v>8011.6871157499991</v>
      </c>
      <c r="E23" s="189">
        <f>D23+(Dep!G33)</f>
        <v>10992.349586577498</v>
      </c>
      <c r="F23" s="189">
        <f>E23+(Dep!G42)</f>
        <v>13476.919270761873</v>
      </c>
      <c r="G23" s="189">
        <f>F23+(Dep!G51)</f>
        <v>15560.366172781492</v>
      </c>
      <c r="H23" s="189">
        <f>G23+(Dep!G60)</f>
        <v>17315.096489842777</v>
      </c>
      <c r="I23" s="189">
        <f>H23+(Dep!G69)</f>
        <v>18797.67409281182</v>
      </c>
      <c r="J23" s="189">
        <f>I23+(Dep!G78)</f>
        <v>20053.198062349838</v>
      </c>
      <c r="K23" s="189">
        <f>J23+Dep!G86</f>
        <v>21118.222256906505</v>
      </c>
      <c r="L23" s="189">
        <f>K23+Dep!G94</f>
        <v>22022.756229165952</v>
      </c>
    </row>
    <row r="24" spans="1:15" s="159" customFormat="1" ht="15.5" x14ac:dyDescent="0.35">
      <c r="A24" s="173"/>
      <c r="B24" s="157" t="s">
        <v>377</v>
      </c>
      <c r="C24" s="171">
        <f t="shared" ref="C24:J24" si="2">SUM(C22-C23)</f>
        <v>22819.128851000001</v>
      </c>
      <c r="D24" s="171">
        <f t="shared" si="2"/>
        <v>19214.312884250001</v>
      </c>
      <c r="E24" s="171">
        <f t="shared" si="2"/>
        <v>16233.650413422502</v>
      </c>
      <c r="F24" s="171">
        <f t="shared" si="2"/>
        <v>13749.080729238127</v>
      </c>
      <c r="G24" s="171">
        <f t="shared" si="2"/>
        <v>11665.633827218508</v>
      </c>
      <c r="H24" s="171">
        <f t="shared" si="2"/>
        <v>9910.9035101572226</v>
      </c>
      <c r="I24" s="171">
        <f t="shared" si="2"/>
        <v>8428.3259071881803</v>
      </c>
      <c r="J24" s="171">
        <f t="shared" si="2"/>
        <v>7172.8019376501616</v>
      </c>
      <c r="K24" s="171">
        <f>SUM(K22-K23)</f>
        <v>6107.7777430934948</v>
      </c>
      <c r="L24" s="171">
        <f>SUM(L22-L23)</f>
        <v>5203.2437708340476</v>
      </c>
    </row>
    <row r="25" spans="1:15" s="159" customFormat="1" ht="15.5" x14ac:dyDescent="0.35">
      <c r="A25" s="173"/>
      <c r="B25" s="157"/>
      <c r="C25" s="171"/>
      <c r="D25" s="171"/>
      <c r="E25" s="171"/>
      <c r="F25" s="171"/>
      <c r="G25" s="171"/>
      <c r="H25" s="171"/>
      <c r="I25" s="171"/>
      <c r="J25" s="190"/>
      <c r="K25" s="190"/>
      <c r="L25" s="190"/>
    </row>
    <row r="26" spans="1:15" s="159" customFormat="1" ht="15.5" x14ac:dyDescent="0.35">
      <c r="A26" s="173"/>
      <c r="B26" s="157" t="s">
        <v>378</v>
      </c>
      <c r="C26" s="171">
        <f>15000000/100000</f>
        <v>150</v>
      </c>
      <c r="D26" s="171">
        <f t="shared" ref="D26:L26" si="3">15000000/100000</f>
        <v>150</v>
      </c>
      <c r="E26" s="171">
        <f t="shared" si="3"/>
        <v>150</v>
      </c>
      <c r="F26" s="171">
        <f t="shared" si="3"/>
        <v>150</v>
      </c>
      <c r="G26" s="171">
        <f t="shared" si="3"/>
        <v>150</v>
      </c>
      <c r="H26" s="171">
        <f t="shared" si="3"/>
        <v>150</v>
      </c>
      <c r="I26" s="171">
        <f t="shared" si="3"/>
        <v>150</v>
      </c>
      <c r="J26" s="171">
        <f t="shared" si="3"/>
        <v>150</v>
      </c>
      <c r="K26" s="171">
        <f t="shared" si="3"/>
        <v>150</v>
      </c>
      <c r="L26" s="171">
        <f t="shared" si="3"/>
        <v>150</v>
      </c>
    </row>
    <row r="27" spans="1:15" s="159" customFormat="1" ht="15.5" x14ac:dyDescent="0.35">
      <c r="A27" s="173"/>
      <c r="B27" s="157"/>
      <c r="C27" s="171"/>
      <c r="D27" s="171"/>
      <c r="E27" s="171"/>
      <c r="F27" s="171"/>
      <c r="G27" s="171"/>
      <c r="H27" s="171"/>
      <c r="I27" s="171"/>
      <c r="J27" s="190"/>
      <c r="K27" s="190"/>
      <c r="L27" s="190"/>
    </row>
    <row r="28" spans="1:15" s="159" customFormat="1" ht="15.5" x14ac:dyDescent="0.35">
      <c r="A28" s="173"/>
      <c r="B28" s="170" t="s">
        <v>379</v>
      </c>
      <c r="C28" s="171"/>
      <c r="D28" s="171"/>
      <c r="E28" s="171"/>
      <c r="F28" s="171"/>
      <c r="G28" s="171"/>
      <c r="H28" s="171"/>
      <c r="I28" s="167"/>
      <c r="J28" s="188"/>
      <c r="K28" s="188"/>
      <c r="L28" s="188"/>
    </row>
    <row r="29" spans="1:15" s="159" customFormat="1" ht="15.5" x14ac:dyDescent="0.35">
      <c r="A29" s="173"/>
      <c r="B29" s="157" t="s">
        <v>380</v>
      </c>
      <c r="C29" s="171">
        <f>'P&amp;L'!D23</f>
        <v>150</v>
      </c>
      <c r="D29" s="171">
        <f>'P&amp;L'!E23</f>
        <v>157.5</v>
      </c>
      <c r="E29" s="171">
        <f>'P&amp;L'!F23</f>
        <v>149.625</v>
      </c>
      <c r="F29" s="171">
        <f>'P&amp;L'!G23</f>
        <v>157.10625000000002</v>
      </c>
      <c r="G29" s="171">
        <f>'P&amp;L'!H23</f>
        <v>149.25093750000002</v>
      </c>
      <c r="H29" s="171">
        <f>'P&amp;L'!I23</f>
        <v>156.71348437500004</v>
      </c>
      <c r="I29" s="171">
        <f>'P&amp;L'!J23</f>
        <v>148.87781015625004</v>
      </c>
      <c r="J29" s="171">
        <f>'P&amp;L'!K23</f>
        <v>156.32170066406255</v>
      </c>
      <c r="K29" s="171">
        <f>'P&amp;L'!L23</f>
        <v>148.50561563085941</v>
      </c>
      <c r="L29" s="171">
        <f>'P&amp;L'!M23</f>
        <v>155.93089641240238</v>
      </c>
    </row>
    <row r="30" spans="1:15" s="159" customFormat="1" ht="15.5" x14ac:dyDescent="0.35">
      <c r="A30" s="173"/>
      <c r="B30" s="157"/>
      <c r="C30" s="171"/>
      <c r="D30" s="171"/>
      <c r="E30" s="171"/>
      <c r="F30" s="171"/>
      <c r="G30" s="171"/>
      <c r="H30" s="171"/>
      <c r="I30" s="167"/>
      <c r="J30" s="188"/>
      <c r="K30" s="188"/>
      <c r="L30" s="188"/>
    </row>
    <row r="31" spans="1:15" s="364" customFormat="1" ht="15.5" x14ac:dyDescent="0.35">
      <c r="A31" s="362"/>
      <c r="B31" s="352" t="s">
        <v>381</v>
      </c>
      <c r="C31" s="363">
        <f>'P&amp;L'!D57</f>
        <v>48490.48</v>
      </c>
      <c r="D31" s="363">
        <f>'P&amp;L'!E57</f>
        <v>57745.871464999997</v>
      </c>
      <c r="E31" s="363">
        <f>'P&amp;L'!F57</f>
        <v>36243.515937757293</v>
      </c>
      <c r="F31" s="363">
        <f>'P&amp;L'!G57</f>
        <v>34753.450500554674</v>
      </c>
      <c r="G31" s="363">
        <f>'P&amp;L'!H57</f>
        <v>42943.755103852367</v>
      </c>
      <c r="H31" s="363">
        <f>'P&amp;L'!I57</f>
        <v>40672.41401814155</v>
      </c>
      <c r="I31" s="363">
        <f>'P&amp;L'!J57</f>
        <v>43610.382678986869</v>
      </c>
      <c r="J31" s="363">
        <f>'P&amp;L'!K57</f>
        <v>40632.461741534629</v>
      </c>
      <c r="K31" s="363">
        <f>'P&amp;L'!L57</f>
        <v>43176.8556454149</v>
      </c>
      <c r="L31" s="363">
        <f>'P&amp;L'!M57</f>
        <v>39097.594236997524</v>
      </c>
    </row>
    <row r="32" spans="1:15" s="159" customFormat="1" ht="15.5" x14ac:dyDescent="0.35">
      <c r="A32" s="173"/>
      <c r="B32" s="157"/>
      <c r="C32" s="171"/>
      <c r="D32" s="167"/>
      <c r="E32" s="167"/>
      <c r="F32" s="167"/>
      <c r="G32" s="171"/>
      <c r="H32" s="167"/>
      <c r="I32" s="167"/>
      <c r="J32" s="167"/>
      <c r="K32" s="167"/>
      <c r="L32" s="167"/>
    </row>
    <row r="33" spans="1:14" s="159" customFormat="1" ht="15.5" x14ac:dyDescent="0.35">
      <c r="A33" s="173"/>
      <c r="B33" s="157" t="s">
        <v>382</v>
      </c>
      <c r="C33" s="171">
        <f>'pc&amp;mf'!E30-'P&amp;L'!D53</f>
        <v>351.19998399999997</v>
      </c>
      <c r="D33" s="171">
        <f>C33-'P&amp;L'!E53</f>
        <v>263.39998800000001</v>
      </c>
      <c r="E33" s="171">
        <f>D33-'P&amp;L'!F53</f>
        <v>175.59999200000001</v>
      </c>
      <c r="F33" s="171">
        <f>E33-'P&amp;L'!G53</f>
        <v>87.799996000000021</v>
      </c>
      <c r="G33" s="171">
        <f>F33-'P&amp;L'!H53</f>
        <v>0</v>
      </c>
      <c r="H33" s="171">
        <v>0</v>
      </c>
      <c r="I33" s="171">
        <v>0</v>
      </c>
      <c r="J33" s="171">
        <v>0</v>
      </c>
      <c r="K33" s="171">
        <v>0</v>
      </c>
      <c r="L33" s="171">
        <v>0</v>
      </c>
    </row>
    <row r="34" spans="1:14" s="159" customFormat="1" ht="15.5" x14ac:dyDescent="0.35">
      <c r="A34" s="173"/>
      <c r="B34" s="157" t="s">
        <v>383</v>
      </c>
      <c r="C34" s="167"/>
      <c r="D34" s="167"/>
      <c r="E34" s="167"/>
      <c r="F34" s="167"/>
      <c r="G34" s="167"/>
      <c r="H34" s="167"/>
      <c r="I34" s="167"/>
      <c r="J34" s="188"/>
      <c r="K34" s="188"/>
      <c r="L34" s="188"/>
    </row>
    <row r="35" spans="1:14" s="159" customFormat="1" ht="15.5" x14ac:dyDescent="0.35">
      <c r="A35" s="173"/>
      <c r="B35" s="157" t="s">
        <v>447</v>
      </c>
      <c r="C35" s="171">
        <f>C18-C43</f>
        <v>306.00003999999899</v>
      </c>
      <c r="D35" s="171">
        <f t="shared" ref="D35:L35" si="4">D18-D43</f>
        <v>47887.881280000001</v>
      </c>
      <c r="E35" s="171">
        <f t="shared" si="4"/>
        <v>118900.91515906999</v>
      </c>
      <c r="F35" s="171">
        <f t="shared" si="4"/>
        <v>173938.88424709724</v>
      </c>
      <c r="G35" s="171">
        <f t="shared" si="4"/>
        <v>233791.96540689873</v>
      </c>
      <c r="H35" s="171">
        <f t="shared" si="4"/>
        <v>309696.97946693248</v>
      </c>
      <c r="I35" s="171">
        <f t="shared" si="4"/>
        <v>392046.90441684547</v>
      </c>
      <c r="J35" s="171">
        <f t="shared" si="4"/>
        <v>487351.15422290575</v>
      </c>
      <c r="K35" s="171">
        <f t="shared" si="4"/>
        <v>590619.42406180408</v>
      </c>
      <c r="L35" s="171">
        <f t="shared" si="4"/>
        <v>708988.0662843507</v>
      </c>
    </row>
    <row r="36" spans="1:14" s="159" customFormat="1" ht="15.5" x14ac:dyDescent="0.35">
      <c r="A36" s="173"/>
      <c r="B36" s="521" t="s">
        <v>292</v>
      </c>
      <c r="C36" s="522">
        <f>SUM(C24:C35)</f>
        <v>72266.808875000002</v>
      </c>
      <c r="D36" s="522">
        <f t="shared" ref="D36:L36" si="5">SUM(D24:D35)</f>
        <v>125418.96561725</v>
      </c>
      <c r="E36" s="522">
        <f t="shared" si="5"/>
        <v>171853.30650224979</v>
      </c>
      <c r="F36" s="522">
        <f t="shared" si="5"/>
        <v>222836.32172289005</v>
      </c>
      <c r="G36" s="522">
        <f t="shared" si="5"/>
        <v>288700.6052754696</v>
      </c>
      <c r="H36" s="522">
        <f t="shared" si="5"/>
        <v>360587.01047960622</v>
      </c>
      <c r="I36" s="522">
        <f t="shared" si="5"/>
        <v>444384.49081317679</v>
      </c>
      <c r="J36" s="522">
        <f t="shared" si="5"/>
        <v>535462.73960275459</v>
      </c>
      <c r="K36" s="522">
        <f t="shared" si="5"/>
        <v>640202.56306594331</v>
      </c>
      <c r="L36" s="522">
        <f t="shared" si="5"/>
        <v>753594.83518859465</v>
      </c>
      <c r="M36" s="159" t="s">
        <v>384</v>
      </c>
      <c r="N36" s="157"/>
    </row>
    <row r="37" spans="1:14" s="159" customFormat="1" ht="15.5" x14ac:dyDescent="0.35">
      <c r="A37" s="191"/>
      <c r="B37" s="183"/>
      <c r="C37" s="192"/>
      <c r="D37" s="192"/>
      <c r="E37" s="192"/>
      <c r="F37" s="192"/>
      <c r="G37" s="192"/>
      <c r="H37" s="192"/>
      <c r="I37" s="192"/>
      <c r="J37" s="193"/>
      <c r="K37" s="193"/>
      <c r="L37" s="193"/>
      <c r="M37" s="175">
        <f>C11-C33</f>
        <v>63815.608891000003</v>
      </c>
    </row>
    <row r="38" spans="1:14" s="159" customFormat="1" ht="15.5" x14ac:dyDescent="0.35">
      <c r="A38" s="157"/>
      <c r="B38" s="157" t="s">
        <v>384</v>
      </c>
      <c r="C38" s="172"/>
      <c r="D38" s="172"/>
      <c r="E38" s="172"/>
      <c r="F38" s="172"/>
      <c r="G38" s="172"/>
      <c r="H38" s="172"/>
      <c r="I38" s="172"/>
      <c r="J38" s="172"/>
      <c r="K38" s="172"/>
      <c r="L38" s="172"/>
    </row>
    <row r="39" spans="1:14" s="159" customFormat="1" ht="15.5" x14ac:dyDescent="0.35">
      <c r="A39" s="157"/>
      <c r="B39" s="157"/>
      <c r="C39" s="172"/>
      <c r="D39" s="172"/>
      <c r="E39" s="172"/>
      <c r="F39" s="172"/>
      <c r="G39" s="172"/>
      <c r="H39" s="172"/>
      <c r="I39" s="172"/>
      <c r="J39" s="172"/>
      <c r="K39" s="172"/>
      <c r="L39" s="172"/>
    </row>
    <row r="40" spans="1:14" s="159" customFormat="1" ht="15.5" x14ac:dyDescent="0.35">
      <c r="A40" s="157"/>
      <c r="B40" s="157"/>
      <c r="C40" s="175">
        <f>C18-C36</f>
        <v>0</v>
      </c>
      <c r="D40" s="175">
        <f t="shared" ref="D40:L40" si="6">D18-D36</f>
        <v>0</v>
      </c>
      <c r="E40" s="175">
        <f t="shared" si="6"/>
        <v>0</v>
      </c>
      <c r="F40" s="175">
        <f t="shared" si="6"/>
        <v>0</v>
      </c>
      <c r="G40" s="175">
        <f t="shared" si="6"/>
        <v>0</v>
      </c>
      <c r="H40" s="175">
        <f t="shared" si="6"/>
        <v>0</v>
      </c>
      <c r="I40" s="175">
        <f t="shared" si="6"/>
        <v>0</v>
      </c>
      <c r="J40" s="175">
        <f t="shared" si="6"/>
        <v>0</v>
      </c>
      <c r="K40" s="175">
        <f t="shared" si="6"/>
        <v>0</v>
      </c>
      <c r="L40" s="175">
        <f t="shared" si="6"/>
        <v>0</v>
      </c>
    </row>
    <row r="41" spans="1:14" s="159" customFormat="1" ht="15.5" x14ac:dyDescent="0.35">
      <c r="A41" s="157"/>
      <c r="B41" s="157" t="s">
        <v>385</v>
      </c>
      <c r="C41" s="172"/>
      <c r="D41" s="172"/>
      <c r="E41" s="172"/>
      <c r="F41" s="172"/>
      <c r="G41" s="172"/>
      <c r="H41" s="172"/>
      <c r="I41" s="172"/>
      <c r="J41" s="172"/>
      <c r="K41" s="172"/>
      <c r="L41" s="172"/>
    </row>
    <row r="42" spans="1:14" s="159" customFormat="1" ht="15.5" x14ac:dyDescent="0.35">
      <c r="A42" s="157"/>
      <c r="B42" s="157"/>
      <c r="C42" s="172">
        <f>C18-C36</f>
        <v>0</v>
      </c>
      <c r="D42" s="172"/>
      <c r="E42" s="172"/>
      <c r="F42" s="172"/>
      <c r="G42" s="172"/>
      <c r="H42" s="157"/>
      <c r="I42" s="157"/>
    </row>
    <row r="43" spans="1:14" s="159" customFormat="1" ht="15.5" x14ac:dyDescent="0.35">
      <c r="A43" s="157"/>
      <c r="B43" s="157"/>
      <c r="C43" s="157">
        <v>71960.808835000003</v>
      </c>
      <c r="D43" s="157">
        <v>77531.084337249995</v>
      </c>
      <c r="E43" s="157">
        <v>52952.391343179799</v>
      </c>
      <c r="F43" s="157">
        <v>48897.437475792802</v>
      </c>
      <c r="G43" s="157">
        <v>54908.639868570877</v>
      </c>
      <c r="H43" s="157">
        <v>50890.031012673775</v>
      </c>
      <c r="I43" s="157">
        <v>52337.586396331302</v>
      </c>
      <c r="J43" s="159">
        <v>48111.585379848853</v>
      </c>
      <c r="K43" s="159">
        <v>49583.139004139251</v>
      </c>
      <c r="L43" s="159">
        <v>44606.768904243974</v>
      </c>
    </row>
    <row r="44" spans="1:14" s="159" customFormat="1" ht="15.5" x14ac:dyDescent="0.35">
      <c r="A44" s="157"/>
      <c r="B44" s="157"/>
      <c r="C44" s="157"/>
      <c r="D44" s="157"/>
      <c r="E44" s="157"/>
      <c r="F44" s="157"/>
      <c r="G44" s="157"/>
      <c r="H44" s="157"/>
      <c r="I44" s="157"/>
    </row>
    <row r="45" spans="1:14" s="159" customFormat="1" ht="15.5" x14ac:dyDescent="0.35">
      <c r="A45" s="157"/>
      <c r="B45" s="157"/>
      <c r="C45" s="157"/>
      <c r="D45" s="157"/>
      <c r="E45" s="157"/>
      <c r="F45" s="157"/>
      <c r="G45" s="157"/>
      <c r="H45" s="157"/>
      <c r="I45" s="157"/>
    </row>
    <row r="46" spans="1:14" s="159" customFormat="1" ht="15.5" x14ac:dyDescent="0.35">
      <c r="A46" s="157"/>
      <c r="B46" s="157"/>
      <c r="C46" s="157"/>
      <c r="D46" s="157"/>
      <c r="E46" s="157"/>
      <c r="F46" s="157"/>
      <c r="G46" s="157"/>
      <c r="H46" s="157"/>
      <c r="I46" s="157"/>
    </row>
    <row r="47" spans="1:14" s="159" customFormat="1" ht="15.5" x14ac:dyDescent="0.35">
      <c r="A47" s="157"/>
      <c r="B47" s="157"/>
      <c r="C47" s="157"/>
      <c r="D47" s="157"/>
      <c r="E47" s="157"/>
      <c r="F47" s="157"/>
      <c r="G47" s="157"/>
      <c r="H47" s="157"/>
      <c r="I47" s="157"/>
    </row>
    <row r="48" spans="1:14" s="159" customFormat="1" ht="15.5" x14ac:dyDescent="0.35">
      <c r="A48" s="157"/>
      <c r="B48" s="157"/>
      <c r="C48" s="157"/>
      <c r="D48" s="157"/>
      <c r="E48" s="157"/>
      <c r="F48" s="157"/>
      <c r="G48" s="157"/>
      <c r="H48" s="157"/>
      <c r="I48" s="157"/>
    </row>
    <row r="49" spans="1:9" s="159" customFormat="1" ht="15.5" x14ac:dyDescent="0.35">
      <c r="A49" s="157"/>
      <c r="B49" s="157"/>
      <c r="C49" s="157"/>
      <c r="D49" s="157"/>
      <c r="E49" s="157"/>
      <c r="F49" s="157"/>
      <c r="G49" s="157"/>
      <c r="H49" s="157"/>
      <c r="I49" s="157"/>
    </row>
    <row r="50" spans="1:9" ht="15.5" x14ac:dyDescent="0.35">
      <c r="A50" s="157"/>
      <c r="B50" s="157"/>
      <c r="C50" s="157"/>
      <c r="D50" s="157"/>
      <c r="E50" s="157"/>
      <c r="F50" s="157"/>
      <c r="G50" s="157"/>
      <c r="H50" s="157"/>
      <c r="I50" s="157"/>
    </row>
  </sheetData>
  <sheetProtection selectLockedCells="1" selectUnlockedCells="1"/>
  <mergeCells count="5">
    <mergeCell ref="A1:L1"/>
    <mergeCell ref="A2:L2"/>
    <mergeCell ref="A4:L4"/>
    <mergeCell ref="A5:H5"/>
    <mergeCell ref="A6:H6"/>
  </mergeCells>
  <pageMargins left="0.62013888888888891" right="0.2" top="0.98402777777777783" bottom="0.98402777777777783" header="0.51180555555555562" footer="0.51180555555555562"/>
  <pageSetup scale="90" firstPageNumber="0" orientation="portrait" horizontalDpi="300" verticalDpi="300"/>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65"/>
  <sheetViews>
    <sheetView showGridLines="0" topLeftCell="A12" zoomScaleSheetLayoutView="100" workbookViewId="0">
      <selection activeCell="B54" sqref="B54"/>
    </sheetView>
  </sheetViews>
  <sheetFormatPr defaultColWidth="9.81640625" defaultRowHeight="12.5" x14ac:dyDescent="0.25"/>
  <cols>
    <col min="1" max="1" width="25.1796875" style="194" customWidth="1"/>
    <col min="2" max="2" width="1.1796875" style="194" customWidth="1"/>
    <col min="3" max="3" width="0" style="194" hidden="1" customWidth="1"/>
    <col min="4" max="4" width="9.08984375" style="194" bestFit="1" customWidth="1"/>
    <col min="5" max="7" width="8.90625" style="194" bestFit="1" customWidth="1"/>
    <col min="8" max="8" width="9.08984375" style="194" bestFit="1" customWidth="1"/>
    <col min="9" max="9" width="12.6328125" style="194" bestFit="1" customWidth="1"/>
    <col min="10" max="13" width="10.6328125" style="194" bestFit="1" customWidth="1"/>
    <col min="14" max="16384" width="9.81640625" style="194"/>
  </cols>
  <sheetData>
    <row r="1" spans="1:13" s="195" customFormat="1" ht="14.5" x14ac:dyDescent="0.3">
      <c r="A1" s="576">
        <f>'P&amp;L'!A1:K1</f>
        <v>0</v>
      </c>
      <c r="B1" s="576"/>
      <c r="C1" s="576"/>
      <c r="D1" s="576"/>
      <c r="E1" s="576"/>
      <c r="F1" s="576"/>
      <c r="G1" s="576"/>
      <c r="H1" s="576"/>
      <c r="I1" s="576"/>
      <c r="J1" s="576"/>
      <c r="K1" s="576"/>
      <c r="L1" s="576"/>
      <c r="M1" s="576"/>
    </row>
    <row r="2" spans="1:13" s="195" customFormat="1" x14ac:dyDescent="0.25">
      <c r="A2" s="577">
        <f>'P&amp;L'!A2:K2</f>
        <v>0</v>
      </c>
      <c r="B2" s="577"/>
      <c r="C2" s="577"/>
      <c r="D2" s="577"/>
      <c r="E2" s="577"/>
      <c r="F2" s="577"/>
      <c r="G2" s="577"/>
      <c r="H2" s="577"/>
      <c r="I2" s="577"/>
      <c r="J2" s="577"/>
      <c r="K2" s="577"/>
      <c r="L2" s="577"/>
      <c r="M2" s="577"/>
    </row>
    <row r="3" spans="1:13" s="195" customFormat="1" x14ac:dyDescent="0.25">
      <c r="A3" s="577"/>
      <c r="B3" s="577"/>
      <c r="C3" s="577"/>
      <c r="D3" s="577"/>
      <c r="E3" s="577"/>
      <c r="F3" s="577"/>
      <c r="G3" s="577"/>
      <c r="H3" s="577"/>
      <c r="I3" s="577"/>
      <c r="J3" s="577"/>
      <c r="K3" s="577"/>
      <c r="L3" s="577"/>
      <c r="M3" s="577"/>
    </row>
    <row r="4" spans="1:13" s="195" customFormat="1" x14ac:dyDescent="0.25">
      <c r="A4" s="196"/>
      <c r="B4" s="196"/>
      <c r="C4" s="196"/>
      <c r="D4" s="196"/>
      <c r="E4" s="196"/>
      <c r="F4" s="196"/>
      <c r="G4" s="196"/>
      <c r="H4" s="196"/>
      <c r="I4" s="196"/>
    </row>
    <row r="5" spans="1:13" s="195" customFormat="1" x14ac:dyDescent="0.25">
      <c r="A5" s="197" t="s">
        <v>386</v>
      </c>
    </row>
    <row r="6" spans="1:13" s="195" customFormat="1" ht="13" x14ac:dyDescent="0.3">
      <c r="A6" s="578" t="s">
        <v>387</v>
      </c>
      <c r="B6" s="578"/>
      <c r="C6" s="578"/>
      <c r="D6" s="578"/>
      <c r="E6" s="578"/>
      <c r="F6" s="578"/>
      <c r="G6" s="578"/>
      <c r="H6" s="578"/>
      <c r="I6" s="578"/>
      <c r="J6" s="578"/>
      <c r="K6" s="578"/>
      <c r="L6" s="578"/>
      <c r="M6" s="578"/>
    </row>
    <row r="7" spans="1:13" s="195" customFormat="1" ht="15.5" x14ac:dyDescent="0.35">
      <c r="I7" s="128" t="s">
        <v>286</v>
      </c>
    </row>
    <row r="8" spans="1:13" s="195" customFormat="1" ht="15.5" x14ac:dyDescent="0.35">
      <c r="A8" s="575" t="s">
        <v>443</v>
      </c>
      <c r="B8" s="575"/>
      <c r="C8" s="575"/>
      <c r="D8" s="575"/>
      <c r="E8" s="575"/>
      <c r="F8" s="575"/>
      <c r="G8" s="575"/>
      <c r="H8" s="575"/>
      <c r="I8" s="575"/>
      <c r="J8" s="575"/>
      <c r="K8" s="575"/>
      <c r="L8" s="575"/>
      <c r="M8" s="575"/>
    </row>
    <row r="9" spans="1:13" s="195" customFormat="1" x14ac:dyDescent="0.25"/>
    <row r="10" spans="1:13" s="195" customFormat="1" ht="12.75" customHeight="1" x14ac:dyDescent="0.3">
      <c r="A10" s="579" t="s">
        <v>61</v>
      </c>
      <c r="B10" s="579"/>
      <c r="C10" s="198"/>
      <c r="D10" s="199" t="s">
        <v>388</v>
      </c>
      <c r="E10" s="200"/>
      <c r="F10" s="200"/>
      <c r="G10" s="200"/>
      <c r="H10" s="200"/>
      <c r="I10" s="200"/>
      <c r="J10" s="200"/>
      <c r="K10" s="201"/>
      <c r="L10" s="201"/>
      <c r="M10" s="201"/>
    </row>
    <row r="11" spans="1:13" s="195" customFormat="1" ht="13" x14ac:dyDescent="0.3">
      <c r="A11" s="579"/>
      <c r="B11" s="579"/>
      <c r="C11" s="202"/>
      <c r="D11" s="203" t="s">
        <v>4</v>
      </c>
      <c r="E11" s="203" t="s">
        <v>6</v>
      </c>
      <c r="F11" s="203" t="s">
        <v>8</v>
      </c>
      <c r="G11" s="203" t="s">
        <v>10</v>
      </c>
      <c r="H11" s="203" t="s">
        <v>12</v>
      </c>
      <c r="I11" s="204" t="s">
        <v>14</v>
      </c>
      <c r="J11" s="204" t="s">
        <v>23</v>
      </c>
      <c r="K11" s="204" t="s">
        <v>25</v>
      </c>
      <c r="L11" s="204" t="s">
        <v>39</v>
      </c>
      <c r="M11" s="204" t="s">
        <v>40</v>
      </c>
    </row>
    <row r="12" spans="1:13" s="195" customFormat="1" x14ac:dyDescent="0.25">
      <c r="A12" s="205"/>
      <c r="B12" s="206"/>
      <c r="C12" s="207"/>
      <c r="D12" s="208"/>
      <c r="E12" s="208"/>
      <c r="F12" s="208"/>
      <c r="G12" s="208"/>
      <c r="H12" s="208"/>
      <c r="I12" s="208"/>
      <c r="J12" s="208"/>
      <c r="K12" s="208"/>
      <c r="L12" s="208"/>
      <c r="M12" s="208"/>
    </row>
    <row r="13" spans="1:13" s="195" customFormat="1" x14ac:dyDescent="0.25">
      <c r="A13" s="205" t="s">
        <v>389</v>
      </c>
      <c r="B13" s="206"/>
      <c r="C13" s="207"/>
      <c r="D13" s="208">
        <v>0</v>
      </c>
      <c r="E13" s="208">
        <f>D20</f>
        <v>16041.702218750001</v>
      </c>
      <c r="F13" s="208">
        <f t="shared" ref="F13:K13" si="0">E20</f>
        <v>29344.741404312499</v>
      </c>
      <c r="G13" s="208">
        <f t="shared" si="0"/>
        <v>40971.326625562448</v>
      </c>
      <c r="H13" s="208">
        <f t="shared" si="0"/>
        <v>53736.580430722512</v>
      </c>
      <c r="I13" s="208">
        <f t="shared" si="0"/>
        <v>70223.6513188674</v>
      </c>
      <c r="J13" s="208">
        <f t="shared" si="0"/>
        <v>88217.752619901556</v>
      </c>
      <c r="K13" s="208">
        <f t="shared" si="0"/>
        <v>109191.1227032942</v>
      </c>
      <c r="L13" s="208">
        <f>K20</f>
        <v>131986.18490068865</v>
      </c>
      <c r="M13" s="208">
        <f>L20</f>
        <v>158198.14076648583</v>
      </c>
    </row>
    <row r="14" spans="1:13" s="195" customFormat="1" x14ac:dyDescent="0.25">
      <c r="A14" s="205" t="s">
        <v>390</v>
      </c>
      <c r="B14" s="206"/>
      <c r="C14" s="207"/>
      <c r="D14" s="208">
        <f>'pc&amp;mf'!E39*25%</f>
        <v>5253.7499950000001</v>
      </c>
      <c r="E14" s="208">
        <v>0</v>
      </c>
      <c r="F14" s="208">
        <v>0</v>
      </c>
      <c r="G14" s="208">
        <v>0</v>
      </c>
      <c r="H14" s="208">
        <v>0</v>
      </c>
      <c r="I14" s="208">
        <v>0</v>
      </c>
      <c r="J14" s="208">
        <v>0</v>
      </c>
      <c r="K14" s="208">
        <v>0</v>
      </c>
      <c r="L14" s="208">
        <v>0</v>
      </c>
      <c r="M14" s="208">
        <v>0</v>
      </c>
    </row>
    <row r="15" spans="1:13" s="195" customFormat="1" x14ac:dyDescent="0.25">
      <c r="A15" s="205" t="s">
        <v>391</v>
      </c>
      <c r="B15" s="206"/>
      <c r="C15" s="207"/>
      <c r="D15" s="208">
        <f>'P&amp;L'!D55/4</f>
        <v>10787.95222375</v>
      </c>
      <c r="E15" s="208">
        <f>'P&amp;L'!E55/4</f>
        <v>13303.039185562498</v>
      </c>
      <c r="F15" s="208">
        <f>'P&amp;L'!F55/4</f>
        <v>8085.2162527324481</v>
      </c>
      <c r="G15" s="208">
        <f>'P&amp;L'!G55/4</f>
        <v>7838.6946100925743</v>
      </c>
      <c r="H15" s="208">
        <f>'P&amp;L'!H55/4</f>
        <v>9988.6812364581874</v>
      </c>
      <c r="I15" s="208">
        <f>'P&amp;L'!I55/4</f>
        <v>9527.2631427700653</v>
      </c>
      <c r="J15" s="208">
        <f>'P&amp;L'!J55/4</f>
        <v>10332.239769004458</v>
      </c>
      <c r="K15" s="208">
        <f>'P&amp;L'!K55/4</f>
        <v>9647.127472999151</v>
      </c>
      <c r="L15" s="208">
        <f>'P&amp;L'!L55/4</f>
        <v>10333.613677714558</v>
      </c>
      <c r="M15" s="208">
        <f>'P&amp;L'!M55/4</f>
        <v>9356.791138684519</v>
      </c>
    </row>
    <row r="16" spans="1:13" s="195" customFormat="1" x14ac:dyDescent="0.25">
      <c r="A16" s="205" t="s">
        <v>392</v>
      </c>
      <c r="B16" s="206"/>
      <c r="C16" s="207"/>
      <c r="D16" s="208">
        <v>0</v>
      </c>
      <c r="E16" s="208">
        <v>0</v>
      </c>
      <c r="F16" s="208">
        <f t="shared" ref="F16:K16" si="1">F13*12/100</f>
        <v>3521.3689685174995</v>
      </c>
      <c r="G16" s="208">
        <f t="shared" si="1"/>
        <v>4916.5591950674934</v>
      </c>
      <c r="H16" s="208">
        <f t="shared" si="1"/>
        <v>6448.3896516867017</v>
      </c>
      <c r="I16" s="208">
        <f t="shared" si="1"/>
        <v>8426.8381582640886</v>
      </c>
      <c r="J16" s="208">
        <f t="shared" si="1"/>
        <v>10586.130314388187</v>
      </c>
      <c r="K16" s="208">
        <f t="shared" si="1"/>
        <v>13102.934724395303</v>
      </c>
      <c r="L16" s="208">
        <f>L13*12/100</f>
        <v>15838.342188082637</v>
      </c>
      <c r="M16" s="208">
        <f>M13*12/100</f>
        <v>18983.776891978297</v>
      </c>
    </row>
    <row r="17" spans="1:13" s="195" customFormat="1" x14ac:dyDescent="0.25">
      <c r="A17" s="205" t="s">
        <v>393</v>
      </c>
      <c r="B17" s="206"/>
      <c r="C17" s="207"/>
      <c r="D17" s="208">
        <f>'P&amp;L'!D51/4</f>
        <v>0</v>
      </c>
      <c r="E17" s="208">
        <f>'P&amp;L'!E51/4</f>
        <v>0</v>
      </c>
      <c r="F17" s="208">
        <f>'P&amp;L'!F51/4</f>
        <v>50</v>
      </c>
      <c r="G17" s="208">
        <f>'P&amp;L'!G51/4</f>
        <v>50</v>
      </c>
      <c r="H17" s="208">
        <f>'P&amp;L'!H51/4</f>
        <v>100</v>
      </c>
      <c r="I17" s="208">
        <f>'P&amp;L'!I51/4</f>
        <v>100</v>
      </c>
      <c r="J17" s="208">
        <f>'P&amp;L'!J51/4</f>
        <v>125</v>
      </c>
      <c r="K17" s="208">
        <f>'P&amp;L'!K51/4</f>
        <v>125</v>
      </c>
      <c r="L17" s="208">
        <f>'P&amp;L'!L51/4</f>
        <v>125</v>
      </c>
      <c r="M17" s="208">
        <f>'P&amp;L'!M51/4</f>
        <v>125</v>
      </c>
    </row>
    <row r="18" spans="1:13" s="195" customFormat="1" x14ac:dyDescent="0.25">
      <c r="A18" s="205" t="s">
        <v>394</v>
      </c>
      <c r="B18" s="206"/>
      <c r="C18" s="207"/>
      <c r="D18" s="208">
        <v>0</v>
      </c>
      <c r="E18" s="208">
        <v>0</v>
      </c>
      <c r="F18" s="208">
        <v>30</v>
      </c>
      <c r="G18" s="208">
        <v>40</v>
      </c>
      <c r="H18" s="208">
        <v>50</v>
      </c>
      <c r="I18" s="208">
        <v>60</v>
      </c>
      <c r="J18" s="208">
        <v>70</v>
      </c>
      <c r="K18" s="208">
        <v>80</v>
      </c>
      <c r="L18" s="208">
        <v>85</v>
      </c>
      <c r="M18" s="208">
        <v>90</v>
      </c>
    </row>
    <row r="19" spans="1:13" s="195" customFormat="1" x14ac:dyDescent="0.25">
      <c r="A19" s="205"/>
      <c r="B19" s="206"/>
      <c r="C19" s="207"/>
      <c r="D19" s="208"/>
      <c r="E19" s="208"/>
      <c r="F19" s="208"/>
      <c r="G19" s="208"/>
      <c r="H19" s="208"/>
      <c r="I19" s="208"/>
      <c r="J19" s="208"/>
      <c r="K19" s="208"/>
      <c r="L19" s="208"/>
      <c r="M19" s="208"/>
    </row>
    <row r="20" spans="1:13" s="195" customFormat="1" ht="13" x14ac:dyDescent="0.3">
      <c r="A20" s="199" t="s">
        <v>395</v>
      </c>
      <c r="B20" s="209"/>
      <c r="C20" s="209"/>
      <c r="D20" s="210">
        <f t="shared" ref="D20:K20" si="2">SUM(D13:D17)-D18</f>
        <v>16041.702218750001</v>
      </c>
      <c r="E20" s="210">
        <f t="shared" si="2"/>
        <v>29344.741404312499</v>
      </c>
      <c r="F20" s="210">
        <f t="shared" si="2"/>
        <v>40971.326625562448</v>
      </c>
      <c r="G20" s="210">
        <f t="shared" si="2"/>
        <v>53736.580430722512</v>
      </c>
      <c r="H20" s="210">
        <f t="shared" si="2"/>
        <v>70223.6513188674</v>
      </c>
      <c r="I20" s="210">
        <f t="shared" si="2"/>
        <v>88217.752619901556</v>
      </c>
      <c r="J20" s="210">
        <f t="shared" si="2"/>
        <v>109191.1227032942</v>
      </c>
      <c r="K20" s="210">
        <f t="shared" si="2"/>
        <v>131986.18490068865</v>
      </c>
      <c r="L20" s="210">
        <f>SUM(L13:L17)-L18</f>
        <v>158198.14076648583</v>
      </c>
      <c r="M20" s="210">
        <f>SUM(M13:M17)-M18</f>
        <v>186573.70879714866</v>
      </c>
    </row>
    <row r="21" spans="1:13" s="195" customFormat="1" ht="13" x14ac:dyDescent="0.3">
      <c r="A21" s="211"/>
      <c r="D21" s="212"/>
      <c r="E21" s="212"/>
      <c r="F21" s="212"/>
      <c r="G21" s="212"/>
      <c r="H21" s="212"/>
    </row>
    <row r="22" spans="1:13" s="195" customFormat="1" ht="13" x14ac:dyDescent="0.3">
      <c r="A22" s="211"/>
      <c r="D22" s="212"/>
      <c r="E22" s="212"/>
      <c r="F22" s="212"/>
      <c r="G22" s="212"/>
      <c r="H22" s="212"/>
    </row>
    <row r="23" spans="1:13" ht="15.5" x14ac:dyDescent="0.35">
      <c r="A23" s="575" t="s">
        <v>444</v>
      </c>
      <c r="B23" s="575"/>
      <c r="C23" s="575"/>
      <c r="D23" s="575"/>
      <c r="E23" s="575"/>
      <c r="F23" s="575"/>
      <c r="G23" s="575"/>
      <c r="H23" s="575"/>
      <c r="I23" s="575"/>
      <c r="J23" s="575"/>
      <c r="K23" s="575"/>
      <c r="L23" s="575"/>
      <c r="M23" s="575"/>
    </row>
    <row r="24" spans="1:13" x14ac:dyDescent="0.25">
      <c r="A24" s="195"/>
      <c r="B24" s="195"/>
      <c r="C24" s="195"/>
      <c r="G24" s="195"/>
      <c r="H24" s="195"/>
    </row>
    <row r="25" spans="1:13" ht="12.75" customHeight="1" x14ac:dyDescent="0.3">
      <c r="A25" s="579" t="s">
        <v>61</v>
      </c>
      <c r="B25" s="579"/>
      <c r="C25" s="198"/>
      <c r="D25" s="199" t="s">
        <v>388</v>
      </c>
      <c r="E25" s="200"/>
      <c r="F25" s="200"/>
      <c r="G25" s="200"/>
      <c r="H25" s="200"/>
      <c r="I25" s="200"/>
      <c r="J25" s="200"/>
      <c r="K25" s="201"/>
      <c r="L25" s="213"/>
      <c r="M25" s="214"/>
    </row>
    <row r="26" spans="1:13" ht="13" x14ac:dyDescent="0.3">
      <c r="A26" s="579"/>
      <c r="B26" s="579"/>
      <c r="C26" s="202"/>
      <c r="D26" s="203" t="s">
        <v>4</v>
      </c>
      <c r="E26" s="203" t="s">
        <v>6</v>
      </c>
      <c r="F26" s="203" t="s">
        <v>8</v>
      </c>
      <c r="G26" s="203" t="s">
        <v>10</v>
      </c>
      <c r="H26" s="203" t="s">
        <v>12</v>
      </c>
      <c r="I26" s="204" t="s">
        <v>14</v>
      </c>
      <c r="J26" s="204" t="s">
        <v>23</v>
      </c>
      <c r="K26" s="204" t="s">
        <v>25</v>
      </c>
      <c r="L26" s="204" t="s">
        <v>39</v>
      </c>
      <c r="M26" s="204" t="s">
        <v>40</v>
      </c>
    </row>
    <row r="27" spans="1:13" x14ac:dyDescent="0.25">
      <c r="A27" s="205"/>
      <c r="B27" s="206"/>
      <c r="C27" s="207"/>
      <c r="D27" s="208"/>
      <c r="E27" s="208"/>
      <c r="F27" s="208"/>
      <c r="G27" s="208"/>
      <c r="H27" s="208"/>
      <c r="I27" s="208"/>
      <c r="J27" s="208"/>
      <c r="K27" s="208"/>
      <c r="L27" s="208"/>
      <c r="M27" s="208"/>
    </row>
    <row r="28" spans="1:13" x14ac:dyDescent="0.25">
      <c r="A28" s="205" t="s">
        <v>389</v>
      </c>
      <c r="B28" s="206"/>
      <c r="C28" s="207"/>
      <c r="D28" s="208">
        <v>0</v>
      </c>
      <c r="E28" s="208">
        <f t="shared" ref="E28:K28" si="3">D35</f>
        <v>16041.702218750001</v>
      </c>
      <c r="F28" s="208">
        <f t="shared" si="3"/>
        <v>29344.741404312499</v>
      </c>
      <c r="G28" s="208">
        <f t="shared" si="3"/>
        <v>40971.326625562448</v>
      </c>
      <c r="H28" s="208">
        <f t="shared" si="3"/>
        <v>53736.580430722512</v>
      </c>
      <c r="I28" s="208">
        <f t="shared" si="3"/>
        <v>70223.6513188674</v>
      </c>
      <c r="J28" s="208">
        <f t="shared" si="3"/>
        <v>88217.752619901556</v>
      </c>
      <c r="K28" s="208">
        <f t="shared" si="3"/>
        <v>109191.1227032942</v>
      </c>
      <c r="L28" s="208">
        <f>K35</f>
        <v>131986.18490068865</v>
      </c>
      <c r="M28" s="208">
        <f>L35</f>
        <v>158198.14076648583</v>
      </c>
    </row>
    <row r="29" spans="1:13" x14ac:dyDescent="0.25">
      <c r="A29" s="205" t="s">
        <v>390</v>
      </c>
      <c r="B29" s="206"/>
      <c r="C29" s="207"/>
      <c r="D29" s="208">
        <f>'pc&amp;mf'!E39*25%</f>
        <v>5253.7499950000001</v>
      </c>
      <c r="E29" s="208">
        <v>0</v>
      </c>
      <c r="F29" s="208">
        <v>0</v>
      </c>
      <c r="G29" s="208">
        <v>0</v>
      </c>
      <c r="H29" s="208">
        <v>0</v>
      </c>
      <c r="I29" s="208">
        <v>0</v>
      </c>
      <c r="J29" s="208">
        <v>0</v>
      </c>
      <c r="K29" s="208">
        <v>0</v>
      </c>
      <c r="L29" s="208">
        <v>0</v>
      </c>
      <c r="M29" s="208">
        <v>0</v>
      </c>
    </row>
    <row r="30" spans="1:13" x14ac:dyDescent="0.25">
      <c r="A30" s="205" t="s">
        <v>391</v>
      </c>
      <c r="B30" s="206"/>
      <c r="C30" s="207"/>
      <c r="D30" s="208">
        <f>'P&amp;L'!D55/4</f>
        <v>10787.95222375</v>
      </c>
      <c r="E30" s="208">
        <f>'P&amp;L'!E55/4</f>
        <v>13303.039185562498</v>
      </c>
      <c r="F30" s="208">
        <f>'P&amp;L'!F55/4</f>
        <v>8085.2162527324481</v>
      </c>
      <c r="G30" s="208">
        <f>'P&amp;L'!G55/4</f>
        <v>7838.6946100925743</v>
      </c>
      <c r="H30" s="208">
        <f>'P&amp;L'!H55/4</f>
        <v>9988.6812364581874</v>
      </c>
      <c r="I30" s="208">
        <f>'P&amp;L'!I55/4</f>
        <v>9527.2631427700653</v>
      </c>
      <c r="J30" s="208">
        <f>'P&amp;L'!J55/4</f>
        <v>10332.239769004458</v>
      </c>
      <c r="K30" s="208">
        <f>'P&amp;L'!K55/4</f>
        <v>9647.127472999151</v>
      </c>
      <c r="L30" s="208">
        <f>'P&amp;L'!L55/4</f>
        <v>10333.613677714558</v>
      </c>
      <c r="M30" s="208">
        <f>'P&amp;L'!M55/4</f>
        <v>9356.791138684519</v>
      </c>
    </row>
    <row r="31" spans="1:13" x14ac:dyDescent="0.25">
      <c r="A31" s="205" t="s">
        <v>392</v>
      </c>
      <c r="B31" s="206"/>
      <c r="C31" s="207"/>
      <c r="D31" s="208">
        <v>0</v>
      </c>
      <c r="E31" s="208">
        <v>0</v>
      </c>
      <c r="F31" s="208">
        <f t="shared" ref="F31:K31" si="4">F28*12/100</f>
        <v>3521.3689685174995</v>
      </c>
      <c r="G31" s="208">
        <f t="shared" si="4"/>
        <v>4916.5591950674934</v>
      </c>
      <c r="H31" s="208">
        <f t="shared" si="4"/>
        <v>6448.3896516867017</v>
      </c>
      <c r="I31" s="208">
        <f t="shared" si="4"/>
        <v>8426.8381582640886</v>
      </c>
      <c r="J31" s="208">
        <f t="shared" si="4"/>
        <v>10586.130314388187</v>
      </c>
      <c r="K31" s="208">
        <f t="shared" si="4"/>
        <v>13102.934724395303</v>
      </c>
      <c r="L31" s="208">
        <f>L28*12/100</f>
        <v>15838.342188082637</v>
      </c>
      <c r="M31" s="208">
        <f>M28*12/100</f>
        <v>18983.776891978297</v>
      </c>
    </row>
    <row r="32" spans="1:13" x14ac:dyDescent="0.25">
      <c r="A32" s="205" t="s">
        <v>393</v>
      </c>
      <c r="B32" s="206"/>
      <c r="C32" s="207"/>
      <c r="D32" s="208">
        <f>'P&amp;L'!D51/4</f>
        <v>0</v>
      </c>
      <c r="E32" s="208">
        <f>'P&amp;L'!E51/4</f>
        <v>0</v>
      </c>
      <c r="F32" s="208">
        <f>'P&amp;L'!F51/4</f>
        <v>50</v>
      </c>
      <c r="G32" s="208">
        <f>'P&amp;L'!G51/4</f>
        <v>50</v>
      </c>
      <c r="H32" s="208">
        <f>'P&amp;L'!H51/4</f>
        <v>100</v>
      </c>
      <c r="I32" s="208">
        <f>'P&amp;L'!I51/4</f>
        <v>100</v>
      </c>
      <c r="J32" s="208">
        <f>'P&amp;L'!J51/4</f>
        <v>125</v>
      </c>
      <c r="K32" s="208">
        <f>'P&amp;L'!K51/4</f>
        <v>125</v>
      </c>
      <c r="L32" s="208">
        <f>'P&amp;L'!L51/4</f>
        <v>125</v>
      </c>
      <c r="M32" s="208">
        <f>'P&amp;L'!M51/4</f>
        <v>125</v>
      </c>
    </row>
    <row r="33" spans="1:13" x14ac:dyDescent="0.25">
      <c r="A33" s="205" t="s">
        <v>394</v>
      </c>
      <c r="B33" s="206"/>
      <c r="C33" s="207"/>
      <c r="D33" s="208">
        <v>0</v>
      </c>
      <c r="E33" s="208">
        <v>0</v>
      </c>
      <c r="F33" s="208">
        <v>30</v>
      </c>
      <c r="G33" s="208">
        <v>40</v>
      </c>
      <c r="H33" s="208">
        <v>50</v>
      </c>
      <c r="I33" s="208">
        <v>60</v>
      </c>
      <c r="J33" s="208">
        <v>70</v>
      </c>
      <c r="K33" s="208">
        <v>80</v>
      </c>
      <c r="L33" s="208">
        <v>85</v>
      </c>
      <c r="M33" s="208">
        <v>90</v>
      </c>
    </row>
    <row r="34" spans="1:13" x14ac:dyDescent="0.25">
      <c r="A34" s="205"/>
      <c r="B34" s="206"/>
      <c r="C34" s="207"/>
      <c r="D34" s="208"/>
      <c r="E34" s="208"/>
      <c r="F34" s="208"/>
      <c r="G34" s="208"/>
      <c r="H34" s="208"/>
      <c r="I34" s="208"/>
      <c r="J34" s="208"/>
      <c r="K34" s="208"/>
      <c r="L34" s="208"/>
      <c r="M34" s="208"/>
    </row>
    <row r="35" spans="1:13" ht="13" x14ac:dyDescent="0.3">
      <c r="A35" s="199" t="s">
        <v>395</v>
      </c>
      <c r="B35" s="209"/>
      <c r="C35" s="209"/>
      <c r="D35" s="210">
        <f t="shared" ref="D35:K35" si="5">SUM(D28:D32)-D33</f>
        <v>16041.702218750001</v>
      </c>
      <c r="E35" s="210">
        <f t="shared" si="5"/>
        <v>29344.741404312499</v>
      </c>
      <c r="F35" s="210">
        <f t="shared" si="5"/>
        <v>40971.326625562448</v>
      </c>
      <c r="G35" s="210">
        <f t="shared" si="5"/>
        <v>53736.580430722512</v>
      </c>
      <c r="H35" s="210">
        <f t="shared" si="5"/>
        <v>70223.6513188674</v>
      </c>
      <c r="I35" s="210">
        <f t="shared" si="5"/>
        <v>88217.752619901556</v>
      </c>
      <c r="J35" s="210">
        <f t="shared" si="5"/>
        <v>109191.1227032942</v>
      </c>
      <c r="K35" s="210">
        <f t="shared" si="5"/>
        <v>131986.18490068865</v>
      </c>
      <c r="L35" s="210">
        <f>SUM(L28:L32)-L33</f>
        <v>158198.14076648583</v>
      </c>
      <c r="M35" s="210">
        <f>SUM(M28:M32)-M33</f>
        <v>186573.70879714866</v>
      </c>
    </row>
    <row r="38" spans="1:13" ht="15.5" x14ac:dyDescent="0.35">
      <c r="A38" s="575" t="s">
        <v>445</v>
      </c>
      <c r="B38" s="575"/>
      <c r="C38" s="575"/>
      <c r="D38" s="575"/>
      <c r="E38" s="575"/>
      <c r="F38" s="575"/>
      <c r="G38" s="575"/>
      <c r="H38" s="575"/>
      <c r="I38" s="575"/>
      <c r="J38" s="575"/>
      <c r="K38" s="575"/>
      <c r="L38" s="575"/>
      <c r="M38" s="575"/>
    </row>
    <row r="39" spans="1:13" x14ac:dyDescent="0.25">
      <c r="A39" s="195"/>
      <c r="B39" s="195"/>
      <c r="C39" s="195"/>
      <c r="D39" s="580" t="s">
        <v>177</v>
      </c>
      <c r="E39" s="580"/>
      <c r="F39" s="580"/>
      <c r="G39" s="195"/>
      <c r="H39" s="195"/>
    </row>
    <row r="40" spans="1:13" ht="12.75" customHeight="1" x14ac:dyDescent="0.3">
      <c r="A40" s="579" t="s">
        <v>61</v>
      </c>
      <c r="B40" s="579"/>
      <c r="C40" s="198"/>
      <c r="D40" s="199" t="s">
        <v>388</v>
      </c>
      <c r="E40" s="200"/>
      <c r="F40" s="200"/>
      <c r="G40" s="200"/>
      <c r="H40" s="200"/>
      <c r="I40" s="200"/>
      <c r="J40" s="200"/>
      <c r="K40" s="201"/>
      <c r="L40" s="201"/>
      <c r="M40" s="201"/>
    </row>
    <row r="41" spans="1:13" ht="13" x14ac:dyDescent="0.3">
      <c r="A41" s="579"/>
      <c r="B41" s="579"/>
      <c r="C41" s="202"/>
      <c r="D41" s="203" t="s">
        <v>4</v>
      </c>
      <c r="E41" s="203" t="s">
        <v>6</v>
      </c>
      <c r="F41" s="203" t="s">
        <v>8</v>
      </c>
      <c r="G41" s="203" t="s">
        <v>10</v>
      </c>
      <c r="H41" s="203" t="s">
        <v>12</v>
      </c>
      <c r="I41" s="204" t="s">
        <v>14</v>
      </c>
      <c r="J41" s="204" t="s">
        <v>23</v>
      </c>
      <c r="K41" s="204" t="s">
        <v>25</v>
      </c>
      <c r="L41" s="204" t="s">
        <v>39</v>
      </c>
      <c r="M41" s="204" t="s">
        <v>40</v>
      </c>
    </row>
    <row r="42" spans="1:13" x14ac:dyDescent="0.25">
      <c r="A42" s="205"/>
      <c r="B42" s="206"/>
      <c r="C42" s="207"/>
      <c r="D42" s="208"/>
      <c r="E42" s="208"/>
      <c r="F42" s="208"/>
      <c r="G42" s="208"/>
      <c r="H42" s="208"/>
      <c r="I42" s="208"/>
      <c r="J42" s="208"/>
      <c r="K42" s="208"/>
      <c r="L42" s="208"/>
      <c r="M42" s="208"/>
    </row>
    <row r="43" spans="1:13" x14ac:dyDescent="0.25">
      <c r="A43" s="205" t="s">
        <v>389</v>
      </c>
      <c r="B43" s="206"/>
      <c r="C43" s="207"/>
      <c r="D43" s="208">
        <v>0</v>
      </c>
      <c r="E43" s="208">
        <f t="shared" ref="E43:K43" si="6">D50</f>
        <v>16041.702218750001</v>
      </c>
      <c r="F43" s="208">
        <f t="shared" si="6"/>
        <v>29344.741404312499</v>
      </c>
      <c r="G43" s="208">
        <f t="shared" si="6"/>
        <v>40971.326625562448</v>
      </c>
      <c r="H43" s="208">
        <f t="shared" si="6"/>
        <v>53736.580430722512</v>
      </c>
      <c r="I43" s="208">
        <f t="shared" si="6"/>
        <v>70223.6513188674</v>
      </c>
      <c r="J43" s="208">
        <f t="shared" si="6"/>
        <v>88217.752619901556</v>
      </c>
      <c r="K43" s="208">
        <f t="shared" si="6"/>
        <v>109191.1227032942</v>
      </c>
      <c r="L43" s="208">
        <f>K50</f>
        <v>131986.18490068865</v>
      </c>
      <c r="M43" s="208">
        <f>L50</f>
        <v>158198.14076648583</v>
      </c>
    </row>
    <row r="44" spans="1:13" x14ac:dyDescent="0.25">
      <c r="A44" s="205" t="s">
        <v>390</v>
      </c>
      <c r="B44" s="206"/>
      <c r="C44" s="207"/>
      <c r="D44" s="208">
        <f>'pc&amp;mf'!E39*25%</f>
        <v>5253.7499950000001</v>
      </c>
      <c r="E44" s="208">
        <v>0</v>
      </c>
      <c r="F44" s="208">
        <v>0</v>
      </c>
      <c r="G44" s="208">
        <v>0</v>
      </c>
      <c r="H44" s="208">
        <v>0</v>
      </c>
      <c r="I44" s="208">
        <v>0</v>
      </c>
      <c r="J44" s="208">
        <v>0</v>
      </c>
      <c r="K44" s="208">
        <v>0</v>
      </c>
      <c r="L44" s="208">
        <v>0</v>
      </c>
      <c r="M44" s="208">
        <v>0</v>
      </c>
    </row>
    <row r="45" spans="1:13" x14ac:dyDescent="0.25">
      <c r="A45" s="205" t="s">
        <v>391</v>
      </c>
      <c r="B45" s="206"/>
      <c r="C45" s="207"/>
      <c r="D45" s="208">
        <f>'P&amp;L'!D55/4</f>
        <v>10787.95222375</v>
      </c>
      <c r="E45" s="208">
        <f>'P&amp;L'!E55/4</f>
        <v>13303.039185562498</v>
      </c>
      <c r="F45" s="208">
        <f>'P&amp;L'!F55/4</f>
        <v>8085.2162527324481</v>
      </c>
      <c r="G45" s="208">
        <f>'P&amp;L'!G55/4</f>
        <v>7838.6946100925743</v>
      </c>
      <c r="H45" s="208">
        <f>'P&amp;L'!H55/4</f>
        <v>9988.6812364581874</v>
      </c>
      <c r="I45" s="208">
        <f>'P&amp;L'!I55/4</f>
        <v>9527.2631427700653</v>
      </c>
      <c r="J45" s="208">
        <f>'P&amp;L'!J55/4</f>
        <v>10332.239769004458</v>
      </c>
      <c r="K45" s="208">
        <f>'P&amp;L'!K55/4</f>
        <v>9647.127472999151</v>
      </c>
      <c r="L45" s="208">
        <f>'P&amp;L'!L55/4</f>
        <v>10333.613677714558</v>
      </c>
      <c r="M45" s="208">
        <f>'P&amp;L'!M55/4</f>
        <v>9356.791138684519</v>
      </c>
    </row>
    <row r="46" spans="1:13" x14ac:dyDescent="0.25">
      <c r="A46" s="205" t="s">
        <v>392</v>
      </c>
      <c r="B46" s="206"/>
      <c r="C46" s="207"/>
      <c r="D46" s="208">
        <v>0</v>
      </c>
      <c r="E46" s="208">
        <v>0</v>
      </c>
      <c r="F46" s="208">
        <f t="shared" ref="F46:K46" si="7">F43*12/100</f>
        <v>3521.3689685174995</v>
      </c>
      <c r="G46" s="208">
        <f t="shared" si="7"/>
        <v>4916.5591950674934</v>
      </c>
      <c r="H46" s="208">
        <f t="shared" si="7"/>
        <v>6448.3896516867017</v>
      </c>
      <c r="I46" s="208">
        <f t="shared" si="7"/>
        <v>8426.8381582640886</v>
      </c>
      <c r="J46" s="208">
        <f t="shared" si="7"/>
        <v>10586.130314388187</v>
      </c>
      <c r="K46" s="208">
        <f t="shared" si="7"/>
        <v>13102.934724395303</v>
      </c>
      <c r="L46" s="208">
        <f>L43*12/100</f>
        <v>15838.342188082637</v>
      </c>
      <c r="M46" s="208">
        <f>M43*12/100</f>
        <v>18983.776891978297</v>
      </c>
    </row>
    <row r="47" spans="1:13" x14ac:dyDescent="0.25">
      <c r="A47" s="205" t="s">
        <v>393</v>
      </c>
      <c r="B47" s="206"/>
      <c r="C47" s="207"/>
      <c r="D47" s="208">
        <f>'P&amp;L'!D51/4</f>
        <v>0</v>
      </c>
      <c r="E47" s="208">
        <f>'P&amp;L'!E51/4</f>
        <v>0</v>
      </c>
      <c r="F47" s="208">
        <f>'P&amp;L'!F51/4</f>
        <v>50</v>
      </c>
      <c r="G47" s="208">
        <f>'P&amp;L'!G51/4</f>
        <v>50</v>
      </c>
      <c r="H47" s="208">
        <f>'P&amp;L'!H51/4</f>
        <v>100</v>
      </c>
      <c r="I47" s="208">
        <f>'P&amp;L'!I51/4</f>
        <v>100</v>
      </c>
      <c r="J47" s="208">
        <f>'P&amp;L'!J51/4</f>
        <v>125</v>
      </c>
      <c r="K47" s="208">
        <f>'P&amp;L'!K51/4</f>
        <v>125</v>
      </c>
      <c r="L47" s="208">
        <f>'P&amp;L'!L51/4</f>
        <v>125</v>
      </c>
      <c r="M47" s="208">
        <f>'P&amp;L'!M51/4</f>
        <v>125</v>
      </c>
    </row>
    <row r="48" spans="1:13" x14ac:dyDescent="0.25">
      <c r="A48" s="205" t="s">
        <v>394</v>
      </c>
      <c r="B48" s="206"/>
      <c r="C48" s="207"/>
      <c r="D48" s="208">
        <v>0</v>
      </c>
      <c r="E48" s="208">
        <v>0</v>
      </c>
      <c r="F48" s="208">
        <v>30</v>
      </c>
      <c r="G48" s="208">
        <v>40</v>
      </c>
      <c r="H48" s="208">
        <v>50</v>
      </c>
      <c r="I48" s="208">
        <v>60</v>
      </c>
      <c r="J48" s="208">
        <v>70</v>
      </c>
      <c r="K48" s="208">
        <v>80</v>
      </c>
      <c r="L48" s="208">
        <v>85</v>
      </c>
      <c r="M48" s="208">
        <v>90</v>
      </c>
    </row>
    <row r="49" spans="1:13" x14ac:dyDescent="0.25">
      <c r="A49" s="205"/>
      <c r="B49" s="206"/>
      <c r="C49" s="207"/>
      <c r="D49" s="208"/>
      <c r="E49" s="208"/>
      <c r="F49" s="208"/>
      <c r="G49" s="208"/>
      <c r="H49" s="208"/>
      <c r="I49" s="208"/>
      <c r="J49" s="208"/>
      <c r="K49" s="208"/>
      <c r="L49" s="208"/>
      <c r="M49" s="208"/>
    </row>
    <row r="50" spans="1:13" ht="13" x14ac:dyDescent="0.3">
      <c r="A50" s="199" t="s">
        <v>395</v>
      </c>
      <c r="B50" s="209"/>
      <c r="C50" s="209"/>
      <c r="D50" s="210">
        <f>SUM(D43:D47)-D48</f>
        <v>16041.702218750001</v>
      </c>
      <c r="E50" s="210">
        <f t="shared" ref="E50:K50" si="8">SUM(E43:E47)-E48</f>
        <v>29344.741404312499</v>
      </c>
      <c r="F50" s="210">
        <f t="shared" si="8"/>
        <v>40971.326625562448</v>
      </c>
      <c r="G50" s="210">
        <f t="shared" si="8"/>
        <v>53736.580430722512</v>
      </c>
      <c r="H50" s="210">
        <f t="shared" si="8"/>
        <v>70223.6513188674</v>
      </c>
      <c r="I50" s="210">
        <f t="shared" si="8"/>
        <v>88217.752619901556</v>
      </c>
      <c r="J50" s="210">
        <f t="shared" si="8"/>
        <v>109191.1227032942</v>
      </c>
      <c r="K50" s="210">
        <f t="shared" si="8"/>
        <v>131986.18490068865</v>
      </c>
      <c r="L50" s="210">
        <f>SUM(L43:L47)-L48</f>
        <v>158198.14076648583</v>
      </c>
      <c r="M50" s="210">
        <f>SUM(M43:M47)-M48</f>
        <v>186573.70879714866</v>
      </c>
    </row>
    <row r="53" spans="1:13" ht="15.5" x14ac:dyDescent="0.35">
      <c r="A53" s="575" t="s">
        <v>446</v>
      </c>
      <c r="B53" s="575"/>
      <c r="C53" s="575"/>
      <c r="D53" s="575"/>
      <c r="E53" s="575"/>
      <c r="F53" s="575"/>
      <c r="G53" s="575"/>
      <c r="H53" s="575"/>
      <c r="I53" s="575"/>
      <c r="J53" s="575"/>
      <c r="K53" s="575"/>
      <c r="L53" s="575"/>
      <c r="M53" s="575"/>
    </row>
    <row r="54" spans="1:13" x14ac:dyDescent="0.25">
      <c r="A54" s="195"/>
      <c r="B54" s="195"/>
      <c r="C54" s="195"/>
      <c r="D54" s="580" t="s">
        <v>177</v>
      </c>
      <c r="E54" s="580"/>
      <c r="F54" s="580"/>
      <c r="G54" s="195"/>
      <c r="H54" s="195"/>
    </row>
    <row r="55" spans="1:13" ht="12.75" customHeight="1" x14ac:dyDescent="0.3">
      <c r="A55" s="579" t="s">
        <v>61</v>
      </c>
      <c r="B55" s="579"/>
      <c r="C55" s="198"/>
      <c r="D55" s="199" t="s">
        <v>388</v>
      </c>
      <c r="E55" s="200"/>
      <c r="F55" s="200"/>
      <c r="G55" s="200"/>
      <c r="H55" s="200"/>
      <c r="I55" s="200"/>
      <c r="J55" s="200"/>
      <c r="K55" s="201"/>
      <c r="L55" s="201"/>
      <c r="M55" s="201"/>
    </row>
    <row r="56" spans="1:13" ht="13" x14ac:dyDescent="0.3">
      <c r="A56" s="579"/>
      <c r="B56" s="579"/>
      <c r="C56" s="202"/>
      <c r="D56" s="203" t="s">
        <v>4</v>
      </c>
      <c r="E56" s="203" t="s">
        <v>6</v>
      </c>
      <c r="F56" s="203" t="s">
        <v>8</v>
      </c>
      <c r="G56" s="203" t="s">
        <v>10</v>
      </c>
      <c r="H56" s="203" t="s">
        <v>12</v>
      </c>
      <c r="I56" s="204" t="s">
        <v>14</v>
      </c>
      <c r="J56" s="204" t="s">
        <v>23</v>
      </c>
      <c r="K56" s="204" t="s">
        <v>25</v>
      </c>
      <c r="L56" s="204" t="s">
        <v>39</v>
      </c>
      <c r="M56" s="204" t="s">
        <v>40</v>
      </c>
    </row>
    <row r="57" spans="1:13" x14ac:dyDescent="0.25">
      <c r="A57" s="205"/>
      <c r="B57" s="206"/>
      <c r="C57" s="207"/>
      <c r="D57" s="208"/>
      <c r="E57" s="208"/>
      <c r="F57" s="208"/>
      <c r="G57" s="208"/>
      <c r="H57" s="208"/>
      <c r="I57" s="208"/>
      <c r="J57" s="208"/>
      <c r="K57" s="208"/>
      <c r="L57" s="208"/>
      <c r="M57" s="208"/>
    </row>
    <row r="58" spans="1:13" x14ac:dyDescent="0.25">
      <c r="A58" s="205" t="s">
        <v>389</v>
      </c>
      <c r="B58" s="206"/>
      <c r="C58" s="207"/>
      <c r="D58" s="208">
        <v>0</v>
      </c>
      <c r="E58" s="208">
        <f t="shared" ref="E58:K58" si="9">D65</f>
        <v>16041.702218750001</v>
      </c>
      <c r="F58" s="208">
        <f t="shared" si="9"/>
        <v>29344.741404312499</v>
      </c>
      <c r="G58" s="208">
        <f t="shared" si="9"/>
        <v>40971.326625562448</v>
      </c>
      <c r="H58" s="208">
        <f t="shared" si="9"/>
        <v>53736.580430722512</v>
      </c>
      <c r="I58" s="208">
        <f t="shared" si="9"/>
        <v>70223.6513188674</v>
      </c>
      <c r="J58" s="208">
        <f t="shared" si="9"/>
        <v>88217.752619901556</v>
      </c>
      <c r="K58" s="208">
        <f t="shared" si="9"/>
        <v>109191.1227032942</v>
      </c>
      <c r="L58" s="208">
        <f>K65</f>
        <v>131986.18490068865</v>
      </c>
      <c r="M58" s="208">
        <f>L65</f>
        <v>158198.14076648583</v>
      </c>
    </row>
    <row r="59" spans="1:13" x14ac:dyDescent="0.25">
      <c r="A59" s="205" t="s">
        <v>390</v>
      </c>
      <c r="B59" s="206"/>
      <c r="C59" s="207"/>
      <c r="D59" s="208">
        <f>'pc&amp;mf'!E39*25%</f>
        <v>5253.7499950000001</v>
      </c>
      <c r="E59" s="208">
        <v>0</v>
      </c>
      <c r="F59" s="208">
        <v>0</v>
      </c>
      <c r="G59" s="208">
        <v>0</v>
      </c>
      <c r="H59" s="208">
        <v>0</v>
      </c>
      <c r="I59" s="208">
        <v>0</v>
      </c>
      <c r="J59" s="208">
        <v>0</v>
      </c>
      <c r="K59" s="208">
        <v>0</v>
      </c>
      <c r="L59" s="208">
        <v>0</v>
      </c>
      <c r="M59" s="208">
        <v>0</v>
      </c>
    </row>
    <row r="60" spans="1:13" x14ac:dyDescent="0.25">
      <c r="A60" s="205" t="s">
        <v>391</v>
      </c>
      <c r="B60" s="206"/>
      <c r="C60" s="207"/>
      <c r="D60" s="208">
        <f>'P&amp;L'!D55/4</f>
        <v>10787.95222375</v>
      </c>
      <c r="E60" s="208">
        <f>'P&amp;L'!E55/4</f>
        <v>13303.039185562498</v>
      </c>
      <c r="F60" s="208">
        <f>'P&amp;L'!F55/4</f>
        <v>8085.2162527324481</v>
      </c>
      <c r="G60" s="208">
        <f>'P&amp;L'!G55/4</f>
        <v>7838.6946100925743</v>
      </c>
      <c r="H60" s="208">
        <f>'P&amp;L'!H55/4</f>
        <v>9988.6812364581874</v>
      </c>
      <c r="I60" s="208">
        <f>'P&amp;L'!I55/4</f>
        <v>9527.2631427700653</v>
      </c>
      <c r="J60" s="208">
        <f>'P&amp;L'!J55/4</f>
        <v>10332.239769004458</v>
      </c>
      <c r="K60" s="208">
        <f>'P&amp;L'!K55/4</f>
        <v>9647.127472999151</v>
      </c>
      <c r="L60" s="208">
        <f>'P&amp;L'!L55/4</f>
        <v>10333.613677714558</v>
      </c>
      <c r="M60" s="208">
        <f>'P&amp;L'!M55/4</f>
        <v>9356.791138684519</v>
      </c>
    </row>
    <row r="61" spans="1:13" x14ac:dyDescent="0.25">
      <c r="A61" s="205" t="s">
        <v>392</v>
      </c>
      <c r="B61" s="206"/>
      <c r="C61" s="207"/>
      <c r="D61" s="208">
        <v>0</v>
      </c>
      <c r="E61" s="208">
        <v>0</v>
      </c>
      <c r="F61" s="208">
        <f t="shared" ref="F61:K61" si="10">F58*12/100</f>
        <v>3521.3689685174995</v>
      </c>
      <c r="G61" s="208">
        <f t="shared" si="10"/>
        <v>4916.5591950674934</v>
      </c>
      <c r="H61" s="208">
        <f t="shared" si="10"/>
        <v>6448.3896516867017</v>
      </c>
      <c r="I61" s="208">
        <f t="shared" si="10"/>
        <v>8426.8381582640886</v>
      </c>
      <c r="J61" s="208">
        <f t="shared" si="10"/>
        <v>10586.130314388187</v>
      </c>
      <c r="K61" s="208">
        <f t="shared" si="10"/>
        <v>13102.934724395303</v>
      </c>
      <c r="L61" s="208">
        <f>L58*12/100</f>
        <v>15838.342188082637</v>
      </c>
      <c r="M61" s="208">
        <f>M58*12/100</f>
        <v>18983.776891978297</v>
      </c>
    </row>
    <row r="62" spans="1:13" x14ac:dyDescent="0.25">
      <c r="A62" s="205" t="s">
        <v>393</v>
      </c>
      <c r="B62" s="206"/>
      <c r="C62" s="207"/>
      <c r="D62" s="208">
        <f>'P&amp;L'!D51/4</f>
        <v>0</v>
      </c>
      <c r="E62" s="208">
        <f>'P&amp;L'!E51/4</f>
        <v>0</v>
      </c>
      <c r="F62" s="208">
        <f>'P&amp;L'!F51/4</f>
        <v>50</v>
      </c>
      <c r="G62" s="208">
        <f>'P&amp;L'!G51/4</f>
        <v>50</v>
      </c>
      <c r="H62" s="208">
        <f>'P&amp;L'!H51/4</f>
        <v>100</v>
      </c>
      <c r="I62" s="208">
        <f>'P&amp;L'!I51/4</f>
        <v>100</v>
      </c>
      <c r="J62" s="208">
        <f>'P&amp;L'!J51/4</f>
        <v>125</v>
      </c>
      <c r="K62" s="208">
        <f>'P&amp;L'!K51/4</f>
        <v>125</v>
      </c>
      <c r="L62" s="208">
        <f>'P&amp;L'!L51/4</f>
        <v>125</v>
      </c>
      <c r="M62" s="208">
        <f>'P&amp;L'!M51/4</f>
        <v>125</v>
      </c>
    </row>
    <row r="63" spans="1:13" x14ac:dyDescent="0.25">
      <c r="A63" s="205" t="s">
        <v>394</v>
      </c>
      <c r="B63" s="206"/>
      <c r="C63" s="207"/>
      <c r="D63" s="208">
        <v>0</v>
      </c>
      <c r="E63" s="208">
        <v>0</v>
      </c>
      <c r="F63" s="208">
        <v>30</v>
      </c>
      <c r="G63" s="208">
        <v>40</v>
      </c>
      <c r="H63" s="208">
        <v>50</v>
      </c>
      <c r="I63" s="208">
        <v>60</v>
      </c>
      <c r="J63" s="208">
        <v>70</v>
      </c>
      <c r="K63" s="208">
        <v>80</v>
      </c>
      <c r="L63" s="208">
        <v>85</v>
      </c>
      <c r="M63" s="208">
        <v>90</v>
      </c>
    </row>
    <row r="64" spans="1:13" x14ac:dyDescent="0.25">
      <c r="A64" s="205"/>
      <c r="B64" s="206"/>
      <c r="C64" s="207"/>
      <c r="D64" s="208"/>
      <c r="E64" s="208"/>
      <c r="F64" s="208"/>
      <c r="G64" s="208"/>
      <c r="H64" s="208"/>
      <c r="I64" s="208"/>
      <c r="J64" s="208"/>
      <c r="K64" s="208"/>
      <c r="L64" s="208"/>
      <c r="M64" s="208"/>
    </row>
    <row r="65" spans="1:13" ht="13" x14ac:dyDescent="0.3">
      <c r="A65" s="199" t="s">
        <v>395</v>
      </c>
      <c r="B65" s="209"/>
      <c r="C65" s="209"/>
      <c r="D65" s="210">
        <f>SUM(D58:D62)-D63</f>
        <v>16041.702218750001</v>
      </c>
      <c r="E65" s="210">
        <f>SUM(E58:E62)-E63</f>
        <v>29344.741404312499</v>
      </c>
      <c r="F65" s="210">
        <f t="shared" ref="F65:K65" si="11">SUM(F58:F62)-F63</f>
        <v>40971.326625562448</v>
      </c>
      <c r="G65" s="210">
        <f t="shared" si="11"/>
        <v>53736.580430722512</v>
      </c>
      <c r="H65" s="210">
        <f t="shared" si="11"/>
        <v>70223.6513188674</v>
      </c>
      <c r="I65" s="210">
        <f t="shared" si="11"/>
        <v>88217.752619901556</v>
      </c>
      <c r="J65" s="210">
        <f t="shared" si="11"/>
        <v>109191.1227032942</v>
      </c>
      <c r="K65" s="210">
        <f t="shared" si="11"/>
        <v>131986.18490068865</v>
      </c>
      <c r="L65" s="210">
        <f>SUM(L58:L62)-L63</f>
        <v>158198.14076648583</v>
      </c>
      <c r="M65" s="210">
        <f>SUM(M58:M62)-M63</f>
        <v>186573.70879714866</v>
      </c>
    </row>
  </sheetData>
  <sheetProtection selectLockedCells="1" selectUnlockedCells="1"/>
  <mergeCells count="13">
    <mergeCell ref="A55:B56"/>
    <mergeCell ref="A25:B26"/>
    <mergeCell ref="A38:M38"/>
    <mergeCell ref="D39:F39"/>
    <mergeCell ref="A40:B41"/>
    <mergeCell ref="A53:M53"/>
    <mergeCell ref="D54:F54"/>
    <mergeCell ref="A23:M23"/>
    <mergeCell ref="A1:M1"/>
    <mergeCell ref="A2:M3"/>
    <mergeCell ref="A6:M6"/>
    <mergeCell ref="A8:M8"/>
    <mergeCell ref="A10:B11"/>
  </mergeCells>
  <printOptions horizontalCentered="1"/>
  <pageMargins left="0.5" right="0.2" top="1.4958333333333333" bottom="0.98402777777777783" header="0.51180555555555562" footer="0.51180555555555562"/>
  <pageSetup paperSize="9" scale="76" firstPageNumber="0" orientation="portrait" horizontalDpi="300" verticalDpi="300"/>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37"/>
  <sheetViews>
    <sheetView showGridLines="0" workbookViewId="0">
      <selection activeCell="F26" sqref="F26"/>
    </sheetView>
  </sheetViews>
  <sheetFormatPr defaultRowHeight="12.5" x14ac:dyDescent="0.25"/>
  <cols>
    <col min="1" max="1" width="3.1796875" customWidth="1"/>
    <col min="2" max="2" width="35.1796875" customWidth="1"/>
    <col min="3" max="3" width="9" customWidth="1"/>
    <col min="4" max="4" width="9.54296875" bestFit="1" customWidth="1"/>
    <col min="5" max="5" width="9.36328125" bestFit="1" customWidth="1"/>
    <col min="6" max="7" width="9.54296875" bestFit="1" customWidth="1"/>
    <col min="8" max="8" width="9.81640625" customWidth="1"/>
    <col min="9" max="11" width="9.54296875" bestFit="1" customWidth="1"/>
    <col min="12" max="12" width="11" customWidth="1"/>
    <col min="13" max="13" width="11.36328125" customWidth="1"/>
  </cols>
  <sheetData>
    <row r="1" spans="1:13" ht="13" x14ac:dyDescent="0.3">
      <c r="A1" s="581">
        <f>'P&amp;L'!A1:H1</f>
        <v>0</v>
      </c>
      <c r="B1" s="581"/>
      <c r="C1" s="581"/>
      <c r="D1" s="581"/>
      <c r="E1" s="581"/>
      <c r="F1" s="581"/>
      <c r="G1" s="581"/>
      <c r="H1" s="581"/>
      <c r="I1" s="581"/>
      <c r="J1" s="581"/>
      <c r="K1" s="581"/>
      <c r="L1" s="581"/>
    </row>
    <row r="2" spans="1:13" ht="13" x14ac:dyDescent="0.3">
      <c r="A2" s="581">
        <f>'P&amp;L'!A2:K2</f>
        <v>0</v>
      </c>
      <c r="B2" s="581"/>
      <c r="C2" s="581"/>
      <c r="D2" s="581"/>
      <c r="E2" s="581"/>
      <c r="F2" s="581"/>
      <c r="G2" s="581"/>
      <c r="H2" s="581"/>
      <c r="I2" s="581"/>
      <c r="J2" s="581"/>
      <c r="K2" s="581"/>
      <c r="L2" s="581"/>
    </row>
    <row r="3" spans="1:13" ht="13" x14ac:dyDescent="0.3">
      <c r="A3" s="35"/>
      <c r="B3" s="35"/>
      <c r="C3" s="35"/>
      <c r="D3" s="35"/>
      <c r="E3" s="35"/>
      <c r="F3" s="35"/>
      <c r="G3" s="35"/>
      <c r="H3" s="35"/>
      <c r="I3" s="35"/>
      <c r="J3" s="35"/>
    </row>
    <row r="4" spans="1:13" ht="14" x14ac:dyDescent="0.3">
      <c r="A4" s="215" t="s">
        <v>396</v>
      </c>
      <c r="B4" s="28"/>
      <c r="C4" s="28"/>
      <c r="D4" s="28"/>
      <c r="E4" s="28"/>
      <c r="F4" s="18"/>
      <c r="G4" s="28"/>
      <c r="H4" s="28"/>
      <c r="I4" s="36"/>
    </row>
    <row r="5" spans="1:13" ht="14" x14ac:dyDescent="0.3">
      <c r="A5" s="215"/>
      <c r="B5" s="28"/>
      <c r="C5" s="28"/>
      <c r="D5" s="28"/>
      <c r="E5" s="28"/>
      <c r="F5" s="18"/>
      <c r="G5" s="28"/>
      <c r="H5" s="28"/>
      <c r="I5" s="36"/>
    </row>
    <row r="6" spans="1:13" ht="14" x14ac:dyDescent="0.3">
      <c r="A6" s="565" t="s">
        <v>397</v>
      </c>
      <c r="B6" s="565"/>
      <c r="C6" s="565"/>
      <c r="D6" s="565"/>
      <c r="E6" s="565"/>
      <c r="F6" s="565"/>
      <c r="G6" s="565"/>
      <c r="H6" s="565"/>
      <c r="I6" s="565"/>
      <c r="J6" s="565"/>
      <c r="K6" s="565"/>
      <c r="L6" s="565"/>
    </row>
    <row r="7" spans="1:13" ht="15.5" x14ac:dyDescent="0.35">
      <c r="H7" s="128" t="s">
        <v>286</v>
      </c>
    </row>
    <row r="8" spans="1:13" ht="13" x14ac:dyDescent="0.3">
      <c r="A8" s="582" t="s">
        <v>366</v>
      </c>
      <c r="B8" s="582"/>
      <c r="C8" s="582"/>
      <c r="D8" s="582"/>
      <c r="E8" s="582"/>
      <c r="F8" s="582"/>
      <c r="G8" s="582"/>
    </row>
    <row r="9" spans="1:13" ht="14" x14ac:dyDescent="0.3">
      <c r="A9" s="121"/>
      <c r="B9" s="216" t="s">
        <v>61</v>
      </c>
      <c r="C9" s="217" t="s">
        <v>4</v>
      </c>
      <c r="D9" s="217" t="s">
        <v>6</v>
      </c>
      <c r="E9" s="217" t="s">
        <v>8</v>
      </c>
      <c r="F9" s="217" t="s">
        <v>10</v>
      </c>
      <c r="G9" s="217" t="s">
        <v>12</v>
      </c>
      <c r="H9" s="218" t="s">
        <v>14</v>
      </c>
      <c r="I9" s="45" t="s">
        <v>23</v>
      </c>
      <c r="J9" s="45" t="s">
        <v>25</v>
      </c>
      <c r="K9" s="45" t="s">
        <v>39</v>
      </c>
      <c r="L9" s="45" t="s">
        <v>40</v>
      </c>
    </row>
    <row r="10" spans="1:13" ht="14" x14ac:dyDescent="0.3">
      <c r="A10" s="30" t="s">
        <v>367</v>
      </c>
      <c r="B10" s="32" t="s">
        <v>398</v>
      </c>
      <c r="C10" s="49"/>
      <c r="D10" s="49"/>
      <c r="E10" s="49"/>
      <c r="F10" s="49"/>
      <c r="G10" s="49"/>
      <c r="H10" s="29"/>
      <c r="I10" s="49"/>
      <c r="J10" s="49"/>
      <c r="K10" s="49"/>
      <c r="L10" s="49"/>
    </row>
    <row r="11" spans="1:13" x14ac:dyDescent="0.25">
      <c r="A11" s="30"/>
      <c r="C11" s="49"/>
      <c r="D11" s="49"/>
      <c r="E11" s="49"/>
      <c r="F11" s="49"/>
      <c r="G11" s="49"/>
      <c r="H11" s="29"/>
      <c r="I11" s="49"/>
      <c r="J11" s="49"/>
      <c r="K11" s="49"/>
      <c r="L11" s="49"/>
    </row>
    <row r="12" spans="1:13" ht="14" x14ac:dyDescent="0.3">
      <c r="A12" s="30"/>
      <c r="B12" s="21" t="s">
        <v>399</v>
      </c>
      <c r="C12" s="62">
        <f>'P&amp;L'!D48</f>
        <v>43239.608891000003</v>
      </c>
      <c r="D12" s="62">
        <f>'P&amp;L'!E48</f>
        <v>53299.956738249995</v>
      </c>
      <c r="E12" s="62">
        <f>'P&amp;L'!F48</f>
        <v>64132.78435742249</v>
      </c>
      <c r="F12" s="62">
        <f>'P&amp;L'!G48</f>
        <v>68197.794878478133</v>
      </c>
      <c r="G12" s="62">
        <f>'P&amp;L'!H48</f>
        <v>87744.414702776005</v>
      </c>
      <c r="H12" s="33">
        <f>'P&amp;L'!I48</f>
        <v>92686.196353974126</v>
      </c>
      <c r="I12" s="63">
        <f>'P&amp;L'!J48</f>
        <v>106372.80316240063</v>
      </c>
      <c r="J12" s="63">
        <f>'P&amp;L'!K48</f>
        <v>112227.57431936645</v>
      </c>
      <c r="K12" s="63">
        <f>'P&amp;L'!L48</f>
        <v>127390.09820212494</v>
      </c>
      <c r="L12" s="63">
        <f>'P&amp;L'!M48</f>
        <v>133965.79582839351</v>
      </c>
      <c r="M12" s="30"/>
    </row>
    <row r="13" spans="1:13" ht="14" x14ac:dyDescent="0.3">
      <c r="A13" s="30"/>
      <c r="B13" s="18" t="s">
        <v>390</v>
      </c>
      <c r="C13" s="62">
        <f>'pc&amp;mf'!E39</f>
        <v>21014.999980000001</v>
      </c>
      <c r="D13" s="62">
        <v>0</v>
      </c>
      <c r="E13" s="62">
        <f>'pc&amp;mf'!G39*100000</f>
        <v>0</v>
      </c>
      <c r="F13" s="62">
        <f>'pc&amp;mf'!H39*100000</f>
        <v>0</v>
      </c>
      <c r="G13" s="62">
        <f>'pc&amp;mf'!I39*100000</f>
        <v>0</v>
      </c>
      <c r="H13" s="29">
        <v>0</v>
      </c>
      <c r="I13" s="49">
        <v>0</v>
      </c>
      <c r="J13" s="49">
        <v>0</v>
      </c>
      <c r="K13" s="49">
        <v>0</v>
      </c>
      <c r="L13" s="49">
        <v>0</v>
      </c>
      <c r="M13" s="33">
        <f>C12-339.76</f>
        <v>42899.848891000001</v>
      </c>
    </row>
    <row r="14" spans="1:13" ht="14" x14ac:dyDescent="0.3">
      <c r="A14" s="30"/>
      <c r="B14" s="18" t="s">
        <v>269</v>
      </c>
      <c r="C14" s="62">
        <f>'pc&amp;mf'!E37</f>
        <v>8000</v>
      </c>
      <c r="D14" s="62">
        <v>0</v>
      </c>
      <c r="E14" s="62">
        <v>0</v>
      </c>
      <c r="F14" s="62">
        <v>0</v>
      </c>
      <c r="G14" s="62">
        <v>0</v>
      </c>
      <c r="H14" s="29">
        <v>0</v>
      </c>
      <c r="I14" s="49">
        <v>0</v>
      </c>
      <c r="J14" s="49">
        <v>0</v>
      </c>
      <c r="K14" s="49">
        <v>0</v>
      </c>
      <c r="L14" s="49">
        <v>0</v>
      </c>
    </row>
    <row r="15" spans="1:13" ht="14" x14ac:dyDescent="0.3">
      <c r="A15" s="30"/>
      <c r="B15" s="18" t="s">
        <v>293</v>
      </c>
      <c r="C15" s="62">
        <f>'P&amp;L'!D47</f>
        <v>4406.8711489999996</v>
      </c>
      <c r="D15" s="62">
        <f>'P&amp;L'!E47</f>
        <v>3604.8159667499999</v>
      </c>
      <c r="E15" s="62">
        <f>'P&amp;L'!F47</f>
        <v>2980.6624708274999</v>
      </c>
      <c r="F15" s="62">
        <f>'P&amp;L'!G47</f>
        <v>2484.5696841843751</v>
      </c>
      <c r="G15" s="62">
        <f>'P&amp;L'!H47</f>
        <v>2083.4469020196193</v>
      </c>
      <c r="H15" s="62">
        <f>'P&amp;L'!I47</f>
        <v>1754.7303170612863</v>
      </c>
      <c r="I15" s="62">
        <f>'P&amp;L'!J47</f>
        <v>1482.5776029690421</v>
      </c>
      <c r="J15" s="62">
        <f>'P&amp;L'!K47</f>
        <v>1255.5239695380199</v>
      </c>
      <c r="K15" s="62">
        <f>'P&amp;L'!L47</f>
        <v>1065.0241945566656</v>
      </c>
      <c r="L15" s="62">
        <f>'P&amp;L'!M47</f>
        <v>904.53397225944843</v>
      </c>
    </row>
    <row r="16" spans="1:13" ht="14" x14ac:dyDescent="0.3">
      <c r="A16" s="30"/>
      <c r="B16" s="18"/>
      <c r="C16" s="62"/>
      <c r="D16" s="62"/>
      <c r="E16" s="62"/>
      <c r="F16" s="62"/>
      <c r="G16" s="62"/>
      <c r="H16" s="62"/>
      <c r="I16" s="62"/>
      <c r="J16" s="62"/>
      <c r="K16" s="62"/>
      <c r="L16" s="62"/>
    </row>
    <row r="17" spans="1:13" ht="14" x14ac:dyDescent="0.3">
      <c r="A17" s="30"/>
      <c r="B17" s="26" t="s">
        <v>306</v>
      </c>
      <c r="C17" s="68">
        <f t="shared" ref="C17:L17" si="0">SUM(C12:C16)</f>
        <v>76661.480020000003</v>
      </c>
      <c r="D17" s="68">
        <f t="shared" si="0"/>
        <v>56904.772704999996</v>
      </c>
      <c r="E17" s="68">
        <f t="shared" si="0"/>
        <v>67113.446828249987</v>
      </c>
      <c r="F17" s="68">
        <f t="shared" si="0"/>
        <v>70682.364562662508</v>
      </c>
      <c r="G17" s="68">
        <f t="shared" si="0"/>
        <v>89827.861604795617</v>
      </c>
      <c r="H17" s="68">
        <f t="shared" si="0"/>
        <v>94440.926671035413</v>
      </c>
      <c r="I17" s="68">
        <f t="shared" si="0"/>
        <v>107855.38076536967</v>
      </c>
      <c r="J17" s="68">
        <f t="shared" si="0"/>
        <v>113483.09828890447</v>
      </c>
      <c r="K17" s="68">
        <f t="shared" si="0"/>
        <v>128455.1223966816</v>
      </c>
      <c r="L17" s="68">
        <f t="shared" si="0"/>
        <v>134870.32980065295</v>
      </c>
      <c r="M17" s="33">
        <f>3140.65-C17</f>
        <v>-73520.830020000009</v>
      </c>
    </row>
    <row r="18" spans="1:13" ht="14" x14ac:dyDescent="0.3">
      <c r="A18" s="30"/>
      <c r="B18" s="18"/>
      <c r="C18" s="49"/>
      <c r="D18" s="49"/>
      <c r="E18" s="49"/>
      <c r="F18" s="49"/>
      <c r="G18" s="49"/>
      <c r="H18" s="29"/>
      <c r="I18" s="49"/>
      <c r="J18" s="49"/>
      <c r="K18" s="49"/>
      <c r="L18" s="49"/>
    </row>
    <row r="19" spans="1:13" ht="14" x14ac:dyDescent="0.3">
      <c r="A19" s="30" t="s">
        <v>373</v>
      </c>
      <c r="B19" s="32" t="s">
        <v>400</v>
      </c>
      <c r="C19" s="49"/>
      <c r="D19" s="49"/>
      <c r="E19" s="49"/>
      <c r="F19" s="49"/>
      <c r="G19" s="49"/>
      <c r="H19" s="29"/>
      <c r="I19" s="49"/>
      <c r="J19" s="49"/>
      <c r="K19" s="49"/>
      <c r="L19" s="49"/>
    </row>
    <row r="20" spans="1:13" ht="14" x14ac:dyDescent="0.3">
      <c r="A20" s="30"/>
      <c r="B20" s="18" t="s">
        <v>401</v>
      </c>
      <c r="C20" s="49">
        <f>intt.!E14*100000</f>
        <v>0</v>
      </c>
      <c r="D20" s="62">
        <f>intt.!E57/100000</f>
        <v>60</v>
      </c>
      <c r="E20" s="62">
        <f>intt.!E72/100000</f>
        <v>72</v>
      </c>
      <c r="F20" s="62">
        <f>intt.!E87/100000</f>
        <v>78</v>
      </c>
      <c r="G20" s="62">
        <f>intt.!E102/100000</f>
        <v>84</v>
      </c>
      <c r="H20" s="120">
        <f>intt.!E117/100000</f>
        <v>90</v>
      </c>
      <c r="I20" s="62">
        <f>intt.!E132/100000</f>
        <v>96</v>
      </c>
      <c r="J20" s="62">
        <f>intt.!E147/100000</f>
        <v>102</v>
      </c>
      <c r="K20" s="62">
        <f>intt.!E162/100000</f>
        <v>108</v>
      </c>
      <c r="L20" s="62">
        <f>intt.!E178/100000</f>
        <v>110</v>
      </c>
    </row>
    <row r="21" spans="1:13" ht="14" x14ac:dyDescent="0.3">
      <c r="A21" s="30"/>
      <c r="B21" s="18" t="s">
        <v>295</v>
      </c>
      <c r="C21" s="62">
        <f>Dep!D16</f>
        <v>27226</v>
      </c>
      <c r="D21" s="219">
        <v>0</v>
      </c>
      <c r="E21" s="219">
        <v>0</v>
      </c>
      <c r="F21" s="219">
        <v>0</v>
      </c>
      <c r="G21" s="219">
        <v>0</v>
      </c>
      <c r="H21" s="219">
        <v>0</v>
      </c>
      <c r="I21" s="219">
        <v>0</v>
      </c>
      <c r="J21" s="219">
        <v>0</v>
      </c>
      <c r="K21" s="219">
        <v>0</v>
      </c>
      <c r="L21" s="219">
        <v>0</v>
      </c>
    </row>
    <row r="22" spans="1:13" ht="15.5" x14ac:dyDescent="0.35">
      <c r="A22" s="30"/>
      <c r="B22" s="157" t="s">
        <v>378</v>
      </c>
      <c r="C22" s="62">
        <v>150</v>
      </c>
      <c r="D22" s="62">
        <v>0</v>
      </c>
      <c r="E22" s="62">
        <v>0</v>
      </c>
      <c r="F22" s="62">
        <v>0</v>
      </c>
      <c r="G22" s="62">
        <v>0</v>
      </c>
      <c r="H22" s="62">
        <v>0</v>
      </c>
      <c r="I22" s="62">
        <v>0</v>
      </c>
      <c r="J22" s="62">
        <v>0</v>
      </c>
      <c r="K22" s="62">
        <v>0</v>
      </c>
      <c r="L22" s="62">
        <v>0</v>
      </c>
    </row>
    <row r="23" spans="1:13" ht="15.5" x14ac:dyDescent="0.35">
      <c r="A23" s="30"/>
      <c r="B23" s="157" t="s">
        <v>402</v>
      </c>
      <c r="C23" s="62">
        <f>'pc&amp;mf'!E30</f>
        <v>438.99997999999999</v>
      </c>
      <c r="D23" s="62">
        <v>0</v>
      </c>
      <c r="E23" s="62">
        <v>0</v>
      </c>
      <c r="F23" s="62">
        <v>0</v>
      </c>
      <c r="G23" s="62">
        <v>0</v>
      </c>
      <c r="H23" s="62">
        <v>0</v>
      </c>
      <c r="I23" s="62">
        <v>0</v>
      </c>
      <c r="J23" s="62">
        <v>0</v>
      </c>
      <c r="K23" s="62">
        <v>0</v>
      </c>
      <c r="L23" s="62">
        <v>0</v>
      </c>
    </row>
    <row r="24" spans="1:13" ht="14" x14ac:dyDescent="0.3">
      <c r="A24" s="30"/>
      <c r="B24" s="21" t="s">
        <v>403</v>
      </c>
      <c r="C24" s="62">
        <f>Capital!D18+Capital!D33+Capital!D48+Capital!D63</f>
        <v>0</v>
      </c>
      <c r="D24" s="62">
        <f>Capital!E18+Capital!E33+Capital!E48+Capital!E63</f>
        <v>0</v>
      </c>
      <c r="E24" s="62">
        <f>Capital!F18+Capital!F33+Capital!F48+Capital!F63</f>
        <v>120</v>
      </c>
      <c r="F24" s="62">
        <f>Capital!G18+Capital!G33+Capital!G48+Capital!G63</f>
        <v>160</v>
      </c>
      <c r="G24" s="62">
        <f>Capital!H18+Capital!H33+Capital!H48+Capital!H63</f>
        <v>200</v>
      </c>
      <c r="H24" s="62">
        <f>Capital!I18+Capital!I33+Capital!I48+Capital!I63</f>
        <v>240</v>
      </c>
      <c r="I24" s="62">
        <f>Capital!J18+Capital!J33+Capital!J48+Capital!J63</f>
        <v>280</v>
      </c>
      <c r="J24" s="62">
        <f>Capital!K18+Capital!K33+Capital!K48+Capital!K63</f>
        <v>320</v>
      </c>
      <c r="K24" s="62">
        <f>Capital!L18+Capital!L33+Capital!L48+Capital!L63</f>
        <v>340</v>
      </c>
      <c r="L24" s="62">
        <f>Capital!M18+Capital!M33+Capital!M48+Capital!M63</f>
        <v>360</v>
      </c>
    </row>
    <row r="25" spans="1:13" ht="14" x14ac:dyDescent="0.3">
      <c r="A25" s="30"/>
      <c r="B25" s="18" t="s">
        <v>404</v>
      </c>
      <c r="C25" s="62">
        <f>BS!C29</f>
        <v>150</v>
      </c>
      <c r="D25" s="62">
        <f>BS!D29-CF!C25</f>
        <v>7.5</v>
      </c>
      <c r="E25" s="62">
        <f>BS!E29-BS!D29</f>
        <v>-7.875</v>
      </c>
      <c r="F25" s="62">
        <f>BS!F29-BS!E29</f>
        <v>7.4812500000000171</v>
      </c>
      <c r="G25" s="62">
        <f>BS!G29-BS!F29</f>
        <v>-7.8553124999999966</v>
      </c>
      <c r="H25" s="62">
        <f>BS!H29-BS!G29</f>
        <v>7.4625468750000152</v>
      </c>
      <c r="I25" s="62">
        <v>0.55000000000000004</v>
      </c>
      <c r="J25" s="62">
        <f>BS!I29-BS!H29</f>
        <v>-7.8356742187500004</v>
      </c>
      <c r="K25" s="62">
        <f>BS!K29-BS!J29</f>
        <v>-7.8160850332031373</v>
      </c>
      <c r="L25" s="62">
        <f>BS!L29-BS!K29</f>
        <v>7.4252807815429662</v>
      </c>
    </row>
    <row r="26" spans="1:13" ht="14" x14ac:dyDescent="0.3">
      <c r="A26" s="30"/>
      <c r="B26" s="18" t="s">
        <v>405</v>
      </c>
      <c r="C26" s="62">
        <f>'P&amp;L'!D54</f>
        <v>0</v>
      </c>
      <c r="D26" s="62">
        <f>'P&amp;L'!E54</f>
        <v>0</v>
      </c>
      <c r="E26" s="62">
        <f>'P&amp;L'!F54</f>
        <v>17418.643476422698</v>
      </c>
      <c r="F26" s="62">
        <f>'P&amp;L'!G54</f>
        <v>16888.97966183786</v>
      </c>
      <c r="G26" s="62">
        <f>'P&amp;L'!H54</f>
        <v>21508.331154196443</v>
      </c>
      <c r="H26" s="62">
        <f>'P&amp;L'!I54</f>
        <v>20469.791149837507</v>
      </c>
      <c r="I26" s="62">
        <f>'P&amp;L'!J54</f>
        <v>22199.322828830045</v>
      </c>
      <c r="J26" s="62">
        <f>'P&amp;L'!K54</f>
        <v>20727.325529788635</v>
      </c>
      <c r="K26" s="62">
        <f>'P&amp;L'!L54</f>
        <v>22202.274738936154</v>
      </c>
      <c r="L26" s="62">
        <f>'P&amp;L'!M54</f>
        <v>20103.523705742246</v>
      </c>
    </row>
    <row r="27" spans="1:13" ht="14" x14ac:dyDescent="0.3">
      <c r="A27" s="30"/>
      <c r="B27" s="26" t="s">
        <v>406</v>
      </c>
      <c r="C27" s="68">
        <f t="shared" ref="C27:L27" si="1">SUM(C20:C26)</f>
        <v>27964.999980000001</v>
      </c>
      <c r="D27" s="68">
        <f t="shared" si="1"/>
        <v>67.5</v>
      </c>
      <c r="E27" s="68">
        <f t="shared" si="1"/>
        <v>17602.768476422698</v>
      </c>
      <c r="F27" s="68">
        <f t="shared" si="1"/>
        <v>17134.460911837861</v>
      </c>
      <c r="G27" s="68">
        <f t="shared" si="1"/>
        <v>21784.475841696443</v>
      </c>
      <c r="H27" s="68">
        <f t="shared" si="1"/>
        <v>20807.253696712505</v>
      </c>
      <c r="I27" s="68">
        <f t="shared" si="1"/>
        <v>22575.872828830044</v>
      </c>
      <c r="J27" s="68">
        <f t="shared" si="1"/>
        <v>21141.489855569886</v>
      </c>
      <c r="K27" s="68">
        <f t="shared" si="1"/>
        <v>22642.458653902951</v>
      </c>
      <c r="L27" s="68">
        <f t="shared" si="1"/>
        <v>20580.948986523788</v>
      </c>
    </row>
    <row r="28" spans="1:13" ht="14" x14ac:dyDescent="0.3">
      <c r="A28" s="30"/>
      <c r="B28" s="18" t="s">
        <v>407</v>
      </c>
      <c r="C28" s="62">
        <f t="shared" ref="C28:L28" si="2">C17-C27</f>
        <v>48696.480040000002</v>
      </c>
      <c r="D28" s="62">
        <f t="shared" si="2"/>
        <v>56837.272704999996</v>
      </c>
      <c r="E28" s="62">
        <f t="shared" si="2"/>
        <v>49510.678351827286</v>
      </c>
      <c r="F28" s="62">
        <f t="shared" si="2"/>
        <v>53547.90365082465</v>
      </c>
      <c r="G28" s="62">
        <f t="shared" si="2"/>
        <v>68043.38576309917</v>
      </c>
      <c r="H28" s="62">
        <f>H17-H27</f>
        <v>73633.672974322908</v>
      </c>
      <c r="I28" s="62">
        <f t="shared" si="2"/>
        <v>85279.507936539623</v>
      </c>
      <c r="J28" s="62">
        <f t="shared" si="2"/>
        <v>92341.608433334579</v>
      </c>
      <c r="K28" s="62">
        <f t="shared" si="2"/>
        <v>105812.66374277865</v>
      </c>
      <c r="L28" s="62">
        <f t="shared" si="2"/>
        <v>114289.38081412917</v>
      </c>
    </row>
    <row r="29" spans="1:13" ht="14" x14ac:dyDescent="0.3">
      <c r="A29" s="30"/>
      <c r="B29" s="18" t="s">
        <v>408</v>
      </c>
      <c r="C29" s="49">
        <v>0</v>
      </c>
      <c r="D29" s="62">
        <f t="shared" ref="D29:J29" si="3">C30</f>
        <v>48490.48</v>
      </c>
      <c r="E29" s="62">
        <f t="shared" si="3"/>
        <v>57745.871464999997</v>
      </c>
      <c r="F29" s="62">
        <f t="shared" si="3"/>
        <v>36243.515937757293</v>
      </c>
      <c r="G29" s="62">
        <f t="shared" si="3"/>
        <v>34753.450500554674</v>
      </c>
      <c r="H29" s="62">
        <f t="shared" si="3"/>
        <v>42943.755103852367</v>
      </c>
      <c r="I29" s="62">
        <f t="shared" si="3"/>
        <v>40672.41401814155</v>
      </c>
      <c r="J29" s="62">
        <f t="shared" si="3"/>
        <v>43610.382678986869</v>
      </c>
      <c r="K29" s="62">
        <f>J30</f>
        <v>40632.461741534629</v>
      </c>
      <c r="L29" s="62">
        <f>K30</f>
        <v>43176.8556454149</v>
      </c>
    </row>
    <row r="30" spans="1:13" ht="14" x14ac:dyDescent="0.3">
      <c r="A30" s="30"/>
      <c r="B30" s="366" t="s">
        <v>395</v>
      </c>
      <c r="C30" s="367">
        <f>BS!C31</f>
        <v>48490.48</v>
      </c>
      <c r="D30" s="367">
        <f>BS!D31</f>
        <v>57745.871464999997</v>
      </c>
      <c r="E30" s="367">
        <f>BS!E31</f>
        <v>36243.515937757293</v>
      </c>
      <c r="F30" s="367">
        <f>BS!F31</f>
        <v>34753.450500554674</v>
      </c>
      <c r="G30" s="367">
        <f>BS!G31</f>
        <v>42943.755103852367</v>
      </c>
      <c r="H30" s="367">
        <f>BS!H31</f>
        <v>40672.41401814155</v>
      </c>
      <c r="I30" s="367">
        <f>BS!I31</f>
        <v>43610.382678986869</v>
      </c>
      <c r="J30" s="367">
        <f>BS!J31</f>
        <v>40632.461741534629</v>
      </c>
      <c r="K30" s="367">
        <f>BS!K31</f>
        <v>43176.8556454149</v>
      </c>
      <c r="L30" s="367">
        <f>BS!L31</f>
        <v>39097.594236997524</v>
      </c>
    </row>
    <row r="31" spans="1:13" ht="14" x14ac:dyDescent="0.3">
      <c r="A31" s="119"/>
      <c r="B31" s="220"/>
      <c r="C31" s="119"/>
      <c r="D31" s="119"/>
      <c r="E31" s="119"/>
      <c r="F31" s="119"/>
      <c r="G31" s="119"/>
    </row>
    <row r="32" spans="1:13" ht="14" x14ac:dyDescent="0.3">
      <c r="B32" s="18"/>
      <c r="C32" s="33">
        <f>C30-BS!C31</f>
        <v>0</v>
      </c>
      <c r="D32" s="33">
        <f>D30-BS!D31</f>
        <v>0</v>
      </c>
      <c r="E32" s="33">
        <f>E30-BS!E31</f>
        <v>0</v>
      </c>
      <c r="F32" s="33">
        <f>F30-BS!F31</f>
        <v>0</v>
      </c>
      <c r="G32" s="33">
        <f>G30-BS!G31</f>
        <v>0</v>
      </c>
      <c r="H32" s="33">
        <f>H30-BS!H31</f>
        <v>0</v>
      </c>
      <c r="I32" s="33">
        <f>I30-BS!I31</f>
        <v>0</v>
      </c>
      <c r="J32" s="33">
        <f>J30-BS!J31</f>
        <v>0</v>
      </c>
      <c r="K32" s="33">
        <f>K30-BS!K31</f>
        <v>0</v>
      </c>
      <c r="L32" s="33">
        <f>L30-BS!L31</f>
        <v>0</v>
      </c>
    </row>
    <row r="33" spans="3:12" x14ac:dyDescent="0.25">
      <c r="C33" s="33"/>
      <c r="D33" s="33"/>
      <c r="E33" s="33"/>
      <c r="F33" s="33"/>
      <c r="G33" s="33"/>
      <c r="H33" s="33"/>
      <c r="I33" s="33"/>
      <c r="J33" s="33"/>
      <c r="K33" s="33"/>
      <c r="L33" s="33"/>
    </row>
    <row r="36" spans="3:12" x14ac:dyDescent="0.25">
      <c r="C36" s="33"/>
      <c r="D36" s="33"/>
      <c r="E36" s="33"/>
      <c r="F36" s="33"/>
      <c r="G36" s="33"/>
      <c r="H36" s="33"/>
      <c r="I36" s="33"/>
      <c r="J36" s="33"/>
      <c r="K36" s="33"/>
      <c r="L36" s="33"/>
    </row>
    <row r="37" spans="3:12" x14ac:dyDescent="0.25">
      <c r="H37" s="33"/>
    </row>
  </sheetData>
  <sheetProtection selectLockedCells="1" selectUnlockedCells="1"/>
  <mergeCells count="4">
    <mergeCell ref="A1:L1"/>
    <mergeCell ref="A2:L2"/>
    <mergeCell ref="A6:L6"/>
    <mergeCell ref="A8:G8"/>
  </mergeCells>
  <pageMargins left="0.77986111111111112" right="0.25" top="1" bottom="1" header="0.51180555555555562" footer="0.51180555555555562"/>
  <pageSetup scale="82" firstPageNumber="0" orientation="portrait" horizontalDpi="300" verticalDpi="300"/>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58"/>
  <sheetViews>
    <sheetView showGridLines="0" tabSelected="1" topLeftCell="A32" workbookViewId="0">
      <selection activeCell="N51" sqref="N51"/>
    </sheetView>
  </sheetViews>
  <sheetFormatPr defaultRowHeight="12.5" x14ac:dyDescent="0.25"/>
  <cols>
    <col min="2" max="2" width="28.81640625" customWidth="1"/>
    <col min="3" max="3" width="3.1796875" customWidth="1"/>
    <col min="4" max="4" width="3.81640625" customWidth="1"/>
    <col min="5" max="5" width="4" customWidth="1"/>
    <col min="7" max="7" width="14.1796875" customWidth="1"/>
    <col min="8" max="8" width="6.1796875" customWidth="1"/>
    <col min="9" max="11" width="0" hidden="1" customWidth="1"/>
  </cols>
  <sheetData>
    <row r="1" spans="1:11" ht="13" x14ac:dyDescent="0.3">
      <c r="A1" s="581">
        <f>intt.!A1</f>
        <v>0</v>
      </c>
      <c r="B1" s="581"/>
      <c r="C1" s="581"/>
      <c r="D1" s="581"/>
      <c r="E1" s="581"/>
      <c r="F1" s="581"/>
      <c r="G1" s="581"/>
      <c r="H1" s="60"/>
      <c r="I1" s="60"/>
      <c r="J1" s="60"/>
      <c r="K1" s="60"/>
    </row>
    <row r="2" spans="1:11" ht="13" x14ac:dyDescent="0.3">
      <c r="A2" s="581">
        <f>'P&amp;L'!A2:K2</f>
        <v>0</v>
      </c>
      <c r="B2" s="581"/>
      <c r="C2" s="581"/>
      <c r="D2" s="581"/>
      <c r="E2" s="581"/>
      <c r="F2" s="581"/>
      <c r="G2" s="581"/>
      <c r="H2" s="60"/>
      <c r="I2" s="60"/>
      <c r="J2" s="60"/>
      <c r="K2" s="60"/>
    </row>
    <row r="3" spans="1:11" ht="13" x14ac:dyDescent="0.3">
      <c r="A3" s="35"/>
      <c r="B3" s="35"/>
      <c r="C3" s="35"/>
      <c r="D3" s="35"/>
      <c r="E3" s="35"/>
      <c r="F3" s="35"/>
      <c r="G3" s="35"/>
      <c r="H3" s="60"/>
      <c r="I3" s="60"/>
      <c r="J3" s="60"/>
      <c r="K3" s="60"/>
    </row>
    <row r="4" spans="1:11" ht="14" x14ac:dyDescent="0.3">
      <c r="A4" s="18" t="s">
        <v>409</v>
      </c>
      <c r="B4" s="18"/>
      <c r="C4" s="32"/>
      <c r="D4" s="18"/>
      <c r="E4" s="18"/>
      <c r="F4" s="18"/>
      <c r="G4" s="18"/>
      <c r="H4" s="18"/>
      <c r="I4" s="18"/>
    </row>
    <row r="5" spans="1:11" ht="14" x14ac:dyDescent="0.3">
      <c r="A5" s="18"/>
      <c r="B5" s="18"/>
      <c r="C5" s="32"/>
      <c r="D5" s="18"/>
      <c r="E5" s="18"/>
      <c r="F5" s="18"/>
      <c r="G5" s="18"/>
      <c r="H5" s="18"/>
      <c r="I5" s="18"/>
    </row>
    <row r="6" spans="1:11" ht="14" x14ac:dyDescent="0.3">
      <c r="A6" s="565" t="s">
        <v>410</v>
      </c>
      <c r="B6" s="565"/>
      <c r="C6" s="565"/>
      <c r="D6" s="565"/>
      <c r="E6" s="565"/>
      <c r="F6" s="565"/>
      <c r="G6" s="565"/>
      <c r="H6" s="18"/>
      <c r="I6" s="18"/>
    </row>
    <row r="7" spans="1:11" ht="14" x14ac:dyDescent="0.3">
      <c r="A7" s="565"/>
      <c r="B7" s="565"/>
      <c r="C7" s="565"/>
      <c r="D7" s="565"/>
      <c r="E7" s="565"/>
      <c r="F7" s="565"/>
      <c r="G7" s="565"/>
      <c r="H7" s="565"/>
      <c r="I7" s="565"/>
    </row>
    <row r="9" spans="1:11" ht="13" x14ac:dyDescent="0.3">
      <c r="A9" s="73" t="s">
        <v>82</v>
      </c>
      <c r="B9" s="74" t="s">
        <v>83</v>
      </c>
      <c r="C9" s="74"/>
      <c r="D9" s="74"/>
      <c r="E9" s="74"/>
      <c r="F9" s="74"/>
      <c r="G9" s="221" t="s">
        <v>151</v>
      </c>
    </row>
    <row r="10" spans="1:11" ht="13" x14ac:dyDescent="0.3">
      <c r="A10" s="135"/>
      <c r="B10" s="76"/>
      <c r="C10" s="76"/>
      <c r="D10" s="76"/>
      <c r="E10" s="76"/>
      <c r="F10" s="76"/>
      <c r="G10" s="222" t="s">
        <v>257</v>
      </c>
    </row>
    <row r="11" spans="1:11" x14ac:dyDescent="0.25">
      <c r="A11" s="79" t="s">
        <v>300</v>
      </c>
      <c r="B11" s="223" t="s">
        <v>411</v>
      </c>
      <c r="G11" s="49"/>
    </row>
    <row r="12" spans="1:11" x14ac:dyDescent="0.25">
      <c r="A12" s="79"/>
      <c r="G12" s="49"/>
    </row>
    <row r="13" spans="1:11" x14ac:dyDescent="0.25">
      <c r="A13" s="79"/>
      <c r="B13" t="s">
        <v>412</v>
      </c>
      <c r="G13" s="219">
        <f>'P&amp;L'!D25</f>
        <v>940</v>
      </c>
    </row>
    <row r="14" spans="1:11" x14ac:dyDescent="0.25">
      <c r="A14" s="79"/>
      <c r="G14" s="139"/>
    </row>
    <row r="15" spans="1:11" x14ac:dyDescent="0.25">
      <c r="A15" s="79"/>
      <c r="B15" t="s">
        <v>413</v>
      </c>
      <c r="G15" s="219">
        <f>'P&amp;L'!G29*30/100</f>
        <v>390.3</v>
      </c>
    </row>
    <row r="16" spans="1:11" x14ac:dyDescent="0.25">
      <c r="A16" s="79"/>
      <c r="G16" s="139"/>
    </row>
    <row r="17" spans="1:8" x14ac:dyDescent="0.25">
      <c r="A17" s="79"/>
      <c r="B17" s="102" t="s">
        <v>414</v>
      </c>
      <c r="G17" s="219">
        <f>'P&amp;L'!G30*50/100</f>
        <v>55.564999999999998</v>
      </c>
    </row>
    <row r="18" spans="1:8" x14ac:dyDescent="0.25">
      <c r="A18" s="79"/>
      <c r="G18" s="139"/>
    </row>
    <row r="19" spans="1:8" x14ac:dyDescent="0.25">
      <c r="A19" s="79"/>
      <c r="B19" t="s">
        <v>415</v>
      </c>
      <c r="G19" s="219">
        <f>'P&amp;L'!G33</f>
        <v>415.35</v>
      </c>
    </row>
    <row r="20" spans="1:8" x14ac:dyDescent="0.25">
      <c r="A20" s="79"/>
      <c r="G20" s="139"/>
    </row>
    <row r="21" spans="1:8" x14ac:dyDescent="0.25">
      <c r="A21" s="79"/>
      <c r="B21" s="102" t="s">
        <v>416</v>
      </c>
      <c r="G21" s="219">
        <f>SUM('P&amp;L'!G34:G38)*30/100</f>
        <v>238.40604220125002</v>
      </c>
    </row>
    <row r="22" spans="1:8" x14ac:dyDescent="0.25">
      <c r="A22" s="79"/>
      <c r="G22" s="139"/>
    </row>
    <row r="23" spans="1:8" ht="13" x14ac:dyDescent="0.3">
      <c r="A23" s="79"/>
      <c r="B23" s="60" t="s">
        <v>292</v>
      </c>
      <c r="C23" s="60"/>
      <c r="D23" s="60"/>
      <c r="E23" s="60"/>
      <c r="F23" s="60"/>
      <c r="G23" s="224">
        <f>SUM(G13:G22)</f>
        <v>2039.6210422012502</v>
      </c>
      <c r="H23" s="33"/>
    </row>
    <row r="24" spans="1:8" x14ac:dyDescent="0.25">
      <c r="A24" s="79"/>
      <c r="G24" s="49"/>
    </row>
    <row r="25" spans="1:8" x14ac:dyDescent="0.25">
      <c r="A25" s="79" t="s">
        <v>307</v>
      </c>
      <c r="B25" s="223" t="s">
        <v>417</v>
      </c>
      <c r="G25" s="49"/>
    </row>
    <row r="26" spans="1:8" x14ac:dyDescent="0.25">
      <c r="A26" s="79"/>
      <c r="G26" s="49"/>
    </row>
    <row r="27" spans="1:8" x14ac:dyDescent="0.25">
      <c r="A27" s="79"/>
      <c r="B27" t="s">
        <v>418</v>
      </c>
      <c r="G27" s="219">
        <f>'P&amp;L'!G29-BEP!G15</f>
        <v>910.7</v>
      </c>
    </row>
    <row r="28" spans="1:8" x14ac:dyDescent="0.25">
      <c r="A28" s="79"/>
      <c r="G28" s="219"/>
    </row>
    <row r="29" spans="1:8" x14ac:dyDescent="0.25">
      <c r="A29" s="79"/>
      <c r="B29" t="s">
        <v>419</v>
      </c>
      <c r="G29" s="219">
        <f>'P&amp;L'!G27</f>
        <v>1297.92</v>
      </c>
    </row>
    <row r="30" spans="1:8" x14ac:dyDescent="0.25">
      <c r="A30" s="79"/>
      <c r="G30" s="219"/>
    </row>
    <row r="31" spans="1:8" x14ac:dyDescent="0.25">
      <c r="A31" s="79"/>
      <c r="B31" s="102" t="s">
        <v>420</v>
      </c>
      <c r="G31" s="219">
        <f>'P&amp;L'!G35</f>
        <v>41.674499999999995</v>
      </c>
    </row>
    <row r="32" spans="1:8" x14ac:dyDescent="0.25">
      <c r="A32" s="79"/>
      <c r="G32" s="56"/>
    </row>
    <row r="33" spans="1:7" x14ac:dyDescent="0.25">
      <c r="A33" s="79"/>
      <c r="B33" s="102" t="s">
        <v>414</v>
      </c>
      <c r="G33" s="219">
        <f>'P&amp;L'!G30-BEP!G17</f>
        <v>55.564999999999998</v>
      </c>
    </row>
    <row r="34" spans="1:7" x14ac:dyDescent="0.25">
      <c r="A34" s="79"/>
      <c r="G34" s="139"/>
    </row>
    <row r="35" spans="1:7" x14ac:dyDescent="0.25">
      <c r="A35" s="79"/>
      <c r="B35" t="s">
        <v>421</v>
      </c>
      <c r="G35" s="219">
        <f>'P&amp;L'!G47</f>
        <v>2484.5696841843751</v>
      </c>
    </row>
    <row r="36" spans="1:7" x14ac:dyDescent="0.25">
      <c r="A36" s="79"/>
      <c r="G36" s="139"/>
    </row>
    <row r="37" spans="1:7" x14ac:dyDescent="0.25">
      <c r="A37" s="79"/>
      <c r="B37" t="s">
        <v>422</v>
      </c>
      <c r="G37" s="219">
        <f>'P&amp;L'!G43</f>
        <v>826.30237999999997</v>
      </c>
    </row>
    <row r="38" spans="1:7" x14ac:dyDescent="0.25">
      <c r="A38" s="79"/>
      <c r="G38" s="139"/>
    </row>
    <row r="39" spans="1:7" x14ac:dyDescent="0.25">
      <c r="A39" s="79"/>
      <c r="B39" s="102" t="s">
        <v>423</v>
      </c>
      <c r="G39" s="219">
        <f>SUM('P&amp;L'!G34:G38)-BEP!G21</f>
        <v>556.28076513625012</v>
      </c>
    </row>
    <row r="40" spans="1:7" x14ac:dyDescent="0.25">
      <c r="A40" s="79"/>
      <c r="B40" s="102"/>
      <c r="G40" s="219"/>
    </row>
    <row r="41" spans="1:7" x14ac:dyDescent="0.25">
      <c r="A41" s="79"/>
      <c r="B41" t="s">
        <v>424</v>
      </c>
      <c r="G41" s="219">
        <f>'P&amp;L'!G37</f>
        <v>710.45930733750015</v>
      </c>
    </row>
    <row r="42" spans="1:7" x14ac:dyDescent="0.25">
      <c r="A42" s="79"/>
      <c r="G42" s="219"/>
    </row>
    <row r="43" spans="1:7" ht="13" x14ac:dyDescent="0.3">
      <c r="A43" s="79"/>
      <c r="B43" s="60" t="s">
        <v>292</v>
      </c>
      <c r="C43" s="60"/>
      <c r="D43" s="60"/>
      <c r="E43" s="60"/>
      <c r="F43" s="60"/>
      <c r="G43" s="224">
        <f>SUM(G27:G41)</f>
        <v>6883.4716366581251</v>
      </c>
    </row>
    <row r="44" spans="1:7" x14ac:dyDescent="0.25">
      <c r="A44" s="79"/>
      <c r="G44" s="49"/>
    </row>
    <row r="45" spans="1:7" x14ac:dyDescent="0.25">
      <c r="A45" s="79" t="s">
        <v>313</v>
      </c>
      <c r="B45" s="223" t="s">
        <v>425</v>
      </c>
      <c r="G45" s="49"/>
    </row>
    <row r="46" spans="1:7" x14ac:dyDescent="0.25">
      <c r="A46" s="79"/>
      <c r="G46" s="49"/>
    </row>
    <row r="47" spans="1:7" x14ac:dyDescent="0.25">
      <c r="A47" s="79"/>
      <c r="B47" t="s">
        <v>426</v>
      </c>
      <c r="F47" s="33">
        <f>'P&amp;L'!G18</f>
        <v>76578.897500000006</v>
      </c>
      <c r="G47" s="49"/>
    </row>
    <row r="48" spans="1:7" x14ac:dyDescent="0.25">
      <c r="A48" s="79"/>
      <c r="B48" t="s">
        <v>427</v>
      </c>
      <c r="F48" s="34">
        <f>G23</f>
        <v>2039.6210422012502</v>
      </c>
      <c r="G48" s="219">
        <f>F47-F48</f>
        <v>74539.276457798755</v>
      </c>
    </row>
    <row r="49" spans="1:12" x14ac:dyDescent="0.25">
      <c r="A49" s="79"/>
      <c r="G49" s="56"/>
    </row>
    <row r="50" spans="1:12" x14ac:dyDescent="0.25">
      <c r="A50" s="79"/>
      <c r="G50" s="56"/>
    </row>
    <row r="51" spans="1:12" s="351" customFormat="1" x14ac:dyDescent="0.25">
      <c r="A51" s="368" t="s">
        <v>317</v>
      </c>
      <c r="B51" s="369" t="s">
        <v>428</v>
      </c>
      <c r="C51" s="369"/>
      <c r="D51" s="369"/>
      <c r="E51" s="369"/>
      <c r="F51" s="369"/>
      <c r="G51" s="370">
        <f>G43/G48*F47</f>
        <v>7071.8243315152058</v>
      </c>
      <c r="L51" s="351" t="s">
        <v>448</v>
      </c>
    </row>
    <row r="52" spans="1:12" x14ac:dyDescent="0.25">
      <c r="A52" s="82"/>
      <c r="B52" s="23"/>
      <c r="C52" s="23"/>
      <c r="D52" s="23"/>
      <c r="E52" s="23"/>
      <c r="F52" s="23"/>
      <c r="G52" s="155"/>
    </row>
    <row r="53" spans="1:12" x14ac:dyDescent="0.25">
      <c r="A53" s="81"/>
    </row>
    <row r="54" spans="1:12" x14ac:dyDescent="0.25">
      <c r="A54" s="81"/>
    </row>
    <row r="55" spans="1:12" x14ac:dyDescent="0.25">
      <c r="A55" s="81"/>
    </row>
    <row r="56" spans="1:12" x14ac:dyDescent="0.25">
      <c r="A56" s="81"/>
    </row>
    <row r="57" spans="1:12" x14ac:dyDescent="0.25">
      <c r="A57" s="81"/>
    </row>
    <row r="58" spans="1:12" x14ac:dyDescent="0.25">
      <c r="A58" s="81"/>
    </row>
  </sheetData>
  <sheetProtection selectLockedCells="1" selectUnlockedCells="1"/>
  <mergeCells count="4">
    <mergeCell ref="A1:G1"/>
    <mergeCell ref="A2:G2"/>
    <mergeCell ref="A6:G6"/>
    <mergeCell ref="A7:I7"/>
  </mergeCells>
  <pageMargins left="1.0597222222222222" right="0.75" top="0.77986111111111112" bottom="1" header="0.51180555555555562" footer="0.51180555555555562"/>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7"/>
  <sheetViews>
    <sheetView showGridLines="0" workbookViewId="0">
      <selection activeCell="K1" sqref="K1"/>
    </sheetView>
  </sheetViews>
  <sheetFormatPr defaultRowHeight="12.5" x14ac:dyDescent="0.25"/>
  <sheetData>
    <row r="1" spans="1:9" ht="15.5" x14ac:dyDescent="0.35">
      <c r="A1" s="555" t="s">
        <v>2</v>
      </c>
      <c r="B1" s="555"/>
      <c r="C1" s="555"/>
      <c r="D1" s="555"/>
      <c r="E1" s="555"/>
      <c r="F1" s="555"/>
      <c r="G1" s="555"/>
      <c r="H1" s="555"/>
      <c r="I1" s="555"/>
    </row>
    <row r="2" spans="1:9" ht="15.5" x14ac:dyDescent="0.35">
      <c r="A2" s="16"/>
      <c r="B2" s="16"/>
      <c r="C2" s="16"/>
      <c r="D2" s="16"/>
      <c r="E2" s="16"/>
      <c r="F2" s="16"/>
      <c r="G2" s="16"/>
      <c r="H2" s="16"/>
      <c r="I2" s="16"/>
    </row>
    <row r="4" spans="1:9" ht="15.5" x14ac:dyDescent="0.35">
      <c r="A4" s="556" t="s">
        <v>3</v>
      </c>
      <c r="B4" s="556"/>
      <c r="C4" s="556"/>
      <c r="D4" s="556"/>
      <c r="E4" s="556"/>
      <c r="F4" s="556"/>
      <c r="G4" s="556"/>
      <c r="H4" s="556"/>
      <c r="I4" s="556"/>
    </row>
    <row r="5" spans="1:9" ht="14" x14ac:dyDescent="0.3">
      <c r="A5" s="17"/>
      <c r="B5" s="18"/>
      <c r="C5" s="18"/>
      <c r="D5" s="18"/>
      <c r="E5" s="18"/>
      <c r="F5" s="18"/>
      <c r="G5" s="18"/>
      <c r="H5" s="18"/>
      <c r="I5" s="19"/>
    </row>
    <row r="6" spans="1:9" ht="14" x14ac:dyDescent="0.3">
      <c r="A6" s="554" t="s">
        <v>4</v>
      </c>
      <c r="B6" s="554"/>
      <c r="C6" s="18"/>
      <c r="D6" s="18" t="s">
        <v>5</v>
      </c>
      <c r="F6" s="18"/>
      <c r="G6" s="18"/>
      <c r="H6" s="18"/>
      <c r="I6" s="19"/>
    </row>
    <row r="7" spans="1:9" ht="14" x14ac:dyDescent="0.3">
      <c r="A7" s="17"/>
      <c r="B7" s="18"/>
      <c r="C7" s="18"/>
      <c r="D7" s="18"/>
      <c r="F7" s="18"/>
      <c r="G7" s="18"/>
      <c r="H7" s="18"/>
      <c r="I7" s="19"/>
    </row>
    <row r="8" spans="1:9" ht="14" x14ac:dyDescent="0.3">
      <c r="A8" s="554" t="s">
        <v>6</v>
      </c>
      <c r="B8" s="554"/>
      <c r="C8" s="18"/>
      <c r="D8" s="18" t="s">
        <v>7</v>
      </c>
      <c r="F8" s="18"/>
      <c r="G8" s="18"/>
      <c r="H8" s="18"/>
      <c r="I8" s="19"/>
    </row>
    <row r="9" spans="1:9" ht="14" x14ac:dyDescent="0.3">
      <c r="A9" s="17"/>
      <c r="B9" s="18"/>
      <c r="C9" s="18"/>
      <c r="D9" s="18"/>
      <c r="F9" s="18"/>
      <c r="G9" s="18"/>
      <c r="H9" s="18"/>
      <c r="I9" s="19"/>
    </row>
    <row r="10" spans="1:9" ht="14" x14ac:dyDescent="0.3">
      <c r="A10" s="554" t="s">
        <v>8</v>
      </c>
      <c r="B10" s="554"/>
      <c r="C10" s="18"/>
      <c r="D10" s="21" t="s">
        <v>9</v>
      </c>
      <c r="F10" s="18"/>
      <c r="G10" s="18"/>
      <c r="H10" s="18"/>
      <c r="I10" s="19"/>
    </row>
    <row r="11" spans="1:9" ht="14" x14ac:dyDescent="0.3">
      <c r="A11" s="17"/>
      <c r="B11" s="18"/>
      <c r="C11" s="18"/>
      <c r="D11" s="18"/>
      <c r="F11" s="18"/>
      <c r="G11" s="18"/>
      <c r="H11" s="18"/>
      <c r="I11" s="19"/>
    </row>
    <row r="12" spans="1:9" ht="14" x14ac:dyDescent="0.3">
      <c r="A12" s="554" t="s">
        <v>10</v>
      </c>
      <c r="B12" s="554"/>
      <c r="C12" s="18"/>
      <c r="D12" s="21" t="s">
        <v>11</v>
      </c>
      <c r="F12" s="18"/>
      <c r="G12" s="18"/>
      <c r="H12" s="18"/>
      <c r="I12" s="19"/>
    </row>
    <row r="13" spans="1:9" ht="14" x14ac:dyDescent="0.3">
      <c r="A13" s="17"/>
      <c r="B13" s="18"/>
      <c r="C13" s="18"/>
      <c r="D13" s="18"/>
      <c r="F13" s="18"/>
      <c r="G13" s="18"/>
      <c r="H13" s="18"/>
      <c r="I13" s="19"/>
    </row>
    <row r="14" spans="1:9" ht="14" x14ac:dyDescent="0.3">
      <c r="A14" s="554" t="s">
        <v>12</v>
      </c>
      <c r="B14" s="554"/>
      <c r="C14" s="18"/>
      <c r="D14" s="18" t="s">
        <v>13</v>
      </c>
      <c r="F14" s="18"/>
      <c r="G14" s="18"/>
      <c r="H14" s="18"/>
      <c r="I14" s="19"/>
    </row>
    <row r="15" spans="1:9" ht="14" x14ac:dyDescent="0.3">
      <c r="A15" s="17"/>
      <c r="B15" s="18"/>
      <c r="C15" s="18"/>
      <c r="D15" s="18"/>
      <c r="F15" s="18"/>
      <c r="G15" s="18"/>
      <c r="H15" s="18"/>
      <c r="I15" s="19"/>
    </row>
    <row r="16" spans="1:9" ht="14" x14ac:dyDescent="0.3">
      <c r="A16" s="554" t="s">
        <v>14</v>
      </c>
      <c r="B16" s="554"/>
      <c r="C16" s="18"/>
      <c r="D16" s="18" t="s">
        <v>15</v>
      </c>
      <c r="F16" s="18"/>
      <c r="G16" s="18"/>
      <c r="H16" s="18"/>
      <c r="I16" s="19"/>
    </row>
    <row r="17" spans="1:10" ht="14" x14ac:dyDescent="0.3">
      <c r="A17" s="17"/>
      <c r="B17" s="18"/>
      <c r="C17" s="18"/>
      <c r="D17" s="18"/>
      <c r="E17" s="18"/>
      <c r="F17" s="18"/>
      <c r="G17" s="18"/>
      <c r="H17" s="18"/>
      <c r="I17" s="19"/>
    </row>
    <row r="18" spans="1:10" ht="14.25" customHeight="1" x14ac:dyDescent="0.3">
      <c r="A18" s="554"/>
      <c r="B18" s="554"/>
      <c r="C18" s="18"/>
      <c r="D18" s="18"/>
      <c r="E18" s="18"/>
      <c r="F18" s="18"/>
      <c r="G18" s="18"/>
      <c r="H18" s="18"/>
      <c r="I18" s="19"/>
    </row>
    <row r="19" spans="1:10" ht="15" customHeight="1" x14ac:dyDescent="0.3">
      <c r="A19" s="557" t="s">
        <v>16</v>
      </c>
      <c r="B19" s="557"/>
      <c r="C19" s="557"/>
      <c r="D19" s="557"/>
      <c r="E19" s="557"/>
      <c r="F19" s="557"/>
      <c r="G19" s="557"/>
      <c r="H19" s="557"/>
      <c r="I19" s="557"/>
    </row>
    <row r="20" spans="1:10" ht="14.25" customHeight="1" x14ac:dyDescent="0.3">
      <c r="A20" s="554"/>
      <c r="B20" s="554"/>
      <c r="C20" s="18"/>
      <c r="D20" s="18"/>
      <c r="E20" s="18"/>
      <c r="F20" s="18"/>
      <c r="G20" s="18"/>
      <c r="H20" s="18"/>
      <c r="I20" s="19"/>
    </row>
    <row r="21" spans="1:10" ht="14" x14ac:dyDescent="0.3">
      <c r="A21" s="17"/>
      <c r="B21" s="18"/>
      <c r="C21" s="18"/>
      <c r="D21" s="18"/>
      <c r="E21" s="18"/>
      <c r="F21" s="18"/>
      <c r="G21" s="18"/>
      <c r="H21" s="18"/>
      <c r="I21" s="19"/>
      <c r="J21" s="18"/>
    </row>
    <row r="22" spans="1:10" ht="14.25" customHeight="1" x14ac:dyDescent="0.3">
      <c r="A22" s="554" t="s">
        <v>4</v>
      </c>
      <c r="B22" s="554"/>
      <c r="C22" s="18"/>
      <c r="D22" s="18" t="s">
        <v>17</v>
      </c>
      <c r="E22" s="18"/>
      <c r="F22" s="18"/>
      <c r="G22" s="18"/>
      <c r="H22" s="18"/>
      <c r="I22" s="19"/>
    </row>
    <row r="23" spans="1:10" ht="14" x14ac:dyDescent="0.3">
      <c r="A23" s="17"/>
      <c r="B23" s="18"/>
      <c r="C23" s="18"/>
      <c r="D23" s="18"/>
      <c r="E23" s="18"/>
      <c r="F23" s="18"/>
      <c r="G23" s="18"/>
      <c r="H23" s="18"/>
      <c r="I23" s="19"/>
    </row>
    <row r="24" spans="1:10" ht="14" x14ac:dyDescent="0.3">
      <c r="A24" s="554" t="s">
        <v>6</v>
      </c>
      <c r="B24" s="554"/>
      <c r="C24" s="18"/>
      <c r="D24" s="18" t="s">
        <v>18</v>
      </c>
      <c r="E24" s="18"/>
      <c r="F24" s="18"/>
      <c r="G24" s="18"/>
      <c r="H24" s="18"/>
      <c r="I24" s="19"/>
    </row>
    <row r="25" spans="1:10" ht="14" x14ac:dyDescent="0.3">
      <c r="A25" s="17"/>
      <c r="B25" s="18"/>
      <c r="C25" s="18"/>
      <c r="D25" s="18"/>
      <c r="E25" s="18"/>
      <c r="F25" s="18"/>
      <c r="G25" s="18"/>
      <c r="H25" s="18"/>
      <c r="I25" s="19"/>
    </row>
    <row r="26" spans="1:10" ht="14" x14ac:dyDescent="0.3">
      <c r="A26" s="554" t="s">
        <v>8</v>
      </c>
      <c r="B26" s="554"/>
      <c r="C26" s="18"/>
      <c r="D26" s="18" t="s">
        <v>19</v>
      </c>
      <c r="E26" s="18"/>
      <c r="F26" s="18"/>
      <c r="G26" s="18"/>
      <c r="H26" s="18"/>
      <c r="I26" s="19"/>
    </row>
    <row r="27" spans="1:10" ht="14" x14ac:dyDescent="0.3">
      <c r="A27" s="17"/>
      <c r="B27" s="18"/>
      <c r="C27" s="18"/>
      <c r="D27" s="18"/>
      <c r="E27" s="18"/>
      <c r="F27" s="18"/>
      <c r="G27" s="18"/>
      <c r="H27" s="18"/>
      <c r="I27" s="19"/>
    </row>
    <row r="28" spans="1:10" ht="14" x14ac:dyDescent="0.3">
      <c r="A28" s="554" t="s">
        <v>10</v>
      </c>
      <c r="B28" s="554"/>
      <c r="C28" s="18"/>
      <c r="D28" s="18" t="s">
        <v>20</v>
      </c>
      <c r="E28" s="18"/>
      <c r="F28" s="18"/>
      <c r="G28" s="18"/>
      <c r="H28" s="18"/>
      <c r="I28" s="19"/>
    </row>
    <row r="29" spans="1:10" ht="14" x14ac:dyDescent="0.3">
      <c r="A29" s="17"/>
      <c r="B29" s="18"/>
      <c r="C29" s="18"/>
      <c r="D29" s="18"/>
      <c r="E29" s="18"/>
      <c r="F29" s="18"/>
      <c r="G29" s="18"/>
      <c r="H29" s="18"/>
      <c r="I29" s="19"/>
    </row>
    <row r="30" spans="1:10" ht="14" x14ac:dyDescent="0.3">
      <c r="A30" s="554" t="s">
        <v>12</v>
      </c>
      <c r="B30" s="554"/>
      <c r="C30" s="18"/>
      <c r="D30" s="18" t="s">
        <v>21</v>
      </c>
      <c r="E30" s="18"/>
      <c r="F30" s="18"/>
      <c r="G30" s="18"/>
      <c r="H30" s="18"/>
      <c r="I30" s="19"/>
    </row>
    <row r="31" spans="1:10" ht="14" x14ac:dyDescent="0.3">
      <c r="A31" s="17"/>
      <c r="B31" s="18"/>
      <c r="C31" s="18"/>
      <c r="D31" s="18"/>
      <c r="E31" s="18"/>
      <c r="F31" s="18"/>
      <c r="G31" s="18"/>
      <c r="H31" s="18"/>
      <c r="I31" s="19"/>
    </row>
    <row r="32" spans="1:10" ht="14" x14ac:dyDescent="0.3">
      <c r="A32" s="554" t="s">
        <v>14</v>
      </c>
      <c r="B32" s="554"/>
      <c r="C32" s="18"/>
      <c r="D32" s="18" t="s">
        <v>22</v>
      </c>
      <c r="E32" s="18"/>
      <c r="F32" s="18"/>
      <c r="G32" s="18"/>
      <c r="H32" s="18"/>
      <c r="I32" s="19"/>
    </row>
    <row r="33" spans="1:9" ht="14" x14ac:dyDescent="0.3">
      <c r="A33" s="17"/>
      <c r="B33" s="18"/>
      <c r="C33" s="18"/>
      <c r="E33" s="18"/>
      <c r="F33" s="18"/>
      <c r="G33" s="18"/>
      <c r="H33" s="18"/>
      <c r="I33" s="19"/>
    </row>
    <row r="34" spans="1:9" ht="14" x14ac:dyDescent="0.3">
      <c r="A34" s="554" t="s">
        <v>23</v>
      </c>
      <c r="B34" s="554"/>
      <c r="C34" s="18"/>
      <c r="D34" s="18" t="s">
        <v>24</v>
      </c>
      <c r="E34" s="18"/>
      <c r="F34" s="18"/>
      <c r="G34" s="18"/>
      <c r="H34" s="18"/>
      <c r="I34" s="19"/>
    </row>
    <row r="35" spans="1:9" ht="14" x14ac:dyDescent="0.3">
      <c r="A35" s="17"/>
      <c r="B35" s="18"/>
      <c r="C35" s="18"/>
      <c r="D35" s="18"/>
      <c r="E35" s="18"/>
      <c r="F35" s="18"/>
      <c r="G35" s="18"/>
      <c r="H35" s="18"/>
      <c r="I35" s="19"/>
    </row>
    <row r="36" spans="1:9" ht="14" x14ac:dyDescent="0.3">
      <c r="A36" s="554" t="s">
        <v>25</v>
      </c>
      <c r="B36" s="554"/>
      <c r="C36" s="18"/>
      <c r="D36" s="18" t="s">
        <v>26</v>
      </c>
      <c r="E36" s="18"/>
      <c r="F36" s="18"/>
      <c r="G36" s="18"/>
      <c r="H36" s="18"/>
      <c r="I36" s="19"/>
    </row>
    <row r="37" spans="1:9" x14ac:dyDescent="0.25">
      <c r="A37" s="22"/>
      <c r="B37" s="23"/>
      <c r="C37" s="23"/>
      <c r="D37" s="23"/>
      <c r="E37" s="23"/>
      <c r="F37" s="23"/>
      <c r="G37" s="23"/>
      <c r="H37" s="23"/>
      <c r="I37" s="24"/>
    </row>
  </sheetData>
  <sheetProtection selectLockedCells="1" selectUnlockedCells="1"/>
  <mergeCells count="19">
    <mergeCell ref="A36:B36"/>
    <mergeCell ref="A24:B24"/>
    <mergeCell ref="A26:B26"/>
    <mergeCell ref="A28:B28"/>
    <mergeCell ref="A30:B30"/>
    <mergeCell ref="A32:B32"/>
    <mergeCell ref="A34:B34"/>
    <mergeCell ref="A22:B22"/>
    <mergeCell ref="A1:I1"/>
    <mergeCell ref="A4:I4"/>
    <mergeCell ref="A6:B6"/>
    <mergeCell ref="A8:B8"/>
    <mergeCell ref="A10:B10"/>
    <mergeCell ref="A12:B12"/>
    <mergeCell ref="A14:B14"/>
    <mergeCell ref="A16:B16"/>
    <mergeCell ref="A18:B18"/>
    <mergeCell ref="A19:I19"/>
    <mergeCell ref="A20:B20"/>
  </mergeCells>
  <pageMargins left="1.0201388888888889" right="0.75" top="1.1597222222222223" bottom="1" header="0.51180555555555562" footer="0.51180555555555562"/>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95"/>
  <sheetViews>
    <sheetView showGridLines="0" topLeftCell="A44" zoomScaleNormal="100" workbookViewId="0">
      <selection activeCell="C25" sqref="C25"/>
    </sheetView>
  </sheetViews>
  <sheetFormatPr defaultColWidth="9.1796875" defaultRowHeight="12.5" x14ac:dyDescent="0.25"/>
  <cols>
    <col min="1" max="1" width="9.1796875" style="25"/>
    <col min="2" max="2" width="34.90625" style="25" bestFit="1" customWidth="1"/>
    <col min="3" max="3" width="35.1796875" style="25" bestFit="1" customWidth="1"/>
    <col min="4" max="4" width="18.36328125" style="25" bestFit="1" customWidth="1"/>
    <col min="5" max="7" width="9.1796875" style="25"/>
    <col min="8" max="9" width="31.36328125" style="25" bestFit="1" customWidth="1"/>
    <col min="10" max="16384" width="9.1796875" style="25"/>
  </cols>
  <sheetData>
    <row r="1" spans="1:4" customFormat="1" ht="14" x14ac:dyDescent="0.3">
      <c r="A1" s="18"/>
      <c r="B1" s="18"/>
      <c r="C1" s="18"/>
      <c r="D1" s="18"/>
    </row>
    <row r="2" spans="1:4" customFormat="1" ht="14" x14ac:dyDescent="0.3">
      <c r="A2" s="26" t="s">
        <v>27</v>
      </c>
      <c r="B2" s="18"/>
      <c r="C2" s="18"/>
      <c r="D2" s="18"/>
    </row>
    <row r="3" spans="1:4" customFormat="1" ht="14" x14ac:dyDescent="0.3">
      <c r="A3" s="558" t="s">
        <v>28</v>
      </c>
      <c r="B3" s="558"/>
      <c r="C3" s="558"/>
      <c r="D3" s="558"/>
    </row>
    <row r="4" spans="1:4" customFormat="1" ht="14" x14ac:dyDescent="0.3">
      <c r="A4" s="376"/>
      <c r="B4" s="376"/>
      <c r="C4" s="376"/>
      <c r="D4" s="376"/>
    </row>
    <row r="5" spans="1:4" customFormat="1" ht="14" x14ac:dyDescent="0.3">
      <c r="A5" s="377"/>
      <c r="B5" s="377"/>
      <c r="C5" s="377"/>
      <c r="D5" s="377"/>
    </row>
    <row r="6" spans="1:4" customFormat="1" ht="14" x14ac:dyDescent="0.3">
      <c r="A6" s="377" t="s">
        <v>4</v>
      </c>
      <c r="B6" s="396" t="s">
        <v>452</v>
      </c>
      <c r="C6" s="396" t="s">
        <v>453</v>
      </c>
      <c r="D6" s="378"/>
    </row>
    <row r="7" spans="1:4" customFormat="1" ht="14" x14ac:dyDescent="0.3">
      <c r="A7" s="377"/>
      <c r="B7" s="396"/>
      <c r="C7" s="396"/>
      <c r="D7" s="377"/>
    </row>
    <row r="8" spans="1:4" customFormat="1" ht="14" x14ac:dyDescent="0.3">
      <c r="A8" s="377" t="s">
        <v>6</v>
      </c>
      <c r="B8" s="396" t="s">
        <v>29</v>
      </c>
      <c r="C8" s="396" t="s">
        <v>451</v>
      </c>
      <c r="D8" s="377"/>
    </row>
    <row r="9" spans="1:4" customFormat="1" ht="14" x14ac:dyDescent="0.3">
      <c r="A9" s="377"/>
      <c r="B9" s="396"/>
      <c r="C9" s="396"/>
      <c r="D9" s="377"/>
    </row>
    <row r="10" spans="1:4" customFormat="1" ht="14" x14ac:dyDescent="0.3">
      <c r="A10" s="377" t="s">
        <v>8</v>
      </c>
      <c r="B10" s="396" t="s">
        <v>30</v>
      </c>
      <c r="C10" s="397" t="s">
        <v>454</v>
      </c>
      <c r="D10" s="379"/>
    </row>
    <row r="11" spans="1:4" customFormat="1" ht="14" x14ac:dyDescent="0.3">
      <c r="A11" s="377"/>
      <c r="B11" s="396"/>
      <c r="C11" s="396"/>
      <c r="D11" s="378"/>
    </row>
    <row r="12" spans="1:4" customFormat="1" ht="14" x14ac:dyDescent="0.3">
      <c r="A12" s="377"/>
      <c r="B12" s="396"/>
      <c r="C12" s="396"/>
      <c r="D12" s="377"/>
    </row>
    <row r="13" spans="1:4" customFormat="1" ht="14" x14ac:dyDescent="0.3">
      <c r="A13" s="377" t="s">
        <v>10</v>
      </c>
      <c r="B13" s="396" t="s">
        <v>31</v>
      </c>
      <c r="C13" s="396" t="s">
        <v>450</v>
      </c>
      <c r="D13" s="377"/>
    </row>
    <row r="14" spans="1:4" customFormat="1" ht="14" x14ac:dyDescent="0.3">
      <c r="A14" s="377"/>
      <c r="B14" s="377"/>
      <c r="C14" s="377"/>
      <c r="D14" s="377"/>
    </row>
    <row r="15" spans="1:4" customFormat="1" ht="14" x14ac:dyDescent="0.3">
      <c r="A15" s="379" t="s">
        <v>12</v>
      </c>
      <c r="B15" s="395" t="s">
        <v>469</v>
      </c>
      <c r="C15" s="377"/>
      <c r="D15" s="378"/>
    </row>
    <row r="16" spans="1:4" customFormat="1" ht="18.5" x14ac:dyDescent="0.25">
      <c r="A16" s="379"/>
      <c r="B16" s="386" t="s">
        <v>455</v>
      </c>
      <c r="C16" s="386" t="s">
        <v>456</v>
      </c>
      <c r="D16" s="379"/>
    </row>
    <row r="17" spans="1:4" customFormat="1" ht="18.5" x14ac:dyDescent="0.25">
      <c r="A17" s="379"/>
      <c r="B17" s="386" t="s">
        <v>457</v>
      </c>
      <c r="C17" s="386" t="s">
        <v>458</v>
      </c>
      <c r="D17" s="379"/>
    </row>
    <row r="18" spans="1:4" customFormat="1" ht="18.5" x14ac:dyDescent="0.25">
      <c r="A18" s="379"/>
      <c r="B18" s="386" t="s">
        <v>459</v>
      </c>
      <c r="C18" s="386" t="s">
        <v>460</v>
      </c>
      <c r="D18" s="379"/>
    </row>
    <row r="19" spans="1:4" customFormat="1" ht="18.5" x14ac:dyDescent="0.25">
      <c r="A19" s="379"/>
      <c r="B19" s="386" t="s">
        <v>481</v>
      </c>
      <c r="C19" s="386" t="s">
        <v>482</v>
      </c>
      <c r="D19" s="379"/>
    </row>
    <row r="20" spans="1:4" customFormat="1" ht="18.5" x14ac:dyDescent="0.3">
      <c r="A20" s="377"/>
      <c r="B20" s="386" t="s">
        <v>461</v>
      </c>
      <c r="C20" s="386" t="s">
        <v>462</v>
      </c>
      <c r="D20" s="379"/>
    </row>
    <row r="21" spans="1:4" customFormat="1" ht="18.5" x14ac:dyDescent="0.3">
      <c r="A21" s="377"/>
      <c r="B21" s="386" t="s">
        <v>463</v>
      </c>
      <c r="C21" s="386" t="s">
        <v>464</v>
      </c>
      <c r="D21" s="379"/>
    </row>
    <row r="22" spans="1:4" customFormat="1" ht="14" x14ac:dyDescent="0.3">
      <c r="A22" s="377"/>
      <c r="B22" s="377"/>
      <c r="C22" s="377"/>
      <c r="D22" s="377"/>
    </row>
    <row r="23" spans="1:4" customFormat="1" ht="14" x14ac:dyDescent="0.3">
      <c r="A23" s="377" t="s">
        <v>14</v>
      </c>
      <c r="B23" s="377" t="s">
        <v>32</v>
      </c>
      <c r="C23" s="377" t="s">
        <v>33</v>
      </c>
      <c r="D23" s="377"/>
    </row>
    <row r="24" spans="1:4" customFormat="1" ht="14" x14ac:dyDescent="0.3">
      <c r="A24" s="377"/>
      <c r="B24" s="377"/>
      <c r="C24" s="377"/>
      <c r="D24" s="377"/>
    </row>
    <row r="25" spans="1:4" customFormat="1" ht="14" x14ac:dyDescent="0.3">
      <c r="A25" s="379" t="s">
        <v>23</v>
      </c>
      <c r="B25" s="377" t="s">
        <v>34</v>
      </c>
      <c r="C25" s="377" t="s">
        <v>483</v>
      </c>
      <c r="D25" s="377"/>
    </row>
    <row r="26" spans="1:4" customFormat="1" ht="14" x14ac:dyDescent="0.3">
      <c r="A26" s="379"/>
      <c r="B26" s="377"/>
      <c r="C26" s="377"/>
      <c r="D26" s="377"/>
    </row>
    <row r="27" spans="1:4" customFormat="1" ht="14" x14ac:dyDescent="0.3">
      <c r="A27" s="379" t="s">
        <v>25</v>
      </c>
      <c r="B27" s="377" t="s">
        <v>35</v>
      </c>
      <c r="C27" s="377"/>
      <c r="D27" s="377">
        <v>10</v>
      </c>
    </row>
    <row r="28" spans="1:4" customFormat="1" ht="14" x14ac:dyDescent="0.3">
      <c r="A28" s="377"/>
      <c r="B28" s="377" t="s">
        <v>36</v>
      </c>
      <c r="C28" s="377"/>
      <c r="D28" s="377"/>
    </row>
    <row r="29" spans="1:4" customFormat="1" ht="14" x14ac:dyDescent="0.3">
      <c r="A29" s="377"/>
      <c r="B29" s="377"/>
      <c r="C29" s="377"/>
      <c r="D29" s="377"/>
    </row>
    <row r="30" spans="1:4" customFormat="1" ht="14" x14ac:dyDescent="0.3">
      <c r="A30" s="377"/>
      <c r="B30" s="377"/>
      <c r="C30" s="377"/>
      <c r="D30" s="379"/>
    </row>
    <row r="31" spans="1:4" customFormat="1" ht="14" x14ac:dyDescent="0.3">
      <c r="A31" s="379"/>
      <c r="B31" s="380" t="s">
        <v>37</v>
      </c>
      <c r="C31" s="377"/>
      <c r="D31" s="378" t="s">
        <v>38</v>
      </c>
    </row>
    <row r="32" spans="1:4" customFormat="1" ht="14" x14ac:dyDescent="0.3">
      <c r="A32" s="377"/>
      <c r="B32" s="379"/>
      <c r="C32" s="377"/>
      <c r="D32" s="379"/>
    </row>
    <row r="33" spans="1:16" customFormat="1" ht="14" x14ac:dyDescent="0.3">
      <c r="A33" s="377"/>
      <c r="B33" s="377" t="s">
        <v>4</v>
      </c>
      <c r="C33" s="377"/>
      <c r="D33" s="381">
        <f>'P&amp;L'!D18</f>
        <v>52140</v>
      </c>
    </row>
    <row r="34" spans="1:16" customFormat="1" ht="14" x14ac:dyDescent="0.3">
      <c r="A34" s="377"/>
      <c r="B34" s="377"/>
      <c r="C34" s="377"/>
      <c r="D34" s="381"/>
    </row>
    <row r="35" spans="1:16" customFormat="1" ht="14" x14ac:dyDescent="0.3">
      <c r="A35" s="377"/>
      <c r="B35" s="377" t="s">
        <v>6</v>
      </c>
      <c r="C35" s="377"/>
      <c r="D35" s="381">
        <f>'P&amp;L'!E18</f>
        <v>62297</v>
      </c>
    </row>
    <row r="36" spans="1:16" customFormat="1" ht="14" x14ac:dyDescent="0.3">
      <c r="A36" s="377"/>
      <c r="B36" s="377"/>
      <c r="C36" s="377"/>
      <c r="D36" s="381"/>
    </row>
    <row r="37" spans="1:16" customFormat="1" ht="14" x14ac:dyDescent="0.3">
      <c r="A37" s="377"/>
      <c r="B37" s="377" t="s">
        <v>8</v>
      </c>
      <c r="C37" s="377"/>
      <c r="D37" s="381">
        <f>'P&amp;L'!F18</f>
        <v>72786.549999999988</v>
      </c>
    </row>
    <row r="38" spans="1:16" customFormat="1" ht="14" x14ac:dyDescent="0.3">
      <c r="A38" s="377"/>
      <c r="B38" s="382"/>
      <c r="C38" s="377"/>
      <c r="D38" s="381"/>
    </row>
    <row r="39" spans="1:16" customFormat="1" ht="23.5" x14ac:dyDescent="0.3">
      <c r="A39" s="377"/>
      <c r="B39" s="377" t="s">
        <v>10</v>
      </c>
      <c r="C39" s="377"/>
      <c r="D39" s="381">
        <f>'P&amp;L'!G18</f>
        <v>76578.897500000006</v>
      </c>
      <c r="I39" s="385"/>
      <c r="K39" s="385"/>
      <c r="P39" s="385"/>
    </row>
    <row r="40" spans="1:16" customFormat="1" ht="23.5" x14ac:dyDescent="0.3">
      <c r="A40" s="377"/>
      <c r="B40" s="377"/>
      <c r="C40" s="377"/>
      <c r="D40" s="377"/>
      <c r="I40" s="385"/>
      <c r="K40" s="385"/>
      <c r="P40" s="385"/>
    </row>
    <row r="41" spans="1:16" customFormat="1" ht="23.5" x14ac:dyDescent="0.3">
      <c r="A41" s="377"/>
      <c r="B41" s="377" t="s">
        <v>12</v>
      </c>
      <c r="C41" s="377"/>
      <c r="D41" s="381">
        <f>'P&amp;L'!H18</f>
        <v>96077.314375000002</v>
      </c>
      <c r="I41" s="385"/>
      <c r="J41" s="385"/>
      <c r="P41" s="385"/>
    </row>
    <row r="42" spans="1:16" customFormat="1" ht="23.5" x14ac:dyDescent="0.3">
      <c r="A42" s="377"/>
      <c r="B42" s="377"/>
      <c r="C42" s="377"/>
      <c r="D42" s="377"/>
      <c r="I42" s="385"/>
      <c r="K42" s="385"/>
      <c r="P42" s="385"/>
    </row>
    <row r="43" spans="1:16" customFormat="1" ht="23.5" x14ac:dyDescent="0.3">
      <c r="A43" s="379"/>
      <c r="B43" s="379" t="s">
        <v>14</v>
      </c>
      <c r="C43" s="379"/>
      <c r="D43" s="381">
        <f>'P&amp;L'!I18</f>
        <v>100939.09929375</v>
      </c>
      <c r="I43" s="385"/>
      <c r="K43" s="385"/>
      <c r="P43" s="385"/>
    </row>
    <row r="44" spans="1:16" customFormat="1" ht="23.5" x14ac:dyDescent="0.25">
      <c r="A44" s="379"/>
      <c r="B44" s="379"/>
      <c r="C44" s="379"/>
      <c r="D44" s="379"/>
      <c r="I44" s="385"/>
      <c r="K44" s="385"/>
      <c r="P44" s="385"/>
    </row>
    <row r="45" spans="1:16" customFormat="1" ht="14" x14ac:dyDescent="0.3">
      <c r="A45" s="379"/>
      <c r="B45" s="379" t="s">
        <v>23</v>
      </c>
      <c r="C45" s="379"/>
      <c r="D45" s="381">
        <f>'P&amp;L'!J18</f>
        <v>114683.5803784375</v>
      </c>
    </row>
    <row r="46" spans="1:16" customFormat="1" x14ac:dyDescent="0.25">
      <c r="A46" s="379"/>
      <c r="B46" s="379"/>
      <c r="C46" s="379"/>
      <c r="D46" s="379"/>
    </row>
    <row r="47" spans="1:16" customFormat="1" x14ac:dyDescent="0.25">
      <c r="A47" s="379"/>
      <c r="B47" s="379" t="s">
        <v>25</v>
      </c>
      <c r="C47" s="379"/>
      <c r="D47" s="383">
        <f>'P&amp;L'!K18</f>
        <v>120548.11812935938</v>
      </c>
    </row>
    <row r="48" spans="1:16" customFormat="1" x14ac:dyDescent="0.25">
      <c r="A48" s="379"/>
      <c r="B48" s="379"/>
      <c r="C48" s="379"/>
      <c r="D48" s="383"/>
    </row>
    <row r="49" spans="1:4" customFormat="1" x14ac:dyDescent="0.25">
      <c r="A49" s="379"/>
      <c r="B49" s="379" t="s">
        <v>39</v>
      </c>
      <c r="C49" s="379"/>
      <c r="D49" s="383">
        <f>'P&amp;L'!L12</f>
        <v>135281</v>
      </c>
    </row>
    <row r="50" spans="1:4" customFormat="1" x14ac:dyDescent="0.25">
      <c r="A50" s="379"/>
      <c r="B50" s="379"/>
      <c r="C50" s="379"/>
      <c r="D50" s="383"/>
    </row>
    <row r="51" spans="1:4" customFormat="1" x14ac:dyDescent="0.25">
      <c r="A51" s="379"/>
      <c r="B51" s="379" t="s">
        <v>40</v>
      </c>
      <c r="C51" s="379"/>
      <c r="D51" s="383">
        <f>'P&amp;L'!M12</f>
        <v>141890</v>
      </c>
    </row>
    <row r="52" spans="1:4" customFormat="1" x14ac:dyDescent="0.25">
      <c r="A52" s="379"/>
      <c r="B52" s="379"/>
      <c r="C52" s="379"/>
      <c r="D52" s="383"/>
    </row>
    <row r="53" spans="1:4" customFormat="1" ht="14" x14ac:dyDescent="0.3">
      <c r="A53" s="379" t="s">
        <v>39</v>
      </c>
      <c r="B53" s="377" t="s">
        <v>41</v>
      </c>
      <c r="C53" s="379"/>
      <c r="D53" s="384">
        <f>'pc&amp;mf'!E39/'pc&amp;mf'!E32</f>
        <v>0.72428054435587153</v>
      </c>
    </row>
    <row r="54" spans="1:4" customFormat="1" x14ac:dyDescent="0.25">
      <c r="A54" s="379"/>
      <c r="B54" s="379"/>
      <c r="C54" s="379"/>
      <c r="D54" s="379"/>
    </row>
    <row r="55" spans="1:4" s="526" customFormat="1" ht="14" x14ac:dyDescent="0.3">
      <c r="A55" s="523" t="s">
        <v>40</v>
      </c>
      <c r="B55" s="524" t="s">
        <v>42</v>
      </c>
      <c r="C55" s="523"/>
      <c r="D55" s="525">
        <v>3.47</v>
      </c>
    </row>
    <row r="56" spans="1:4" customFormat="1" x14ac:dyDescent="0.25"/>
    <row r="57" spans="1:4" customFormat="1" x14ac:dyDescent="0.25"/>
    <row r="58" spans="1:4" customFormat="1" x14ac:dyDescent="0.25"/>
    <row r="59" spans="1:4" customFormat="1" x14ac:dyDescent="0.25"/>
    <row r="60" spans="1:4" customFormat="1" x14ac:dyDescent="0.25">
      <c r="A60" s="559" t="s">
        <v>470</v>
      </c>
      <c r="B60" s="559"/>
      <c r="C60" s="559"/>
    </row>
    <row r="61" spans="1:4" customFormat="1" x14ac:dyDescent="0.25">
      <c r="A61" s="559"/>
      <c r="B61" s="559"/>
      <c r="C61" s="559"/>
    </row>
    <row r="62" spans="1:4" customFormat="1" x14ac:dyDescent="0.25">
      <c r="A62" s="559"/>
      <c r="B62" s="559"/>
      <c r="C62" s="559"/>
    </row>
    <row r="63" spans="1:4" customFormat="1" x14ac:dyDescent="0.25">
      <c r="A63" s="559"/>
      <c r="B63" s="559"/>
      <c r="C63" s="559"/>
    </row>
    <row r="64" spans="1:4" customFormat="1" x14ac:dyDescent="0.25">
      <c r="A64" s="559"/>
      <c r="B64" s="559"/>
      <c r="C64" s="559"/>
    </row>
    <row r="65" spans="1:3" customFormat="1" x14ac:dyDescent="0.25">
      <c r="A65" s="559"/>
      <c r="B65" s="559"/>
      <c r="C65" s="559"/>
    </row>
    <row r="66" spans="1:3" customFormat="1" x14ac:dyDescent="0.25">
      <c r="A66" s="559"/>
      <c r="B66" s="559"/>
      <c r="C66" s="559"/>
    </row>
    <row r="67" spans="1:3" customFormat="1" x14ac:dyDescent="0.25"/>
    <row r="68" spans="1:3" customFormat="1" x14ac:dyDescent="0.25"/>
    <row r="69" spans="1:3" customFormat="1" x14ac:dyDescent="0.25"/>
    <row r="70" spans="1:3" customFormat="1" x14ac:dyDescent="0.25"/>
    <row r="71" spans="1:3" customFormat="1" x14ac:dyDescent="0.25"/>
    <row r="72" spans="1:3" customFormat="1" x14ac:dyDescent="0.25"/>
    <row r="73" spans="1:3" customFormat="1" x14ac:dyDescent="0.25"/>
    <row r="74" spans="1:3" customFormat="1" x14ac:dyDescent="0.25"/>
    <row r="75" spans="1:3" customFormat="1" x14ac:dyDescent="0.25"/>
    <row r="76" spans="1:3" customFormat="1" x14ac:dyDescent="0.25"/>
    <row r="77" spans="1:3" customFormat="1" x14ac:dyDescent="0.25"/>
    <row r="78" spans="1:3" customFormat="1" x14ac:dyDescent="0.25"/>
    <row r="79" spans="1:3" customFormat="1" x14ac:dyDescent="0.25"/>
    <row r="80" spans="1:3" customFormat="1" x14ac:dyDescent="0.25"/>
    <row r="81" customFormat="1" x14ac:dyDescent="0.25"/>
    <row r="82" customFormat="1" x14ac:dyDescent="0.25"/>
    <row r="83" customFormat="1" x14ac:dyDescent="0.25"/>
    <row r="84" customFormat="1" x14ac:dyDescent="0.25"/>
    <row r="85" customFormat="1" x14ac:dyDescent="0.25"/>
    <row r="86" customFormat="1" x14ac:dyDescent="0.25"/>
    <row r="87" customFormat="1" x14ac:dyDescent="0.25"/>
    <row r="88" customFormat="1" x14ac:dyDescent="0.25"/>
    <row r="89" customFormat="1" x14ac:dyDescent="0.25"/>
    <row r="90" customFormat="1" x14ac:dyDescent="0.25"/>
    <row r="91" customFormat="1" x14ac:dyDescent="0.25"/>
    <row r="92" customFormat="1" x14ac:dyDescent="0.25"/>
    <row r="93" customFormat="1" x14ac:dyDescent="0.25"/>
    <row r="94" customFormat="1" x14ac:dyDescent="0.25"/>
    <row r="95" customFormat="1" x14ac:dyDescent="0.25"/>
  </sheetData>
  <sheetProtection selectLockedCells="1" selectUnlockedCells="1"/>
  <mergeCells count="2">
    <mergeCell ref="A3:D3"/>
    <mergeCell ref="A60:C66"/>
  </mergeCells>
  <pageMargins left="0.9" right="0.75" top="0.44027777777777777" bottom="0.30972222222222223" header="0.51180555555555562" footer="0.51180555555555562"/>
  <pageSetup scale="97" firstPageNumber="0"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17"/>
  <sheetViews>
    <sheetView showGridLines="0" topLeftCell="A5" workbookViewId="0"/>
  </sheetViews>
  <sheetFormatPr defaultColWidth="9.1796875" defaultRowHeight="12.5" x14ac:dyDescent="0.25"/>
  <cols>
    <col min="1" max="1" width="114" style="25" customWidth="1"/>
    <col min="2" max="2" width="0.54296875" style="25" hidden="1" customWidth="1"/>
    <col min="3" max="5" width="0" style="25" hidden="1" customWidth="1"/>
    <col min="6" max="16384" width="9.1796875" style="25"/>
  </cols>
  <sheetData>
    <row r="1" spans="1:7" customFormat="1" ht="13" x14ac:dyDescent="0.3">
      <c r="A1" s="387"/>
    </row>
    <row r="2" spans="1:7" customFormat="1" ht="13" x14ac:dyDescent="0.3">
      <c r="A2" s="388"/>
      <c r="B2" s="379"/>
      <c r="C2" s="379"/>
      <c r="D2" s="379"/>
      <c r="E2" s="379"/>
    </row>
    <row r="3" spans="1:7" customFormat="1" x14ac:dyDescent="0.25">
      <c r="A3" s="389"/>
      <c r="B3" s="379"/>
      <c r="C3" s="379"/>
      <c r="D3" s="379"/>
      <c r="E3" s="379"/>
    </row>
    <row r="4" spans="1:7" customFormat="1" x14ac:dyDescent="0.25">
      <c r="A4" s="389"/>
      <c r="B4" s="379"/>
      <c r="C4" s="379"/>
      <c r="D4" s="379"/>
      <c r="E4" s="379"/>
    </row>
    <row r="5" spans="1:7" customFormat="1" ht="14" x14ac:dyDescent="0.3">
      <c r="A5" s="390" t="s">
        <v>43</v>
      </c>
      <c r="B5" s="379"/>
      <c r="C5" s="379"/>
      <c r="D5" s="379"/>
      <c r="E5" s="379"/>
    </row>
    <row r="6" spans="1:7" customFormat="1" ht="14" x14ac:dyDescent="0.3">
      <c r="A6" s="391" t="s">
        <v>7</v>
      </c>
      <c r="B6" s="382"/>
      <c r="C6" s="382"/>
      <c r="D6" s="382"/>
      <c r="E6" s="382"/>
    </row>
    <row r="7" spans="1:7" customFormat="1" ht="14" x14ac:dyDescent="0.3">
      <c r="A7" s="392"/>
      <c r="B7" s="376"/>
      <c r="C7" s="376"/>
      <c r="D7" s="376"/>
      <c r="E7" s="376"/>
    </row>
    <row r="8" spans="1:7" customFormat="1" ht="14" x14ac:dyDescent="0.3">
      <c r="A8" s="393" t="s">
        <v>465</v>
      </c>
      <c r="B8" s="376"/>
      <c r="C8" s="376"/>
      <c r="D8" s="376"/>
      <c r="E8" s="376"/>
    </row>
    <row r="9" spans="1:7" customFormat="1" ht="14" x14ac:dyDescent="0.3">
      <c r="A9" s="393"/>
      <c r="B9" s="376"/>
      <c r="C9" s="376"/>
      <c r="D9" s="376"/>
      <c r="E9" s="376"/>
    </row>
    <row r="10" spans="1:7" customFormat="1" ht="14" x14ac:dyDescent="0.3">
      <c r="A10" s="393" t="s">
        <v>466</v>
      </c>
      <c r="B10" s="376"/>
      <c r="C10" s="376"/>
      <c r="D10" s="376"/>
      <c r="E10" s="376"/>
    </row>
    <row r="11" spans="1:7" customFormat="1" ht="14" x14ac:dyDescent="0.3">
      <c r="A11" s="393"/>
      <c r="B11" s="376"/>
      <c r="C11" s="376"/>
      <c r="D11" s="376"/>
      <c r="E11" s="376"/>
    </row>
    <row r="12" spans="1:7" customFormat="1" ht="14.25" customHeight="1" x14ac:dyDescent="0.3">
      <c r="A12" s="394" t="s">
        <v>44</v>
      </c>
      <c r="B12" s="379"/>
      <c r="C12" s="379"/>
      <c r="D12" s="379"/>
      <c r="E12" s="379"/>
    </row>
    <row r="13" spans="1:7" customFormat="1" ht="14.25" customHeight="1" x14ac:dyDescent="0.3">
      <c r="A13" s="394"/>
      <c r="B13" s="379"/>
      <c r="C13" s="379"/>
      <c r="D13" s="379"/>
      <c r="E13" s="379"/>
    </row>
    <row r="14" spans="1:7" customFormat="1" ht="14.25" customHeight="1" x14ac:dyDescent="0.3">
      <c r="A14" s="394" t="s">
        <v>45</v>
      </c>
      <c r="B14" s="379"/>
      <c r="C14" s="379"/>
      <c r="D14" s="379"/>
      <c r="E14" s="379"/>
    </row>
    <row r="15" spans="1:7" customFormat="1" ht="14" x14ac:dyDescent="0.3">
      <c r="A15" s="394"/>
      <c r="B15" s="379"/>
      <c r="C15" s="379"/>
      <c r="D15" s="379"/>
      <c r="E15" s="379"/>
    </row>
    <row r="16" spans="1:7" customFormat="1" ht="14" x14ac:dyDescent="0.3">
      <c r="A16" s="393" t="s">
        <v>467</v>
      </c>
      <c r="B16" s="377"/>
      <c r="C16" s="377"/>
      <c r="D16" s="377"/>
      <c r="E16" s="377"/>
      <c r="F16" s="18"/>
      <c r="G16" s="18"/>
    </row>
    <row r="17" spans="1:7" customFormat="1" ht="14" x14ac:dyDescent="0.3">
      <c r="A17" s="393"/>
      <c r="B17" s="377"/>
      <c r="C17" s="377"/>
      <c r="D17" s="377"/>
      <c r="E17" s="377"/>
      <c r="F17" s="18"/>
      <c r="G17" s="18"/>
    </row>
    <row r="18" spans="1:7" customFormat="1" ht="14" x14ac:dyDescent="0.3">
      <c r="A18" s="393" t="s">
        <v>468</v>
      </c>
      <c r="B18" s="377"/>
      <c r="C18" s="377"/>
      <c r="D18" s="377"/>
      <c r="E18" s="377"/>
    </row>
    <row r="19" spans="1:7" customFormat="1" ht="14" x14ac:dyDescent="0.3">
      <c r="A19" s="394"/>
      <c r="B19" s="377"/>
      <c r="C19" s="377"/>
      <c r="D19" s="377"/>
      <c r="E19" s="377"/>
    </row>
    <row r="20" spans="1:7" customFormat="1" ht="14" x14ac:dyDescent="0.3">
      <c r="A20" s="394"/>
      <c r="B20" s="377"/>
      <c r="C20" s="377"/>
      <c r="D20" s="377"/>
      <c r="E20" s="377"/>
    </row>
    <row r="21" spans="1:7" customFormat="1" ht="14" x14ac:dyDescent="0.3">
      <c r="A21" s="394" t="s">
        <v>46</v>
      </c>
      <c r="B21" s="377"/>
      <c r="C21" s="377"/>
      <c r="D21" s="377"/>
      <c r="E21" s="377"/>
    </row>
    <row r="22" spans="1:7" customFormat="1" ht="14" x14ac:dyDescent="0.3">
      <c r="A22" s="394"/>
      <c r="B22" s="377"/>
      <c r="C22" s="377"/>
      <c r="D22" s="377"/>
      <c r="E22" s="377"/>
    </row>
    <row r="23" spans="1:7" customFormat="1" ht="14" x14ac:dyDescent="0.3">
      <c r="A23" s="394" t="s">
        <v>47</v>
      </c>
      <c r="B23" s="377"/>
      <c r="C23" s="377"/>
      <c r="D23" s="377"/>
      <c r="E23" s="377"/>
    </row>
    <row r="24" spans="1:7" customFormat="1" ht="14" x14ac:dyDescent="0.3">
      <c r="A24" s="394"/>
      <c r="B24" s="377"/>
      <c r="C24" s="377"/>
      <c r="D24" s="377"/>
      <c r="E24" s="377"/>
    </row>
    <row r="25" spans="1:7" customFormat="1" ht="14" x14ac:dyDescent="0.3">
      <c r="A25" s="394" t="s">
        <v>48</v>
      </c>
      <c r="B25" s="377"/>
      <c r="C25" s="377"/>
      <c r="D25" s="377"/>
      <c r="E25" s="377"/>
    </row>
    <row r="26" spans="1:7" customFormat="1" ht="14" x14ac:dyDescent="0.3">
      <c r="A26" s="394"/>
      <c r="B26" s="377"/>
      <c r="C26" s="377"/>
      <c r="D26" s="377"/>
      <c r="E26" s="377"/>
    </row>
    <row r="27" spans="1:7" customFormat="1" ht="14" x14ac:dyDescent="0.3">
      <c r="A27" s="394"/>
      <c r="B27" s="377"/>
      <c r="C27" s="377"/>
      <c r="D27" s="377"/>
      <c r="E27" s="377"/>
    </row>
    <row r="28" spans="1:7" customFormat="1" ht="14" x14ac:dyDescent="0.3">
      <c r="A28" s="18"/>
      <c r="B28" s="18"/>
      <c r="C28" s="18"/>
      <c r="D28" s="18"/>
      <c r="E28" s="18"/>
    </row>
    <row r="29" spans="1:7" customFormat="1" ht="14" x14ac:dyDescent="0.3">
      <c r="A29" s="18"/>
      <c r="B29" s="18"/>
      <c r="C29" s="18"/>
      <c r="D29" s="18"/>
      <c r="E29" s="18"/>
    </row>
    <row r="30" spans="1:7" customFormat="1" ht="14" x14ac:dyDescent="0.3">
      <c r="A30" s="18"/>
      <c r="B30" s="18"/>
      <c r="C30" s="18"/>
      <c r="D30" s="18"/>
      <c r="E30" s="18"/>
    </row>
    <row r="31" spans="1:7" customFormat="1" x14ac:dyDescent="0.25"/>
    <row r="32" spans="1:7" customFormat="1" x14ac:dyDescent="0.25"/>
    <row r="33" customFormat="1" x14ac:dyDescent="0.25"/>
    <row r="34" customFormat="1" x14ac:dyDescent="0.25"/>
    <row r="35" customFormat="1" x14ac:dyDescent="0.25"/>
    <row r="36" customFormat="1" x14ac:dyDescent="0.25"/>
    <row r="37" customFormat="1" x14ac:dyDescent="0.25"/>
    <row r="38" customFormat="1" x14ac:dyDescent="0.25"/>
    <row r="39" customFormat="1" x14ac:dyDescent="0.25"/>
    <row r="40" customFormat="1" x14ac:dyDescent="0.25"/>
    <row r="41" customFormat="1" x14ac:dyDescent="0.25"/>
    <row r="42" customFormat="1" x14ac:dyDescent="0.25"/>
    <row r="43" customFormat="1" x14ac:dyDescent="0.25"/>
    <row r="44" customFormat="1" x14ac:dyDescent="0.25"/>
    <row r="45" customFormat="1" x14ac:dyDescent="0.25"/>
    <row r="46" customFormat="1" x14ac:dyDescent="0.25"/>
    <row r="47" customFormat="1" x14ac:dyDescent="0.25"/>
    <row r="48" customFormat="1" x14ac:dyDescent="0.25"/>
    <row r="49" customFormat="1" x14ac:dyDescent="0.25"/>
    <row r="50" customFormat="1" x14ac:dyDescent="0.25"/>
    <row r="51" customFormat="1" x14ac:dyDescent="0.25"/>
    <row r="52" customFormat="1" x14ac:dyDescent="0.25"/>
    <row r="53" customFormat="1" x14ac:dyDescent="0.25"/>
    <row r="54" customFormat="1" x14ac:dyDescent="0.25"/>
    <row r="55" customFormat="1" x14ac:dyDescent="0.25"/>
    <row r="56" customFormat="1" x14ac:dyDescent="0.25"/>
    <row r="57" customFormat="1" x14ac:dyDescent="0.25"/>
    <row r="58" customFormat="1" x14ac:dyDescent="0.25"/>
    <row r="59" customFormat="1" x14ac:dyDescent="0.25"/>
    <row r="60" customFormat="1" x14ac:dyDescent="0.25"/>
    <row r="61" customFormat="1" x14ac:dyDescent="0.25"/>
    <row r="62" customFormat="1" x14ac:dyDescent="0.25"/>
    <row r="63" customFormat="1" x14ac:dyDescent="0.25"/>
    <row r="64" customFormat="1" x14ac:dyDescent="0.25"/>
    <row r="65" customFormat="1" x14ac:dyDescent="0.25"/>
    <row r="66" customFormat="1" x14ac:dyDescent="0.25"/>
    <row r="67" customFormat="1" x14ac:dyDescent="0.25"/>
    <row r="68" customFormat="1" x14ac:dyDescent="0.25"/>
    <row r="69" customFormat="1" x14ac:dyDescent="0.25"/>
    <row r="70" customFormat="1" x14ac:dyDescent="0.25"/>
    <row r="71" customFormat="1" x14ac:dyDescent="0.25"/>
    <row r="72" customFormat="1" x14ac:dyDescent="0.25"/>
    <row r="73" customFormat="1" x14ac:dyDescent="0.25"/>
    <row r="74" customFormat="1" x14ac:dyDescent="0.25"/>
    <row r="75" customFormat="1" x14ac:dyDescent="0.25"/>
    <row r="76" customFormat="1" x14ac:dyDescent="0.25"/>
    <row r="77" customFormat="1" x14ac:dyDescent="0.25"/>
    <row r="78" customFormat="1" x14ac:dyDescent="0.25"/>
    <row r="79" customFormat="1" x14ac:dyDescent="0.25"/>
    <row r="80" customFormat="1" x14ac:dyDescent="0.25"/>
    <row r="81" customFormat="1" x14ac:dyDescent="0.25"/>
    <row r="82" customFormat="1" x14ac:dyDescent="0.25"/>
    <row r="83" customFormat="1" x14ac:dyDescent="0.25"/>
    <row r="84" customFormat="1" x14ac:dyDescent="0.25"/>
    <row r="85" customFormat="1" x14ac:dyDescent="0.25"/>
    <row r="86" customFormat="1" x14ac:dyDescent="0.25"/>
    <row r="87" customFormat="1" x14ac:dyDescent="0.25"/>
    <row r="88" customFormat="1" x14ac:dyDescent="0.25"/>
    <row r="89" customFormat="1" x14ac:dyDescent="0.25"/>
    <row r="90" customFormat="1" x14ac:dyDescent="0.25"/>
    <row r="91" customFormat="1" x14ac:dyDescent="0.25"/>
    <row r="92" customFormat="1" x14ac:dyDescent="0.25"/>
    <row r="93" customFormat="1" x14ac:dyDescent="0.25"/>
    <row r="94" customFormat="1" x14ac:dyDescent="0.25"/>
    <row r="95" customFormat="1" x14ac:dyDescent="0.25"/>
    <row r="96"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sheetData>
  <sheetProtection selectLockedCells="1" selectUnlockedCells="1"/>
  <pageMargins left="1.1000000000000001" right="0.75" top="1.370138888888889" bottom="1" header="0.51180555555555562" footer="0.51180555555555562"/>
  <pageSetup scale="88" firstPageNumber="0"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30"/>
  <sheetViews>
    <sheetView showGridLines="0" topLeftCell="A18" workbookViewId="0">
      <selection activeCell="B30" sqref="B30:M30"/>
    </sheetView>
  </sheetViews>
  <sheetFormatPr defaultRowHeight="12.5" x14ac:dyDescent="0.25"/>
  <cols>
    <col min="1" max="1" width="4.54296875" customWidth="1"/>
    <col min="3" max="3" width="14.54296875" customWidth="1"/>
    <col min="9" max="9" width="10.81640625" customWidth="1"/>
    <col min="11" max="11" width="6.81640625" customWidth="1"/>
    <col min="12" max="12" width="0" hidden="1" customWidth="1"/>
  </cols>
  <sheetData>
    <row r="1" spans="1:26" ht="15.5" x14ac:dyDescent="0.35">
      <c r="A1" s="560"/>
      <c r="B1" s="560"/>
      <c r="C1" s="560"/>
      <c r="D1" s="560"/>
      <c r="E1" s="560"/>
      <c r="F1" s="560"/>
      <c r="G1" s="560"/>
      <c r="H1" s="560"/>
      <c r="I1" s="560"/>
      <c r="J1" s="560"/>
      <c r="K1" s="560"/>
      <c r="L1" s="560"/>
    </row>
    <row r="2" spans="1:26" ht="15.5" x14ac:dyDescent="0.35">
      <c r="A2" s="561"/>
      <c r="B2" s="561"/>
      <c r="C2" s="561"/>
      <c r="D2" s="561"/>
      <c r="E2" s="561"/>
      <c r="F2" s="561"/>
      <c r="G2" s="561"/>
      <c r="H2" s="561"/>
      <c r="I2" s="561"/>
      <c r="J2" s="561"/>
      <c r="K2" s="561"/>
      <c r="L2" s="561"/>
    </row>
    <row r="4" spans="1:26" x14ac:dyDescent="0.25">
      <c r="A4" s="379"/>
      <c r="B4" s="379"/>
      <c r="C4" s="379"/>
      <c r="D4" s="379"/>
      <c r="E4" s="379"/>
      <c r="F4" s="379"/>
      <c r="G4" s="379"/>
      <c r="H4" s="379"/>
      <c r="I4" s="379"/>
      <c r="J4" s="379"/>
      <c r="K4" s="379"/>
      <c r="L4" s="379"/>
      <c r="M4" s="379"/>
      <c r="N4" s="379"/>
    </row>
    <row r="5" spans="1:26" ht="14" x14ac:dyDescent="0.3">
      <c r="A5" s="382" t="s">
        <v>49</v>
      </c>
      <c r="B5" s="379"/>
      <c r="C5" s="379"/>
      <c r="D5" s="379"/>
      <c r="E5" s="379"/>
      <c r="F5" s="379"/>
      <c r="G5" s="379"/>
      <c r="H5" s="379"/>
      <c r="I5" s="379"/>
      <c r="J5" s="379"/>
      <c r="K5" s="379"/>
      <c r="L5" s="379"/>
      <c r="M5" s="379"/>
      <c r="N5" s="379"/>
    </row>
    <row r="6" spans="1:26" ht="13" x14ac:dyDescent="0.3">
      <c r="A6" s="562" t="s">
        <v>471</v>
      </c>
      <c r="B6" s="562"/>
      <c r="C6" s="562"/>
      <c r="D6" s="562"/>
      <c r="E6" s="562"/>
      <c r="F6" s="562"/>
      <c r="G6" s="562"/>
      <c r="H6" s="562"/>
      <c r="I6" s="562"/>
      <c r="J6" s="379"/>
      <c r="K6" s="379"/>
      <c r="L6" s="379"/>
      <c r="M6" s="379"/>
      <c r="N6" s="379"/>
    </row>
    <row r="7" spans="1:26" ht="13" x14ac:dyDescent="0.3">
      <c r="A7" s="398"/>
      <c r="B7" s="398"/>
      <c r="C7" s="398"/>
      <c r="D7" s="398"/>
      <c r="E7" s="398"/>
      <c r="F7" s="398"/>
      <c r="G7" s="398"/>
      <c r="H7" s="379"/>
      <c r="I7" s="379"/>
      <c r="J7" s="379"/>
      <c r="K7" s="379"/>
      <c r="L7" s="379"/>
      <c r="M7" s="379"/>
      <c r="N7" s="379"/>
    </row>
    <row r="8" spans="1:26" x14ac:dyDescent="0.25">
      <c r="A8" s="379"/>
      <c r="B8" s="379"/>
      <c r="C8" s="379"/>
      <c r="D8" s="379"/>
      <c r="E8" s="379"/>
      <c r="F8" s="379"/>
      <c r="G8" s="379"/>
      <c r="H8" s="379"/>
      <c r="I8" s="379"/>
      <c r="J8" s="379"/>
      <c r="K8" s="379"/>
      <c r="L8" s="379"/>
      <c r="M8" s="379"/>
      <c r="N8" s="379"/>
    </row>
    <row r="9" spans="1:26" ht="15.5" x14ac:dyDescent="0.35">
      <c r="A9" s="399"/>
      <c r="B9" s="399"/>
      <c r="C9" s="399"/>
      <c r="D9" s="399"/>
      <c r="E9" s="399"/>
      <c r="F9" s="399"/>
      <c r="G9" s="399"/>
      <c r="H9" s="399"/>
      <c r="I9" s="399"/>
      <c r="J9" s="379"/>
      <c r="K9" s="379"/>
      <c r="L9" s="379"/>
      <c r="M9" s="379"/>
      <c r="N9" s="379"/>
    </row>
    <row r="10" spans="1:26" ht="15.5" x14ac:dyDescent="0.35">
      <c r="A10" s="399"/>
      <c r="B10" s="399"/>
      <c r="C10" s="399"/>
      <c r="D10" s="399"/>
      <c r="E10" s="399"/>
      <c r="F10" s="399"/>
      <c r="G10" s="399"/>
      <c r="H10" s="399"/>
      <c r="I10" s="399"/>
      <c r="J10" s="379"/>
      <c r="K10" s="379"/>
      <c r="L10" s="379"/>
      <c r="M10" s="379"/>
      <c r="N10" s="379"/>
    </row>
    <row r="11" spans="1:26" ht="15.5" x14ac:dyDescent="0.35">
      <c r="A11" s="400">
        <v>1</v>
      </c>
      <c r="B11" s="401" t="s">
        <v>472</v>
      </c>
      <c r="C11" s="399"/>
      <c r="D11" s="399"/>
      <c r="E11" s="399"/>
      <c r="F11" s="399"/>
      <c r="G11" s="399"/>
      <c r="H11" s="399"/>
      <c r="I11" s="399"/>
      <c r="J11" s="379"/>
      <c r="K11" s="379"/>
      <c r="L11" s="379"/>
      <c r="M11" s="379"/>
      <c r="N11" s="379"/>
      <c r="S11" s="38"/>
      <c r="T11" s="37"/>
      <c r="U11" s="37"/>
      <c r="V11" s="37"/>
      <c r="W11" s="37"/>
      <c r="X11" s="37"/>
      <c r="Y11" s="37"/>
      <c r="Z11" s="37"/>
    </row>
    <row r="12" spans="1:26" ht="15.5" x14ac:dyDescent="0.35">
      <c r="A12" s="399"/>
      <c r="B12" s="399" t="s">
        <v>50</v>
      </c>
      <c r="C12" s="399"/>
      <c r="D12" s="399"/>
      <c r="E12" s="399"/>
      <c r="F12" s="399"/>
      <c r="G12" s="399"/>
      <c r="H12" s="399"/>
      <c r="I12" s="399"/>
      <c r="J12" s="379"/>
      <c r="K12" s="379"/>
      <c r="L12" s="379"/>
      <c r="M12" s="379"/>
      <c r="N12" s="379"/>
      <c r="S12" s="37"/>
      <c r="T12" s="37"/>
      <c r="U12" s="37"/>
      <c r="V12" s="37"/>
      <c r="W12" s="37"/>
      <c r="X12" s="37"/>
      <c r="Y12" s="37"/>
      <c r="Z12" s="37"/>
    </row>
    <row r="13" spans="1:26" ht="15.5" x14ac:dyDescent="0.35">
      <c r="A13" s="399"/>
      <c r="B13" s="399" t="s">
        <v>429</v>
      </c>
      <c r="C13" s="399"/>
      <c r="D13" s="399"/>
      <c r="E13" s="399"/>
      <c r="F13" s="399"/>
      <c r="G13" s="399"/>
      <c r="H13" s="399"/>
      <c r="I13" s="399"/>
      <c r="J13" s="379"/>
      <c r="K13" s="379"/>
      <c r="L13" s="379"/>
      <c r="M13" s="379"/>
      <c r="N13" s="379"/>
      <c r="S13" s="37"/>
      <c r="T13" s="37"/>
      <c r="U13" s="37"/>
      <c r="V13" s="37"/>
      <c r="W13" s="37"/>
      <c r="X13" s="37"/>
      <c r="Y13" s="37"/>
      <c r="Z13" s="37"/>
    </row>
    <row r="14" spans="1:26" ht="15.5" x14ac:dyDescent="0.35">
      <c r="A14" s="399"/>
      <c r="B14" s="399" t="s">
        <v>51</v>
      </c>
      <c r="C14" s="399"/>
      <c r="D14" s="399"/>
      <c r="E14" s="399"/>
      <c r="F14" s="399"/>
      <c r="G14" s="399"/>
      <c r="H14" s="399"/>
      <c r="I14" s="399"/>
      <c r="J14" s="379"/>
      <c r="K14" s="379"/>
      <c r="L14" s="379"/>
      <c r="M14" s="379"/>
      <c r="N14" s="379"/>
      <c r="S14" s="37"/>
      <c r="T14" s="37"/>
      <c r="U14" s="37"/>
      <c r="V14" s="37"/>
      <c r="W14" s="37"/>
      <c r="X14" s="37"/>
      <c r="Y14" s="37"/>
      <c r="Z14" s="37"/>
    </row>
    <row r="15" spans="1:26" ht="15.5" x14ac:dyDescent="0.35">
      <c r="A15" s="399"/>
      <c r="B15" s="399" t="s">
        <v>52</v>
      </c>
      <c r="C15" s="399"/>
      <c r="D15" s="399"/>
      <c r="E15" s="399"/>
      <c r="F15" s="399"/>
      <c r="G15" s="399"/>
      <c r="H15" s="399"/>
      <c r="I15" s="399"/>
      <c r="J15" s="379"/>
      <c r="K15" s="379"/>
      <c r="L15" s="379"/>
      <c r="M15" s="379"/>
      <c r="N15" s="379"/>
      <c r="S15" s="37"/>
      <c r="T15" s="37"/>
      <c r="U15" s="37"/>
      <c r="V15" s="37"/>
      <c r="W15" s="37"/>
      <c r="X15" s="37"/>
      <c r="Y15" s="37"/>
      <c r="Z15" s="37"/>
    </row>
    <row r="16" spans="1:26" ht="15.5" x14ac:dyDescent="0.35">
      <c r="A16" s="399"/>
      <c r="B16" s="399"/>
      <c r="C16" s="399"/>
      <c r="D16" s="399"/>
      <c r="E16" s="399"/>
      <c r="F16" s="399"/>
      <c r="G16" s="399"/>
      <c r="H16" s="399"/>
      <c r="I16" s="399"/>
      <c r="J16" s="379"/>
      <c r="K16" s="379"/>
      <c r="L16" s="379"/>
      <c r="M16" s="379"/>
      <c r="N16" s="379"/>
    </row>
    <row r="17" spans="1:14" ht="15.5" x14ac:dyDescent="0.35">
      <c r="A17" s="400">
        <v>2</v>
      </c>
      <c r="B17" s="401" t="s">
        <v>473</v>
      </c>
      <c r="C17" s="399"/>
      <c r="D17" s="399"/>
      <c r="E17" s="399"/>
      <c r="F17" s="399"/>
      <c r="G17" s="399"/>
      <c r="H17" s="399"/>
      <c r="I17" s="399"/>
      <c r="J17" s="379"/>
      <c r="K17" s="379"/>
      <c r="L17" s="379"/>
      <c r="M17" s="379"/>
      <c r="N17" s="379"/>
    </row>
    <row r="18" spans="1:14" ht="15.5" x14ac:dyDescent="0.35">
      <c r="A18" s="400"/>
      <c r="B18" s="399" t="s">
        <v>53</v>
      </c>
      <c r="C18" s="399"/>
      <c r="D18" s="399"/>
      <c r="E18" s="399"/>
      <c r="F18" s="399"/>
      <c r="G18" s="399"/>
      <c r="H18" s="399"/>
      <c r="I18" s="399"/>
      <c r="J18" s="379"/>
      <c r="K18" s="379"/>
      <c r="L18" s="379"/>
      <c r="M18" s="379"/>
      <c r="N18" s="379"/>
    </row>
    <row r="19" spans="1:14" ht="15.5" x14ac:dyDescent="0.35">
      <c r="A19" s="400"/>
      <c r="B19" s="399" t="s">
        <v>54</v>
      </c>
      <c r="C19" s="399"/>
      <c r="D19" s="399"/>
      <c r="E19" s="399"/>
      <c r="F19" s="399"/>
      <c r="G19" s="399"/>
      <c r="H19" s="399"/>
      <c r="I19" s="399"/>
      <c r="J19" s="379"/>
      <c r="K19" s="379"/>
      <c r="L19" s="379"/>
      <c r="M19" s="379"/>
      <c r="N19" s="379"/>
    </row>
    <row r="20" spans="1:14" ht="15.5" x14ac:dyDescent="0.35">
      <c r="A20" s="400"/>
      <c r="B20" s="399"/>
      <c r="C20" s="399"/>
      <c r="D20" s="399"/>
      <c r="E20" s="399"/>
      <c r="F20" s="399"/>
      <c r="G20" s="399"/>
      <c r="H20" s="399"/>
      <c r="I20" s="399"/>
      <c r="J20" s="379"/>
      <c r="K20" s="379"/>
      <c r="L20" s="379"/>
      <c r="M20" s="379"/>
      <c r="N20" s="379"/>
    </row>
    <row r="21" spans="1:14" ht="15.5" x14ac:dyDescent="0.35">
      <c r="A21" s="400">
        <v>3</v>
      </c>
      <c r="B21" s="401" t="s">
        <v>474</v>
      </c>
      <c r="C21" s="399"/>
      <c r="D21" s="399"/>
      <c r="E21" s="399"/>
      <c r="F21" s="399"/>
      <c r="G21" s="399"/>
      <c r="H21" s="399"/>
      <c r="I21" s="399"/>
      <c r="J21" s="379"/>
      <c r="K21" s="379"/>
      <c r="L21" s="379"/>
      <c r="M21" s="379"/>
      <c r="N21" s="379"/>
    </row>
    <row r="22" spans="1:14" ht="15.5" x14ac:dyDescent="0.35">
      <c r="A22" s="400"/>
      <c r="B22" s="399" t="s">
        <v>430</v>
      </c>
      <c r="C22" s="399"/>
      <c r="D22" s="399"/>
      <c r="E22" s="399"/>
      <c r="F22" s="399"/>
      <c r="G22" s="399"/>
      <c r="H22" s="399"/>
      <c r="I22" s="399"/>
      <c r="J22" s="379"/>
      <c r="K22" s="379"/>
      <c r="L22" s="379"/>
      <c r="M22" s="379"/>
      <c r="N22" s="379"/>
    </row>
    <row r="23" spans="1:14" ht="15.5" x14ac:dyDescent="0.35">
      <c r="A23" s="400"/>
      <c r="B23" s="399" t="s">
        <v>55</v>
      </c>
      <c r="C23" s="399"/>
      <c r="D23" s="399"/>
      <c r="E23" s="399"/>
      <c r="F23" s="399"/>
      <c r="G23" s="399"/>
      <c r="H23" s="399"/>
      <c r="I23" s="399"/>
      <c r="J23" s="379"/>
      <c r="K23" s="379"/>
      <c r="L23" s="379"/>
      <c r="M23" s="379"/>
      <c r="N23" s="379"/>
    </row>
    <row r="24" spans="1:14" ht="15.5" x14ac:dyDescent="0.35">
      <c r="A24" s="400"/>
      <c r="B24" s="399"/>
      <c r="C24" s="399"/>
      <c r="D24" s="399"/>
      <c r="E24" s="399"/>
      <c r="F24" s="399"/>
      <c r="G24" s="399"/>
      <c r="H24" s="399"/>
      <c r="I24" s="399"/>
      <c r="J24" s="379"/>
      <c r="K24" s="379"/>
      <c r="L24" s="379"/>
      <c r="M24" s="379"/>
      <c r="N24" s="379"/>
    </row>
    <row r="25" spans="1:14" ht="15.5" x14ac:dyDescent="0.35">
      <c r="A25" s="400">
        <v>4</v>
      </c>
      <c r="B25" s="401" t="s">
        <v>475</v>
      </c>
      <c r="C25" s="399"/>
      <c r="D25" s="399"/>
      <c r="E25" s="399"/>
      <c r="F25" s="399"/>
      <c r="G25" s="399"/>
      <c r="H25" s="399"/>
      <c r="I25" s="399"/>
      <c r="J25" s="379"/>
      <c r="K25" s="379"/>
      <c r="L25" s="379"/>
      <c r="M25" s="379"/>
      <c r="N25" s="379"/>
    </row>
    <row r="26" spans="1:14" ht="15.5" x14ac:dyDescent="0.35">
      <c r="A26" s="399"/>
      <c r="B26" s="399" t="s">
        <v>56</v>
      </c>
      <c r="C26" s="399"/>
      <c r="D26" s="399"/>
      <c r="E26" s="399"/>
      <c r="F26" s="399"/>
      <c r="G26" s="399"/>
      <c r="H26" s="399"/>
      <c r="I26" s="399"/>
      <c r="J26" s="379"/>
      <c r="K26" s="379"/>
      <c r="L26" s="379"/>
      <c r="M26" s="379"/>
      <c r="N26" s="379"/>
    </row>
    <row r="27" spans="1:14" ht="15.5" x14ac:dyDescent="0.35">
      <c r="A27" s="399"/>
      <c r="B27" s="399" t="s">
        <v>57</v>
      </c>
      <c r="C27" s="399"/>
      <c r="D27" s="399"/>
      <c r="E27" s="399"/>
      <c r="F27" s="399"/>
      <c r="G27" s="399"/>
      <c r="H27" s="399"/>
      <c r="I27" s="399"/>
      <c r="J27" s="379"/>
      <c r="K27" s="379"/>
      <c r="L27" s="379"/>
      <c r="M27" s="379"/>
      <c r="N27" s="379"/>
    </row>
    <row r="28" spans="1:14" ht="18.5" x14ac:dyDescent="0.35">
      <c r="A28" s="399">
        <v>5</v>
      </c>
      <c r="B28" s="563" t="s">
        <v>476</v>
      </c>
      <c r="C28" s="563"/>
      <c r="D28" s="563"/>
      <c r="E28" s="563"/>
      <c r="F28" s="563"/>
      <c r="G28" s="563"/>
      <c r="H28" s="563"/>
      <c r="I28" s="563"/>
      <c r="J28" s="563"/>
      <c r="K28" s="563"/>
      <c r="L28" s="563"/>
      <c r="M28" s="563"/>
      <c r="N28" s="379"/>
    </row>
    <row r="29" spans="1:14" x14ac:dyDescent="0.25">
      <c r="A29" s="379"/>
      <c r="B29" s="379"/>
      <c r="C29" s="379"/>
      <c r="D29" s="379"/>
      <c r="E29" s="379"/>
      <c r="F29" s="379"/>
      <c r="G29" s="379"/>
      <c r="H29" s="379"/>
      <c r="I29" s="379"/>
      <c r="J29" s="379"/>
      <c r="K29" s="379"/>
      <c r="L29" s="379"/>
      <c r="M29" s="379"/>
      <c r="N29" s="379"/>
    </row>
    <row r="30" spans="1:14" ht="18.5" x14ac:dyDescent="0.25">
      <c r="A30" s="379">
        <v>6</v>
      </c>
      <c r="B30" s="563" t="s">
        <v>477</v>
      </c>
      <c r="C30" s="563"/>
      <c r="D30" s="563"/>
      <c r="E30" s="563"/>
      <c r="F30" s="563"/>
      <c r="G30" s="563"/>
      <c r="H30" s="563"/>
      <c r="I30" s="563"/>
      <c r="J30" s="563"/>
      <c r="K30" s="563"/>
      <c r="L30" s="563"/>
      <c r="M30" s="563"/>
      <c r="N30" s="379"/>
    </row>
  </sheetData>
  <sheetProtection selectLockedCells="1" selectUnlockedCells="1"/>
  <mergeCells count="5">
    <mergeCell ref="A1:L1"/>
    <mergeCell ref="A2:L2"/>
    <mergeCell ref="A6:I6"/>
    <mergeCell ref="B28:M28"/>
    <mergeCell ref="B30:M30"/>
  </mergeCells>
  <pageMargins left="1" right="0.60972222222222228" top="1.370138888888889" bottom="1" header="0.51180555555555562" footer="0.51180555555555562"/>
  <pageSetup scale="78" firstPageNumber="0"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84"/>
  <sheetViews>
    <sheetView showGridLines="0" zoomScale="109" workbookViewId="0">
      <selection activeCell="D77" sqref="D77"/>
    </sheetView>
  </sheetViews>
  <sheetFormatPr defaultRowHeight="12.5" x14ac:dyDescent="0.25"/>
  <cols>
    <col min="1" max="1" width="6.81640625" customWidth="1"/>
    <col min="2" max="2" width="35.54296875" customWidth="1"/>
    <col min="3" max="3" width="17" customWidth="1"/>
    <col min="4" max="4" width="7.1796875" customWidth="1"/>
    <col min="5" max="6" width="16.1796875" customWidth="1"/>
    <col min="7" max="7" width="2.81640625" customWidth="1"/>
    <col min="8" max="11" width="0" hidden="1" customWidth="1"/>
    <col min="15" max="15" width="11.54296875" hidden="1" customWidth="1"/>
  </cols>
  <sheetData>
    <row r="1" spans="1:15" ht="18" x14ac:dyDescent="0.4">
      <c r="A1" s="564"/>
      <c r="B1" s="564"/>
      <c r="C1" s="564"/>
      <c r="D1" s="564"/>
      <c r="E1" s="564"/>
      <c r="F1" s="564"/>
      <c r="G1" s="70"/>
      <c r="H1" s="70"/>
      <c r="I1" s="70"/>
      <c r="J1" s="70"/>
      <c r="K1" s="70"/>
    </row>
    <row r="2" spans="1:15" ht="13" x14ac:dyDescent="0.3">
      <c r="A2" s="39" t="s">
        <v>79</v>
      </c>
      <c r="B2" s="71"/>
      <c r="C2" s="71"/>
      <c r="D2" s="71"/>
      <c r="E2" s="71"/>
      <c r="F2" s="72"/>
      <c r="G2" s="71"/>
      <c r="H2" s="71"/>
      <c r="I2" s="71"/>
      <c r="J2" s="71"/>
      <c r="K2" s="71"/>
    </row>
    <row r="3" spans="1:15" ht="15.5" x14ac:dyDescent="0.35">
      <c r="A3" s="555" t="s">
        <v>80</v>
      </c>
      <c r="B3" s="555"/>
      <c r="C3" s="555"/>
      <c r="D3" s="555"/>
      <c r="E3" s="555"/>
      <c r="F3" s="555"/>
    </row>
    <row r="4" spans="1:15" x14ac:dyDescent="0.25">
      <c r="F4" t="s">
        <v>81</v>
      </c>
    </row>
    <row r="5" spans="1:15" ht="13" x14ac:dyDescent="0.3">
      <c r="A5" s="407" t="s">
        <v>82</v>
      </c>
      <c r="B5" s="408" t="s">
        <v>83</v>
      </c>
      <c r="C5" s="409" t="s">
        <v>84</v>
      </c>
      <c r="D5" s="409" t="s">
        <v>85</v>
      </c>
      <c r="E5" s="409" t="s">
        <v>86</v>
      </c>
      <c r="F5" s="410" t="s">
        <v>86</v>
      </c>
    </row>
    <row r="6" spans="1:15" ht="13" x14ac:dyDescent="0.3">
      <c r="A6" s="411"/>
      <c r="B6" s="412"/>
      <c r="C6" s="412" t="s">
        <v>87</v>
      </c>
      <c r="D6" s="412"/>
      <c r="E6" s="413" t="s">
        <v>88</v>
      </c>
      <c r="F6" s="414" t="s">
        <v>89</v>
      </c>
    </row>
    <row r="7" spans="1:15" ht="14" x14ac:dyDescent="0.3">
      <c r="A7" s="415"/>
      <c r="B7" s="32"/>
      <c r="C7" s="77" t="s">
        <v>90</v>
      </c>
      <c r="D7" s="26"/>
      <c r="E7" s="78"/>
      <c r="F7" s="420"/>
    </row>
    <row r="8" spans="1:15" x14ac:dyDescent="0.25">
      <c r="A8" s="416"/>
      <c r="F8" s="421"/>
    </row>
    <row r="9" spans="1:15" ht="13" x14ac:dyDescent="0.3">
      <c r="A9" s="416">
        <v>1</v>
      </c>
      <c r="B9" s="60" t="s">
        <v>91</v>
      </c>
      <c r="C9" s="80">
        <v>20000</v>
      </c>
      <c r="D9">
        <v>118</v>
      </c>
      <c r="E9" s="80">
        <f>(C9*D9)/100000</f>
        <v>23.6</v>
      </c>
      <c r="F9" s="422">
        <f>(E9*12)</f>
        <v>283.20000000000005</v>
      </c>
      <c r="O9" t="e">
        <f>ROUND((#REF!/$D$77)*$O$77,0)</f>
        <v>#REF!</v>
      </c>
    </row>
    <row r="10" spans="1:15" x14ac:dyDescent="0.25">
      <c r="A10" s="416"/>
      <c r="C10" s="80"/>
      <c r="D10">
        <v>0</v>
      </c>
      <c r="E10" s="80">
        <f>(C10*D10)/100000</f>
        <v>0</v>
      </c>
      <c r="F10" s="422">
        <f t="shared" ref="F10:F73" si="0">(E10*12)</f>
        <v>0</v>
      </c>
      <c r="O10" t="e">
        <f>ROUND((#REF!/$D$77)*$O$77,0)</f>
        <v>#REF!</v>
      </c>
    </row>
    <row r="11" spans="1:15" ht="13" x14ac:dyDescent="0.3">
      <c r="A11" s="416">
        <v>2</v>
      </c>
      <c r="B11" s="60" t="s">
        <v>92</v>
      </c>
      <c r="C11" s="80">
        <v>25000</v>
      </c>
      <c r="D11">
        <v>10</v>
      </c>
      <c r="E11" s="80">
        <f t="shared" ref="E11:E74" si="1">(C11*D11)/100000</f>
        <v>2.5</v>
      </c>
      <c r="F11" s="422">
        <f t="shared" si="0"/>
        <v>30</v>
      </c>
      <c r="O11" t="e">
        <f>ROUND((#REF!/$D$77)*$O$77,0)</f>
        <v>#REF!</v>
      </c>
    </row>
    <row r="12" spans="1:15" x14ac:dyDescent="0.25">
      <c r="A12" s="416"/>
      <c r="C12" s="80"/>
      <c r="D12">
        <v>0</v>
      </c>
      <c r="E12" s="80">
        <f t="shared" si="1"/>
        <v>0</v>
      </c>
      <c r="F12" s="422">
        <f t="shared" si="0"/>
        <v>0</v>
      </c>
      <c r="O12" t="e">
        <f>ROUND((#REF!/$D$77)*$O$77,0)</f>
        <v>#REF!</v>
      </c>
    </row>
    <row r="13" spans="1:15" ht="13" x14ac:dyDescent="0.3">
      <c r="A13" s="416">
        <v>3</v>
      </c>
      <c r="B13" s="60" t="s">
        <v>93</v>
      </c>
      <c r="C13" s="80">
        <v>8000</v>
      </c>
      <c r="D13">
        <v>59</v>
      </c>
      <c r="E13" s="80">
        <f t="shared" si="1"/>
        <v>4.72</v>
      </c>
      <c r="F13" s="422">
        <f t="shared" si="0"/>
        <v>56.64</v>
      </c>
      <c r="O13" t="e">
        <f>ROUND((#REF!/$D$77)*$O$77,0)</f>
        <v>#REF!</v>
      </c>
    </row>
    <row r="14" spans="1:15" x14ac:dyDescent="0.25">
      <c r="A14" s="416"/>
      <c r="C14" s="80"/>
      <c r="D14">
        <v>0</v>
      </c>
      <c r="E14" s="80">
        <f t="shared" si="1"/>
        <v>0</v>
      </c>
      <c r="F14" s="422">
        <f t="shared" si="0"/>
        <v>0</v>
      </c>
      <c r="O14" t="e">
        <f>ROUND((#REF!/$D$77)*$O$77,0)</f>
        <v>#REF!</v>
      </c>
    </row>
    <row r="15" spans="1:15" ht="13" x14ac:dyDescent="0.3">
      <c r="A15" s="416">
        <v>4</v>
      </c>
      <c r="B15" s="60" t="s">
        <v>94</v>
      </c>
      <c r="C15" s="80">
        <v>7000</v>
      </c>
      <c r="D15">
        <v>59</v>
      </c>
      <c r="E15" s="80">
        <f t="shared" si="1"/>
        <v>4.13</v>
      </c>
      <c r="F15" s="422">
        <f t="shared" si="0"/>
        <v>49.56</v>
      </c>
      <c r="O15" t="e">
        <f>ROUND((#REF!/$D$77)*$O$77,0)</f>
        <v>#REF!</v>
      </c>
    </row>
    <row r="16" spans="1:15" x14ac:dyDescent="0.25">
      <c r="A16" s="416"/>
      <c r="C16" s="80"/>
      <c r="D16">
        <v>0</v>
      </c>
      <c r="E16" s="80">
        <f t="shared" si="1"/>
        <v>0</v>
      </c>
      <c r="F16" s="422">
        <f t="shared" si="0"/>
        <v>0</v>
      </c>
      <c r="O16" t="e">
        <f>ROUND((#REF!/$D$77)*$O$77,0)</f>
        <v>#REF!</v>
      </c>
    </row>
    <row r="17" spans="1:15" ht="13" x14ac:dyDescent="0.3">
      <c r="A17" s="416">
        <v>5</v>
      </c>
      <c r="B17" s="60" t="s">
        <v>95</v>
      </c>
      <c r="C17" s="80">
        <v>15000</v>
      </c>
      <c r="D17">
        <v>29</v>
      </c>
      <c r="E17" s="80">
        <f t="shared" si="1"/>
        <v>4.3499999999999996</v>
      </c>
      <c r="F17" s="422">
        <f t="shared" si="0"/>
        <v>52.199999999999996</v>
      </c>
      <c r="O17" t="e">
        <f>ROUND((#REF!/$D$77)*$O$77,0)</f>
        <v>#REF!</v>
      </c>
    </row>
    <row r="18" spans="1:15" ht="13" x14ac:dyDescent="0.3">
      <c r="A18" s="416"/>
      <c r="B18" s="60" t="s">
        <v>96</v>
      </c>
      <c r="C18" s="80"/>
      <c r="D18">
        <v>0</v>
      </c>
      <c r="E18" s="80">
        <f t="shared" si="1"/>
        <v>0</v>
      </c>
      <c r="F18" s="422">
        <f t="shared" si="0"/>
        <v>0</v>
      </c>
      <c r="O18" t="e">
        <f>ROUND((#REF!/$D$77)*$O$77,0)</f>
        <v>#REF!</v>
      </c>
    </row>
    <row r="19" spans="1:15" x14ac:dyDescent="0.25">
      <c r="A19" s="416"/>
      <c r="C19" s="80"/>
      <c r="D19">
        <v>0</v>
      </c>
      <c r="E19" s="80">
        <f t="shared" si="1"/>
        <v>0</v>
      </c>
      <c r="F19" s="422">
        <f t="shared" si="0"/>
        <v>0</v>
      </c>
      <c r="O19" t="e">
        <f>ROUND((#REF!/$D$77)*$O$77,0)</f>
        <v>#REF!</v>
      </c>
    </row>
    <row r="20" spans="1:15" ht="13" x14ac:dyDescent="0.3">
      <c r="A20" s="416">
        <v>6</v>
      </c>
      <c r="B20" s="60" t="s">
        <v>97</v>
      </c>
      <c r="C20" s="80"/>
      <c r="D20">
        <v>0</v>
      </c>
      <c r="E20" s="80">
        <f t="shared" si="1"/>
        <v>0</v>
      </c>
      <c r="F20" s="422">
        <f t="shared" si="0"/>
        <v>0</v>
      </c>
      <c r="O20" t="e">
        <f>ROUND((#REF!/$D$77)*$O$77,0)</f>
        <v>#REF!</v>
      </c>
    </row>
    <row r="21" spans="1:15" x14ac:dyDescent="0.25">
      <c r="A21" s="416"/>
      <c r="B21" t="s">
        <v>98</v>
      </c>
      <c r="C21" s="80">
        <v>100000</v>
      </c>
      <c r="D21">
        <v>12</v>
      </c>
      <c r="E21" s="80">
        <f t="shared" si="1"/>
        <v>12</v>
      </c>
      <c r="F21" s="422">
        <f t="shared" si="0"/>
        <v>144</v>
      </c>
      <c r="O21" t="e">
        <f>ROUND((#REF!/$D$77)*$O$77,0)</f>
        <v>#REF!</v>
      </c>
    </row>
    <row r="22" spans="1:15" x14ac:dyDescent="0.25">
      <c r="A22" s="416"/>
      <c r="B22" t="s">
        <v>99</v>
      </c>
      <c r="C22" s="80">
        <v>70000</v>
      </c>
      <c r="D22">
        <v>20</v>
      </c>
      <c r="E22" s="80">
        <f t="shared" si="1"/>
        <v>14</v>
      </c>
      <c r="F22" s="422">
        <f t="shared" si="0"/>
        <v>168</v>
      </c>
      <c r="O22" t="e">
        <f>ROUND((#REF!/$D$77)*$O$77,0)</f>
        <v>#REF!</v>
      </c>
    </row>
    <row r="23" spans="1:15" x14ac:dyDescent="0.25">
      <c r="A23" s="416"/>
      <c r="C23" s="80"/>
      <c r="D23">
        <v>0</v>
      </c>
      <c r="E23" s="80">
        <f t="shared" si="1"/>
        <v>0</v>
      </c>
      <c r="F23" s="422">
        <f t="shared" si="0"/>
        <v>0</v>
      </c>
      <c r="O23" t="e">
        <f>ROUND((#REF!/$D$77)*$O$77,0)</f>
        <v>#REF!</v>
      </c>
    </row>
    <row r="24" spans="1:15" x14ac:dyDescent="0.25">
      <c r="A24" s="416"/>
      <c r="C24" s="80"/>
      <c r="D24">
        <v>0</v>
      </c>
      <c r="E24" s="80">
        <f t="shared" si="1"/>
        <v>0</v>
      </c>
      <c r="F24" s="422">
        <f t="shared" si="0"/>
        <v>0</v>
      </c>
      <c r="O24" t="e">
        <f>ROUND((#REF!/$D$77)*$O$77,0)</f>
        <v>#REF!</v>
      </c>
    </row>
    <row r="25" spans="1:15" x14ac:dyDescent="0.25">
      <c r="A25" s="416">
        <v>7</v>
      </c>
      <c r="B25" t="s">
        <v>100</v>
      </c>
      <c r="C25" s="80">
        <v>12000</v>
      </c>
      <c r="D25">
        <v>2</v>
      </c>
      <c r="E25" s="80">
        <f t="shared" si="1"/>
        <v>0.24</v>
      </c>
      <c r="F25" s="422">
        <f t="shared" si="0"/>
        <v>2.88</v>
      </c>
      <c r="O25" t="e">
        <f>ROUND((#REF!/$D$77)*$O$77,0)</f>
        <v>#REF!</v>
      </c>
    </row>
    <row r="26" spans="1:15" x14ac:dyDescent="0.25">
      <c r="A26" s="416"/>
      <c r="C26" s="80"/>
      <c r="D26">
        <v>0</v>
      </c>
      <c r="E26" s="80">
        <f t="shared" si="1"/>
        <v>0</v>
      </c>
      <c r="F26" s="422">
        <f t="shared" si="0"/>
        <v>0</v>
      </c>
      <c r="O26" t="e">
        <f>ROUND((#REF!/$D$77)*$O$77,0)</f>
        <v>#REF!</v>
      </c>
    </row>
    <row r="27" spans="1:15" ht="13" x14ac:dyDescent="0.3">
      <c r="A27" s="416">
        <v>8</v>
      </c>
      <c r="B27" s="60" t="s">
        <v>101</v>
      </c>
      <c r="C27" s="80"/>
      <c r="D27">
        <v>0</v>
      </c>
      <c r="E27" s="80">
        <f t="shared" si="1"/>
        <v>0</v>
      </c>
      <c r="F27" s="422">
        <f t="shared" si="0"/>
        <v>0</v>
      </c>
      <c r="O27" t="e">
        <f>ROUND((#REF!/$D$77)*$O$77,0)</f>
        <v>#REF!</v>
      </c>
    </row>
    <row r="28" spans="1:15" x14ac:dyDescent="0.25">
      <c r="A28" s="416"/>
      <c r="B28" t="s">
        <v>102</v>
      </c>
      <c r="C28" s="80">
        <v>6000</v>
      </c>
      <c r="D28">
        <v>2</v>
      </c>
      <c r="E28" s="80">
        <f t="shared" si="1"/>
        <v>0.12</v>
      </c>
      <c r="F28" s="422">
        <f t="shared" si="0"/>
        <v>1.44</v>
      </c>
      <c r="O28" t="e">
        <f>ROUND((#REF!/$D$77)*$O$77,0)</f>
        <v>#REF!</v>
      </c>
    </row>
    <row r="29" spans="1:15" x14ac:dyDescent="0.25">
      <c r="A29" s="416"/>
      <c r="B29" t="s">
        <v>103</v>
      </c>
      <c r="C29" s="80">
        <v>4000</v>
      </c>
      <c r="D29">
        <v>4</v>
      </c>
      <c r="E29" s="80">
        <f t="shared" si="1"/>
        <v>0.16</v>
      </c>
      <c r="F29" s="422">
        <f t="shared" si="0"/>
        <v>1.92</v>
      </c>
      <c r="O29" t="e">
        <f>ROUND((#REF!/$D$77)*$O$77,0)</f>
        <v>#REF!</v>
      </c>
    </row>
    <row r="30" spans="1:15" x14ac:dyDescent="0.25">
      <c r="A30" s="416"/>
      <c r="B30" t="s">
        <v>104</v>
      </c>
      <c r="C30" s="80">
        <v>2000</v>
      </c>
      <c r="D30">
        <v>2</v>
      </c>
      <c r="E30" s="80">
        <f t="shared" si="1"/>
        <v>0.04</v>
      </c>
      <c r="F30" s="422">
        <f t="shared" si="0"/>
        <v>0.48</v>
      </c>
      <c r="O30" t="e">
        <f>ROUND((#REF!/$D$77)*$O$77,0)</f>
        <v>#REF!</v>
      </c>
    </row>
    <row r="31" spans="1:15" x14ac:dyDescent="0.25">
      <c r="A31" s="416"/>
      <c r="B31" t="s">
        <v>105</v>
      </c>
      <c r="C31" s="80">
        <v>6000</v>
      </c>
      <c r="D31">
        <v>2</v>
      </c>
      <c r="E31" s="80">
        <f t="shared" si="1"/>
        <v>0.12</v>
      </c>
      <c r="F31" s="422">
        <f t="shared" si="0"/>
        <v>1.44</v>
      </c>
      <c r="O31" t="e">
        <f>ROUND((#REF!/$D$77)*$O$77,0)</f>
        <v>#REF!</v>
      </c>
    </row>
    <row r="32" spans="1:15" x14ac:dyDescent="0.25">
      <c r="A32" s="416"/>
      <c r="C32" s="80"/>
      <c r="D32">
        <v>0</v>
      </c>
      <c r="E32" s="80">
        <f t="shared" si="1"/>
        <v>0</v>
      </c>
      <c r="F32" s="422">
        <f t="shared" si="0"/>
        <v>0</v>
      </c>
      <c r="O32" t="e">
        <f>ROUND((#REF!/$D$77)*$O$77,0)</f>
        <v>#REF!</v>
      </c>
    </row>
    <row r="33" spans="1:15" ht="13" x14ac:dyDescent="0.3">
      <c r="A33" s="416">
        <v>9</v>
      </c>
      <c r="B33" s="60" t="s">
        <v>106</v>
      </c>
      <c r="C33" s="80"/>
      <c r="D33">
        <v>0</v>
      </c>
      <c r="E33" s="80">
        <f t="shared" si="1"/>
        <v>0</v>
      </c>
      <c r="F33" s="422">
        <f t="shared" si="0"/>
        <v>0</v>
      </c>
      <c r="O33" t="e">
        <f>ROUND((#REF!/$D$77)*$O$77,0)</f>
        <v>#REF!</v>
      </c>
    </row>
    <row r="34" spans="1:15" x14ac:dyDescent="0.25">
      <c r="A34" s="416"/>
      <c r="B34" t="s">
        <v>107</v>
      </c>
      <c r="C34" s="80">
        <v>10000</v>
      </c>
      <c r="D34">
        <v>20</v>
      </c>
      <c r="E34" s="80">
        <f t="shared" si="1"/>
        <v>2</v>
      </c>
      <c r="F34" s="422">
        <f t="shared" si="0"/>
        <v>24</v>
      </c>
      <c r="O34" t="e">
        <f>ROUND((#REF!/$D$77)*$O$77,0)</f>
        <v>#REF!</v>
      </c>
    </row>
    <row r="35" spans="1:15" x14ac:dyDescent="0.25">
      <c r="A35" s="416"/>
      <c r="B35" t="s">
        <v>108</v>
      </c>
      <c r="C35" s="80">
        <v>10000</v>
      </c>
      <c r="D35">
        <v>16</v>
      </c>
      <c r="E35" s="80">
        <f t="shared" si="1"/>
        <v>1.6</v>
      </c>
      <c r="F35" s="422">
        <f t="shared" si="0"/>
        <v>19.200000000000003</v>
      </c>
      <c r="O35" t="e">
        <f>ROUND((#REF!/$D$77)*$O$77,0)</f>
        <v>#REF!</v>
      </c>
    </row>
    <row r="36" spans="1:15" x14ac:dyDescent="0.25">
      <c r="A36" s="416"/>
      <c r="B36" t="s">
        <v>109</v>
      </c>
      <c r="C36" s="80">
        <v>6000</v>
      </c>
      <c r="D36">
        <v>20</v>
      </c>
      <c r="E36" s="80">
        <f t="shared" si="1"/>
        <v>1.2</v>
      </c>
      <c r="F36" s="422">
        <f t="shared" si="0"/>
        <v>14.399999999999999</v>
      </c>
      <c r="O36" t="e">
        <f>ROUND((#REF!/$D$77)*$O$77,0)</f>
        <v>#REF!</v>
      </c>
    </row>
    <row r="37" spans="1:15" x14ac:dyDescent="0.25">
      <c r="A37" s="416"/>
      <c r="B37" t="s">
        <v>110</v>
      </c>
      <c r="C37" s="80">
        <v>20000</v>
      </c>
      <c r="D37">
        <v>4</v>
      </c>
      <c r="E37" s="80">
        <f t="shared" si="1"/>
        <v>0.8</v>
      </c>
      <c r="F37" s="422">
        <f t="shared" si="0"/>
        <v>9.6000000000000014</v>
      </c>
      <c r="O37" t="e">
        <f>ROUND((#REF!/$D$77)*$O$77,0)</f>
        <v>#REF!</v>
      </c>
    </row>
    <row r="38" spans="1:15" x14ac:dyDescent="0.25">
      <c r="A38" s="416"/>
      <c r="B38" t="s">
        <v>111</v>
      </c>
      <c r="C38" s="80">
        <v>8000</v>
      </c>
      <c r="D38">
        <v>4</v>
      </c>
      <c r="E38" s="80">
        <f t="shared" si="1"/>
        <v>0.32</v>
      </c>
      <c r="F38" s="422">
        <f t="shared" si="0"/>
        <v>3.84</v>
      </c>
      <c r="O38" t="e">
        <f>ROUND((#REF!/$D$77)*$O$77,0)</f>
        <v>#REF!</v>
      </c>
    </row>
    <row r="39" spans="1:15" x14ac:dyDescent="0.25">
      <c r="A39" s="416"/>
      <c r="B39" t="s">
        <v>112</v>
      </c>
      <c r="C39" s="80">
        <v>8000</v>
      </c>
      <c r="D39">
        <v>6</v>
      </c>
      <c r="E39" s="80">
        <f t="shared" si="1"/>
        <v>0.48</v>
      </c>
      <c r="F39" s="422">
        <f t="shared" si="0"/>
        <v>5.76</v>
      </c>
      <c r="O39" t="e">
        <f>ROUND((#REF!/$D$77)*$O$77,0)</f>
        <v>#REF!</v>
      </c>
    </row>
    <row r="40" spans="1:15" x14ac:dyDescent="0.25">
      <c r="A40" s="416"/>
      <c r="C40" s="80"/>
      <c r="D40">
        <v>0</v>
      </c>
      <c r="E40" s="80">
        <f t="shared" si="1"/>
        <v>0</v>
      </c>
      <c r="F40" s="422">
        <f t="shared" si="0"/>
        <v>0</v>
      </c>
      <c r="O40" t="e">
        <f>ROUND((#REF!/$D$77)*$O$77,0)</f>
        <v>#REF!</v>
      </c>
    </row>
    <row r="41" spans="1:15" ht="13" x14ac:dyDescent="0.3">
      <c r="A41" s="416">
        <v>10</v>
      </c>
      <c r="B41" s="60" t="s">
        <v>113</v>
      </c>
      <c r="C41" s="80"/>
      <c r="D41">
        <v>0</v>
      </c>
      <c r="E41" s="80">
        <f t="shared" si="1"/>
        <v>0</v>
      </c>
      <c r="F41" s="422">
        <f t="shared" si="0"/>
        <v>0</v>
      </c>
      <c r="O41" t="e">
        <f>ROUND((#REF!/$D$77)*$O$77,0)</f>
        <v>#REF!</v>
      </c>
    </row>
    <row r="42" spans="1:15" x14ac:dyDescent="0.25">
      <c r="A42" s="416"/>
      <c r="B42" t="s">
        <v>114</v>
      </c>
      <c r="C42" s="80">
        <v>75000</v>
      </c>
      <c r="D42">
        <v>2</v>
      </c>
      <c r="E42" s="80">
        <f t="shared" si="1"/>
        <v>1.5</v>
      </c>
      <c r="F42" s="422">
        <f t="shared" si="0"/>
        <v>18</v>
      </c>
      <c r="O42" t="e">
        <f>ROUND((#REF!/$D$77)*$O$77,0)</f>
        <v>#REF!</v>
      </c>
    </row>
    <row r="43" spans="1:15" x14ac:dyDescent="0.25">
      <c r="A43" s="416"/>
      <c r="B43" t="s">
        <v>115</v>
      </c>
      <c r="C43" s="80">
        <v>30000</v>
      </c>
      <c r="D43">
        <v>2</v>
      </c>
      <c r="E43" s="80">
        <f t="shared" si="1"/>
        <v>0.6</v>
      </c>
      <c r="F43" s="422">
        <f t="shared" si="0"/>
        <v>7.1999999999999993</v>
      </c>
      <c r="O43" t="e">
        <f>ROUND((#REF!/$D$77)*$O$77,0)</f>
        <v>#REF!</v>
      </c>
    </row>
    <row r="44" spans="1:15" x14ac:dyDescent="0.25">
      <c r="A44" s="416"/>
      <c r="B44" t="s">
        <v>116</v>
      </c>
      <c r="C44" s="80">
        <v>25000</v>
      </c>
      <c r="D44">
        <v>2</v>
      </c>
      <c r="E44" s="80">
        <f t="shared" si="1"/>
        <v>0.5</v>
      </c>
      <c r="F44" s="422">
        <f t="shared" si="0"/>
        <v>6</v>
      </c>
      <c r="O44" t="e">
        <f>ROUND((#REF!/$D$77)*$O$77,0)</f>
        <v>#REF!</v>
      </c>
    </row>
    <row r="45" spans="1:15" x14ac:dyDescent="0.25">
      <c r="A45" s="416"/>
      <c r="B45" t="s">
        <v>117</v>
      </c>
      <c r="C45" s="80">
        <v>10000</v>
      </c>
      <c r="D45">
        <v>8</v>
      </c>
      <c r="E45" s="80">
        <f t="shared" si="1"/>
        <v>0.8</v>
      </c>
      <c r="F45" s="422">
        <f t="shared" si="0"/>
        <v>9.6000000000000014</v>
      </c>
      <c r="O45" t="e">
        <f>ROUND((#REF!/$D$77)*$O$77,0)</f>
        <v>#REF!</v>
      </c>
    </row>
    <row r="46" spans="1:15" x14ac:dyDescent="0.25">
      <c r="A46" s="416"/>
      <c r="B46" t="s">
        <v>118</v>
      </c>
      <c r="C46" s="80">
        <v>7000</v>
      </c>
      <c r="D46">
        <v>4</v>
      </c>
      <c r="E46" s="80">
        <f t="shared" si="1"/>
        <v>0.28000000000000003</v>
      </c>
      <c r="F46" s="422">
        <f t="shared" si="0"/>
        <v>3.3600000000000003</v>
      </c>
      <c r="O46" t="e">
        <f>ROUND((#REF!/$D$77)*$O$77,0)</f>
        <v>#REF!</v>
      </c>
    </row>
    <row r="47" spans="1:15" x14ac:dyDescent="0.25">
      <c r="A47" s="416"/>
      <c r="B47" t="s">
        <v>119</v>
      </c>
      <c r="C47" s="80">
        <v>30000</v>
      </c>
      <c r="D47">
        <v>2</v>
      </c>
      <c r="E47" s="80">
        <f t="shared" si="1"/>
        <v>0.6</v>
      </c>
      <c r="F47" s="422">
        <f t="shared" si="0"/>
        <v>7.1999999999999993</v>
      </c>
      <c r="O47" t="e">
        <f>ROUND((#REF!/$D$77)*$O$77,0)</f>
        <v>#REF!</v>
      </c>
    </row>
    <row r="48" spans="1:15" x14ac:dyDescent="0.25">
      <c r="A48" s="416"/>
      <c r="B48" t="s">
        <v>120</v>
      </c>
      <c r="C48" s="80">
        <v>10000</v>
      </c>
      <c r="D48">
        <v>10</v>
      </c>
      <c r="E48" s="80">
        <f t="shared" si="1"/>
        <v>1</v>
      </c>
      <c r="F48" s="422">
        <f t="shared" si="0"/>
        <v>12</v>
      </c>
      <c r="O48" t="e">
        <f>ROUND((#REF!/$D$77)*$O$77,0)</f>
        <v>#REF!</v>
      </c>
    </row>
    <row r="49" spans="1:15" x14ac:dyDescent="0.25">
      <c r="A49" s="416"/>
      <c r="B49" t="s">
        <v>121</v>
      </c>
      <c r="C49" s="80">
        <v>25000</v>
      </c>
      <c r="D49">
        <v>2</v>
      </c>
      <c r="E49" s="80">
        <f t="shared" si="1"/>
        <v>0.5</v>
      </c>
      <c r="F49" s="422">
        <f t="shared" si="0"/>
        <v>6</v>
      </c>
      <c r="O49" t="e">
        <f>ROUND((#REF!/$D$77)*$O$77,0)</f>
        <v>#REF!</v>
      </c>
    </row>
    <row r="50" spans="1:15" x14ac:dyDescent="0.25">
      <c r="A50" s="416"/>
      <c r="B50" t="s">
        <v>122</v>
      </c>
      <c r="C50" s="80">
        <v>15000</v>
      </c>
      <c r="D50">
        <v>4</v>
      </c>
      <c r="E50" s="80">
        <f t="shared" si="1"/>
        <v>0.6</v>
      </c>
      <c r="F50" s="422">
        <f t="shared" si="0"/>
        <v>7.1999999999999993</v>
      </c>
      <c r="O50" t="e">
        <f>ROUND((#REF!/$D$77)*$O$77,0)</f>
        <v>#REF!</v>
      </c>
    </row>
    <row r="51" spans="1:15" x14ac:dyDescent="0.25">
      <c r="A51" s="416"/>
      <c r="C51" s="80"/>
      <c r="D51">
        <v>0</v>
      </c>
      <c r="E51" s="80">
        <f t="shared" si="1"/>
        <v>0</v>
      </c>
      <c r="F51" s="422">
        <f t="shared" si="0"/>
        <v>0</v>
      </c>
      <c r="O51" t="e">
        <f>ROUND((#REF!/$D$77)*$O$77,0)</f>
        <v>#REF!</v>
      </c>
    </row>
    <row r="52" spans="1:15" ht="13" x14ac:dyDescent="0.3">
      <c r="A52" s="416">
        <v>11</v>
      </c>
      <c r="B52" s="60" t="s">
        <v>123</v>
      </c>
      <c r="C52" s="80"/>
      <c r="D52">
        <v>0</v>
      </c>
      <c r="E52" s="80">
        <f t="shared" si="1"/>
        <v>0</v>
      </c>
      <c r="F52" s="422">
        <f t="shared" si="0"/>
        <v>0</v>
      </c>
      <c r="O52" t="e">
        <f>ROUND((#REF!/$D$77)*$O$77,0)</f>
        <v>#REF!</v>
      </c>
    </row>
    <row r="53" spans="1:15" x14ac:dyDescent="0.25">
      <c r="A53" s="416"/>
      <c r="B53" t="s">
        <v>124</v>
      </c>
      <c r="C53" s="80">
        <v>30000</v>
      </c>
      <c r="D53">
        <v>2</v>
      </c>
      <c r="E53" s="80">
        <f t="shared" si="1"/>
        <v>0.6</v>
      </c>
      <c r="F53" s="422">
        <f t="shared" si="0"/>
        <v>7.1999999999999993</v>
      </c>
      <c r="O53" t="e">
        <f>ROUND((#REF!/$D$77)*$O$77,0)</f>
        <v>#REF!</v>
      </c>
    </row>
    <row r="54" spans="1:15" x14ac:dyDescent="0.25">
      <c r="A54" s="416"/>
      <c r="B54" t="s">
        <v>125</v>
      </c>
      <c r="C54" s="80">
        <v>20000</v>
      </c>
      <c r="D54">
        <v>6</v>
      </c>
      <c r="E54" s="80">
        <f t="shared" si="1"/>
        <v>1.2</v>
      </c>
      <c r="F54" s="422">
        <f t="shared" si="0"/>
        <v>14.399999999999999</v>
      </c>
      <c r="O54" t="e">
        <f>ROUND((#REF!/$D$77)*$O$77,0)</f>
        <v>#REF!</v>
      </c>
    </row>
    <row r="55" spans="1:15" x14ac:dyDescent="0.25">
      <c r="A55" s="417"/>
      <c r="B55" s="23" t="s">
        <v>126</v>
      </c>
      <c r="C55" s="83">
        <v>25000</v>
      </c>
      <c r="D55">
        <v>2</v>
      </c>
      <c r="E55" s="80">
        <f t="shared" si="1"/>
        <v>0.5</v>
      </c>
      <c r="F55" s="422">
        <f t="shared" si="0"/>
        <v>6</v>
      </c>
      <c r="O55" t="e">
        <f>ROUND((#REF!/$D$77)*$O$77,0)</f>
        <v>#REF!</v>
      </c>
    </row>
    <row r="56" spans="1:15" x14ac:dyDescent="0.25">
      <c r="A56" s="418"/>
      <c r="B56" s="42"/>
      <c r="C56" s="84"/>
      <c r="D56">
        <v>0</v>
      </c>
      <c r="E56" s="80">
        <f t="shared" si="1"/>
        <v>0</v>
      </c>
      <c r="F56" s="422">
        <f t="shared" si="0"/>
        <v>0</v>
      </c>
      <c r="O56" t="e">
        <f>ROUND((#REF!/$D$77)*$O$77,0)</f>
        <v>#REF!</v>
      </c>
    </row>
    <row r="57" spans="1:15" ht="13" x14ac:dyDescent="0.3">
      <c r="A57" s="416">
        <v>12</v>
      </c>
      <c r="B57" s="60" t="s">
        <v>127</v>
      </c>
      <c r="C57" s="80"/>
      <c r="D57">
        <v>0</v>
      </c>
      <c r="E57" s="80">
        <f t="shared" si="1"/>
        <v>0</v>
      </c>
      <c r="F57" s="422">
        <f t="shared" si="0"/>
        <v>0</v>
      </c>
      <c r="O57" t="e">
        <f>ROUND((#REF!/$D$77)*$O$77,0)</f>
        <v>#REF!</v>
      </c>
    </row>
    <row r="58" spans="1:15" x14ac:dyDescent="0.25">
      <c r="A58" s="416"/>
      <c r="B58" t="s">
        <v>128</v>
      </c>
      <c r="C58" s="80">
        <v>15000</v>
      </c>
      <c r="D58">
        <v>4</v>
      </c>
      <c r="E58" s="80">
        <f t="shared" si="1"/>
        <v>0.6</v>
      </c>
      <c r="F58" s="422">
        <f t="shared" si="0"/>
        <v>7.1999999999999993</v>
      </c>
      <c r="O58" t="e">
        <f>ROUND((#REF!/$D$77)*$O$77,0)</f>
        <v>#REF!</v>
      </c>
    </row>
    <row r="59" spans="1:15" x14ac:dyDescent="0.25">
      <c r="A59" s="416"/>
      <c r="B59" t="s">
        <v>129</v>
      </c>
      <c r="C59" s="80">
        <v>8000</v>
      </c>
      <c r="D59">
        <v>8</v>
      </c>
      <c r="E59" s="80">
        <f t="shared" si="1"/>
        <v>0.64</v>
      </c>
      <c r="F59" s="422">
        <f t="shared" si="0"/>
        <v>7.68</v>
      </c>
      <c r="O59" t="e">
        <f>ROUND((#REF!/$D$77)*$O$77,0)</f>
        <v>#REF!</v>
      </c>
    </row>
    <row r="60" spans="1:15" x14ac:dyDescent="0.25">
      <c r="A60" s="416"/>
      <c r="C60" s="80"/>
      <c r="D60">
        <v>0</v>
      </c>
      <c r="E60" s="80">
        <f t="shared" si="1"/>
        <v>0</v>
      </c>
      <c r="F60" s="422">
        <f t="shared" si="0"/>
        <v>0</v>
      </c>
      <c r="O60" t="e">
        <f>ROUND((#REF!/$D$77)*$O$77,0)</f>
        <v>#REF!</v>
      </c>
    </row>
    <row r="61" spans="1:15" ht="13" x14ac:dyDescent="0.3">
      <c r="A61" s="416">
        <v>13</v>
      </c>
      <c r="B61" s="60" t="s">
        <v>130</v>
      </c>
      <c r="C61" s="80"/>
      <c r="D61">
        <v>0</v>
      </c>
      <c r="E61" s="80">
        <f t="shared" si="1"/>
        <v>0</v>
      </c>
      <c r="F61" s="422">
        <f t="shared" si="0"/>
        <v>0</v>
      </c>
      <c r="O61" t="e">
        <f>ROUND((#REF!/$D$77)*$O$77,0)</f>
        <v>#REF!</v>
      </c>
    </row>
    <row r="62" spans="1:15" x14ac:dyDescent="0.25">
      <c r="A62" s="416"/>
      <c r="B62" t="s">
        <v>131</v>
      </c>
      <c r="C62" s="80">
        <v>15000</v>
      </c>
      <c r="D62">
        <v>2</v>
      </c>
      <c r="E62" s="80">
        <f t="shared" si="1"/>
        <v>0.3</v>
      </c>
      <c r="F62" s="422">
        <f t="shared" si="0"/>
        <v>3.5999999999999996</v>
      </c>
      <c r="O62" t="e">
        <f>ROUND((#REF!/$D$77)*$O$77,0)</f>
        <v>#REF!</v>
      </c>
    </row>
    <row r="63" spans="1:15" x14ac:dyDescent="0.25">
      <c r="A63" s="416"/>
      <c r="B63" t="s">
        <v>132</v>
      </c>
      <c r="C63" s="80">
        <v>8000</v>
      </c>
      <c r="D63">
        <v>10</v>
      </c>
      <c r="E63" s="80">
        <f t="shared" si="1"/>
        <v>0.8</v>
      </c>
      <c r="F63" s="422">
        <f t="shared" si="0"/>
        <v>9.6000000000000014</v>
      </c>
      <c r="O63" t="e">
        <f>ROUND((#REF!/$D$77)*$O$77,0)</f>
        <v>#REF!</v>
      </c>
    </row>
    <row r="64" spans="1:15" x14ac:dyDescent="0.25">
      <c r="A64" s="416"/>
      <c r="B64" t="s">
        <v>133</v>
      </c>
      <c r="C64" s="80">
        <v>10000</v>
      </c>
      <c r="D64">
        <v>4</v>
      </c>
      <c r="E64" s="80">
        <f t="shared" si="1"/>
        <v>0.4</v>
      </c>
      <c r="F64" s="422">
        <f t="shared" si="0"/>
        <v>4.8000000000000007</v>
      </c>
      <c r="O64" t="e">
        <f>ROUND((#REF!/$D$77)*$O$77,0)</f>
        <v>#REF!</v>
      </c>
    </row>
    <row r="65" spans="1:15" x14ac:dyDescent="0.25">
      <c r="A65" s="416"/>
      <c r="C65" s="80"/>
      <c r="D65">
        <v>0</v>
      </c>
      <c r="E65" s="80">
        <f t="shared" si="1"/>
        <v>0</v>
      </c>
      <c r="F65" s="422">
        <f t="shared" si="0"/>
        <v>0</v>
      </c>
      <c r="O65" t="e">
        <f>ROUND((#REF!/$D$77)*$O$77,0)</f>
        <v>#REF!</v>
      </c>
    </row>
    <row r="66" spans="1:15" ht="13" x14ac:dyDescent="0.3">
      <c r="A66" s="416">
        <v>14</v>
      </c>
      <c r="B66" s="60" t="s">
        <v>134</v>
      </c>
      <c r="C66" s="80"/>
      <c r="D66">
        <v>0</v>
      </c>
      <c r="E66" s="80">
        <f t="shared" si="1"/>
        <v>0</v>
      </c>
      <c r="F66" s="422">
        <f t="shared" si="0"/>
        <v>0</v>
      </c>
      <c r="O66" t="e">
        <f>ROUND((#REF!/$D$77)*$O$77,0)</f>
        <v>#REF!</v>
      </c>
    </row>
    <row r="67" spans="1:15" x14ac:dyDescent="0.25">
      <c r="A67" s="416"/>
      <c r="B67" t="s">
        <v>135</v>
      </c>
      <c r="C67" s="80">
        <v>25000</v>
      </c>
      <c r="D67">
        <v>2</v>
      </c>
      <c r="E67" s="80">
        <f t="shared" si="1"/>
        <v>0.5</v>
      </c>
      <c r="F67" s="422">
        <f t="shared" si="0"/>
        <v>6</v>
      </c>
      <c r="O67" t="e">
        <f>ROUND((#REF!/$D$77)*$O$77,0)</f>
        <v>#REF!</v>
      </c>
    </row>
    <row r="68" spans="1:15" x14ac:dyDescent="0.25">
      <c r="A68" s="416"/>
      <c r="B68" t="s">
        <v>136</v>
      </c>
      <c r="C68" s="80">
        <v>12000</v>
      </c>
      <c r="D68">
        <v>55</v>
      </c>
      <c r="E68" s="80">
        <f t="shared" si="1"/>
        <v>6.6</v>
      </c>
      <c r="F68" s="422">
        <f t="shared" si="0"/>
        <v>79.199999999999989</v>
      </c>
      <c r="O68">
        <v>55</v>
      </c>
    </row>
    <row r="69" spans="1:15" x14ac:dyDescent="0.25">
      <c r="A69" s="419"/>
      <c r="B69" t="s">
        <v>137</v>
      </c>
      <c r="C69" s="80">
        <v>8000</v>
      </c>
      <c r="D69">
        <v>10</v>
      </c>
      <c r="E69" s="80">
        <f t="shared" si="1"/>
        <v>0.8</v>
      </c>
      <c r="F69" s="422">
        <f t="shared" si="0"/>
        <v>9.6000000000000014</v>
      </c>
      <c r="O69" t="e">
        <f>ROUND((#REF!/$D$77)*$O$77,0)</f>
        <v>#REF!</v>
      </c>
    </row>
    <row r="70" spans="1:15" x14ac:dyDescent="0.25">
      <c r="A70" s="419"/>
      <c r="B70" t="s">
        <v>138</v>
      </c>
      <c r="C70" s="80">
        <v>8000</v>
      </c>
      <c r="D70">
        <v>12</v>
      </c>
      <c r="E70" s="80">
        <f t="shared" si="1"/>
        <v>0.96</v>
      </c>
      <c r="F70" s="422">
        <f t="shared" si="0"/>
        <v>11.52</v>
      </c>
      <c r="O70" t="e">
        <f>ROUND((#REF!/$D$77)*$O$77,0)</f>
        <v>#REF!</v>
      </c>
    </row>
    <row r="71" spans="1:15" x14ac:dyDescent="0.25">
      <c r="A71" s="419"/>
      <c r="C71" s="80"/>
      <c r="D71">
        <v>0</v>
      </c>
      <c r="E71" s="80">
        <f t="shared" si="1"/>
        <v>0</v>
      </c>
      <c r="F71" s="422">
        <f t="shared" si="0"/>
        <v>0</v>
      </c>
      <c r="O71" t="e">
        <f>ROUND((#REF!/$D$77)*$O$77,0)</f>
        <v>#REF!</v>
      </c>
    </row>
    <row r="72" spans="1:15" ht="13" x14ac:dyDescent="0.3">
      <c r="A72" s="419">
        <v>15</v>
      </c>
      <c r="B72" s="60" t="s">
        <v>139</v>
      </c>
      <c r="C72" s="80"/>
      <c r="D72">
        <v>0</v>
      </c>
      <c r="E72" s="80">
        <f t="shared" si="1"/>
        <v>0</v>
      </c>
      <c r="F72" s="422">
        <f t="shared" si="0"/>
        <v>0</v>
      </c>
      <c r="O72" t="e">
        <f>ROUND((#REF!/$D$77)*$O$77,0)</f>
        <v>#REF!</v>
      </c>
    </row>
    <row r="73" spans="1:15" x14ac:dyDescent="0.25">
      <c r="A73" s="419"/>
      <c r="B73" t="s">
        <v>140</v>
      </c>
      <c r="C73" s="80">
        <v>20000</v>
      </c>
      <c r="D73">
        <v>2</v>
      </c>
      <c r="E73" s="80">
        <f t="shared" si="1"/>
        <v>0.4</v>
      </c>
      <c r="F73" s="422">
        <f t="shared" si="0"/>
        <v>4.8000000000000007</v>
      </c>
      <c r="O73" t="e">
        <f>ROUND((#REF!/$D$77)*$O$77,0)</f>
        <v>#REF!</v>
      </c>
    </row>
    <row r="74" spans="1:15" x14ac:dyDescent="0.25">
      <c r="A74" s="419"/>
      <c r="B74" t="s">
        <v>141</v>
      </c>
      <c r="C74" s="80">
        <v>15000</v>
      </c>
      <c r="D74">
        <v>4</v>
      </c>
      <c r="E74" s="80">
        <f t="shared" si="1"/>
        <v>0.6</v>
      </c>
      <c r="F74" s="422">
        <f t="shared" ref="F74" si="2">(E74*12)</f>
        <v>7.1999999999999993</v>
      </c>
      <c r="O74" t="e">
        <f>ROUND((#REF!/$D$77)*$O$77,0)</f>
        <v>#REF!</v>
      </c>
    </row>
    <row r="75" spans="1:15" x14ac:dyDescent="0.25">
      <c r="A75" s="419"/>
      <c r="C75" s="57"/>
      <c r="D75" s="81"/>
      <c r="E75" s="80"/>
      <c r="F75" s="422"/>
    </row>
    <row r="76" spans="1:15" x14ac:dyDescent="0.25">
      <c r="A76" s="419"/>
      <c r="C76" s="57"/>
      <c r="D76" s="81"/>
      <c r="E76" s="81"/>
      <c r="F76" s="423"/>
    </row>
    <row r="77" spans="1:15" ht="13" x14ac:dyDescent="0.3">
      <c r="A77" s="402"/>
      <c r="B77" s="403" t="s">
        <v>142</v>
      </c>
      <c r="C77" s="404"/>
      <c r="D77" s="404">
        <f>SUM(D9:D76)</f>
        <v>548</v>
      </c>
      <c r="E77" s="405">
        <f>SUM(E9:E74)</f>
        <v>93.659999999999968</v>
      </c>
      <c r="F77" s="406">
        <f>SUM(F9:F76)</f>
        <v>1123.9200000000003</v>
      </c>
      <c r="O77">
        <v>548</v>
      </c>
    </row>
    <row r="78" spans="1:15" x14ac:dyDescent="0.25">
      <c r="A78" s="22"/>
      <c r="B78" s="23"/>
      <c r="C78" s="23"/>
      <c r="D78" s="23"/>
      <c r="E78" s="23"/>
      <c r="F78" s="87"/>
    </row>
    <row r="79" spans="1:15" ht="13" x14ac:dyDescent="0.3">
      <c r="B79" s="60"/>
      <c r="F79" s="80"/>
    </row>
    <row r="80" spans="1:15" x14ac:dyDescent="0.25">
      <c r="F80" s="57"/>
    </row>
    <row r="81" spans="2:6" ht="13" x14ac:dyDescent="0.3">
      <c r="B81" s="60" t="s">
        <v>143</v>
      </c>
      <c r="F81" s="88">
        <f>F77+F79</f>
        <v>1123.9200000000003</v>
      </c>
    </row>
    <row r="82" spans="2:6" x14ac:dyDescent="0.25">
      <c r="B82" t="s">
        <v>144</v>
      </c>
    </row>
    <row r="84" spans="2:6" ht="14" x14ac:dyDescent="0.3">
      <c r="B84" s="32"/>
    </row>
  </sheetData>
  <sheetProtection selectLockedCells="1" selectUnlockedCells="1"/>
  <mergeCells count="2">
    <mergeCell ref="A1:F1"/>
    <mergeCell ref="A3:F3"/>
  </mergeCells>
  <pageMargins left="0.74027777777777781" right="0.27013888888888887" top="0.59027777777777779" bottom="0.87013888888888891" header="0.51180555555555562" footer="0.51180555555555562"/>
  <pageSetup scale="97" firstPageNumber="0" orientation="portrait" horizontalDpi="300" verticalDpi="300" r:id="rId1"/>
  <headerFooter alignWithMargins="0"/>
  <rowBreaks count="1" manualBreakCount="1">
    <brk id="55"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38"/>
  <sheetViews>
    <sheetView showGridLines="0" topLeftCell="A21" zoomScale="90" zoomScaleNormal="85" workbookViewId="0">
      <selection activeCell="B31" sqref="B31"/>
    </sheetView>
  </sheetViews>
  <sheetFormatPr defaultColWidth="31" defaultRowHeight="12.5" x14ac:dyDescent="0.25"/>
  <cols>
    <col min="1" max="4" width="31" customWidth="1"/>
    <col min="5" max="5" width="12.6328125" customWidth="1"/>
  </cols>
  <sheetData>
    <row r="1" spans="1:17" ht="13" x14ac:dyDescent="0.3">
      <c r="A1" s="564"/>
      <c r="B1" s="564"/>
      <c r="C1" s="564"/>
      <c r="D1" s="564"/>
      <c r="E1" s="564"/>
      <c r="F1" s="564"/>
      <c r="G1" s="564"/>
      <c r="H1" s="564"/>
      <c r="I1" s="564"/>
      <c r="J1" s="564"/>
      <c r="K1" s="564"/>
    </row>
    <row r="2" spans="1:17" ht="13" x14ac:dyDescent="0.3">
      <c r="A2" s="564"/>
      <c r="B2" s="564"/>
      <c r="C2" s="564"/>
      <c r="D2" s="564"/>
      <c r="E2" s="564"/>
      <c r="F2" s="564"/>
      <c r="G2" s="564"/>
      <c r="H2" s="564"/>
      <c r="I2" s="564"/>
      <c r="J2" s="564"/>
      <c r="K2" s="564"/>
    </row>
    <row r="3" spans="1:17" ht="13" x14ac:dyDescent="0.3">
      <c r="A3" s="39" t="s">
        <v>58</v>
      </c>
      <c r="B3" s="36"/>
      <c r="C3" s="36"/>
      <c r="D3" s="36"/>
      <c r="E3" s="36"/>
      <c r="F3" s="36"/>
    </row>
    <row r="4" spans="1:17" ht="13" x14ac:dyDescent="0.3">
      <c r="A4" s="39"/>
      <c r="B4" s="36"/>
      <c r="C4" s="36"/>
      <c r="D4" s="36"/>
      <c r="E4" s="36"/>
      <c r="F4" s="36"/>
    </row>
    <row r="5" spans="1:17" ht="14" x14ac:dyDescent="0.3">
      <c r="A5" s="565" t="s">
        <v>59</v>
      </c>
      <c r="B5" s="565"/>
      <c r="C5" s="565"/>
      <c r="D5" s="565"/>
      <c r="E5" s="565"/>
      <c r="F5" s="565"/>
      <c r="G5" s="565"/>
      <c r="H5" s="565"/>
      <c r="I5" s="565"/>
      <c r="J5" s="565"/>
      <c r="K5" s="565"/>
    </row>
    <row r="6" spans="1:17" ht="14" x14ac:dyDescent="0.3">
      <c r="A6" s="28"/>
      <c r="B6" s="28"/>
      <c r="C6" s="28"/>
      <c r="D6" s="28"/>
      <c r="E6" s="28"/>
      <c r="F6" s="28"/>
      <c r="G6" s="28"/>
      <c r="H6" s="28"/>
    </row>
    <row r="7" spans="1:17" ht="13" x14ac:dyDescent="0.3">
      <c r="A7" s="40"/>
      <c r="B7" s="566" t="s">
        <v>60</v>
      </c>
      <c r="C7" s="566"/>
      <c r="D7" s="566"/>
      <c r="E7" s="566"/>
      <c r="F7" s="566"/>
      <c r="G7" s="42"/>
      <c r="H7" s="43"/>
      <c r="I7" s="43"/>
      <c r="J7" s="43"/>
      <c r="K7" s="43"/>
    </row>
    <row r="8" spans="1:17" ht="13" x14ac:dyDescent="0.3">
      <c r="A8" s="44" t="s">
        <v>61</v>
      </c>
      <c r="B8" s="41" t="s">
        <v>4</v>
      </c>
      <c r="C8" s="45" t="s">
        <v>6</v>
      </c>
      <c r="D8" s="45" t="s">
        <v>8</v>
      </c>
      <c r="E8" s="46" t="s">
        <v>10</v>
      </c>
      <c r="F8" s="45" t="s">
        <v>12</v>
      </c>
      <c r="G8" s="47" t="s">
        <v>14</v>
      </c>
      <c r="H8" s="45" t="s">
        <v>23</v>
      </c>
      <c r="I8" s="45" t="s">
        <v>25</v>
      </c>
      <c r="J8" s="45" t="s">
        <v>39</v>
      </c>
      <c r="K8" s="45" t="s">
        <v>40</v>
      </c>
    </row>
    <row r="9" spans="1:17" ht="13" x14ac:dyDescent="0.3">
      <c r="A9" s="48"/>
      <c r="B9" s="30"/>
      <c r="C9" s="49"/>
      <c r="D9" s="49"/>
      <c r="F9" s="49"/>
      <c r="G9" s="49"/>
      <c r="H9" s="49"/>
      <c r="I9" s="49"/>
      <c r="J9" s="49"/>
      <c r="K9" s="49"/>
    </row>
    <row r="10" spans="1:17" ht="13" x14ac:dyDescent="0.3">
      <c r="A10" s="48" t="s">
        <v>62</v>
      </c>
      <c r="B10" s="50">
        <v>710</v>
      </c>
      <c r="C10" s="50">
        <v>710</v>
      </c>
      <c r="D10" s="50">
        <v>710</v>
      </c>
      <c r="E10" s="50">
        <v>710</v>
      </c>
      <c r="F10" s="50">
        <v>710</v>
      </c>
      <c r="G10" s="50">
        <v>710</v>
      </c>
      <c r="H10" s="50">
        <v>710</v>
      </c>
      <c r="I10" s="50">
        <v>710</v>
      </c>
      <c r="J10" s="50">
        <v>710</v>
      </c>
      <c r="K10" s="50">
        <v>710</v>
      </c>
    </row>
    <row r="11" spans="1:17" x14ac:dyDescent="0.25">
      <c r="A11" s="49"/>
      <c r="B11" s="30"/>
      <c r="C11" s="49"/>
      <c r="D11" s="49"/>
      <c r="F11" s="49"/>
      <c r="G11" s="49"/>
      <c r="H11" s="49"/>
      <c r="I11" s="49"/>
      <c r="J11" s="49"/>
      <c r="K11" s="49"/>
    </row>
    <row r="12" spans="1:17" x14ac:dyDescent="0.25">
      <c r="A12" s="49" t="s">
        <v>63</v>
      </c>
      <c r="B12" s="52">
        <v>0.4</v>
      </c>
      <c r="C12" s="53">
        <v>0.45</v>
      </c>
      <c r="D12" s="53">
        <v>0.5</v>
      </c>
      <c r="E12" s="54">
        <v>0.5</v>
      </c>
      <c r="F12" s="53">
        <v>0.6</v>
      </c>
      <c r="G12" s="53">
        <v>0.6</v>
      </c>
      <c r="H12" s="53">
        <v>0.65</v>
      </c>
      <c r="I12" s="53">
        <v>0.65</v>
      </c>
      <c r="J12" s="53">
        <v>0.7</v>
      </c>
      <c r="K12" s="53">
        <v>0.7</v>
      </c>
    </row>
    <row r="13" spans="1:17" x14ac:dyDescent="0.25">
      <c r="A13" s="49"/>
      <c r="B13" s="55"/>
      <c r="C13" s="56"/>
      <c r="D13" s="56"/>
      <c r="E13" s="57"/>
      <c r="F13" s="56"/>
      <c r="G13" s="56"/>
      <c r="H13" s="56"/>
      <c r="I13" s="56"/>
      <c r="J13" s="56"/>
      <c r="K13" s="56"/>
    </row>
    <row r="14" spans="1:17" x14ac:dyDescent="0.25">
      <c r="A14" s="49" t="s">
        <v>64</v>
      </c>
      <c r="B14" s="55">
        <f t="shared" ref="B14:H14" si="0">B10*B12</f>
        <v>284</v>
      </c>
      <c r="C14" s="55">
        <f t="shared" si="0"/>
        <v>319.5</v>
      </c>
      <c r="D14" s="55">
        <f t="shared" si="0"/>
        <v>355</v>
      </c>
      <c r="E14" s="55">
        <f t="shared" si="0"/>
        <v>355</v>
      </c>
      <c r="F14" s="55">
        <f t="shared" si="0"/>
        <v>426</v>
      </c>
      <c r="G14" s="55">
        <f t="shared" si="0"/>
        <v>426</v>
      </c>
      <c r="H14" s="55">
        <f t="shared" si="0"/>
        <v>461.5</v>
      </c>
      <c r="I14" s="56">
        <f>I10*I12</f>
        <v>461.5</v>
      </c>
      <c r="J14" s="56">
        <f>J10*J12</f>
        <v>496.99999999999994</v>
      </c>
      <c r="K14" s="56">
        <f>K10*K12</f>
        <v>496.99999999999994</v>
      </c>
    </row>
    <row r="15" spans="1:17" x14ac:dyDescent="0.25">
      <c r="A15" s="49"/>
      <c r="B15" s="55"/>
      <c r="C15" s="49"/>
      <c r="D15" s="49"/>
      <c r="F15" s="49"/>
      <c r="G15" s="49"/>
      <c r="H15" s="49"/>
      <c r="I15" s="49"/>
      <c r="J15" s="49"/>
      <c r="K15" s="49"/>
    </row>
    <row r="16" spans="1:17" x14ac:dyDescent="0.25">
      <c r="A16" s="49" t="s">
        <v>65</v>
      </c>
      <c r="B16" s="55">
        <f>B14*360</f>
        <v>102240</v>
      </c>
      <c r="C16" s="55">
        <f t="shared" ref="C16:H16" si="1">C14*360</f>
        <v>115020</v>
      </c>
      <c r="D16" s="55">
        <f>D14*360</f>
        <v>127800</v>
      </c>
      <c r="E16" s="55">
        <f t="shared" si="1"/>
        <v>127800</v>
      </c>
      <c r="F16" s="55">
        <f t="shared" si="1"/>
        <v>153360</v>
      </c>
      <c r="G16" s="55">
        <f t="shared" si="1"/>
        <v>153360</v>
      </c>
      <c r="H16" s="55">
        <f t="shared" si="1"/>
        <v>166140</v>
      </c>
      <c r="I16" s="56">
        <f>I14*360</f>
        <v>166140</v>
      </c>
      <c r="J16" s="56">
        <f>J14*360</f>
        <v>178919.99999999997</v>
      </c>
      <c r="K16" s="55">
        <f>K14*360</f>
        <v>178919.99999999997</v>
      </c>
      <c r="L16" s="55"/>
      <c r="M16" s="57">
        <f>6000000/B16</f>
        <v>58.685446009389672</v>
      </c>
      <c r="N16" s="57">
        <f>C16*M16</f>
        <v>6750000</v>
      </c>
      <c r="O16" s="57">
        <f>M16*D16</f>
        <v>7500000</v>
      </c>
      <c r="P16" s="57">
        <f>K16*M16</f>
        <v>10499999.999999998</v>
      </c>
      <c r="Q16" s="57"/>
    </row>
    <row r="17" spans="1:12" x14ac:dyDescent="0.25">
      <c r="A17" s="49" t="s">
        <v>66</v>
      </c>
      <c r="B17" s="55"/>
      <c r="C17" s="49"/>
      <c r="D17" s="49"/>
      <c r="F17" s="49"/>
      <c r="G17" s="49"/>
      <c r="H17" s="49"/>
      <c r="I17" s="49"/>
      <c r="J17" s="49"/>
      <c r="K17" s="30"/>
      <c r="L17" s="30"/>
    </row>
    <row r="18" spans="1:12" x14ac:dyDescent="0.25">
      <c r="A18" s="58" t="s">
        <v>67</v>
      </c>
      <c r="B18" s="55"/>
      <c r="C18" s="49"/>
      <c r="D18" s="49"/>
      <c r="F18" s="49"/>
      <c r="G18" s="49"/>
      <c r="H18" s="49"/>
      <c r="I18" s="49"/>
      <c r="J18" s="49"/>
      <c r="K18" s="30"/>
      <c r="L18" s="30"/>
    </row>
    <row r="19" spans="1:12" x14ac:dyDescent="0.25">
      <c r="A19" s="49" t="s">
        <v>68</v>
      </c>
      <c r="B19" s="57">
        <v>50000</v>
      </c>
      <c r="C19" s="56">
        <f>(B19*105/100)</f>
        <v>52500</v>
      </c>
      <c r="D19" s="56">
        <f t="shared" ref="D19:K19" si="2">(C19*105/100)</f>
        <v>55125</v>
      </c>
      <c r="E19" s="56">
        <f t="shared" si="2"/>
        <v>57881.25</v>
      </c>
      <c r="F19" s="56">
        <f t="shared" si="2"/>
        <v>60775.3125</v>
      </c>
      <c r="G19" s="56">
        <f t="shared" si="2"/>
        <v>63814.078125</v>
      </c>
      <c r="H19" s="56">
        <f t="shared" si="2"/>
        <v>67004.782031249997</v>
      </c>
      <c r="I19" s="56">
        <f t="shared" si="2"/>
        <v>70355.021132812501</v>
      </c>
      <c r="J19" s="56">
        <f t="shared" si="2"/>
        <v>73872.772189453128</v>
      </c>
      <c r="K19" s="56">
        <f t="shared" si="2"/>
        <v>77566.41079892579</v>
      </c>
    </row>
    <row r="20" spans="1:12" x14ac:dyDescent="0.25">
      <c r="A20" s="49" t="s">
        <v>69</v>
      </c>
      <c r="B20" s="30"/>
      <c r="C20" s="49"/>
      <c r="D20" s="49"/>
      <c r="F20" s="49"/>
      <c r="G20" s="49"/>
      <c r="H20" s="49"/>
      <c r="I20" s="49"/>
      <c r="J20" s="49"/>
      <c r="K20" s="49"/>
    </row>
    <row r="21" spans="1:12" x14ac:dyDescent="0.25">
      <c r="A21" s="49"/>
      <c r="B21" s="30"/>
      <c r="C21" s="56"/>
      <c r="D21" s="56"/>
      <c r="E21" s="57"/>
      <c r="F21" s="56"/>
      <c r="G21" s="56"/>
      <c r="H21" s="56"/>
      <c r="I21" s="56"/>
      <c r="J21" s="56"/>
      <c r="K21" s="56"/>
    </row>
    <row r="22" spans="1:12" s="60" customFormat="1" ht="13" x14ac:dyDescent="0.3">
      <c r="A22" s="51" t="s">
        <v>70</v>
      </c>
      <c r="B22" s="59">
        <f>ROUND(B19*B16/100000,0)</f>
        <v>51120</v>
      </c>
      <c r="C22" s="59">
        <f>ROUND(C19*C16/100000,0)</f>
        <v>60386</v>
      </c>
      <c r="D22" s="59">
        <f t="shared" ref="D22:I22" si="3">ROUND(D19*D16/100000,0)</f>
        <v>70450</v>
      </c>
      <c r="E22" s="59">
        <f t="shared" si="3"/>
        <v>73972</v>
      </c>
      <c r="F22" s="59">
        <f t="shared" si="3"/>
        <v>93205</v>
      </c>
      <c r="G22" s="59">
        <f t="shared" si="3"/>
        <v>97865</v>
      </c>
      <c r="H22" s="59">
        <f t="shared" si="3"/>
        <v>111322</v>
      </c>
      <c r="I22" s="59">
        <f t="shared" si="3"/>
        <v>116888</v>
      </c>
      <c r="J22" s="59">
        <f>ROUND(J19*J16/100000,0)</f>
        <v>132173</v>
      </c>
      <c r="K22" s="59">
        <f>ROUND(K19*K16/100000,0)</f>
        <v>138782</v>
      </c>
    </row>
    <row r="23" spans="1:12" x14ac:dyDescent="0.25">
      <c r="A23" s="49"/>
      <c r="B23" s="30"/>
      <c r="C23" s="49"/>
      <c r="D23" s="49"/>
      <c r="F23" s="49"/>
      <c r="G23" s="49"/>
      <c r="H23" s="49"/>
      <c r="I23" s="49"/>
      <c r="J23" s="49"/>
      <c r="K23" s="49"/>
    </row>
    <row r="24" spans="1:12" x14ac:dyDescent="0.25">
      <c r="A24" s="49"/>
      <c r="B24" s="30"/>
      <c r="C24" s="61"/>
      <c r="D24" s="49"/>
      <c r="F24" s="49"/>
      <c r="G24" s="49"/>
      <c r="H24" s="49"/>
      <c r="I24" s="49"/>
      <c r="J24" s="49"/>
      <c r="K24" s="49"/>
    </row>
    <row r="25" spans="1:12" ht="13" x14ac:dyDescent="0.3">
      <c r="A25" s="48" t="s">
        <v>71</v>
      </c>
      <c r="B25" s="30"/>
      <c r="C25" s="49"/>
      <c r="D25" s="49"/>
      <c r="F25" s="49"/>
      <c r="G25" s="49"/>
      <c r="H25" s="49"/>
      <c r="I25" s="49"/>
      <c r="J25" s="49"/>
      <c r="K25" s="49"/>
    </row>
    <row r="26" spans="1:12" x14ac:dyDescent="0.25">
      <c r="A26" s="49"/>
      <c r="B26" s="30"/>
      <c r="C26" s="49"/>
      <c r="D26" s="49"/>
      <c r="F26" s="49"/>
      <c r="G26" s="49"/>
      <c r="H26" s="49"/>
      <c r="I26" s="49"/>
      <c r="J26" s="49"/>
      <c r="K26" s="49"/>
    </row>
    <row r="27" spans="1:12" x14ac:dyDescent="0.25">
      <c r="A27" s="49" t="s">
        <v>72</v>
      </c>
      <c r="B27" s="30">
        <v>16</v>
      </c>
      <c r="C27" s="49">
        <v>16</v>
      </c>
      <c r="D27" s="49">
        <v>16</v>
      </c>
      <c r="E27" s="49">
        <v>16</v>
      </c>
      <c r="F27" s="49">
        <v>16</v>
      </c>
      <c r="G27" s="49">
        <v>16</v>
      </c>
      <c r="H27" s="49">
        <v>16</v>
      </c>
      <c r="I27" s="49">
        <v>16</v>
      </c>
      <c r="J27" s="49">
        <v>16</v>
      </c>
      <c r="K27" s="49">
        <v>16</v>
      </c>
    </row>
    <row r="28" spans="1:12" x14ac:dyDescent="0.25">
      <c r="A28" s="30"/>
      <c r="B28" s="30"/>
      <c r="C28" s="62"/>
      <c r="D28" s="62"/>
      <c r="E28" s="33"/>
      <c r="F28" s="62"/>
      <c r="G28" s="62"/>
      <c r="H28" s="62"/>
      <c r="I28" s="62"/>
      <c r="J28" s="62"/>
      <c r="K28" s="62"/>
    </row>
    <row r="29" spans="1:12" x14ac:dyDescent="0.25">
      <c r="A29" s="49" t="s">
        <v>73</v>
      </c>
      <c r="B29" s="30">
        <v>20</v>
      </c>
      <c r="C29" s="30">
        <v>22</v>
      </c>
      <c r="D29" s="30">
        <v>25</v>
      </c>
      <c r="E29" s="30">
        <v>28</v>
      </c>
      <c r="F29" s="30">
        <v>30</v>
      </c>
      <c r="G29" s="30">
        <v>32</v>
      </c>
      <c r="H29" s="30">
        <v>35</v>
      </c>
      <c r="I29" s="49">
        <v>35</v>
      </c>
      <c r="J29" s="49">
        <v>35</v>
      </c>
      <c r="K29" s="49">
        <v>35</v>
      </c>
    </row>
    <row r="30" spans="1:12" ht="13" x14ac:dyDescent="0.3">
      <c r="A30" s="48"/>
      <c r="B30" s="30"/>
      <c r="C30" s="62"/>
      <c r="D30" s="62"/>
      <c r="E30" s="33"/>
      <c r="F30" s="62"/>
      <c r="G30" s="62"/>
      <c r="H30" s="62"/>
      <c r="I30" s="62"/>
      <c r="J30" s="62"/>
      <c r="K30" s="62"/>
    </row>
    <row r="31" spans="1:12" x14ac:dyDescent="0.25">
      <c r="A31" s="49" t="s">
        <v>74</v>
      </c>
      <c r="B31" s="63">
        <v>1500</v>
      </c>
      <c r="C31" s="63">
        <v>1500</v>
      </c>
      <c r="D31" s="62">
        <v>1650</v>
      </c>
      <c r="E31" s="62">
        <v>1650</v>
      </c>
      <c r="F31" s="62">
        <v>1700</v>
      </c>
      <c r="G31" s="62">
        <v>1700</v>
      </c>
      <c r="H31" s="62">
        <v>1700</v>
      </c>
      <c r="I31" s="62">
        <v>1850</v>
      </c>
      <c r="J31" s="62">
        <v>1850</v>
      </c>
      <c r="K31" s="62">
        <v>1850</v>
      </c>
    </row>
    <row r="32" spans="1:12" x14ac:dyDescent="0.25">
      <c r="A32" s="49" t="s">
        <v>75</v>
      </c>
      <c r="B32" s="63"/>
      <c r="C32" s="62"/>
      <c r="D32" s="62"/>
      <c r="E32" s="33"/>
      <c r="F32" s="62"/>
      <c r="G32" s="62"/>
      <c r="H32" s="62"/>
      <c r="I32" s="62"/>
      <c r="J32" s="62"/>
      <c r="K32" s="62"/>
    </row>
    <row r="33" spans="1:11" x14ac:dyDescent="0.25">
      <c r="A33" s="49"/>
      <c r="B33" s="63"/>
      <c r="C33" s="63"/>
      <c r="D33" s="63"/>
      <c r="E33" s="62"/>
      <c r="F33" s="63"/>
      <c r="G33" s="63"/>
      <c r="H33" s="63"/>
      <c r="I33" s="62"/>
      <c r="J33" s="62"/>
      <c r="K33" s="62"/>
    </row>
    <row r="34" spans="1:11" s="60" customFormat="1" ht="13" x14ac:dyDescent="0.3">
      <c r="A34" s="51" t="s">
        <v>76</v>
      </c>
      <c r="B34" s="64">
        <f>ROUND(B31*B29*B27*150/100000,0)</f>
        <v>720</v>
      </c>
      <c r="C34" s="64">
        <f t="shared" ref="C34:I34" si="4">ROUND(C31*C29*C27*300/100000,0)</f>
        <v>1584</v>
      </c>
      <c r="D34" s="64">
        <f t="shared" si="4"/>
        <v>1980</v>
      </c>
      <c r="E34" s="64">
        <f t="shared" si="4"/>
        <v>2218</v>
      </c>
      <c r="F34" s="64">
        <f t="shared" si="4"/>
        <v>2448</v>
      </c>
      <c r="G34" s="64">
        <f t="shared" si="4"/>
        <v>2611</v>
      </c>
      <c r="H34" s="64">
        <f t="shared" si="4"/>
        <v>2856</v>
      </c>
      <c r="I34" s="65">
        <f t="shared" si="4"/>
        <v>3108</v>
      </c>
      <c r="J34" s="65">
        <f>ROUND(J31*J29*J27*300/100000,0)</f>
        <v>3108</v>
      </c>
      <c r="K34" s="65">
        <f>ROUND(K31*K29*K27*300/100000,0)</f>
        <v>3108</v>
      </c>
    </row>
    <row r="35" spans="1:11" x14ac:dyDescent="0.25">
      <c r="A35" s="49"/>
      <c r="B35" s="63"/>
      <c r="C35" s="62"/>
      <c r="D35" s="62"/>
      <c r="E35" s="33"/>
      <c r="F35" s="62"/>
      <c r="G35" s="62"/>
      <c r="H35" s="62"/>
      <c r="I35" s="62"/>
      <c r="J35" s="62"/>
      <c r="K35" s="62"/>
    </row>
    <row r="36" spans="1:11" s="60" customFormat="1" ht="13" x14ac:dyDescent="0.3">
      <c r="A36" s="66" t="s">
        <v>77</v>
      </c>
      <c r="B36" s="67">
        <f>B22+B34</f>
        <v>51840</v>
      </c>
      <c r="C36" s="67">
        <f t="shared" ref="C36:H36" si="5">C22+C34</f>
        <v>61970</v>
      </c>
      <c r="D36" s="67">
        <f t="shared" si="5"/>
        <v>72430</v>
      </c>
      <c r="E36" s="67">
        <f t="shared" si="5"/>
        <v>76190</v>
      </c>
      <c r="F36" s="67">
        <f t="shared" si="5"/>
        <v>95653</v>
      </c>
      <c r="G36" s="67">
        <f t="shared" si="5"/>
        <v>100476</v>
      </c>
      <c r="H36" s="68">
        <f t="shared" si="5"/>
        <v>114178</v>
      </c>
      <c r="I36" s="68">
        <f>I22+I34</f>
        <v>119996</v>
      </c>
      <c r="J36" s="68">
        <f>J22+J34</f>
        <v>135281</v>
      </c>
      <c r="K36" s="68">
        <f>K22+K34</f>
        <v>141890</v>
      </c>
    </row>
    <row r="37" spans="1:11" s="60" customFormat="1" ht="13" x14ac:dyDescent="0.3">
      <c r="B37" s="69"/>
      <c r="C37" s="69"/>
      <c r="D37" s="69"/>
      <c r="E37" s="69"/>
      <c r="F37" s="69"/>
      <c r="G37" s="69"/>
      <c r="H37" s="69"/>
    </row>
    <row r="38" spans="1:11" x14ac:dyDescent="0.25">
      <c r="A38" t="s">
        <v>78</v>
      </c>
    </row>
  </sheetData>
  <sheetProtection selectLockedCells="1" selectUnlockedCells="1"/>
  <mergeCells count="4">
    <mergeCell ref="A1:K1"/>
    <mergeCell ref="A2:K2"/>
    <mergeCell ref="A5:K5"/>
    <mergeCell ref="B7:F7"/>
  </mergeCells>
  <pageMargins left="0.65972222222222221" right="0.2" top="1.1902777777777778" bottom="1" header="0.51180555555555562" footer="0.51180555555555562"/>
  <pageSetup scale="87" firstPageNumber="0" orientation="portrait" horizontalDpi="300" verticalDpi="30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E143"/>
  <sheetViews>
    <sheetView showGridLines="0" topLeftCell="A121" zoomScale="76" workbookViewId="0">
      <selection activeCell="AJ128" sqref="AJ128"/>
    </sheetView>
  </sheetViews>
  <sheetFormatPr defaultRowHeight="12.5" x14ac:dyDescent="0.25"/>
  <cols>
    <col min="1" max="1" width="5.81640625" customWidth="1"/>
    <col min="2" max="2" width="40" customWidth="1"/>
    <col min="3" max="3" width="7.81640625" customWidth="1"/>
    <col min="4" max="4" width="13.36328125" bestFit="1" customWidth="1"/>
    <col min="5" max="5" width="3.54296875" customWidth="1"/>
    <col min="6" max="6" width="15.54296875" customWidth="1"/>
    <col min="7" max="7" width="8.7265625" hidden="1" customWidth="1"/>
    <col min="8" max="8" width="12.08984375" hidden="1" customWidth="1"/>
    <col min="9" max="9" width="12.81640625" hidden="1" customWidth="1"/>
    <col min="10" max="12" width="11" hidden="1" customWidth="1"/>
    <col min="13" max="17" width="11.6328125" hidden="1" customWidth="1"/>
    <col min="18" max="21" width="12.08984375" hidden="1" customWidth="1"/>
    <col min="22" max="22" width="12.36328125" hidden="1" customWidth="1"/>
    <col min="23" max="24" width="11.6328125" hidden="1" customWidth="1"/>
    <col min="25" max="26" width="10.54296875" hidden="1" customWidth="1"/>
    <col min="27" max="28" width="0" hidden="1" customWidth="1"/>
    <col min="29" max="29" width="9" hidden="1" customWidth="1"/>
    <col min="30" max="30" width="0" hidden="1" customWidth="1"/>
    <col min="31" max="31" width="11" hidden="1" customWidth="1"/>
    <col min="32" max="32" width="0" hidden="1" customWidth="1"/>
  </cols>
  <sheetData>
    <row r="1" spans="1:31" ht="13" x14ac:dyDescent="0.3">
      <c r="A1" s="564">
        <f>intt.!A1</f>
        <v>0</v>
      </c>
      <c r="B1" s="564"/>
      <c r="C1" s="564"/>
      <c r="D1" s="564"/>
      <c r="E1" s="564"/>
      <c r="F1" s="564"/>
    </row>
    <row r="2" spans="1:31" ht="13" x14ac:dyDescent="0.3">
      <c r="A2" s="564">
        <f>ins.cap.!A2</f>
        <v>0</v>
      </c>
      <c r="B2" s="564"/>
      <c r="C2" s="564"/>
      <c r="D2" s="564"/>
      <c r="E2" s="564"/>
      <c r="F2" s="564"/>
    </row>
    <row r="3" spans="1:31" ht="13" x14ac:dyDescent="0.3">
      <c r="A3" s="39" t="s">
        <v>145</v>
      </c>
      <c r="B3" s="36"/>
      <c r="C3" s="36"/>
      <c r="D3" s="36"/>
      <c r="E3" s="81"/>
      <c r="F3" s="36"/>
    </row>
    <row r="4" spans="1:31" ht="13" x14ac:dyDescent="0.3">
      <c r="A4" s="39"/>
      <c r="B4" s="36"/>
      <c r="C4" s="36"/>
      <c r="D4" s="36"/>
      <c r="E4" s="81"/>
      <c r="F4" s="36"/>
    </row>
    <row r="5" spans="1:31" ht="14.5" x14ac:dyDescent="0.35">
      <c r="A5" s="89" t="s">
        <v>146</v>
      </c>
    </row>
    <row r="6" spans="1:31" ht="14.5" x14ac:dyDescent="0.35">
      <c r="A6" s="90"/>
    </row>
    <row r="7" spans="1:31" ht="14.5" x14ac:dyDescent="0.35">
      <c r="A7" s="89" t="s">
        <v>147</v>
      </c>
      <c r="H7" s="91"/>
    </row>
    <row r="8" spans="1:31" ht="14.5" x14ac:dyDescent="0.35">
      <c r="A8" s="90"/>
      <c r="H8" s="92"/>
      <c r="I8" s="92"/>
      <c r="J8" s="92"/>
      <c r="K8" s="92"/>
      <c r="L8" s="92"/>
      <c r="M8" s="92"/>
      <c r="N8" s="92"/>
      <c r="O8" s="92"/>
      <c r="P8" s="92"/>
      <c r="Q8" s="92"/>
      <c r="R8" s="93"/>
      <c r="S8" s="93"/>
      <c r="T8" s="93"/>
      <c r="U8" s="93"/>
      <c r="V8" s="93"/>
      <c r="W8" s="94"/>
    </row>
    <row r="9" spans="1:31" ht="14.5" x14ac:dyDescent="0.35">
      <c r="A9" s="90" t="s">
        <v>148</v>
      </c>
      <c r="H9" s="92"/>
      <c r="I9" s="92"/>
      <c r="J9" s="92"/>
      <c r="K9" s="92"/>
      <c r="L9" s="92"/>
      <c r="M9" s="92"/>
      <c r="N9" s="92"/>
      <c r="O9" s="92"/>
      <c r="P9" s="92"/>
      <c r="Q9" s="92"/>
      <c r="R9" s="93"/>
      <c r="S9" s="93"/>
      <c r="T9" s="93"/>
      <c r="U9" s="93"/>
      <c r="V9" s="93"/>
      <c r="W9" s="94"/>
    </row>
    <row r="10" spans="1:31" ht="14" x14ac:dyDescent="0.3">
      <c r="A10" s="429" t="s">
        <v>82</v>
      </c>
      <c r="B10" s="430" t="s">
        <v>83</v>
      </c>
      <c r="C10" s="431" t="s">
        <v>149</v>
      </c>
      <c r="D10" s="431" t="s">
        <v>150</v>
      </c>
      <c r="E10" s="431"/>
      <c r="F10" s="432" t="s">
        <v>151</v>
      </c>
      <c r="H10" s="92"/>
      <c r="I10" s="92"/>
      <c r="J10" s="92"/>
      <c r="K10" s="92"/>
      <c r="L10" s="92"/>
      <c r="M10" s="92"/>
      <c r="N10" s="92"/>
      <c r="O10" s="92"/>
      <c r="P10" s="92"/>
      <c r="Q10" s="92"/>
      <c r="R10" s="93"/>
      <c r="S10" s="93"/>
      <c r="T10" s="93"/>
      <c r="U10" s="93"/>
      <c r="V10" s="93"/>
      <c r="W10" s="94"/>
    </row>
    <row r="11" spans="1:31" ht="14" x14ac:dyDescent="0.3">
      <c r="A11" s="433"/>
      <c r="B11" s="425"/>
      <c r="C11" s="425"/>
      <c r="D11" s="425"/>
      <c r="E11" s="425"/>
      <c r="F11" s="434" t="s">
        <v>152</v>
      </c>
      <c r="H11" s="92"/>
      <c r="I11" s="92"/>
      <c r="J11" s="92"/>
      <c r="K11" s="92"/>
      <c r="L11" s="92"/>
      <c r="M11" s="92"/>
      <c r="N11" s="92"/>
      <c r="O11" s="92"/>
      <c r="P11" s="92"/>
      <c r="Q11" s="92"/>
      <c r="R11" s="93"/>
      <c r="S11" s="93"/>
      <c r="T11" s="93"/>
      <c r="U11" s="93"/>
      <c r="V11" s="93"/>
      <c r="W11" s="94"/>
    </row>
    <row r="12" spans="1:31" ht="14" x14ac:dyDescent="0.3">
      <c r="A12" s="419"/>
      <c r="B12" s="435"/>
      <c r="C12" s="436"/>
      <c r="D12" s="436"/>
      <c r="E12" s="436"/>
      <c r="F12" s="421"/>
    </row>
    <row r="13" spans="1:31" ht="14" x14ac:dyDescent="0.3">
      <c r="A13" s="437"/>
      <c r="B13" s="438"/>
      <c r="C13" s="438"/>
      <c r="D13" s="439"/>
      <c r="E13" s="439"/>
      <c r="F13" s="440"/>
    </row>
    <row r="14" spans="1:31" ht="14" x14ac:dyDescent="0.3">
      <c r="A14" s="437">
        <v>1</v>
      </c>
      <c r="B14" s="435" t="s">
        <v>153</v>
      </c>
      <c r="C14" s="438"/>
      <c r="D14" s="439"/>
      <c r="E14" s="439"/>
      <c r="F14" s="441"/>
    </row>
    <row r="15" spans="1:31" ht="14" x14ac:dyDescent="0.3">
      <c r="A15" s="437"/>
      <c r="B15" s="438" t="s">
        <v>154</v>
      </c>
      <c r="C15" s="438"/>
      <c r="D15" s="439"/>
      <c r="E15" s="439"/>
      <c r="F15" s="441"/>
      <c r="K15" s="227" t="s">
        <v>435</v>
      </c>
      <c r="L15" s="226" t="s">
        <v>434</v>
      </c>
      <c r="M15" s="226" t="s">
        <v>436</v>
      </c>
      <c r="O15" t="s">
        <v>435</v>
      </c>
      <c r="P15" t="s">
        <v>434</v>
      </c>
      <c r="Q15" t="s">
        <v>436</v>
      </c>
      <c r="X15" t="s">
        <v>433</v>
      </c>
      <c r="Y15" t="s">
        <v>432</v>
      </c>
    </row>
    <row r="16" spans="1:31" ht="14" x14ac:dyDescent="0.3">
      <c r="A16" s="437"/>
      <c r="B16" s="438" t="s">
        <v>155</v>
      </c>
      <c r="C16" s="436">
        <v>128</v>
      </c>
      <c r="D16" s="436">
        <v>67200</v>
      </c>
      <c r="E16" s="439"/>
      <c r="F16" s="441">
        <f>IFERROR(C16*D16,0)</f>
        <v>8601600</v>
      </c>
      <c r="H16">
        <f>(F16/$F$134)*100</f>
        <v>0.31593329905237638</v>
      </c>
      <c r="I16">
        <f>(H16/100)*$R$134</f>
        <v>8601599.9999999981</v>
      </c>
      <c r="K16" s="225">
        <v>67200</v>
      </c>
      <c r="L16" s="225">
        <v>128</v>
      </c>
      <c r="M16" s="225">
        <f>IFERROR(K16*L16,0)</f>
        <v>8601600</v>
      </c>
      <c r="N16" s="225">
        <f>ROUND(I16,0)</f>
        <v>8601600</v>
      </c>
      <c r="O16">
        <v>67200</v>
      </c>
      <c r="P16">
        <v>128</v>
      </c>
      <c r="Q16">
        <v>8601600</v>
      </c>
      <c r="R16">
        <v>8593610</v>
      </c>
      <c r="V16">
        <f t="shared" ref="V16:V47" si="0">IFERROR(ROUND((R16/D16),0),"")</f>
        <v>128</v>
      </c>
      <c r="W16">
        <f t="shared" ref="W16:W47" si="1">IFERROR((V16*D16),"")</f>
        <v>8601600</v>
      </c>
      <c r="X16" s="33"/>
      <c r="AC16">
        <v>70200</v>
      </c>
      <c r="AD16">
        <f>IFERROR(ROUND((R16/AC16),0),"")</f>
        <v>122</v>
      </c>
      <c r="AE16">
        <f>IFERROR((AD16*AC16),"")</f>
        <v>8564400</v>
      </c>
    </row>
    <row r="17" spans="1:31" ht="14" x14ac:dyDescent="0.3">
      <c r="A17" s="437"/>
      <c r="B17" s="438" t="s">
        <v>156</v>
      </c>
      <c r="C17" s="436">
        <v>1279</v>
      </c>
      <c r="D17" s="436">
        <v>78400</v>
      </c>
      <c r="E17" s="439"/>
      <c r="F17" s="441">
        <f t="shared" ref="F17:F80" si="2">IFERROR(C17*D17,0)</f>
        <v>100273600</v>
      </c>
      <c r="H17">
        <f t="shared" ref="H17:H80" si="3">(F17/$F$134)*100</f>
        <v>3.6830088885624037</v>
      </c>
      <c r="I17">
        <f t="shared" ref="I17:I80" si="4">(H17/100)*$R$134</f>
        <v>100273600</v>
      </c>
      <c r="K17" s="225">
        <v>78400</v>
      </c>
      <c r="L17" s="225">
        <v>1279</v>
      </c>
      <c r="M17" s="225">
        <f t="shared" ref="M17:M80" si="5">IFERROR(K17*L17,0)</f>
        <v>100273600</v>
      </c>
      <c r="N17" s="225">
        <f t="shared" ref="N17:N80" si="6">ROUND(I17,0)</f>
        <v>100273600</v>
      </c>
      <c r="O17">
        <v>78400</v>
      </c>
      <c r="P17">
        <v>1279</v>
      </c>
      <c r="Q17">
        <v>100273600</v>
      </c>
      <c r="R17">
        <v>100258788</v>
      </c>
      <c r="V17">
        <f t="shared" si="0"/>
        <v>1279</v>
      </c>
      <c r="W17">
        <f t="shared" si="1"/>
        <v>100273600</v>
      </c>
      <c r="X17" s="33"/>
      <c r="AC17">
        <v>81400</v>
      </c>
      <c r="AD17">
        <f t="shared" ref="AD17:AD80" si="7">IFERROR(ROUND((R17/AC17),0),"")</f>
        <v>1232</v>
      </c>
      <c r="AE17">
        <f t="shared" ref="AE17:AE80" si="8">IFERROR((AD17*AC17),"")</f>
        <v>100284800</v>
      </c>
    </row>
    <row r="18" spans="1:31" ht="14" x14ac:dyDescent="0.3">
      <c r="A18" s="437"/>
      <c r="B18" s="438" t="s">
        <v>157</v>
      </c>
      <c r="C18" s="436">
        <v>256</v>
      </c>
      <c r="D18" s="436">
        <v>110000</v>
      </c>
      <c r="E18" s="439"/>
      <c r="F18" s="441">
        <f t="shared" si="2"/>
        <v>28160000</v>
      </c>
      <c r="H18">
        <f t="shared" si="3"/>
        <v>1.0343054433262322</v>
      </c>
      <c r="I18">
        <f t="shared" si="4"/>
        <v>28160000</v>
      </c>
      <c r="K18" s="225">
        <v>110000</v>
      </c>
      <c r="L18" s="225">
        <v>256</v>
      </c>
      <c r="M18" s="225">
        <f t="shared" si="5"/>
        <v>28160000</v>
      </c>
      <c r="N18" s="225">
        <f t="shared" si="6"/>
        <v>28160000</v>
      </c>
      <c r="O18">
        <v>110000</v>
      </c>
      <c r="P18">
        <v>256</v>
      </c>
      <c r="Q18">
        <v>28160000</v>
      </c>
      <c r="R18">
        <v>28133844</v>
      </c>
      <c r="V18">
        <f t="shared" si="0"/>
        <v>256</v>
      </c>
      <c r="W18">
        <f t="shared" si="1"/>
        <v>28160000</v>
      </c>
      <c r="X18" s="33"/>
      <c r="AC18">
        <v>113000</v>
      </c>
      <c r="AD18">
        <f t="shared" si="7"/>
        <v>249</v>
      </c>
      <c r="AE18">
        <f t="shared" si="8"/>
        <v>28137000</v>
      </c>
    </row>
    <row r="19" spans="1:31" ht="14" x14ac:dyDescent="0.3">
      <c r="A19" s="437"/>
      <c r="B19" s="438" t="s">
        <v>158</v>
      </c>
      <c r="C19" s="436">
        <v>51</v>
      </c>
      <c r="D19" s="436">
        <v>600000</v>
      </c>
      <c r="E19" s="439"/>
      <c r="F19" s="441">
        <f t="shared" si="2"/>
        <v>30600000</v>
      </c>
      <c r="H19">
        <f t="shared" si="3"/>
        <v>1.123925659296261</v>
      </c>
      <c r="I19">
        <f t="shared" si="4"/>
        <v>30600000</v>
      </c>
      <c r="K19" s="225">
        <v>600000</v>
      </c>
      <c r="L19" s="225">
        <v>51</v>
      </c>
      <c r="M19" s="225">
        <f t="shared" si="5"/>
        <v>30600000</v>
      </c>
      <c r="N19" s="225">
        <f t="shared" si="6"/>
        <v>30600000</v>
      </c>
      <c r="O19">
        <v>600000</v>
      </c>
      <c r="P19">
        <v>51</v>
      </c>
      <c r="Q19">
        <v>30600000</v>
      </c>
      <c r="R19">
        <v>30691466</v>
      </c>
      <c r="V19">
        <f t="shared" si="0"/>
        <v>51</v>
      </c>
      <c r="W19">
        <f t="shared" si="1"/>
        <v>30600000</v>
      </c>
      <c r="X19" s="33"/>
      <c r="AC19">
        <v>603000</v>
      </c>
      <c r="AD19">
        <f t="shared" si="7"/>
        <v>51</v>
      </c>
      <c r="AE19">
        <f t="shared" si="8"/>
        <v>30753000</v>
      </c>
    </row>
    <row r="20" spans="1:31" ht="14" x14ac:dyDescent="0.3">
      <c r="A20" s="437"/>
      <c r="B20" s="438"/>
      <c r="C20" s="436" t="s">
        <v>431</v>
      </c>
      <c r="D20" s="436"/>
      <c r="E20" s="439"/>
      <c r="F20" s="441">
        <f t="shared" si="2"/>
        <v>0</v>
      </c>
      <c r="H20">
        <f t="shared" si="3"/>
        <v>0</v>
      </c>
      <c r="I20">
        <f t="shared" si="4"/>
        <v>0</v>
      </c>
      <c r="K20" s="225"/>
      <c r="L20" s="225" t="s">
        <v>431</v>
      </c>
      <c r="M20" s="225">
        <f t="shared" si="5"/>
        <v>0</v>
      </c>
      <c r="N20" s="225">
        <f t="shared" si="6"/>
        <v>0</v>
      </c>
      <c r="P20" t="s">
        <v>431</v>
      </c>
      <c r="Q20">
        <v>0</v>
      </c>
      <c r="R20">
        <v>0</v>
      </c>
      <c r="V20" t="str">
        <f t="shared" si="0"/>
        <v/>
      </c>
      <c r="W20" t="str">
        <f t="shared" si="1"/>
        <v/>
      </c>
      <c r="X20" s="33"/>
      <c r="AC20" t="s">
        <v>431</v>
      </c>
      <c r="AD20" t="str">
        <f t="shared" si="7"/>
        <v/>
      </c>
      <c r="AE20" t="str">
        <f t="shared" si="8"/>
        <v/>
      </c>
    </row>
    <row r="21" spans="1:31" ht="14" x14ac:dyDescent="0.3">
      <c r="A21" s="437">
        <v>2</v>
      </c>
      <c r="B21" s="438" t="s">
        <v>159</v>
      </c>
      <c r="C21" s="436" t="s">
        <v>431</v>
      </c>
      <c r="D21" s="436"/>
      <c r="E21" s="439"/>
      <c r="F21" s="441">
        <f t="shared" si="2"/>
        <v>0</v>
      </c>
      <c r="H21">
        <f t="shared" si="3"/>
        <v>0</v>
      </c>
      <c r="I21">
        <f t="shared" si="4"/>
        <v>0</v>
      </c>
      <c r="K21" s="225"/>
      <c r="L21" s="225" t="s">
        <v>431</v>
      </c>
      <c r="M21" s="225">
        <f t="shared" si="5"/>
        <v>0</v>
      </c>
      <c r="N21" s="225">
        <f t="shared" si="6"/>
        <v>0</v>
      </c>
      <c r="P21" t="s">
        <v>431</v>
      </c>
      <c r="Q21">
        <v>0</v>
      </c>
      <c r="R21">
        <v>0</v>
      </c>
      <c r="V21" t="str">
        <f t="shared" si="0"/>
        <v/>
      </c>
      <c r="W21" t="str">
        <f t="shared" si="1"/>
        <v/>
      </c>
      <c r="X21" s="33"/>
      <c r="AC21" t="s">
        <v>431</v>
      </c>
      <c r="AD21" t="str">
        <f t="shared" si="7"/>
        <v/>
      </c>
      <c r="AE21" t="str">
        <f t="shared" si="8"/>
        <v/>
      </c>
    </row>
    <row r="22" spans="1:31" ht="14" x14ac:dyDescent="0.3">
      <c r="A22" s="437"/>
      <c r="B22" s="442" t="s">
        <v>160</v>
      </c>
      <c r="C22" s="436">
        <v>26</v>
      </c>
      <c r="D22" s="436">
        <v>600000</v>
      </c>
      <c r="E22" s="439"/>
      <c r="F22" s="441">
        <f t="shared" si="2"/>
        <v>15600000</v>
      </c>
      <c r="H22">
        <f t="shared" si="3"/>
        <v>0.57298170866083886</v>
      </c>
      <c r="I22">
        <f t="shared" si="4"/>
        <v>15600000</v>
      </c>
      <c r="K22" s="225">
        <v>600000</v>
      </c>
      <c r="L22" s="225">
        <v>26</v>
      </c>
      <c r="M22" s="225">
        <f t="shared" si="5"/>
        <v>15600000</v>
      </c>
      <c r="N22" s="225">
        <f t="shared" si="6"/>
        <v>15600000</v>
      </c>
      <c r="O22">
        <v>600000</v>
      </c>
      <c r="P22">
        <v>26</v>
      </c>
      <c r="Q22">
        <v>15600000</v>
      </c>
      <c r="R22">
        <v>15345733</v>
      </c>
      <c r="V22">
        <f t="shared" si="0"/>
        <v>26</v>
      </c>
      <c r="W22">
        <f t="shared" si="1"/>
        <v>15600000</v>
      </c>
      <c r="X22" s="33"/>
      <c r="AC22">
        <v>603000</v>
      </c>
      <c r="AD22">
        <f t="shared" si="7"/>
        <v>25</v>
      </c>
      <c r="AE22">
        <f t="shared" si="8"/>
        <v>15075000</v>
      </c>
    </row>
    <row r="23" spans="1:31" ht="14" x14ac:dyDescent="0.3">
      <c r="A23" s="437"/>
      <c r="B23" s="442" t="s">
        <v>161</v>
      </c>
      <c r="C23" s="436">
        <v>102</v>
      </c>
      <c r="D23" s="436">
        <v>1250000</v>
      </c>
      <c r="E23" s="439"/>
      <c r="F23" s="441">
        <f t="shared" si="2"/>
        <v>127500000</v>
      </c>
      <c r="H23">
        <f t="shared" si="3"/>
        <v>4.6830235804010867</v>
      </c>
      <c r="I23">
        <f t="shared" si="4"/>
        <v>127500000</v>
      </c>
      <c r="K23" s="225">
        <v>1250000</v>
      </c>
      <c r="L23" s="225">
        <v>102</v>
      </c>
      <c r="M23" s="225">
        <f t="shared" si="5"/>
        <v>127500000</v>
      </c>
      <c r="N23" s="225">
        <f t="shared" si="6"/>
        <v>127500000</v>
      </c>
      <c r="O23">
        <v>1250000</v>
      </c>
      <c r="P23">
        <v>102</v>
      </c>
      <c r="Q23">
        <v>127500000</v>
      </c>
      <c r="R23">
        <v>127881107</v>
      </c>
      <c r="V23">
        <f t="shared" si="0"/>
        <v>102</v>
      </c>
      <c r="W23">
        <f t="shared" si="1"/>
        <v>127500000</v>
      </c>
      <c r="X23" s="33"/>
      <c r="AC23">
        <v>1253000</v>
      </c>
      <c r="AD23">
        <f t="shared" si="7"/>
        <v>102</v>
      </c>
      <c r="AE23">
        <f t="shared" si="8"/>
        <v>127806000</v>
      </c>
    </row>
    <row r="24" spans="1:31" ht="14" x14ac:dyDescent="0.3">
      <c r="A24" s="437"/>
      <c r="B24" s="442" t="s">
        <v>162</v>
      </c>
      <c r="C24" s="436">
        <v>51</v>
      </c>
      <c r="D24" s="436">
        <v>950000</v>
      </c>
      <c r="E24" s="439"/>
      <c r="F24" s="441">
        <f t="shared" si="2"/>
        <v>48450000</v>
      </c>
      <c r="H24">
        <f t="shared" si="3"/>
        <v>1.7795489605524133</v>
      </c>
      <c r="I24">
        <f t="shared" si="4"/>
        <v>48450000</v>
      </c>
      <c r="K24" s="225">
        <v>950000</v>
      </c>
      <c r="L24" s="225">
        <v>51</v>
      </c>
      <c r="M24" s="225">
        <f t="shared" si="5"/>
        <v>48450000</v>
      </c>
      <c r="N24" s="225">
        <f t="shared" si="6"/>
        <v>48450000</v>
      </c>
      <c r="O24">
        <v>950000</v>
      </c>
      <c r="P24">
        <v>51</v>
      </c>
      <c r="Q24">
        <v>48450000</v>
      </c>
      <c r="R24">
        <v>48594821</v>
      </c>
      <c r="V24">
        <f t="shared" si="0"/>
        <v>51</v>
      </c>
      <c r="W24">
        <f t="shared" si="1"/>
        <v>48450000</v>
      </c>
      <c r="X24" s="33"/>
      <c r="AC24">
        <v>953000</v>
      </c>
      <c r="AD24">
        <f t="shared" si="7"/>
        <v>51</v>
      </c>
      <c r="AE24">
        <f t="shared" si="8"/>
        <v>48603000</v>
      </c>
    </row>
    <row r="25" spans="1:31" ht="14" x14ac:dyDescent="0.3">
      <c r="A25" s="437"/>
      <c r="B25" s="438"/>
      <c r="C25" s="436" t="s">
        <v>431</v>
      </c>
      <c r="D25" s="436"/>
      <c r="E25" s="439"/>
      <c r="F25" s="441">
        <f t="shared" si="2"/>
        <v>0</v>
      </c>
      <c r="H25">
        <f t="shared" si="3"/>
        <v>0</v>
      </c>
      <c r="I25">
        <f t="shared" si="4"/>
        <v>0</v>
      </c>
      <c r="K25" s="225"/>
      <c r="L25" s="225" t="s">
        <v>431</v>
      </c>
      <c r="M25" s="225">
        <f t="shared" si="5"/>
        <v>0</v>
      </c>
      <c r="N25" s="225">
        <f t="shared" si="6"/>
        <v>0</v>
      </c>
      <c r="P25" t="s">
        <v>431</v>
      </c>
      <c r="Q25">
        <v>0</v>
      </c>
      <c r="R25">
        <v>0</v>
      </c>
      <c r="V25" t="str">
        <f t="shared" si="0"/>
        <v/>
      </c>
      <c r="W25" t="str">
        <f t="shared" si="1"/>
        <v/>
      </c>
      <c r="X25" s="33"/>
      <c r="AC25" t="s">
        <v>431</v>
      </c>
      <c r="AD25" t="str">
        <f t="shared" si="7"/>
        <v/>
      </c>
      <c r="AE25" t="str">
        <f t="shared" si="8"/>
        <v/>
      </c>
    </row>
    <row r="26" spans="1:31" ht="14" x14ac:dyDescent="0.3">
      <c r="A26" s="437">
        <v>3</v>
      </c>
      <c r="B26" s="438" t="s">
        <v>163</v>
      </c>
      <c r="C26" s="436">
        <v>77</v>
      </c>
      <c r="D26" s="436">
        <v>1250000</v>
      </c>
      <c r="E26" s="439"/>
      <c r="F26" s="441">
        <f t="shared" si="2"/>
        <v>96250000</v>
      </c>
      <c r="H26">
        <f t="shared" si="3"/>
        <v>3.5352236832439576</v>
      </c>
      <c r="I26">
        <f t="shared" si="4"/>
        <v>96250000</v>
      </c>
      <c r="K26" s="225">
        <v>1250000</v>
      </c>
      <c r="L26" s="225">
        <v>77</v>
      </c>
      <c r="M26" s="225">
        <f t="shared" si="5"/>
        <v>96250000</v>
      </c>
      <c r="N26" s="225">
        <f t="shared" si="6"/>
        <v>96250000</v>
      </c>
      <c r="O26">
        <v>1250000</v>
      </c>
      <c r="P26">
        <v>77</v>
      </c>
      <c r="Q26">
        <v>96250000</v>
      </c>
      <c r="R26">
        <v>95910830</v>
      </c>
      <c r="V26">
        <f t="shared" si="0"/>
        <v>77</v>
      </c>
      <c r="W26">
        <f t="shared" si="1"/>
        <v>96250000</v>
      </c>
      <c r="X26" s="33"/>
      <c r="AC26">
        <v>1253000</v>
      </c>
      <c r="AD26">
        <f t="shared" si="7"/>
        <v>77</v>
      </c>
      <c r="AE26">
        <f t="shared" si="8"/>
        <v>96481000</v>
      </c>
    </row>
    <row r="27" spans="1:31" ht="14" x14ac:dyDescent="0.3">
      <c r="A27" s="437"/>
      <c r="B27" s="438"/>
      <c r="C27" s="436" t="s">
        <v>431</v>
      </c>
      <c r="D27" s="436"/>
      <c r="E27" s="439"/>
      <c r="F27" s="441">
        <f t="shared" si="2"/>
        <v>0</v>
      </c>
      <c r="H27">
        <f t="shared" si="3"/>
        <v>0</v>
      </c>
      <c r="I27">
        <f t="shared" si="4"/>
        <v>0</v>
      </c>
      <c r="K27" s="225"/>
      <c r="L27" s="225" t="s">
        <v>431</v>
      </c>
      <c r="M27" s="225">
        <f t="shared" si="5"/>
        <v>0</v>
      </c>
      <c r="N27" s="225">
        <f t="shared" si="6"/>
        <v>0</v>
      </c>
      <c r="P27" t="s">
        <v>431</v>
      </c>
      <c r="Q27">
        <v>0</v>
      </c>
      <c r="R27">
        <v>0</v>
      </c>
      <c r="V27" t="str">
        <f t="shared" si="0"/>
        <v/>
      </c>
      <c r="W27" t="str">
        <f t="shared" si="1"/>
        <v/>
      </c>
      <c r="X27" s="33"/>
      <c r="AC27" t="s">
        <v>431</v>
      </c>
      <c r="AD27" t="str">
        <f t="shared" si="7"/>
        <v/>
      </c>
      <c r="AE27" t="str">
        <f t="shared" si="8"/>
        <v/>
      </c>
    </row>
    <row r="28" spans="1:31" ht="14" x14ac:dyDescent="0.3">
      <c r="A28" s="437">
        <v>4</v>
      </c>
      <c r="B28" s="438" t="s">
        <v>164</v>
      </c>
      <c r="C28" s="436">
        <v>77</v>
      </c>
      <c r="D28" s="436">
        <v>125000</v>
      </c>
      <c r="E28" s="439"/>
      <c r="F28" s="441">
        <f t="shared" si="2"/>
        <v>9625000</v>
      </c>
      <c r="H28">
        <f t="shared" si="3"/>
        <v>0.35352236832439582</v>
      </c>
      <c r="I28">
        <f t="shared" si="4"/>
        <v>9625000</v>
      </c>
      <c r="K28" s="225">
        <v>125000</v>
      </c>
      <c r="L28" s="225">
        <v>77</v>
      </c>
      <c r="M28" s="225">
        <f t="shared" si="5"/>
        <v>9625000</v>
      </c>
      <c r="N28" s="225">
        <f t="shared" si="6"/>
        <v>9625000</v>
      </c>
      <c r="O28">
        <v>125000</v>
      </c>
      <c r="P28">
        <v>77</v>
      </c>
      <c r="Q28">
        <v>9625000</v>
      </c>
      <c r="R28">
        <v>9591083</v>
      </c>
      <c r="V28">
        <f t="shared" si="0"/>
        <v>77</v>
      </c>
      <c r="W28">
        <f t="shared" si="1"/>
        <v>9625000</v>
      </c>
      <c r="X28" s="33"/>
      <c r="AC28">
        <v>128000</v>
      </c>
      <c r="AD28">
        <f t="shared" si="7"/>
        <v>75</v>
      </c>
      <c r="AE28">
        <f t="shared" si="8"/>
        <v>9600000</v>
      </c>
    </row>
    <row r="29" spans="1:31" ht="14" x14ac:dyDescent="0.3">
      <c r="A29" s="437"/>
      <c r="B29" s="438"/>
      <c r="C29" s="436" t="s">
        <v>431</v>
      </c>
      <c r="D29" s="436"/>
      <c r="E29" s="439"/>
      <c r="F29" s="441">
        <f t="shared" si="2"/>
        <v>0</v>
      </c>
      <c r="H29">
        <f t="shared" si="3"/>
        <v>0</v>
      </c>
      <c r="I29">
        <f t="shared" si="4"/>
        <v>0</v>
      </c>
      <c r="K29" s="225"/>
      <c r="L29" s="225" t="s">
        <v>431</v>
      </c>
      <c r="M29" s="225">
        <f t="shared" si="5"/>
        <v>0</v>
      </c>
      <c r="N29" s="225">
        <f t="shared" si="6"/>
        <v>0</v>
      </c>
      <c r="P29" t="s">
        <v>431</v>
      </c>
      <c r="Q29">
        <v>0</v>
      </c>
      <c r="R29">
        <v>0</v>
      </c>
      <c r="V29" t="str">
        <f t="shared" si="0"/>
        <v/>
      </c>
      <c r="W29" t="str">
        <f t="shared" si="1"/>
        <v/>
      </c>
      <c r="X29" s="33"/>
      <c r="AC29" t="s">
        <v>431</v>
      </c>
      <c r="AD29" t="str">
        <f t="shared" si="7"/>
        <v/>
      </c>
      <c r="AE29" t="str">
        <f t="shared" si="8"/>
        <v/>
      </c>
    </row>
    <row r="30" spans="1:31" ht="14" x14ac:dyDescent="0.3">
      <c r="A30" s="437">
        <v>5</v>
      </c>
      <c r="B30" s="442" t="s">
        <v>165</v>
      </c>
      <c r="C30" s="436">
        <v>26</v>
      </c>
      <c r="D30" s="436">
        <v>928771</v>
      </c>
      <c r="E30" s="439"/>
      <c r="F30" s="441">
        <f t="shared" si="2"/>
        <v>24148046</v>
      </c>
      <c r="H30">
        <f t="shared" si="3"/>
        <v>0.88694799089106013</v>
      </c>
      <c r="I30">
        <f t="shared" si="4"/>
        <v>24148046.000000004</v>
      </c>
      <c r="K30" s="225">
        <v>928771</v>
      </c>
      <c r="L30" s="225">
        <v>26</v>
      </c>
      <c r="M30" s="225">
        <f t="shared" si="5"/>
        <v>24148046</v>
      </c>
      <c r="N30" s="225">
        <f t="shared" si="6"/>
        <v>24148046</v>
      </c>
      <c r="O30">
        <v>928771</v>
      </c>
      <c r="P30">
        <v>26</v>
      </c>
      <c r="Q30">
        <v>24148046</v>
      </c>
      <c r="R30">
        <v>23754453</v>
      </c>
      <c r="V30">
        <f t="shared" si="0"/>
        <v>26</v>
      </c>
      <c r="W30">
        <f t="shared" si="1"/>
        <v>24148046</v>
      </c>
      <c r="X30" s="33"/>
      <c r="AC30">
        <v>931771</v>
      </c>
      <c r="AD30">
        <f t="shared" si="7"/>
        <v>25</v>
      </c>
      <c r="AE30">
        <f t="shared" si="8"/>
        <v>23294275</v>
      </c>
    </row>
    <row r="31" spans="1:31" ht="14" x14ac:dyDescent="0.3">
      <c r="A31" s="437"/>
      <c r="B31" s="438"/>
      <c r="C31" s="436" t="s">
        <v>431</v>
      </c>
      <c r="D31" s="436"/>
      <c r="E31" s="439"/>
      <c r="F31" s="441">
        <f t="shared" si="2"/>
        <v>0</v>
      </c>
      <c r="H31">
        <f t="shared" si="3"/>
        <v>0</v>
      </c>
      <c r="I31">
        <f t="shared" si="4"/>
        <v>0</v>
      </c>
      <c r="K31" s="225"/>
      <c r="L31" s="225" t="s">
        <v>431</v>
      </c>
      <c r="M31" s="225">
        <f t="shared" si="5"/>
        <v>0</v>
      </c>
      <c r="N31" s="225">
        <f t="shared" si="6"/>
        <v>0</v>
      </c>
      <c r="P31" t="s">
        <v>431</v>
      </c>
      <c r="Q31">
        <v>0</v>
      </c>
      <c r="R31">
        <v>0</v>
      </c>
      <c r="V31" t="str">
        <f t="shared" si="0"/>
        <v/>
      </c>
      <c r="W31" t="str">
        <f t="shared" si="1"/>
        <v/>
      </c>
      <c r="X31" s="33"/>
      <c r="AC31" t="s">
        <v>431</v>
      </c>
      <c r="AD31" t="str">
        <f t="shared" si="7"/>
        <v/>
      </c>
      <c r="AE31" t="str">
        <f t="shared" si="8"/>
        <v/>
      </c>
    </row>
    <row r="32" spans="1:31" ht="14" x14ac:dyDescent="0.3">
      <c r="A32" s="437">
        <v>6</v>
      </c>
      <c r="B32" s="442" t="s">
        <v>166</v>
      </c>
      <c r="C32" s="436">
        <v>26</v>
      </c>
      <c r="D32" s="436">
        <v>707451</v>
      </c>
      <c r="E32" s="439"/>
      <c r="F32" s="441">
        <f t="shared" si="2"/>
        <v>18393726</v>
      </c>
      <c r="H32">
        <f t="shared" si="3"/>
        <v>0.67559413795636525</v>
      </c>
      <c r="I32">
        <f t="shared" si="4"/>
        <v>18393726</v>
      </c>
      <c r="K32" s="225">
        <v>707451</v>
      </c>
      <c r="L32" s="225">
        <v>26</v>
      </c>
      <c r="M32" s="225">
        <f t="shared" si="5"/>
        <v>18393726</v>
      </c>
      <c r="N32" s="225">
        <f t="shared" si="6"/>
        <v>18393726</v>
      </c>
      <c r="O32">
        <v>707451</v>
      </c>
      <c r="P32">
        <v>26</v>
      </c>
      <c r="Q32">
        <v>18393726</v>
      </c>
      <c r="R32">
        <v>18093923</v>
      </c>
      <c r="V32">
        <f t="shared" si="0"/>
        <v>26</v>
      </c>
      <c r="W32">
        <f t="shared" si="1"/>
        <v>18393726</v>
      </c>
      <c r="X32" s="33"/>
      <c r="AC32">
        <v>710451</v>
      </c>
      <c r="AD32">
        <f t="shared" si="7"/>
        <v>25</v>
      </c>
      <c r="AE32">
        <f t="shared" si="8"/>
        <v>17761275</v>
      </c>
    </row>
    <row r="33" spans="1:31" ht="14" x14ac:dyDescent="0.3">
      <c r="A33" s="437"/>
      <c r="B33" s="438"/>
      <c r="C33" s="436" t="s">
        <v>431</v>
      </c>
      <c r="D33" s="436"/>
      <c r="E33" s="439"/>
      <c r="F33" s="441">
        <f t="shared" si="2"/>
        <v>0</v>
      </c>
      <c r="H33">
        <f t="shared" si="3"/>
        <v>0</v>
      </c>
      <c r="I33">
        <f t="shared" si="4"/>
        <v>0</v>
      </c>
      <c r="K33" s="225"/>
      <c r="L33" s="225" t="s">
        <v>431</v>
      </c>
      <c r="M33" s="225">
        <f t="shared" si="5"/>
        <v>0</v>
      </c>
      <c r="N33" s="225">
        <f t="shared" si="6"/>
        <v>0</v>
      </c>
      <c r="P33" t="s">
        <v>431</v>
      </c>
      <c r="Q33">
        <v>0</v>
      </c>
      <c r="R33">
        <v>0</v>
      </c>
      <c r="V33" t="str">
        <f t="shared" si="0"/>
        <v/>
      </c>
      <c r="W33" t="str">
        <f t="shared" si="1"/>
        <v/>
      </c>
      <c r="X33" s="33"/>
      <c r="AC33" t="s">
        <v>431</v>
      </c>
      <c r="AD33" t="str">
        <f t="shared" si="7"/>
        <v/>
      </c>
      <c r="AE33" t="str">
        <f t="shared" si="8"/>
        <v/>
      </c>
    </row>
    <row r="34" spans="1:31" ht="14" x14ac:dyDescent="0.3">
      <c r="A34" s="437">
        <v>7</v>
      </c>
      <c r="B34" s="438" t="s">
        <v>167</v>
      </c>
      <c r="C34" s="436">
        <v>639</v>
      </c>
      <c r="D34" s="436">
        <v>28000</v>
      </c>
      <c r="E34" s="439"/>
      <c r="F34" s="441">
        <f t="shared" si="2"/>
        <v>17892000</v>
      </c>
      <c r="H34">
        <f t="shared" si="3"/>
        <v>0.65716594431793141</v>
      </c>
      <c r="I34">
        <f t="shared" si="4"/>
        <v>17892000</v>
      </c>
      <c r="K34" s="225">
        <v>28000</v>
      </c>
      <c r="L34" s="225">
        <v>639</v>
      </c>
      <c r="M34" s="225">
        <f t="shared" si="5"/>
        <v>17892000</v>
      </c>
      <c r="N34" s="225">
        <f t="shared" si="6"/>
        <v>17892000</v>
      </c>
      <c r="O34">
        <v>28000</v>
      </c>
      <c r="P34">
        <v>639</v>
      </c>
      <c r="Q34">
        <v>17892000</v>
      </c>
      <c r="R34">
        <v>17903355</v>
      </c>
      <c r="V34">
        <f t="shared" si="0"/>
        <v>639</v>
      </c>
      <c r="W34">
        <f t="shared" si="1"/>
        <v>17892000</v>
      </c>
      <c r="X34" s="33"/>
      <c r="AC34">
        <v>31000</v>
      </c>
      <c r="AD34">
        <f t="shared" si="7"/>
        <v>578</v>
      </c>
      <c r="AE34">
        <f t="shared" si="8"/>
        <v>17918000</v>
      </c>
    </row>
    <row r="35" spans="1:31" ht="14" x14ac:dyDescent="0.3">
      <c r="A35" s="437"/>
      <c r="B35" s="438"/>
      <c r="C35" s="436" t="s">
        <v>431</v>
      </c>
      <c r="D35" s="436"/>
      <c r="E35" s="439"/>
      <c r="F35" s="441">
        <f t="shared" si="2"/>
        <v>0</v>
      </c>
      <c r="H35">
        <f t="shared" si="3"/>
        <v>0</v>
      </c>
      <c r="I35">
        <f t="shared" si="4"/>
        <v>0</v>
      </c>
      <c r="K35" s="225"/>
      <c r="L35" s="225" t="s">
        <v>431</v>
      </c>
      <c r="M35" s="225">
        <f t="shared" si="5"/>
        <v>0</v>
      </c>
      <c r="N35" s="225">
        <f t="shared" si="6"/>
        <v>0</v>
      </c>
      <c r="P35" t="s">
        <v>431</v>
      </c>
      <c r="Q35">
        <v>0</v>
      </c>
      <c r="R35">
        <v>0</v>
      </c>
      <c r="V35" t="str">
        <f t="shared" si="0"/>
        <v/>
      </c>
      <c r="W35" t="str">
        <f t="shared" si="1"/>
        <v/>
      </c>
      <c r="X35" s="33"/>
      <c r="AC35" t="s">
        <v>431</v>
      </c>
      <c r="AD35" t="str">
        <f t="shared" si="7"/>
        <v/>
      </c>
      <c r="AE35" t="str">
        <f t="shared" si="8"/>
        <v/>
      </c>
    </row>
    <row r="36" spans="1:31" ht="14" x14ac:dyDescent="0.3">
      <c r="A36" s="437">
        <v>8</v>
      </c>
      <c r="B36" s="438" t="s">
        <v>168</v>
      </c>
      <c r="C36" s="436">
        <v>102</v>
      </c>
      <c r="D36" s="436">
        <v>25000</v>
      </c>
      <c r="E36" s="439"/>
      <c r="F36" s="441">
        <f t="shared" si="2"/>
        <v>2550000</v>
      </c>
      <c r="H36">
        <f t="shared" si="3"/>
        <v>9.3660471608021739E-2</v>
      </c>
      <c r="I36">
        <f t="shared" si="4"/>
        <v>2550000</v>
      </c>
      <c r="K36" s="225">
        <v>25000</v>
      </c>
      <c r="L36" s="225">
        <v>102</v>
      </c>
      <c r="M36" s="225">
        <f t="shared" si="5"/>
        <v>2550000</v>
      </c>
      <c r="N36" s="225">
        <f t="shared" si="6"/>
        <v>2550000</v>
      </c>
      <c r="O36">
        <v>25000</v>
      </c>
      <c r="P36">
        <v>102</v>
      </c>
      <c r="Q36">
        <v>2550000</v>
      </c>
      <c r="R36">
        <v>2557622</v>
      </c>
      <c r="V36">
        <f t="shared" si="0"/>
        <v>102</v>
      </c>
      <c r="W36">
        <f t="shared" si="1"/>
        <v>2550000</v>
      </c>
      <c r="X36" s="33"/>
      <c r="AC36">
        <v>28000</v>
      </c>
      <c r="AD36">
        <f t="shared" si="7"/>
        <v>91</v>
      </c>
      <c r="AE36">
        <f t="shared" si="8"/>
        <v>2548000</v>
      </c>
    </row>
    <row r="37" spans="1:31" ht="14" x14ac:dyDescent="0.3">
      <c r="A37" s="437"/>
      <c r="B37" s="438"/>
      <c r="C37" s="436" t="s">
        <v>431</v>
      </c>
      <c r="D37" s="436"/>
      <c r="E37" s="439"/>
      <c r="F37" s="441">
        <f t="shared" si="2"/>
        <v>0</v>
      </c>
      <c r="H37">
        <f t="shared" si="3"/>
        <v>0</v>
      </c>
      <c r="I37">
        <f t="shared" si="4"/>
        <v>0</v>
      </c>
      <c r="K37" s="225"/>
      <c r="L37" s="225" t="s">
        <v>431</v>
      </c>
      <c r="M37" s="225">
        <f t="shared" si="5"/>
        <v>0</v>
      </c>
      <c r="N37" s="225">
        <f t="shared" si="6"/>
        <v>0</v>
      </c>
      <c r="P37" t="s">
        <v>431</v>
      </c>
      <c r="Q37">
        <v>0</v>
      </c>
      <c r="R37">
        <v>0</v>
      </c>
      <c r="V37" t="str">
        <f t="shared" si="0"/>
        <v/>
      </c>
      <c r="W37" t="str">
        <f t="shared" si="1"/>
        <v/>
      </c>
      <c r="X37" s="33"/>
      <c r="AC37" t="s">
        <v>431</v>
      </c>
      <c r="AD37" t="str">
        <f t="shared" si="7"/>
        <v/>
      </c>
      <c r="AE37" t="str">
        <f t="shared" si="8"/>
        <v/>
      </c>
    </row>
    <row r="38" spans="1:31" ht="14" x14ac:dyDescent="0.3">
      <c r="A38" s="437">
        <f>A36+1</f>
        <v>9</v>
      </c>
      <c r="B38" s="438" t="s">
        <v>169</v>
      </c>
      <c r="C38" s="436">
        <v>102</v>
      </c>
      <c r="D38" s="436">
        <v>150000</v>
      </c>
      <c r="E38" s="439"/>
      <c r="F38" s="441">
        <f t="shared" si="2"/>
        <v>15300000</v>
      </c>
      <c r="H38">
        <f t="shared" si="3"/>
        <v>0.56196282964813049</v>
      </c>
      <c r="I38">
        <f t="shared" si="4"/>
        <v>15300000</v>
      </c>
      <c r="K38" s="225">
        <v>150000</v>
      </c>
      <c r="L38" s="225">
        <v>102</v>
      </c>
      <c r="M38" s="225">
        <f t="shared" si="5"/>
        <v>15300000</v>
      </c>
      <c r="N38" s="225">
        <f t="shared" si="6"/>
        <v>15300000</v>
      </c>
      <c r="O38">
        <v>150000</v>
      </c>
      <c r="P38">
        <v>102</v>
      </c>
      <c r="Q38">
        <v>15300000</v>
      </c>
      <c r="R38">
        <v>15345733</v>
      </c>
      <c r="V38">
        <f t="shared" si="0"/>
        <v>102</v>
      </c>
      <c r="W38">
        <f t="shared" si="1"/>
        <v>15300000</v>
      </c>
      <c r="X38" s="33"/>
      <c r="AC38">
        <v>153000</v>
      </c>
      <c r="AD38">
        <f t="shared" si="7"/>
        <v>100</v>
      </c>
      <c r="AE38">
        <f t="shared" si="8"/>
        <v>15300000</v>
      </c>
    </row>
    <row r="39" spans="1:31" ht="14" x14ac:dyDescent="0.3">
      <c r="A39" s="437"/>
      <c r="B39" s="438"/>
      <c r="C39" s="436" t="s">
        <v>431</v>
      </c>
      <c r="D39" s="436"/>
      <c r="E39" s="439"/>
      <c r="F39" s="441">
        <f t="shared" si="2"/>
        <v>0</v>
      </c>
      <c r="H39">
        <f t="shared" si="3"/>
        <v>0</v>
      </c>
      <c r="I39">
        <f t="shared" si="4"/>
        <v>0</v>
      </c>
      <c r="K39" s="225"/>
      <c r="L39" s="225" t="s">
        <v>431</v>
      </c>
      <c r="M39" s="225">
        <f t="shared" si="5"/>
        <v>0</v>
      </c>
      <c r="N39" s="225">
        <f t="shared" si="6"/>
        <v>0</v>
      </c>
      <c r="P39" t="s">
        <v>431</v>
      </c>
      <c r="Q39">
        <v>0</v>
      </c>
      <c r="R39">
        <v>0</v>
      </c>
      <c r="V39" t="str">
        <f t="shared" si="0"/>
        <v/>
      </c>
      <c r="W39" t="str">
        <f t="shared" si="1"/>
        <v/>
      </c>
      <c r="X39" s="33"/>
      <c r="AC39" t="s">
        <v>431</v>
      </c>
      <c r="AD39" t="str">
        <f t="shared" si="7"/>
        <v/>
      </c>
      <c r="AE39" t="str">
        <f t="shared" si="8"/>
        <v/>
      </c>
    </row>
    <row r="40" spans="1:31" ht="14" x14ac:dyDescent="0.3">
      <c r="A40" s="437">
        <f>A38+1</f>
        <v>10</v>
      </c>
      <c r="B40" s="442" t="s">
        <v>170</v>
      </c>
      <c r="C40" s="436">
        <v>51</v>
      </c>
      <c r="D40" s="436">
        <v>24000</v>
      </c>
      <c r="E40" s="439"/>
      <c r="F40" s="441">
        <f t="shared" si="2"/>
        <v>1224000</v>
      </c>
      <c r="H40">
        <f t="shared" si="3"/>
        <v>4.4957026371850436E-2</v>
      </c>
      <c r="I40">
        <f t="shared" si="4"/>
        <v>1224000</v>
      </c>
      <c r="K40" s="225">
        <v>24000</v>
      </c>
      <c r="L40" s="225">
        <v>51</v>
      </c>
      <c r="M40" s="225">
        <f t="shared" si="5"/>
        <v>1224000</v>
      </c>
      <c r="N40" s="225">
        <f t="shared" si="6"/>
        <v>1224000</v>
      </c>
      <c r="O40">
        <v>24000</v>
      </c>
      <c r="P40">
        <v>51</v>
      </c>
      <c r="Q40">
        <v>1224000</v>
      </c>
      <c r="R40">
        <v>1227659</v>
      </c>
      <c r="V40">
        <f t="shared" si="0"/>
        <v>51</v>
      </c>
      <c r="W40">
        <f t="shared" si="1"/>
        <v>1224000</v>
      </c>
      <c r="X40" s="33"/>
      <c r="AC40">
        <v>27000</v>
      </c>
      <c r="AD40">
        <f t="shared" si="7"/>
        <v>45</v>
      </c>
      <c r="AE40">
        <f t="shared" si="8"/>
        <v>1215000</v>
      </c>
    </row>
    <row r="41" spans="1:31" ht="14" x14ac:dyDescent="0.3">
      <c r="A41" s="419"/>
      <c r="B41" s="366"/>
      <c r="C41" s="436" t="s">
        <v>431</v>
      </c>
      <c r="D41" s="436"/>
      <c r="E41" s="439"/>
      <c r="F41" s="441">
        <f t="shared" si="2"/>
        <v>0</v>
      </c>
      <c r="H41">
        <f t="shared" si="3"/>
        <v>0</v>
      </c>
      <c r="I41">
        <f t="shared" si="4"/>
        <v>0</v>
      </c>
      <c r="K41" s="225"/>
      <c r="L41" s="225" t="s">
        <v>431</v>
      </c>
      <c r="M41" s="225">
        <f t="shared" si="5"/>
        <v>0</v>
      </c>
      <c r="N41" s="225">
        <f t="shared" si="6"/>
        <v>0</v>
      </c>
      <c r="P41" t="s">
        <v>431</v>
      </c>
      <c r="Q41">
        <v>0</v>
      </c>
      <c r="R41">
        <v>0</v>
      </c>
      <c r="V41" t="str">
        <f t="shared" si="0"/>
        <v/>
      </c>
      <c r="W41" t="str">
        <f t="shared" si="1"/>
        <v/>
      </c>
      <c r="X41" s="33"/>
      <c r="AC41" t="s">
        <v>431</v>
      </c>
      <c r="AD41" t="str">
        <f t="shared" si="7"/>
        <v/>
      </c>
      <c r="AE41" t="str">
        <f t="shared" si="8"/>
        <v/>
      </c>
    </row>
    <row r="42" spans="1:31" ht="14" x14ac:dyDescent="0.3">
      <c r="A42" s="437">
        <f>A40+1</f>
        <v>11</v>
      </c>
      <c r="B42" s="435" t="s">
        <v>171</v>
      </c>
      <c r="C42" s="436" t="s">
        <v>431</v>
      </c>
      <c r="D42" s="436"/>
      <c r="E42" s="439"/>
      <c r="F42" s="441">
        <f t="shared" si="2"/>
        <v>0</v>
      </c>
      <c r="H42">
        <f t="shared" si="3"/>
        <v>0</v>
      </c>
      <c r="I42">
        <f t="shared" si="4"/>
        <v>0</v>
      </c>
      <c r="K42" s="225"/>
      <c r="L42" s="225" t="s">
        <v>431</v>
      </c>
      <c r="M42" s="225">
        <f t="shared" si="5"/>
        <v>0</v>
      </c>
      <c r="N42" s="225">
        <f t="shared" si="6"/>
        <v>0</v>
      </c>
      <c r="P42" t="s">
        <v>431</v>
      </c>
      <c r="Q42">
        <v>0</v>
      </c>
      <c r="R42">
        <v>0</v>
      </c>
      <c r="V42" t="str">
        <f t="shared" si="0"/>
        <v/>
      </c>
      <c r="W42" t="str">
        <f t="shared" si="1"/>
        <v/>
      </c>
      <c r="X42" s="33"/>
      <c r="AC42" t="s">
        <v>431</v>
      </c>
      <c r="AD42" t="str">
        <f t="shared" si="7"/>
        <v/>
      </c>
      <c r="AE42" t="str">
        <f t="shared" si="8"/>
        <v/>
      </c>
    </row>
    <row r="43" spans="1:31" ht="14" x14ac:dyDescent="0.3">
      <c r="A43" s="437"/>
      <c r="B43" s="442" t="s">
        <v>172</v>
      </c>
      <c r="C43" s="436">
        <v>26</v>
      </c>
      <c r="D43" s="436">
        <v>850000</v>
      </c>
      <c r="E43" s="439"/>
      <c r="F43" s="441">
        <f t="shared" si="2"/>
        <v>22100000</v>
      </c>
      <c r="H43">
        <f t="shared" si="3"/>
        <v>0.81172408726952172</v>
      </c>
      <c r="I43">
        <f t="shared" si="4"/>
        <v>22100000</v>
      </c>
      <c r="K43" s="225">
        <v>850000</v>
      </c>
      <c r="L43" s="225">
        <v>26</v>
      </c>
      <c r="M43" s="225">
        <f t="shared" si="5"/>
        <v>22100000</v>
      </c>
      <c r="N43" s="225">
        <f t="shared" si="6"/>
        <v>22100000</v>
      </c>
      <c r="O43">
        <v>850000</v>
      </c>
      <c r="P43">
        <v>26</v>
      </c>
      <c r="Q43">
        <v>22100000</v>
      </c>
      <c r="R43">
        <v>21739788</v>
      </c>
      <c r="V43">
        <f t="shared" si="0"/>
        <v>26</v>
      </c>
      <c r="W43">
        <f t="shared" si="1"/>
        <v>22100000</v>
      </c>
      <c r="X43" s="33"/>
      <c r="AC43">
        <v>853000</v>
      </c>
      <c r="AD43">
        <f t="shared" si="7"/>
        <v>25</v>
      </c>
      <c r="AE43">
        <f t="shared" si="8"/>
        <v>21325000</v>
      </c>
    </row>
    <row r="44" spans="1:31" ht="14" x14ac:dyDescent="0.3">
      <c r="A44" s="437"/>
      <c r="B44" s="442" t="s">
        <v>173</v>
      </c>
      <c r="C44" s="436">
        <v>26</v>
      </c>
      <c r="D44" s="436">
        <v>750000</v>
      </c>
      <c r="E44" s="439"/>
      <c r="F44" s="441">
        <f t="shared" si="2"/>
        <v>19500000</v>
      </c>
      <c r="H44">
        <f t="shared" si="3"/>
        <v>0.71622713582604858</v>
      </c>
      <c r="I44">
        <f t="shared" si="4"/>
        <v>19500000</v>
      </c>
      <c r="K44" s="225">
        <v>750000</v>
      </c>
      <c r="L44" s="225">
        <v>26</v>
      </c>
      <c r="M44" s="225">
        <f t="shared" si="5"/>
        <v>19500000</v>
      </c>
      <c r="N44" s="225">
        <f t="shared" si="6"/>
        <v>19500000</v>
      </c>
      <c r="O44">
        <v>750000</v>
      </c>
      <c r="P44">
        <v>26</v>
      </c>
      <c r="Q44">
        <v>19500000</v>
      </c>
      <c r="R44">
        <v>19182166</v>
      </c>
      <c r="V44">
        <f t="shared" si="0"/>
        <v>26</v>
      </c>
      <c r="W44">
        <f t="shared" si="1"/>
        <v>19500000</v>
      </c>
      <c r="X44" s="33"/>
      <c r="AC44">
        <v>753000</v>
      </c>
      <c r="AD44">
        <f t="shared" si="7"/>
        <v>25</v>
      </c>
      <c r="AE44">
        <f t="shared" si="8"/>
        <v>18825000</v>
      </c>
    </row>
    <row r="45" spans="1:31" ht="14" x14ac:dyDescent="0.3">
      <c r="A45" s="424"/>
      <c r="B45" s="443" t="s">
        <v>174</v>
      </c>
      <c r="C45" s="436">
        <v>26</v>
      </c>
      <c r="D45" s="436">
        <v>615000</v>
      </c>
      <c r="E45" s="444"/>
      <c r="F45" s="441">
        <f t="shared" si="2"/>
        <v>15990000</v>
      </c>
      <c r="H45">
        <f t="shared" si="3"/>
        <v>0.58730625137735981</v>
      </c>
      <c r="I45">
        <f t="shared" si="4"/>
        <v>15989999.999999998</v>
      </c>
      <c r="K45" s="225">
        <v>615000</v>
      </c>
      <c r="L45" s="225">
        <v>26</v>
      </c>
      <c r="M45" s="225">
        <f t="shared" si="5"/>
        <v>15990000</v>
      </c>
      <c r="N45" s="225">
        <f t="shared" si="6"/>
        <v>15990000</v>
      </c>
      <c r="O45">
        <v>615000</v>
      </c>
      <c r="P45">
        <v>26</v>
      </c>
      <c r="Q45">
        <v>15990000</v>
      </c>
      <c r="R45">
        <v>15729376</v>
      </c>
      <c r="V45">
        <f t="shared" si="0"/>
        <v>26</v>
      </c>
      <c r="W45">
        <f t="shared" si="1"/>
        <v>15990000</v>
      </c>
      <c r="X45" s="33"/>
      <c r="AC45">
        <v>618000</v>
      </c>
      <c r="AD45">
        <f t="shared" si="7"/>
        <v>25</v>
      </c>
      <c r="AE45">
        <f t="shared" si="8"/>
        <v>15450000</v>
      </c>
    </row>
    <row r="46" spans="1:31" ht="14" x14ac:dyDescent="0.3">
      <c r="A46" s="445"/>
      <c r="B46" s="446"/>
      <c r="C46" s="436" t="s">
        <v>431</v>
      </c>
      <c r="D46" s="436"/>
      <c r="E46" s="447"/>
      <c r="F46" s="441">
        <f t="shared" si="2"/>
        <v>0</v>
      </c>
      <c r="H46">
        <f t="shared" si="3"/>
        <v>0</v>
      </c>
      <c r="I46">
        <f t="shared" si="4"/>
        <v>0</v>
      </c>
      <c r="K46" s="225"/>
      <c r="L46" s="225" t="s">
        <v>431</v>
      </c>
      <c r="M46" s="225">
        <f t="shared" si="5"/>
        <v>0</v>
      </c>
      <c r="N46" s="225">
        <f t="shared" si="6"/>
        <v>0</v>
      </c>
      <c r="P46" t="s">
        <v>431</v>
      </c>
      <c r="Q46">
        <v>0</v>
      </c>
      <c r="R46">
        <v>0</v>
      </c>
      <c r="V46" t="str">
        <f t="shared" si="0"/>
        <v/>
      </c>
      <c r="W46" t="str">
        <f t="shared" si="1"/>
        <v/>
      </c>
      <c r="X46" s="33"/>
      <c r="AC46" t="s">
        <v>431</v>
      </c>
      <c r="AD46" t="str">
        <f t="shared" si="7"/>
        <v/>
      </c>
      <c r="AE46" t="str">
        <f t="shared" si="8"/>
        <v/>
      </c>
    </row>
    <row r="47" spans="1:31" ht="14" x14ac:dyDescent="0.3">
      <c r="A47" s="437">
        <v>12</v>
      </c>
      <c r="B47" s="435" t="s">
        <v>175</v>
      </c>
      <c r="C47" s="436" t="s">
        <v>431</v>
      </c>
      <c r="D47" s="436"/>
      <c r="E47" s="439"/>
      <c r="F47" s="441">
        <f t="shared" si="2"/>
        <v>0</v>
      </c>
      <c r="H47">
        <f t="shared" si="3"/>
        <v>0</v>
      </c>
      <c r="I47">
        <f t="shared" si="4"/>
        <v>0</v>
      </c>
      <c r="K47" s="225"/>
      <c r="L47" s="225" t="s">
        <v>431</v>
      </c>
      <c r="M47" s="225">
        <f t="shared" si="5"/>
        <v>0</v>
      </c>
      <c r="N47" s="225">
        <f t="shared" si="6"/>
        <v>0</v>
      </c>
      <c r="P47" t="s">
        <v>431</v>
      </c>
      <c r="Q47">
        <v>0</v>
      </c>
      <c r="R47">
        <v>0</v>
      </c>
      <c r="U47">
        <v>750000</v>
      </c>
      <c r="V47" t="str">
        <f t="shared" si="0"/>
        <v/>
      </c>
      <c r="W47" t="str">
        <f t="shared" si="1"/>
        <v/>
      </c>
      <c r="X47" s="33"/>
      <c r="AC47" t="s">
        <v>431</v>
      </c>
      <c r="AD47" t="str">
        <f t="shared" si="7"/>
        <v/>
      </c>
      <c r="AE47" t="str">
        <f t="shared" si="8"/>
        <v/>
      </c>
    </row>
    <row r="48" spans="1:31" ht="14" x14ac:dyDescent="0.3">
      <c r="A48" s="437"/>
      <c r="B48" s="442" t="s">
        <v>176</v>
      </c>
      <c r="C48" s="436">
        <v>153</v>
      </c>
      <c r="D48" s="436">
        <v>620000</v>
      </c>
      <c r="E48" s="439"/>
      <c r="F48" s="441">
        <f t="shared" si="2"/>
        <v>94860000</v>
      </c>
      <c r="H48">
        <f t="shared" si="3"/>
        <v>3.484169543818409</v>
      </c>
      <c r="I48">
        <f t="shared" si="4"/>
        <v>94860000.000000015</v>
      </c>
      <c r="K48" s="225">
        <v>620000</v>
      </c>
      <c r="L48" s="225">
        <v>153</v>
      </c>
      <c r="M48" s="225">
        <f t="shared" si="5"/>
        <v>94860000</v>
      </c>
      <c r="N48" s="225">
        <f t="shared" si="6"/>
        <v>94860000</v>
      </c>
      <c r="O48">
        <v>620000</v>
      </c>
      <c r="P48">
        <v>153</v>
      </c>
      <c r="Q48">
        <v>94860000</v>
      </c>
      <c r="R48">
        <v>95143544</v>
      </c>
      <c r="V48">
        <f t="shared" ref="V48:V79" si="9">IFERROR(ROUND((R48/D48),0),"")</f>
        <v>153</v>
      </c>
      <c r="W48">
        <f t="shared" ref="W48:W79" si="10">IFERROR((V48*D48),"")</f>
        <v>94860000</v>
      </c>
      <c r="X48" s="33"/>
      <c r="AC48">
        <v>623000</v>
      </c>
      <c r="AD48">
        <f t="shared" si="7"/>
        <v>153</v>
      </c>
      <c r="AE48">
        <f t="shared" si="8"/>
        <v>95319000</v>
      </c>
    </row>
    <row r="49" spans="1:31" ht="14" x14ac:dyDescent="0.3">
      <c r="A49" s="437"/>
      <c r="B49" s="442" t="s">
        <v>178</v>
      </c>
      <c r="C49" s="436">
        <v>26</v>
      </c>
      <c r="D49" s="436">
        <v>180000</v>
      </c>
      <c r="E49" s="439"/>
      <c r="F49" s="441">
        <f t="shared" si="2"/>
        <v>4680000</v>
      </c>
      <c r="H49">
        <f t="shared" si="3"/>
        <v>0.17189451259825167</v>
      </c>
      <c r="I49">
        <f t="shared" si="4"/>
        <v>4680000</v>
      </c>
      <c r="K49" s="225">
        <v>180000</v>
      </c>
      <c r="L49" s="225">
        <v>26</v>
      </c>
      <c r="M49" s="225">
        <f t="shared" si="5"/>
        <v>4680000</v>
      </c>
      <c r="N49" s="225">
        <f t="shared" si="6"/>
        <v>4680000</v>
      </c>
      <c r="O49">
        <v>180000</v>
      </c>
      <c r="P49">
        <v>26</v>
      </c>
      <c r="Q49">
        <v>4680000</v>
      </c>
      <c r="R49">
        <v>4603720</v>
      </c>
      <c r="V49">
        <f t="shared" si="9"/>
        <v>26</v>
      </c>
      <c r="W49">
        <f t="shared" si="10"/>
        <v>4680000</v>
      </c>
      <c r="X49" s="33"/>
      <c r="AC49">
        <v>183000</v>
      </c>
      <c r="AD49">
        <f t="shared" si="7"/>
        <v>25</v>
      </c>
      <c r="AE49">
        <f t="shared" si="8"/>
        <v>4575000</v>
      </c>
    </row>
    <row r="50" spans="1:31" ht="14" x14ac:dyDescent="0.3">
      <c r="A50" s="437"/>
      <c r="B50" s="442" t="s">
        <v>179</v>
      </c>
      <c r="C50" s="436">
        <v>230</v>
      </c>
      <c r="D50" s="436">
        <v>48000</v>
      </c>
      <c r="E50" s="439"/>
      <c r="F50" s="441">
        <f t="shared" si="2"/>
        <v>11040000</v>
      </c>
      <c r="H50">
        <f t="shared" si="3"/>
        <v>0.40549474766767063</v>
      </c>
      <c r="I50">
        <f t="shared" si="4"/>
        <v>11040000.000000002</v>
      </c>
      <c r="K50" s="225">
        <v>48000</v>
      </c>
      <c r="L50" s="225">
        <v>230</v>
      </c>
      <c r="M50" s="225">
        <f t="shared" si="5"/>
        <v>11040000</v>
      </c>
      <c r="N50" s="225">
        <f t="shared" si="6"/>
        <v>11040000</v>
      </c>
      <c r="O50">
        <v>48000</v>
      </c>
      <c r="P50">
        <v>230</v>
      </c>
      <c r="Q50">
        <v>11040000</v>
      </c>
      <c r="R50">
        <v>11048928</v>
      </c>
      <c r="V50">
        <f t="shared" si="9"/>
        <v>230</v>
      </c>
      <c r="W50">
        <f t="shared" si="10"/>
        <v>11040000</v>
      </c>
      <c r="X50" s="33"/>
      <c r="AC50">
        <v>51000</v>
      </c>
      <c r="AD50">
        <f t="shared" si="7"/>
        <v>217</v>
      </c>
      <c r="AE50">
        <f t="shared" si="8"/>
        <v>11067000</v>
      </c>
    </row>
    <row r="51" spans="1:31" ht="14" x14ac:dyDescent="0.3">
      <c r="A51" s="437"/>
      <c r="B51" s="442" t="s">
        <v>180</v>
      </c>
      <c r="C51" s="436">
        <v>25</v>
      </c>
      <c r="D51" s="436">
        <v>450000</v>
      </c>
      <c r="E51" s="439"/>
      <c r="F51" s="441">
        <f t="shared" si="2"/>
        <v>11250000</v>
      </c>
      <c r="H51">
        <f t="shared" si="3"/>
        <v>0.41320796297656653</v>
      </c>
      <c r="I51">
        <f t="shared" si="4"/>
        <v>11250000</v>
      </c>
      <c r="K51" s="225">
        <v>450000</v>
      </c>
      <c r="L51" s="225">
        <v>25</v>
      </c>
      <c r="M51" s="225">
        <f t="shared" si="5"/>
        <v>11250000</v>
      </c>
      <c r="N51" s="225">
        <f t="shared" si="6"/>
        <v>11250000</v>
      </c>
      <c r="O51">
        <v>450000</v>
      </c>
      <c r="P51">
        <v>25</v>
      </c>
      <c r="Q51">
        <v>11250000</v>
      </c>
      <c r="R51">
        <v>11509300</v>
      </c>
      <c r="V51">
        <f t="shared" si="9"/>
        <v>26</v>
      </c>
      <c r="W51">
        <f t="shared" si="10"/>
        <v>11700000</v>
      </c>
      <c r="X51" s="33"/>
      <c r="AC51">
        <v>453000</v>
      </c>
      <c r="AD51">
        <f t="shared" si="7"/>
        <v>25</v>
      </c>
      <c r="AE51">
        <f t="shared" si="8"/>
        <v>11325000</v>
      </c>
    </row>
    <row r="52" spans="1:31" ht="14" x14ac:dyDescent="0.3">
      <c r="A52" s="437"/>
      <c r="B52" s="438"/>
      <c r="C52" s="436" t="s">
        <v>431</v>
      </c>
      <c r="D52" s="436"/>
      <c r="E52" s="439"/>
      <c r="F52" s="441">
        <f t="shared" si="2"/>
        <v>0</v>
      </c>
      <c r="H52">
        <f t="shared" si="3"/>
        <v>0</v>
      </c>
      <c r="I52">
        <f t="shared" si="4"/>
        <v>0</v>
      </c>
      <c r="K52" s="225"/>
      <c r="L52" s="225" t="s">
        <v>431</v>
      </c>
      <c r="M52" s="225">
        <f t="shared" si="5"/>
        <v>0</v>
      </c>
      <c r="N52" s="225">
        <f t="shared" si="6"/>
        <v>0</v>
      </c>
      <c r="P52" t="s">
        <v>431</v>
      </c>
      <c r="Q52">
        <v>0</v>
      </c>
      <c r="R52">
        <v>0</v>
      </c>
      <c r="V52" t="str">
        <f t="shared" si="9"/>
        <v/>
      </c>
      <c r="W52" t="str">
        <f t="shared" si="10"/>
        <v/>
      </c>
      <c r="X52" s="33"/>
      <c r="AC52" t="s">
        <v>431</v>
      </c>
      <c r="AD52" t="str">
        <f t="shared" si="7"/>
        <v/>
      </c>
      <c r="AE52" t="str">
        <f t="shared" si="8"/>
        <v/>
      </c>
    </row>
    <row r="53" spans="1:31" ht="14" x14ac:dyDescent="0.3">
      <c r="A53" s="437">
        <v>13</v>
      </c>
      <c r="B53" s="448" t="s">
        <v>181</v>
      </c>
      <c r="C53" s="436" t="s">
        <v>431</v>
      </c>
      <c r="D53" s="436"/>
      <c r="E53" s="439"/>
      <c r="F53" s="441">
        <f t="shared" si="2"/>
        <v>0</v>
      </c>
      <c r="H53">
        <f t="shared" si="3"/>
        <v>0</v>
      </c>
      <c r="I53">
        <f t="shared" si="4"/>
        <v>0</v>
      </c>
      <c r="K53" s="225"/>
      <c r="L53" s="225" t="s">
        <v>431</v>
      </c>
      <c r="M53" s="225">
        <f t="shared" si="5"/>
        <v>0</v>
      </c>
      <c r="N53" s="225">
        <f t="shared" si="6"/>
        <v>0</v>
      </c>
      <c r="P53" t="s">
        <v>431</v>
      </c>
      <c r="Q53">
        <v>0</v>
      </c>
      <c r="R53">
        <v>0</v>
      </c>
      <c r="V53" t="str">
        <f t="shared" si="9"/>
        <v/>
      </c>
      <c r="W53" t="str">
        <f t="shared" si="10"/>
        <v/>
      </c>
      <c r="X53" s="33"/>
      <c r="AC53" t="s">
        <v>431</v>
      </c>
      <c r="AD53" t="str">
        <f t="shared" si="7"/>
        <v/>
      </c>
      <c r="AE53" t="str">
        <f t="shared" si="8"/>
        <v/>
      </c>
    </row>
    <row r="54" spans="1:31" ht="14" x14ac:dyDescent="0.3">
      <c r="A54" s="437"/>
      <c r="B54" s="442" t="s">
        <v>182</v>
      </c>
      <c r="C54" s="436">
        <v>23</v>
      </c>
      <c r="D54" s="436">
        <v>197725</v>
      </c>
      <c r="E54" s="439"/>
      <c r="F54" s="441">
        <f t="shared" si="2"/>
        <v>4547675</v>
      </c>
      <c r="H54">
        <f t="shared" si="3"/>
        <v>0.16703426871372953</v>
      </c>
      <c r="I54">
        <f t="shared" si="4"/>
        <v>4547675.0000000009</v>
      </c>
      <c r="K54" s="225">
        <v>197725</v>
      </c>
      <c r="L54" s="225">
        <v>23</v>
      </c>
      <c r="M54" s="225">
        <f t="shared" si="5"/>
        <v>4547675</v>
      </c>
      <c r="N54" s="225">
        <f t="shared" si="6"/>
        <v>4547675</v>
      </c>
      <c r="O54">
        <v>197725</v>
      </c>
      <c r="P54">
        <v>23</v>
      </c>
      <c r="Q54">
        <v>4547675</v>
      </c>
      <c r="R54">
        <v>5057058</v>
      </c>
      <c r="V54">
        <f t="shared" si="9"/>
        <v>26</v>
      </c>
      <c r="W54">
        <f t="shared" si="10"/>
        <v>5140850</v>
      </c>
      <c r="X54" s="33"/>
      <c r="AC54">
        <v>200725</v>
      </c>
      <c r="AD54">
        <f t="shared" si="7"/>
        <v>25</v>
      </c>
      <c r="AE54">
        <f t="shared" si="8"/>
        <v>5018125</v>
      </c>
    </row>
    <row r="55" spans="1:31" ht="14" x14ac:dyDescent="0.3">
      <c r="A55" s="437"/>
      <c r="B55" s="442" t="s">
        <v>183</v>
      </c>
      <c r="C55" s="436">
        <v>38</v>
      </c>
      <c r="D55" s="436">
        <v>306775</v>
      </c>
      <c r="E55" s="439"/>
      <c r="F55" s="441">
        <f t="shared" si="2"/>
        <v>11657450</v>
      </c>
      <c r="H55">
        <f t="shared" si="3"/>
        <v>0.42817343715566003</v>
      </c>
      <c r="I55">
        <f t="shared" si="4"/>
        <v>11657450</v>
      </c>
      <c r="K55" s="225">
        <v>306775</v>
      </c>
      <c r="L55" s="225">
        <v>38</v>
      </c>
      <c r="M55" s="225">
        <f t="shared" si="5"/>
        <v>11657450</v>
      </c>
      <c r="N55" s="225">
        <f t="shared" si="6"/>
        <v>11657450</v>
      </c>
      <c r="O55">
        <v>306775</v>
      </c>
      <c r="P55">
        <v>38</v>
      </c>
      <c r="Q55">
        <v>11657450</v>
      </c>
      <c r="R55">
        <v>7846145</v>
      </c>
      <c r="V55">
        <f t="shared" si="9"/>
        <v>26</v>
      </c>
      <c r="W55">
        <f t="shared" si="10"/>
        <v>7976150</v>
      </c>
      <c r="X55" s="33"/>
      <c r="AC55">
        <v>309775</v>
      </c>
      <c r="AD55">
        <f t="shared" si="7"/>
        <v>25</v>
      </c>
      <c r="AE55">
        <f t="shared" si="8"/>
        <v>7744375</v>
      </c>
    </row>
    <row r="56" spans="1:31" ht="14" x14ac:dyDescent="0.3">
      <c r="A56" s="437"/>
      <c r="B56" s="442" t="s">
        <v>184</v>
      </c>
      <c r="C56" s="436">
        <v>32</v>
      </c>
      <c r="D56" s="436">
        <v>77900</v>
      </c>
      <c r="E56" s="439"/>
      <c r="F56" s="441">
        <f t="shared" si="2"/>
        <v>2492800</v>
      </c>
      <c r="H56">
        <f t="shared" si="3"/>
        <v>9.1559538676265331E-2</v>
      </c>
      <c r="I56">
        <f t="shared" si="4"/>
        <v>2492800</v>
      </c>
      <c r="K56" s="225">
        <v>77900</v>
      </c>
      <c r="L56" s="225">
        <v>32</v>
      </c>
      <c r="M56" s="225">
        <f t="shared" si="5"/>
        <v>2492800</v>
      </c>
      <c r="N56" s="225">
        <f t="shared" si="6"/>
        <v>2492800</v>
      </c>
      <c r="O56">
        <v>77900</v>
      </c>
      <c r="P56">
        <v>32</v>
      </c>
      <c r="Q56">
        <v>2492800</v>
      </c>
      <c r="R56">
        <v>1992388</v>
      </c>
      <c r="V56">
        <f t="shared" si="9"/>
        <v>26</v>
      </c>
      <c r="W56">
        <f t="shared" si="10"/>
        <v>2025400</v>
      </c>
      <c r="X56" s="33"/>
      <c r="AC56">
        <v>80900</v>
      </c>
      <c r="AD56">
        <f t="shared" si="7"/>
        <v>25</v>
      </c>
      <c r="AE56">
        <f t="shared" si="8"/>
        <v>2022500</v>
      </c>
    </row>
    <row r="57" spans="1:31" ht="14" x14ac:dyDescent="0.3">
      <c r="A57" s="437"/>
      <c r="B57" s="442" t="s">
        <v>185</v>
      </c>
      <c r="C57" s="436">
        <v>21</v>
      </c>
      <c r="D57" s="436">
        <v>15350</v>
      </c>
      <c r="E57" s="439"/>
      <c r="F57" s="441">
        <f t="shared" si="2"/>
        <v>322350</v>
      </c>
      <c r="H57">
        <f t="shared" si="3"/>
        <v>1.1839785499155219E-2</v>
      </c>
      <c r="I57">
        <f t="shared" si="4"/>
        <v>322350</v>
      </c>
      <c r="K57" s="225">
        <v>15350</v>
      </c>
      <c r="L57" s="225">
        <v>21</v>
      </c>
      <c r="M57" s="225">
        <f t="shared" si="5"/>
        <v>322350</v>
      </c>
      <c r="N57" s="225">
        <f t="shared" si="6"/>
        <v>322350</v>
      </c>
      <c r="O57">
        <v>15350</v>
      </c>
      <c r="P57">
        <v>21</v>
      </c>
      <c r="Q57">
        <v>322350</v>
      </c>
      <c r="R57">
        <v>392595</v>
      </c>
      <c r="V57">
        <f t="shared" si="9"/>
        <v>26</v>
      </c>
      <c r="W57">
        <f t="shared" si="10"/>
        <v>399100</v>
      </c>
      <c r="X57" s="33"/>
      <c r="AC57">
        <v>18350</v>
      </c>
      <c r="AD57">
        <f t="shared" si="7"/>
        <v>21</v>
      </c>
      <c r="AE57">
        <f t="shared" si="8"/>
        <v>385350</v>
      </c>
    </row>
    <row r="58" spans="1:31" ht="14" x14ac:dyDescent="0.3">
      <c r="A58" s="437"/>
      <c r="B58" s="442" t="s">
        <v>186</v>
      </c>
      <c r="C58" s="436">
        <v>21</v>
      </c>
      <c r="D58" s="436">
        <v>977900</v>
      </c>
      <c r="E58" s="439"/>
      <c r="F58" s="441">
        <f t="shared" si="2"/>
        <v>20535900</v>
      </c>
      <c r="H58">
        <f t="shared" si="3"/>
        <v>0.75427532505693085</v>
      </c>
      <c r="I58">
        <f t="shared" si="4"/>
        <v>20535900</v>
      </c>
      <c r="K58" s="225">
        <v>977900</v>
      </c>
      <c r="L58" s="225">
        <v>21</v>
      </c>
      <c r="M58" s="225">
        <f t="shared" si="5"/>
        <v>20535900</v>
      </c>
      <c r="N58" s="225">
        <f t="shared" si="6"/>
        <v>20535900</v>
      </c>
      <c r="O58">
        <v>977900</v>
      </c>
      <c r="P58">
        <v>21</v>
      </c>
      <c r="Q58">
        <v>20535900</v>
      </c>
      <c r="R58">
        <v>25010987</v>
      </c>
      <c r="V58">
        <f t="shared" si="9"/>
        <v>26</v>
      </c>
      <c r="W58">
        <f t="shared" si="10"/>
        <v>25425400</v>
      </c>
      <c r="X58" s="33"/>
      <c r="AC58">
        <v>980900</v>
      </c>
      <c r="AD58">
        <f t="shared" si="7"/>
        <v>25</v>
      </c>
      <c r="AE58">
        <f t="shared" si="8"/>
        <v>24522500</v>
      </c>
    </row>
    <row r="59" spans="1:31" ht="14" x14ac:dyDescent="0.3">
      <c r="A59" s="437"/>
      <c r="B59" s="442" t="s">
        <v>187</v>
      </c>
      <c r="C59" s="436">
        <v>18</v>
      </c>
      <c r="D59" s="436">
        <v>24400</v>
      </c>
      <c r="E59" s="439"/>
      <c r="F59" s="441">
        <f t="shared" si="2"/>
        <v>439200</v>
      </c>
      <c r="H59">
        <f t="shared" si="3"/>
        <v>1.6131638874605156E-2</v>
      </c>
      <c r="I59">
        <f t="shared" si="4"/>
        <v>439200</v>
      </c>
      <c r="K59" s="225">
        <v>24400</v>
      </c>
      <c r="L59" s="225">
        <v>18</v>
      </c>
      <c r="M59" s="225">
        <f t="shared" si="5"/>
        <v>439200</v>
      </c>
      <c r="N59" s="225">
        <f t="shared" si="6"/>
        <v>439200</v>
      </c>
      <c r="O59">
        <v>24400</v>
      </c>
      <c r="P59">
        <v>18</v>
      </c>
      <c r="Q59">
        <v>439200</v>
      </c>
      <c r="R59">
        <v>624060</v>
      </c>
      <c r="V59">
        <f t="shared" si="9"/>
        <v>26</v>
      </c>
      <c r="W59">
        <f t="shared" si="10"/>
        <v>634400</v>
      </c>
      <c r="X59" s="33"/>
      <c r="AC59">
        <v>27400</v>
      </c>
      <c r="AD59">
        <f t="shared" si="7"/>
        <v>23</v>
      </c>
      <c r="AE59">
        <f t="shared" si="8"/>
        <v>630200</v>
      </c>
    </row>
    <row r="60" spans="1:31" ht="14" x14ac:dyDescent="0.3">
      <c r="A60" s="437"/>
      <c r="B60" s="442" t="s">
        <v>188</v>
      </c>
      <c r="C60" s="436">
        <v>34</v>
      </c>
      <c r="D60" s="436">
        <v>7050</v>
      </c>
      <c r="E60" s="439"/>
      <c r="F60" s="441">
        <f t="shared" si="2"/>
        <v>239700</v>
      </c>
      <c r="H60">
        <f t="shared" si="3"/>
        <v>8.8040843311540436E-3</v>
      </c>
      <c r="I60">
        <f t="shared" si="4"/>
        <v>239700</v>
      </c>
      <c r="K60" s="225">
        <v>7050</v>
      </c>
      <c r="L60" s="225">
        <v>34</v>
      </c>
      <c r="M60" s="225">
        <f t="shared" si="5"/>
        <v>239700</v>
      </c>
      <c r="N60" s="225">
        <f t="shared" si="6"/>
        <v>239700</v>
      </c>
      <c r="O60">
        <v>7050</v>
      </c>
      <c r="P60">
        <v>34</v>
      </c>
      <c r="Q60">
        <v>239700</v>
      </c>
      <c r="R60">
        <v>180312</v>
      </c>
      <c r="V60">
        <f t="shared" si="9"/>
        <v>26</v>
      </c>
      <c r="W60">
        <f t="shared" si="10"/>
        <v>183300</v>
      </c>
      <c r="X60" s="33"/>
      <c r="AC60">
        <v>10050</v>
      </c>
      <c r="AD60">
        <f t="shared" si="7"/>
        <v>18</v>
      </c>
      <c r="AE60">
        <f t="shared" si="8"/>
        <v>180900</v>
      </c>
    </row>
    <row r="61" spans="1:31" ht="14" x14ac:dyDescent="0.3">
      <c r="A61" s="437"/>
      <c r="B61" s="442" t="s">
        <v>189</v>
      </c>
      <c r="C61" s="436">
        <v>42</v>
      </c>
      <c r="D61" s="436">
        <v>8000</v>
      </c>
      <c r="E61" s="439"/>
      <c r="F61" s="441">
        <f t="shared" si="2"/>
        <v>336000</v>
      </c>
      <c r="H61">
        <f t="shared" si="3"/>
        <v>1.2341144494233453E-2</v>
      </c>
      <c r="I61">
        <f t="shared" si="4"/>
        <v>336000</v>
      </c>
      <c r="K61" s="225">
        <v>8000</v>
      </c>
      <c r="L61" s="225">
        <v>42</v>
      </c>
      <c r="M61" s="225">
        <f t="shared" si="5"/>
        <v>336000</v>
      </c>
      <c r="N61" s="225">
        <f t="shared" si="6"/>
        <v>336000</v>
      </c>
      <c r="O61">
        <v>8000</v>
      </c>
      <c r="P61">
        <v>42</v>
      </c>
      <c r="Q61">
        <v>336000</v>
      </c>
      <c r="R61">
        <v>204610</v>
      </c>
      <c r="V61">
        <f t="shared" si="9"/>
        <v>26</v>
      </c>
      <c r="W61">
        <f t="shared" si="10"/>
        <v>208000</v>
      </c>
      <c r="X61" s="33"/>
      <c r="AC61">
        <v>11000</v>
      </c>
      <c r="AD61">
        <f t="shared" si="7"/>
        <v>19</v>
      </c>
      <c r="AE61">
        <f t="shared" si="8"/>
        <v>209000</v>
      </c>
    </row>
    <row r="62" spans="1:31" ht="14" x14ac:dyDescent="0.3">
      <c r="A62" s="437"/>
      <c r="B62" s="442" t="s">
        <v>190</v>
      </c>
      <c r="C62" s="436">
        <v>23</v>
      </c>
      <c r="D62" s="436">
        <v>157500</v>
      </c>
      <c r="E62" s="439"/>
      <c r="F62" s="441">
        <f t="shared" si="2"/>
        <v>3622500</v>
      </c>
      <c r="H62">
        <f t="shared" si="3"/>
        <v>0.13305296407845441</v>
      </c>
      <c r="I62">
        <f t="shared" si="4"/>
        <v>3622500</v>
      </c>
      <c r="K62" s="225">
        <v>157500</v>
      </c>
      <c r="L62" s="225">
        <v>23</v>
      </c>
      <c r="M62" s="225">
        <f t="shared" si="5"/>
        <v>3622500</v>
      </c>
      <c r="N62" s="225">
        <f t="shared" si="6"/>
        <v>3622500</v>
      </c>
      <c r="O62">
        <v>157500</v>
      </c>
      <c r="P62">
        <v>23</v>
      </c>
      <c r="Q62">
        <v>3622500</v>
      </c>
      <c r="R62">
        <v>4028255</v>
      </c>
      <c r="V62">
        <f t="shared" si="9"/>
        <v>26</v>
      </c>
      <c r="W62">
        <f t="shared" si="10"/>
        <v>4095000</v>
      </c>
      <c r="X62" s="33"/>
      <c r="AC62">
        <v>160500</v>
      </c>
      <c r="AD62">
        <f t="shared" si="7"/>
        <v>25</v>
      </c>
      <c r="AE62">
        <f t="shared" si="8"/>
        <v>4012500</v>
      </c>
    </row>
    <row r="63" spans="1:31" ht="14" x14ac:dyDescent="0.3">
      <c r="A63" s="437"/>
      <c r="B63" s="438"/>
      <c r="C63" s="436" t="s">
        <v>431</v>
      </c>
      <c r="D63" s="436"/>
      <c r="E63" s="439"/>
      <c r="F63" s="441">
        <f t="shared" si="2"/>
        <v>0</v>
      </c>
      <c r="H63">
        <f t="shared" si="3"/>
        <v>0</v>
      </c>
      <c r="I63">
        <f t="shared" si="4"/>
        <v>0</v>
      </c>
      <c r="K63" s="225"/>
      <c r="L63" s="225" t="s">
        <v>431</v>
      </c>
      <c r="M63" s="225">
        <f t="shared" si="5"/>
        <v>0</v>
      </c>
      <c r="N63" s="225">
        <f t="shared" si="6"/>
        <v>0</v>
      </c>
      <c r="P63" t="s">
        <v>431</v>
      </c>
      <c r="Q63">
        <v>0</v>
      </c>
      <c r="R63">
        <v>0</v>
      </c>
      <c r="V63" t="str">
        <f t="shared" si="9"/>
        <v/>
      </c>
      <c r="W63" t="str">
        <f t="shared" si="10"/>
        <v/>
      </c>
      <c r="X63" s="33"/>
      <c r="AC63" t="s">
        <v>431</v>
      </c>
      <c r="AD63" t="str">
        <f t="shared" si="7"/>
        <v/>
      </c>
      <c r="AE63" t="str">
        <f t="shared" si="8"/>
        <v/>
      </c>
    </row>
    <row r="64" spans="1:31" ht="14" x14ac:dyDescent="0.3">
      <c r="A64" s="437"/>
      <c r="B64" s="366"/>
      <c r="C64" s="436" t="s">
        <v>431</v>
      </c>
      <c r="D64" s="436"/>
      <c r="E64" s="439"/>
      <c r="F64" s="441">
        <f t="shared" si="2"/>
        <v>0</v>
      </c>
      <c r="H64">
        <f t="shared" si="3"/>
        <v>0</v>
      </c>
      <c r="I64">
        <f t="shared" si="4"/>
        <v>0</v>
      </c>
      <c r="K64" s="225"/>
      <c r="L64" s="225" t="s">
        <v>431</v>
      </c>
      <c r="M64" s="225">
        <f t="shared" si="5"/>
        <v>0</v>
      </c>
      <c r="N64" s="225">
        <f t="shared" si="6"/>
        <v>0</v>
      </c>
      <c r="P64" t="s">
        <v>431</v>
      </c>
      <c r="Q64">
        <v>0</v>
      </c>
      <c r="R64">
        <v>0</v>
      </c>
      <c r="V64" t="str">
        <f t="shared" si="9"/>
        <v/>
      </c>
      <c r="W64" t="str">
        <f t="shared" si="10"/>
        <v/>
      </c>
      <c r="X64" s="33"/>
      <c r="AC64" t="s">
        <v>431</v>
      </c>
      <c r="AD64" t="str">
        <f t="shared" si="7"/>
        <v/>
      </c>
      <c r="AE64" t="str">
        <f t="shared" si="8"/>
        <v/>
      </c>
    </row>
    <row r="65" spans="1:31" ht="14" x14ac:dyDescent="0.3">
      <c r="A65" s="419">
        <v>14</v>
      </c>
      <c r="B65" s="448" t="s">
        <v>191</v>
      </c>
      <c r="C65" s="436" t="s">
        <v>431</v>
      </c>
      <c r="D65" s="436"/>
      <c r="E65" s="439"/>
      <c r="F65" s="441">
        <f t="shared" si="2"/>
        <v>0</v>
      </c>
      <c r="H65">
        <f t="shared" si="3"/>
        <v>0</v>
      </c>
      <c r="I65">
        <f t="shared" si="4"/>
        <v>0</v>
      </c>
      <c r="K65" s="225"/>
      <c r="L65" s="225" t="s">
        <v>431</v>
      </c>
      <c r="M65" s="225">
        <f t="shared" si="5"/>
        <v>0</v>
      </c>
      <c r="N65" s="225">
        <f t="shared" si="6"/>
        <v>0</v>
      </c>
      <c r="P65" t="s">
        <v>431</v>
      </c>
      <c r="Q65">
        <v>0</v>
      </c>
      <c r="R65">
        <v>0</v>
      </c>
      <c r="V65" t="str">
        <f t="shared" si="9"/>
        <v/>
      </c>
      <c r="W65" t="str">
        <f t="shared" si="10"/>
        <v/>
      </c>
      <c r="X65" s="33"/>
      <c r="AC65" t="s">
        <v>431</v>
      </c>
      <c r="AD65" t="str">
        <f t="shared" si="7"/>
        <v/>
      </c>
      <c r="AE65" t="str">
        <f t="shared" si="8"/>
        <v/>
      </c>
    </row>
    <row r="66" spans="1:31" ht="14" x14ac:dyDescent="0.3">
      <c r="A66" s="437"/>
      <c r="B66" s="438" t="s">
        <v>192</v>
      </c>
      <c r="C66" s="436">
        <v>23</v>
      </c>
      <c r="D66" s="436">
        <v>10800</v>
      </c>
      <c r="E66" s="439"/>
      <c r="F66" s="441">
        <f t="shared" si="2"/>
        <v>248400</v>
      </c>
      <c r="H66">
        <f t="shared" si="3"/>
        <v>9.1236318225225901E-3</v>
      </c>
      <c r="I66">
        <f t="shared" si="4"/>
        <v>248400.00000000006</v>
      </c>
      <c r="K66" s="225">
        <v>10800</v>
      </c>
      <c r="L66" s="225">
        <v>23</v>
      </c>
      <c r="M66" s="225">
        <f t="shared" si="5"/>
        <v>248400</v>
      </c>
      <c r="N66" s="225">
        <f t="shared" si="6"/>
        <v>248400</v>
      </c>
      <c r="O66">
        <v>10800</v>
      </c>
      <c r="P66">
        <v>23</v>
      </c>
      <c r="Q66">
        <v>248400</v>
      </c>
      <c r="R66">
        <v>276223</v>
      </c>
      <c r="V66">
        <f t="shared" si="9"/>
        <v>26</v>
      </c>
      <c r="W66">
        <f t="shared" si="10"/>
        <v>280800</v>
      </c>
      <c r="X66" s="33"/>
      <c r="AC66">
        <v>13800</v>
      </c>
      <c r="AD66">
        <f t="shared" si="7"/>
        <v>20</v>
      </c>
      <c r="AE66">
        <f t="shared" si="8"/>
        <v>276000</v>
      </c>
    </row>
    <row r="67" spans="1:31" ht="14" x14ac:dyDescent="0.3">
      <c r="A67" s="437"/>
      <c r="B67" s="438" t="s">
        <v>193</v>
      </c>
      <c r="C67" s="436">
        <v>24</v>
      </c>
      <c r="D67" s="436">
        <v>8400</v>
      </c>
      <c r="E67" s="439"/>
      <c r="F67" s="441">
        <f t="shared" si="2"/>
        <v>201600</v>
      </c>
      <c r="H67">
        <f t="shared" si="3"/>
        <v>7.4046866965400719E-3</v>
      </c>
      <c r="I67">
        <f t="shared" si="4"/>
        <v>201600</v>
      </c>
      <c r="K67" s="225">
        <v>8400</v>
      </c>
      <c r="L67" s="225">
        <v>24</v>
      </c>
      <c r="M67" s="225">
        <f t="shared" si="5"/>
        <v>201600</v>
      </c>
      <c r="N67" s="225">
        <f t="shared" si="6"/>
        <v>201600</v>
      </c>
      <c r="O67">
        <v>8400</v>
      </c>
      <c r="P67">
        <v>24</v>
      </c>
      <c r="Q67">
        <v>201600</v>
      </c>
      <c r="R67">
        <v>214840</v>
      </c>
      <c r="V67">
        <f t="shared" si="9"/>
        <v>26</v>
      </c>
      <c r="W67">
        <f t="shared" si="10"/>
        <v>218400</v>
      </c>
      <c r="X67" s="33"/>
      <c r="AC67">
        <v>11400</v>
      </c>
      <c r="AD67">
        <f t="shared" si="7"/>
        <v>19</v>
      </c>
      <c r="AE67">
        <f t="shared" si="8"/>
        <v>216600</v>
      </c>
    </row>
    <row r="68" spans="1:31" ht="14" x14ac:dyDescent="0.3">
      <c r="A68" s="437"/>
      <c r="B68" s="442" t="s">
        <v>194</v>
      </c>
      <c r="C68" s="436">
        <v>28</v>
      </c>
      <c r="D68" s="436">
        <v>50400</v>
      </c>
      <c r="E68" s="439"/>
      <c r="F68" s="441">
        <f t="shared" si="2"/>
        <v>1411200</v>
      </c>
      <c r="H68">
        <f t="shared" si="3"/>
        <v>5.1832806875780506E-2</v>
      </c>
      <c r="I68">
        <f t="shared" si="4"/>
        <v>1411200.0000000002</v>
      </c>
      <c r="K68" s="225">
        <v>50400</v>
      </c>
      <c r="L68" s="225">
        <v>28</v>
      </c>
      <c r="M68" s="225">
        <f t="shared" si="5"/>
        <v>1411200</v>
      </c>
      <c r="N68" s="225">
        <f t="shared" si="6"/>
        <v>1411200</v>
      </c>
      <c r="O68">
        <v>50400</v>
      </c>
      <c r="P68">
        <v>28</v>
      </c>
      <c r="Q68">
        <v>1411200</v>
      </c>
      <c r="R68">
        <v>1289042</v>
      </c>
      <c r="V68">
        <f t="shared" si="9"/>
        <v>26</v>
      </c>
      <c r="W68">
        <f t="shared" si="10"/>
        <v>1310400</v>
      </c>
      <c r="X68" s="33"/>
      <c r="AC68">
        <v>53400</v>
      </c>
      <c r="AD68">
        <f t="shared" si="7"/>
        <v>24</v>
      </c>
      <c r="AE68">
        <f t="shared" si="8"/>
        <v>1281600</v>
      </c>
    </row>
    <row r="69" spans="1:31" ht="14" x14ac:dyDescent="0.3">
      <c r="A69" s="437"/>
      <c r="B69" s="438" t="s">
        <v>195</v>
      </c>
      <c r="C69" s="436">
        <v>32</v>
      </c>
      <c r="D69" s="436">
        <v>15600</v>
      </c>
      <c r="E69" s="439"/>
      <c r="F69" s="441">
        <f t="shared" si="2"/>
        <v>499200</v>
      </c>
      <c r="H69">
        <f t="shared" si="3"/>
        <v>1.8335414677146847E-2</v>
      </c>
      <c r="I69">
        <f t="shared" si="4"/>
        <v>499200.00000000006</v>
      </c>
      <c r="K69" s="225">
        <v>15600</v>
      </c>
      <c r="L69" s="225">
        <v>32</v>
      </c>
      <c r="M69" s="225">
        <f t="shared" si="5"/>
        <v>499200</v>
      </c>
      <c r="N69" s="225">
        <f t="shared" si="6"/>
        <v>499200</v>
      </c>
      <c r="O69">
        <v>15600</v>
      </c>
      <c r="P69">
        <v>32</v>
      </c>
      <c r="Q69">
        <v>499200</v>
      </c>
      <c r="R69">
        <v>398989</v>
      </c>
      <c r="V69">
        <f t="shared" si="9"/>
        <v>26</v>
      </c>
      <c r="W69">
        <f t="shared" si="10"/>
        <v>405600</v>
      </c>
      <c r="X69" s="33"/>
      <c r="AC69">
        <v>18600</v>
      </c>
      <c r="AD69">
        <f t="shared" si="7"/>
        <v>21</v>
      </c>
      <c r="AE69">
        <f t="shared" si="8"/>
        <v>390600</v>
      </c>
    </row>
    <row r="70" spans="1:31" ht="14" x14ac:dyDescent="0.3">
      <c r="A70" s="437"/>
      <c r="B70" s="438" t="s">
        <v>196</v>
      </c>
      <c r="C70" s="436">
        <v>26</v>
      </c>
      <c r="D70" s="436">
        <v>17000</v>
      </c>
      <c r="E70" s="439"/>
      <c r="F70" s="441">
        <f t="shared" si="2"/>
        <v>442000</v>
      </c>
      <c r="H70">
        <f t="shared" si="3"/>
        <v>1.6234481745390435E-2</v>
      </c>
      <c r="I70">
        <f t="shared" si="4"/>
        <v>442000</v>
      </c>
      <c r="K70" s="225">
        <v>17000</v>
      </c>
      <c r="L70" s="225">
        <v>26</v>
      </c>
      <c r="M70" s="225">
        <f t="shared" si="5"/>
        <v>442000</v>
      </c>
      <c r="N70" s="225">
        <f t="shared" si="6"/>
        <v>442000</v>
      </c>
      <c r="O70">
        <v>17000</v>
      </c>
      <c r="P70">
        <v>26</v>
      </c>
      <c r="Q70">
        <v>442000</v>
      </c>
      <c r="R70">
        <v>434796</v>
      </c>
      <c r="V70">
        <f t="shared" si="9"/>
        <v>26</v>
      </c>
      <c r="W70">
        <f t="shared" si="10"/>
        <v>442000</v>
      </c>
      <c r="X70" s="33"/>
      <c r="AC70">
        <v>20000</v>
      </c>
      <c r="AD70">
        <f t="shared" si="7"/>
        <v>22</v>
      </c>
      <c r="AE70">
        <f t="shared" si="8"/>
        <v>440000</v>
      </c>
    </row>
    <row r="71" spans="1:31" ht="14" x14ac:dyDescent="0.3">
      <c r="A71" s="437"/>
      <c r="B71" s="438" t="s">
        <v>197</v>
      </c>
      <c r="C71" s="436">
        <v>20</v>
      </c>
      <c r="D71" s="436">
        <v>72000</v>
      </c>
      <c r="E71" s="439"/>
      <c r="F71" s="441">
        <f t="shared" si="2"/>
        <v>1440000</v>
      </c>
      <c r="H71">
        <f t="shared" si="3"/>
        <v>5.289061926100052E-2</v>
      </c>
      <c r="I71">
        <f t="shared" si="4"/>
        <v>1440000.0000000002</v>
      </c>
      <c r="K71" s="225">
        <v>72000</v>
      </c>
      <c r="L71" s="225">
        <v>20</v>
      </c>
      <c r="M71" s="225">
        <f t="shared" si="5"/>
        <v>1440000</v>
      </c>
      <c r="N71" s="225">
        <f t="shared" si="6"/>
        <v>1440000</v>
      </c>
      <c r="O71">
        <v>72000</v>
      </c>
      <c r="P71">
        <v>20</v>
      </c>
      <c r="Q71">
        <v>1440000</v>
      </c>
      <c r="R71">
        <v>1841488</v>
      </c>
      <c r="V71">
        <f t="shared" si="9"/>
        <v>26</v>
      </c>
      <c r="W71">
        <f t="shared" si="10"/>
        <v>1872000</v>
      </c>
      <c r="X71" s="33"/>
      <c r="AC71">
        <v>75000</v>
      </c>
      <c r="AD71">
        <f t="shared" si="7"/>
        <v>25</v>
      </c>
      <c r="AE71">
        <f t="shared" si="8"/>
        <v>1875000</v>
      </c>
    </row>
    <row r="72" spans="1:31" ht="14" x14ac:dyDescent="0.3">
      <c r="A72" s="437"/>
      <c r="B72" s="438" t="s">
        <v>198</v>
      </c>
      <c r="C72" s="436">
        <v>26</v>
      </c>
      <c r="D72" s="436">
        <v>26400</v>
      </c>
      <c r="E72" s="439"/>
      <c r="F72" s="441">
        <f t="shared" si="2"/>
        <v>686400</v>
      </c>
      <c r="H72">
        <f t="shared" si="3"/>
        <v>2.5211195181076909E-2</v>
      </c>
      <c r="I72">
        <f t="shared" si="4"/>
        <v>686400</v>
      </c>
      <c r="K72" s="225">
        <v>26400</v>
      </c>
      <c r="L72" s="225">
        <v>26</v>
      </c>
      <c r="M72" s="225">
        <f t="shared" si="5"/>
        <v>686400</v>
      </c>
      <c r="N72" s="225">
        <f t="shared" si="6"/>
        <v>686400</v>
      </c>
      <c r="O72">
        <v>26400</v>
      </c>
      <c r="P72">
        <v>26</v>
      </c>
      <c r="Q72">
        <v>686400</v>
      </c>
      <c r="R72">
        <v>675212</v>
      </c>
      <c r="V72">
        <f t="shared" si="9"/>
        <v>26</v>
      </c>
      <c r="W72">
        <f t="shared" si="10"/>
        <v>686400</v>
      </c>
      <c r="X72" s="33"/>
      <c r="AC72">
        <v>29400</v>
      </c>
      <c r="AD72">
        <f t="shared" si="7"/>
        <v>23</v>
      </c>
      <c r="AE72">
        <f t="shared" si="8"/>
        <v>676200</v>
      </c>
    </row>
    <row r="73" spans="1:31" ht="14" x14ac:dyDescent="0.3">
      <c r="A73" s="437"/>
      <c r="B73" s="438" t="s">
        <v>199</v>
      </c>
      <c r="C73" s="436">
        <v>17</v>
      </c>
      <c r="D73" s="436">
        <v>26400</v>
      </c>
      <c r="E73" s="439"/>
      <c r="F73" s="441">
        <f t="shared" si="2"/>
        <v>448800</v>
      </c>
      <c r="H73">
        <f t="shared" si="3"/>
        <v>1.6484243003011826E-2</v>
      </c>
      <c r="I73">
        <f t="shared" si="4"/>
        <v>448800</v>
      </c>
      <c r="K73" s="225">
        <v>26400</v>
      </c>
      <c r="L73" s="225">
        <v>17</v>
      </c>
      <c r="M73" s="225">
        <f t="shared" si="5"/>
        <v>448800</v>
      </c>
      <c r="N73" s="225">
        <f t="shared" si="6"/>
        <v>448800</v>
      </c>
      <c r="O73">
        <v>26400</v>
      </c>
      <c r="P73">
        <v>17</v>
      </c>
      <c r="Q73">
        <v>448800</v>
      </c>
      <c r="R73">
        <v>675212</v>
      </c>
      <c r="V73">
        <f t="shared" si="9"/>
        <v>26</v>
      </c>
      <c r="W73">
        <f t="shared" si="10"/>
        <v>686400</v>
      </c>
      <c r="X73" s="33"/>
      <c r="AC73">
        <v>29400</v>
      </c>
      <c r="AD73">
        <f t="shared" si="7"/>
        <v>23</v>
      </c>
      <c r="AE73">
        <f t="shared" si="8"/>
        <v>676200</v>
      </c>
    </row>
    <row r="74" spans="1:31" ht="14" x14ac:dyDescent="0.3">
      <c r="A74" s="437"/>
      <c r="B74" s="442" t="s">
        <v>200</v>
      </c>
      <c r="C74" s="436">
        <v>26</v>
      </c>
      <c r="D74" s="436">
        <v>16800</v>
      </c>
      <c r="E74" s="439"/>
      <c r="F74" s="441">
        <f t="shared" si="2"/>
        <v>436800</v>
      </c>
      <c r="H74">
        <f t="shared" si="3"/>
        <v>1.6043487842503489E-2</v>
      </c>
      <c r="I74">
        <f t="shared" si="4"/>
        <v>436800</v>
      </c>
      <c r="K74" s="225">
        <v>16800</v>
      </c>
      <c r="L74" s="225">
        <v>26</v>
      </c>
      <c r="M74" s="225">
        <f t="shared" si="5"/>
        <v>436800</v>
      </c>
      <c r="N74" s="225">
        <f t="shared" si="6"/>
        <v>436800</v>
      </c>
      <c r="O74">
        <v>16800</v>
      </c>
      <c r="P74">
        <v>26</v>
      </c>
      <c r="Q74">
        <v>436800</v>
      </c>
      <c r="R74">
        <v>429681</v>
      </c>
      <c r="V74">
        <f t="shared" si="9"/>
        <v>26</v>
      </c>
      <c r="W74">
        <f t="shared" si="10"/>
        <v>436800</v>
      </c>
      <c r="X74" s="33"/>
      <c r="AC74">
        <v>19800</v>
      </c>
      <c r="AD74">
        <f t="shared" si="7"/>
        <v>22</v>
      </c>
      <c r="AE74">
        <f t="shared" si="8"/>
        <v>435600</v>
      </c>
    </row>
    <row r="75" spans="1:31" ht="14" x14ac:dyDescent="0.3">
      <c r="A75" s="437"/>
      <c r="B75" s="438" t="s">
        <v>201</v>
      </c>
      <c r="C75" s="436">
        <v>20</v>
      </c>
      <c r="D75" s="436">
        <v>240000</v>
      </c>
      <c r="E75" s="439"/>
      <c r="F75" s="441">
        <f t="shared" si="2"/>
        <v>4800000</v>
      </c>
      <c r="H75">
        <f t="shared" si="3"/>
        <v>0.17630206420333505</v>
      </c>
      <c r="I75">
        <f t="shared" si="4"/>
        <v>4800000</v>
      </c>
      <c r="K75" s="225">
        <v>240000</v>
      </c>
      <c r="L75" s="225">
        <v>20</v>
      </c>
      <c r="M75" s="225">
        <f t="shared" si="5"/>
        <v>4800000</v>
      </c>
      <c r="N75" s="225">
        <f t="shared" si="6"/>
        <v>4800000</v>
      </c>
      <c r="O75">
        <v>240000</v>
      </c>
      <c r="P75">
        <v>20</v>
      </c>
      <c r="Q75">
        <v>4800000</v>
      </c>
      <c r="R75">
        <v>6138293</v>
      </c>
      <c r="V75">
        <f t="shared" si="9"/>
        <v>26</v>
      </c>
      <c r="W75">
        <f t="shared" si="10"/>
        <v>6240000</v>
      </c>
      <c r="X75" s="33"/>
      <c r="AC75">
        <v>243000</v>
      </c>
      <c r="AD75">
        <f t="shared" si="7"/>
        <v>25</v>
      </c>
      <c r="AE75">
        <f t="shared" si="8"/>
        <v>6075000</v>
      </c>
    </row>
    <row r="76" spans="1:31" ht="14" x14ac:dyDescent="0.3">
      <c r="A76" s="437"/>
      <c r="B76" s="442" t="s">
        <v>202</v>
      </c>
      <c r="C76" s="436">
        <v>26</v>
      </c>
      <c r="D76" s="436">
        <v>19800</v>
      </c>
      <c r="E76" s="439"/>
      <c r="F76" s="441">
        <f t="shared" si="2"/>
        <v>514800</v>
      </c>
      <c r="H76">
        <f t="shared" si="3"/>
        <v>1.8908396385807685E-2</v>
      </c>
      <c r="I76">
        <f t="shared" si="4"/>
        <v>514800</v>
      </c>
      <c r="K76" s="225">
        <v>19800</v>
      </c>
      <c r="L76" s="225">
        <v>26</v>
      </c>
      <c r="M76" s="225">
        <f t="shared" si="5"/>
        <v>514800</v>
      </c>
      <c r="N76" s="225">
        <f t="shared" si="6"/>
        <v>514800</v>
      </c>
      <c r="O76">
        <v>19800</v>
      </c>
      <c r="P76">
        <v>26</v>
      </c>
      <c r="Q76">
        <v>514800</v>
      </c>
      <c r="R76">
        <v>506409</v>
      </c>
      <c r="V76">
        <f t="shared" si="9"/>
        <v>26</v>
      </c>
      <c r="W76">
        <f t="shared" si="10"/>
        <v>514800</v>
      </c>
      <c r="X76" s="33"/>
      <c r="AC76">
        <v>22800</v>
      </c>
      <c r="AD76">
        <f t="shared" si="7"/>
        <v>22</v>
      </c>
      <c r="AE76">
        <f t="shared" si="8"/>
        <v>501600</v>
      </c>
    </row>
    <row r="77" spans="1:31" ht="14" x14ac:dyDescent="0.3">
      <c r="A77" s="437"/>
      <c r="B77" s="442" t="s">
        <v>203</v>
      </c>
      <c r="C77" s="436">
        <v>26</v>
      </c>
      <c r="D77" s="436">
        <v>9600</v>
      </c>
      <c r="E77" s="439"/>
      <c r="F77" s="441">
        <f t="shared" si="2"/>
        <v>249600</v>
      </c>
      <c r="H77">
        <f t="shared" si="3"/>
        <v>9.1677073385734234E-3</v>
      </c>
      <c r="I77">
        <f t="shared" si="4"/>
        <v>249600.00000000003</v>
      </c>
      <c r="K77" s="225">
        <v>9600</v>
      </c>
      <c r="L77" s="225">
        <v>26</v>
      </c>
      <c r="M77" s="225">
        <f t="shared" si="5"/>
        <v>249600</v>
      </c>
      <c r="N77" s="225">
        <f t="shared" si="6"/>
        <v>249600</v>
      </c>
      <c r="O77">
        <v>9600</v>
      </c>
      <c r="P77">
        <v>26</v>
      </c>
      <c r="Q77">
        <v>249600</v>
      </c>
      <c r="R77">
        <v>245532</v>
      </c>
      <c r="V77">
        <f t="shared" si="9"/>
        <v>26</v>
      </c>
      <c r="W77">
        <f t="shared" si="10"/>
        <v>249600</v>
      </c>
      <c r="X77" s="33"/>
      <c r="AC77">
        <v>12600</v>
      </c>
      <c r="AD77">
        <f t="shared" si="7"/>
        <v>19</v>
      </c>
      <c r="AE77">
        <f t="shared" si="8"/>
        <v>239400</v>
      </c>
    </row>
    <row r="78" spans="1:31" ht="14" x14ac:dyDescent="0.3">
      <c r="A78" s="437"/>
      <c r="B78" s="438" t="s">
        <v>204</v>
      </c>
      <c r="C78" s="436">
        <v>26</v>
      </c>
      <c r="D78" s="436">
        <v>78000</v>
      </c>
      <c r="E78" s="439"/>
      <c r="F78" s="441">
        <f t="shared" si="2"/>
        <v>2028000</v>
      </c>
      <c r="H78">
        <f t="shared" si="3"/>
        <v>7.4487622125909064E-2</v>
      </c>
      <c r="I78">
        <f t="shared" si="4"/>
        <v>2028000.0000000002</v>
      </c>
      <c r="K78" s="225">
        <v>78000</v>
      </c>
      <c r="L78" s="225">
        <v>26</v>
      </c>
      <c r="M78" s="225">
        <f t="shared" si="5"/>
        <v>2028000</v>
      </c>
      <c r="N78" s="225">
        <f t="shared" si="6"/>
        <v>2028000</v>
      </c>
      <c r="O78">
        <v>78000</v>
      </c>
      <c r="P78">
        <v>26</v>
      </c>
      <c r="Q78">
        <v>2028000</v>
      </c>
      <c r="R78">
        <v>1994945</v>
      </c>
      <c r="V78">
        <f t="shared" si="9"/>
        <v>26</v>
      </c>
      <c r="W78">
        <f t="shared" si="10"/>
        <v>2028000</v>
      </c>
      <c r="X78" s="33"/>
      <c r="AC78">
        <v>81000</v>
      </c>
      <c r="AD78">
        <f t="shared" si="7"/>
        <v>25</v>
      </c>
      <c r="AE78">
        <f t="shared" si="8"/>
        <v>2025000</v>
      </c>
    </row>
    <row r="79" spans="1:31" ht="14" x14ac:dyDescent="0.3">
      <c r="A79" s="437"/>
      <c r="B79" s="438" t="s">
        <v>205</v>
      </c>
      <c r="C79" s="436">
        <v>23</v>
      </c>
      <c r="D79" s="436">
        <v>14400</v>
      </c>
      <c r="E79" s="439"/>
      <c r="F79" s="441">
        <f t="shared" si="2"/>
        <v>331200</v>
      </c>
      <c r="H79">
        <f t="shared" si="3"/>
        <v>1.2164842430030118E-2</v>
      </c>
      <c r="I79">
        <f t="shared" si="4"/>
        <v>331200</v>
      </c>
      <c r="K79" s="225">
        <v>14400</v>
      </c>
      <c r="L79" s="225">
        <v>23</v>
      </c>
      <c r="M79" s="225">
        <f>IFERROR(K79*L79,0)</f>
        <v>331200</v>
      </c>
      <c r="N79" s="225">
        <f t="shared" si="6"/>
        <v>331200</v>
      </c>
      <c r="O79">
        <v>14400</v>
      </c>
      <c r="P79">
        <v>23</v>
      </c>
      <c r="Q79">
        <v>331200</v>
      </c>
      <c r="R79">
        <v>368298</v>
      </c>
      <c r="V79">
        <f t="shared" si="9"/>
        <v>26</v>
      </c>
      <c r="W79">
        <f t="shared" si="10"/>
        <v>374400</v>
      </c>
      <c r="X79" s="33"/>
      <c r="AC79">
        <v>17400</v>
      </c>
      <c r="AD79">
        <f t="shared" si="7"/>
        <v>21</v>
      </c>
      <c r="AE79">
        <f t="shared" si="8"/>
        <v>365400</v>
      </c>
    </row>
    <row r="80" spans="1:31" ht="14" x14ac:dyDescent="0.3">
      <c r="A80" s="437"/>
      <c r="B80" s="438" t="s">
        <v>206</v>
      </c>
      <c r="C80" s="436">
        <v>29</v>
      </c>
      <c r="D80" s="436">
        <v>24000</v>
      </c>
      <c r="E80" s="439"/>
      <c r="F80" s="441">
        <f t="shared" si="2"/>
        <v>696000</v>
      </c>
      <c r="H80">
        <f t="shared" si="3"/>
        <v>2.5563799309483583E-2</v>
      </c>
      <c r="I80">
        <f t="shared" si="4"/>
        <v>696000</v>
      </c>
      <c r="K80" s="225">
        <v>24000</v>
      </c>
      <c r="L80" s="225">
        <v>29</v>
      </c>
      <c r="M80" s="225">
        <f t="shared" si="5"/>
        <v>696000</v>
      </c>
      <c r="N80" s="225">
        <f t="shared" si="6"/>
        <v>696000</v>
      </c>
      <c r="O80">
        <v>24000</v>
      </c>
      <c r="P80">
        <v>29</v>
      </c>
      <c r="Q80">
        <v>696000</v>
      </c>
      <c r="R80">
        <v>613829</v>
      </c>
      <c r="V80">
        <f t="shared" ref="V80:V111" si="11">IFERROR(ROUND((R80/D80),0),"")</f>
        <v>26</v>
      </c>
      <c r="W80">
        <f t="shared" ref="W80:W111" si="12">IFERROR((V80*D80),"")</f>
        <v>624000</v>
      </c>
      <c r="X80" s="33"/>
      <c r="AC80">
        <v>27000</v>
      </c>
      <c r="AD80">
        <f t="shared" si="7"/>
        <v>23</v>
      </c>
      <c r="AE80">
        <f t="shared" si="8"/>
        <v>621000</v>
      </c>
    </row>
    <row r="81" spans="1:31" ht="14" x14ac:dyDescent="0.3">
      <c r="A81" s="437"/>
      <c r="B81" s="438" t="s">
        <v>207</v>
      </c>
      <c r="C81" s="436">
        <v>26</v>
      </c>
      <c r="D81" s="436">
        <v>6000</v>
      </c>
      <c r="E81" s="439"/>
      <c r="F81" s="441">
        <f t="shared" ref="F81:F126" si="13">IFERROR(C81*D81,0)</f>
        <v>156000</v>
      </c>
      <c r="H81">
        <f t="shared" ref="H81:H134" si="14">(F81/$F$134)*100</f>
        <v>5.7298170866083888E-3</v>
      </c>
      <c r="I81">
        <f t="shared" ref="I81:I134" si="15">(H81/100)*$R$134</f>
        <v>156000</v>
      </c>
      <c r="K81" s="225">
        <v>6000</v>
      </c>
      <c r="L81" s="225">
        <v>26</v>
      </c>
      <c r="M81" s="225">
        <f t="shared" ref="M81:M126" si="16">IFERROR(K81*L81,0)</f>
        <v>156000</v>
      </c>
      <c r="N81" s="225">
        <f t="shared" ref="N81:N112" si="17">ROUND(I81,0)</f>
        <v>156000</v>
      </c>
      <c r="O81">
        <v>6000</v>
      </c>
      <c r="P81">
        <v>26</v>
      </c>
      <c r="Q81">
        <v>156000</v>
      </c>
      <c r="R81">
        <v>153457</v>
      </c>
      <c r="V81">
        <f t="shared" si="11"/>
        <v>26</v>
      </c>
      <c r="W81">
        <f t="shared" si="12"/>
        <v>156000</v>
      </c>
      <c r="X81" s="33"/>
      <c r="AC81">
        <v>9000</v>
      </c>
      <c r="AD81">
        <f t="shared" ref="AD81:AD134" si="18">IFERROR(ROUND((R81/AC81),0),"")</f>
        <v>17</v>
      </c>
      <c r="AE81">
        <f t="shared" ref="AE81:AE133" si="19">IFERROR((AD81*AC81),"")</f>
        <v>153000</v>
      </c>
    </row>
    <row r="82" spans="1:31" ht="14" x14ac:dyDescent="0.3">
      <c r="A82" s="437"/>
      <c r="B82" s="442" t="s">
        <v>208</v>
      </c>
      <c r="C82" s="436">
        <v>26</v>
      </c>
      <c r="D82" s="436">
        <v>9600</v>
      </c>
      <c r="E82" s="439"/>
      <c r="F82" s="441">
        <f t="shared" si="13"/>
        <v>249600</v>
      </c>
      <c r="H82">
        <f t="shared" si="14"/>
        <v>9.1677073385734234E-3</v>
      </c>
      <c r="I82">
        <f t="shared" si="15"/>
        <v>249600.00000000003</v>
      </c>
      <c r="K82" s="225">
        <v>9600</v>
      </c>
      <c r="L82" s="225">
        <v>26</v>
      </c>
      <c r="M82" s="225">
        <f t="shared" si="16"/>
        <v>249600</v>
      </c>
      <c r="N82" s="225">
        <f t="shared" si="17"/>
        <v>249600</v>
      </c>
      <c r="O82">
        <v>9600</v>
      </c>
      <c r="P82">
        <v>26</v>
      </c>
      <c r="Q82">
        <v>249600</v>
      </c>
      <c r="R82">
        <v>245532</v>
      </c>
      <c r="V82">
        <f t="shared" si="11"/>
        <v>26</v>
      </c>
      <c r="W82">
        <f t="shared" si="12"/>
        <v>249600</v>
      </c>
      <c r="X82" s="33"/>
      <c r="AC82">
        <v>12600</v>
      </c>
      <c r="AD82">
        <f t="shared" si="18"/>
        <v>19</v>
      </c>
      <c r="AE82">
        <f t="shared" si="19"/>
        <v>239400</v>
      </c>
    </row>
    <row r="83" spans="1:31" ht="14" x14ac:dyDescent="0.3">
      <c r="A83" s="437"/>
      <c r="B83" s="442" t="s">
        <v>209</v>
      </c>
      <c r="C83" s="436">
        <v>26</v>
      </c>
      <c r="D83" s="436">
        <v>9600</v>
      </c>
      <c r="E83" s="439"/>
      <c r="F83" s="441">
        <f t="shared" si="13"/>
        <v>249600</v>
      </c>
      <c r="H83">
        <f t="shared" si="14"/>
        <v>9.1677073385734234E-3</v>
      </c>
      <c r="I83">
        <f t="shared" si="15"/>
        <v>249600.00000000003</v>
      </c>
      <c r="K83" s="225">
        <v>9600</v>
      </c>
      <c r="L83" s="225">
        <v>26</v>
      </c>
      <c r="M83" s="225">
        <f t="shared" si="16"/>
        <v>249600</v>
      </c>
      <c r="N83" s="225">
        <f t="shared" si="17"/>
        <v>249600</v>
      </c>
      <c r="O83">
        <v>9600</v>
      </c>
      <c r="P83">
        <v>26</v>
      </c>
      <c r="Q83">
        <v>249600</v>
      </c>
      <c r="R83">
        <v>245532</v>
      </c>
      <c r="V83">
        <f t="shared" si="11"/>
        <v>26</v>
      </c>
      <c r="W83">
        <f t="shared" si="12"/>
        <v>249600</v>
      </c>
      <c r="X83" s="33"/>
      <c r="AC83">
        <v>12600</v>
      </c>
      <c r="AD83">
        <f t="shared" si="18"/>
        <v>19</v>
      </c>
      <c r="AE83">
        <f t="shared" si="19"/>
        <v>239400</v>
      </c>
    </row>
    <row r="84" spans="1:31" ht="14" x14ac:dyDescent="0.3">
      <c r="A84" s="437"/>
      <c r="B84" s="438" t="s">
        <v>210</v>
      </c>
      <c r="C84" s="436">
        <v>22</v>
      </c>
      <c r="D84" s="436">
        <v>6000</v>
      </c>
      <c r="E84" s="439"/>
      <c r="F84" s="441">
        <f t="shared" si="13"/>
        <v>132000</v>
      </c>
      <c r="H84">
        <f t="shared" si="14"/>
        <v>4.8483067655917143E-3</v>
      </c>
      <c r="I84">
        <f t="shared" si="15"/>
        <v>132000</v>
      </c>
      <c r="K84" s="225">
        <v>6000</v>
      </c>
      <c r="L84" s="225">
        <v>22</v>
      </c>
      <c r="M84" s="225">
        <f t="shared" si="16"/>
        <v>132000</v>
      </c>
      <c r="N84" s="225">
        <f t="shared" si="17"/>
        <v>132000</v>
      </c>
      <c r="O84">
        <v>6000</v>
      </c>
      <c r="P84">
        <v>22</v>
      </c>
      <c r="Q84">
        <v>132000</v>
      </c>
      <c r="R84">
        <v>153457</v>
      </c>
      <c r="V84">
        <f t="shared" si="11"/>
        <v>26</v>
      </c>
      <c r="W84">
        <f t="shared" si="12"/>
        <v>156000</v>
      </c>
      <c r="X84" s="33"/>
      <c r="AC84">
        <v>9000</v>
      </c>
      <c r="AD84">
        <f t="shared" si="18"/>
        <v>17</v>
      </c>
      <c r="AE84">
        <f t="shared" si="19"/>
        <v>153000</v>
      </c>
    </row>
    <row r="85" spans="1:31" ht="14" x14ac:dyDescent="0.3">
      <c r="A85" s="437"/>
      <c r="B85" s="438" t="s">
        <v>211</v>
      </c>
      <c r="C85" s="436">
        <v>20</v>
      </c>
      <c r="D85" s="436">
        <v>18000</v>
      </c>
      <c r="E85" s="439"/>
      <c r="F85" s="441">
        <f t="shared" si="13"/>
        <v>360000</v>
      </c>
      <c r="H85">
        <f t="shared" si="14"/>
        <v>1.322265481525013E-2</v>
      </c>
      <c r="I85">
        <f t="shared" si="15"/>
        <v>360000.00000000006</v>
      </c>
      <c r="K85" s="225">
        <v>18000</v>
      </c>
      <c r="L85" s="225">
        <v>20</v>
      </c>
      <c r="M85" s="225">
        <f t="shared" si="16"/>
        <v>360000</v>
      </c>
      <c r="N85" s="225">
        <f t="shared" si="17"/>
        <v>360000</v>
      </c>
      <c r="O85">
        <v>18000</v>
      </c>
      <c r="P85">
        <v>20</v>
      </c>
      <c r="Q85">
        <v>360000</v>
      </c>
      <c r="R85">
        <v>460372</v>
      </c>
      <c r="V85">
        <f t="shared" si="11"/>
        <v>26</v>
      </c>
      <c r="W85">
        <f t="shared" si="12"/>
        <v>468000</v>
      </c>
      <c r="X85" s="33"/>
      <c r="AC85">
        <v>21000</v>
      </c>
      <c r="AD85">
        <f t="shared" si="18"/>
        <v>22</v>
      </c>
      <c r="AE85">
        <f t="shared" si="19"/>
        <v>462000</v>
      </c>
    </row>
    <row r="86" spans="1:31" ht="14" x14ac:dyDescent="0.3">
      <c r="A86" s="437"/>
      <c r="B86" s="438" t="s">
        <v>212</v>
      </c>
      <c r="C86" s="436">
        <v>26</v>
      </c>
      <c r="D86" s="436">
        <v>24000</v>
      </c>
      <c r="E86" s="439"/>
      <c r="F86" s="441">
        <f t="shared" si="13"/>
        <v>624000</v>
      </c>
      <c r="H86">
        <f t="shared" si="14"/>
        <v>2.2919268346433555E-2</v>
      </c>
      <c r="I86">
        <f t="shared" si="15"/>
        <v>624000</v>
      </c>
      <c r="K86" s="225">
        <v>24000</v>
      </c>
      <c r="L86" s="225">
        <v>26</v>
      </c>
      <c r="M86" s="225">
        <f t="shared" si="16"/>
        <v>624000</v>
      </c>
      <c r="N86" s="225">
        <f t="shared" si="17"/>
        <v>624000</v>
      </c>
      <c r="O86">
        <v>24000</v>
      </c>
      <c r="P86">
        <v>26</v>
      </c>
      <c r="Q86">
        <v>624000</v>
      </c>
      <c r="R86">
        <v>613829</v>
      </c>
      <c r="V86">
        <f t="shared" si="11"/>
        <v>26</v>
      </c>
      <c r="W86">
        <f t="shared" si="12"/>
        <v>624000</v>
      </c>
      <c r="X86" s="33"/>
      <c r="AC86">
        <v>27000</v>
      </c>
      <c r="AD86">
        <f t="shared" si="18"/>
        <v>23</v>
      </c>
      <c r="AE86">
        <f t="shared" si="19"/>
        <v>621000</v>
      </c>
    </row>
    <row r="87" spans="1:31" ht="14" x14ac:dyDescent="0.3">
      <c r="A87" s="437"/>
      <c r="B87" s="438" t="s">
        <v>213</v>
      </c>
      <c r="C87" s="436">
        <v>25</v>
      </c>
      <c r="D87" s="436">
        <v>6000</v>
      </c>
      <c r="E87" s="439"/>
      <c r="F87" s="441">
        <f t="shared" si="13"/>
        <v>150000</v>
      </c>
      <c r="H87">
        <f t="shared" si="14"/>
        <v>5.5094395063542204E-3</v>
      </c>
      <c r="I87">
        <f t="shared" si="15"/>
        <v>150000</v>
      </c>
      <c r="K87" s="225">
        <v>6000</v>
      </c>
      <c r="L87" s="225">
        <v>25</v>
      </c>
      <c r="M87" s="225">
        <f t="shared" si="16"/>
        <v>150000</v>
      </c>
      <c r="N87" s="225">
        <f t="shared" si="17"/>
        <v>150000</v>
      </c>
      <c r="O87">
        <v>6000</v>
      </c>
      <c r="P87">
        <v>25</v>
      </c>
      <c r="Q87">
        <v>150000</v>
      </c>
      <c r="R87">
        <v>153457</v>
      </c>
      <c r="V87">
        <f t="shared" si="11"/>
        <v>26</v>
      </c>
      <c r="W87">
        <f t="shared" si="12"/>
        <v>156000</v>
      </c>
      <c r="X87" s="33"/>
      <c r="AC87">
        <v>9000</v>
      </c>
      <c r="AD87">
        <f t="shared" si="18"/>
        <v>17</v>
      </c>
      <c r="AE87">
        <f t="shared" si="19"/>
        <v>153000</v>
      </c>
    </row>
    <row r="88" spans="1:31" ht="14" x14ac:dyDescent="0.3">
      <c r="A88" s="437"/>
      <c r="B88" s="442" t="s">
        <v>214</v>
      </c>
      <c r="C88" s="436">
        <v>25</v>
      </c>
      <c r="D88" s="436">
        <v>15600</v>
      </c>
      <c r="E88" s="439"/>
      <c r="F88" s="441">
        <f t="shared" si="13"/>
        <v>390000</v>
      </c>
      <c r="H88">
        <f t="shared" si="14"/>
        <v>1.4324542716520972E-2</v>
      </c>
      <c r="I88">
        <f t="shared" si="15"/>
        <v>389999.99999999994</v>
      </c>
      <c r="K88" s="225">
        <v>15600</v>
      </c>
      <c r="L88" s="225">
        <v>25</v>
      </c>
      <c r="M88" s="225">
        <f t="shared" si="16"/>
        <v>390000</v>
      </c>
      <c r="N88" s="225">
        <f t="shared" si="17"/>
        <v>390000</v>
      </c>
      <c r="O88">
        <v>15600</v>
      </c>
      <c r="P88">
        <v>25</v>
      </c>
      <c r="Q88">
        <v>390000</v>
      </c>
      <c r="R88">
        <v>398989</v>
      </c>
      <c r="V88">
        <f t="shared" si="11"/>
        <v>26</v>
      </c>
      <c r="W88">
        <f t="shared" si="12"/>
        <v>405600</v>
      </c>
      <c r="X88" s="33"/>
      <c r="AC88">
        <v>18600</v>
      </c>
      <c r="AD88">
        <f t="shared" si="18"/>
        <v>21</v>
      </c>
      <c r="AE88">
        <f t="shared" si="19"/>
        <v>390600</v>
      </c>
    </row>
    <row r="89" spans="1:31" ht="14" x14ac:dyDescent="0.3">
      <c r="A89" s="437"/>
      <c r="B89" s="438" t="s">
        <v>215</v>
      </c>
      <c r="C89" s="436">
        <v>26</v>
      </c>
      <c r="D89" s="436">
        <v>1300</v>
      </c>
      <c r="E89" s="439"/>
      <c r="F89" s="441">
        <f t="shared" si="13"/>
        <v>33800</v>
      </c>
      <c r="H89">
        <f t="shared" si="14"/>
        <v>1.2414603687651508E-3</v>
      </c>
      <c r="I89">
        <f t="shared" si="15"/>
        <v>33799.999999999993</v>
      </c>
      <c r="K89" s="225">
        <v>1300</v>
      </c>
      <c r="L89" s="225">
        <v>26</v>
      </c>
      <c r="M89" s="225">
        <f t="shared" si="16"/>
        <v>33800</v>
      </c>
      <c r="N89" s="225">
        <f t="shared" si="17"/>
        <v>33800</v>
      </c>
      <c r="O89">
        <v>1300</v>
      </c>
      <c r="P89">
        <v>26</v>
      </c>
      <c r="Q89">
        <v>33800</v>
      </c>
      <c r="R89">
        <v>33249</v>
      </c>
      <c r="V89">
        <f t="shared" si="11"/>
        <v>26</v>
      </c>
      <c r="W89">
        <f t="shared" si="12"/>
        <v>33800</v>
      </c>
      <c r="X89" s="33"/>
      <c r="AC89">
        <v>4300</v>
      </c>
      <c r="AD89">
        <f t="shared" si="18"/>
        <v>8</v>
      </c>
      <c r="AE89">
        <f t="shared" si="19"/>
        <v>34400</v>
      </c>
    </row>
    <row r="90" spans="1:31" ht="14" x14ac:dyDescent="0.3">
      <c r="A90" s="424"/>
      <c r="B90" s="449" t="s">
        <v>216</v>
      </c>
      <c r="C90" s="436">
        <v>26</v>
      </c>
      <c r="D90" s="436">
        <v>24000</v>
      </c>
      <c r="E90" s="444"/>
      <c r="F90" s="441">
        <f t="shared" si="13"/>
        <v>624000</v>
      </c>
      <c r="H90">
        <f t="shared" si="14"/>
        <v>2.2919268346433555E-2</v>
      </c>
      <c r="I90">
        <f t="shared" si="15"/>
        <v>624000</v>
      </c>
      <c r="K90" s="225">
        <v>24000</v>
      </c>
      <c r="L90" s="225">
        <v>26</v>
      </c>
      <c r="M90" s="225">
        <f t="shared" si="16"/>
        <v>624000</v>
      </c>
      <c r="N90" s="225">
        <f t="shared" si="17"/>
        <v>624000</v>
      </c>
      <c r="O90">
        <v>24000</v>
      </c>
      <c r="P90">
        <v>26</v>
      </c>
      <c r="Q90">
        <v>624000</v>
      </c>
      <c r="R90">
        <v>613829</v>
      </c>
      <c r="V90">
        <f t="shared" si="11"/>
        <v>26</v>
      </c>
      <c r="W90">
        <f t="shared" si="12"/>
        <v>624000</v>
      </c>
      <c r="X90" s="33"/>
      <c r="AC90">
        <v>27000</v>
      </c>
      <c r="AD90">
        <f t="shared" si="18"/>
        <v>23</v>
      </c>
      <c r="AE90">
        <f t="shared" si="19"/>
        <v>621000</v>
      </c>
    </row>
    <row r="91" spans="1:31" ht="14" x14ac:dyDescent="0.3">
      <c r="A91" s="445"/>
      <c r="B91" s="450" t="s">
        <v>217</v>
      </c>
      <c r="C91" s="436">
        <v>26</v>
      </c>
      <c r="D91" s="436">
        <v>8400</v>
      </c>
      <c r="E91" s="447"/>
      <c r="F91" s="441">
        <f t="shared" si="13"/>
        <v>218400</v>
      </c>
      <c r="H91">
        <f t="shared" si="14"/>
        <v>8.0217439212517446E-3</v>
      </c>
      <c r="I91">
        <f t="shared" si="15"/>
        <v>218400</v>
      </c>
      <c r="K91" s="225">
        <v>8400</v>
      </c>
      <c r="L91" s="225">
        <v>26</v>
      </c>
      <c r="M91" s="225">
        <f t="shared" si="16"/>
        <v>218400</v>
      </c>
      <c r="N91" s="225">
        <f t="shared" si="17"/>
        <v>218400</v>
      </c>
      <c r="O91">
        <v>8400</v>
      </c>
      <c r="P91">
        <v>26</v>
      </c>
      <c r="Q91">
        <v>218400</v>
      </c>
      <c r="R91">
        <v>214840</v>
      </c>
      <c r="V91">
        <f t="shared" si="11"/>
        <v>26</v>
      </c>
      <c r="W91">
        <f t="shared" si="12"/>
        <v>218400</v>
      </c>
      <c r="X91" s="33"/>
      <c r="AC91">
        <v>11400</v>
      </c>
      <c r="AD91">
        <f t="shared" si="18"/>
        <v>19</v>
      </c>
      <c r="AE91">
        <f t="shared" si="19"/>
        <v>216600</v>
      </c>
    </row>
    <row r="92" spans="1:31" ht="14" x14ac:dyDescent="0.3">
      <c r="A92" s="437"/>
      <c r="B92" s="438" t="s">
        <v>218</v>
      </c>
      <c r="C92" s="436">
        <v>25</v>
      </c>
      <c r="D92" s="436">
        <v>14400</v>
      </c>
      <c r="E92" s="439"/>
      <c r="F92" s="441">
        <f t="shared" si="13"/>
        <v>360000</v>
      </c>
      <c r="H92">
        <f t="shared" si="14"/>
        <v>1.322265481525013E-2</v>
      </c>
      <c r="I92">
        <f t="shared" si="15"/>
        <v>360000.00000000006</v>
      </c>
      <c r="K92" s="225">
        <v>14400</v>
      </c>
      <c r="L92" s="225">
        <v>25</v>
      </c>
      <c r="M92" s="225">
        <f t="shared" si="16"/>
        <v>360000</v>
      </c>
      <c r="N92" s="225">
        <f t="shared" si="17"/>
        <v>360000</v>
      </c>
      <c r="O92">
        <v>14400</v>
      </c>
      <c r="P92">
        <v>25</v>
      </c>
      <c r="Q92">
        <v>360000</v>
      </c>
      <c r="R92">
        <v>368298</v>
      </c>
      <c r="V92">
        <f t="shared" si="11"/>
        <v>26</v>
      </c>
      <c r="W92">
        <f t="shared" si="12"/>
        <v>374400</v>
      </c>
      <c r="X92" s="33"/>
      <c r="AC92">
        <v>17400</v>
      </c>
      <c r="AD92">
        <f t="shared" si="18"/>
        <v>21</v>
      </c>
      <c r="AE92">
        <f t="shared" si="19"/>
        <v>365400</v>
      </c>
    </row>
    <row r="93" spans="1:31" ht="14" x14ac:dyDescent="0.3">
      <c r="A93" s="437"/>
      <c r="B93" s="438" t="s">
        <v>219</v>
      </c>
      <c r="C93" s="436">
        <v>37</v>
      </c>
      <c r="D93" s="436">
        <v>6000</v>
      </c>
      <c r="E93" s="439"/>
      <c r="F93" s="441">
        <f t="shared" si="13"/>
        <v>222000</v>
      </c>
      <c r="H93">
        <f t="shared" si="14"/>
        <v>8.1539704694042463E-3</v>
      </c>
      <c r="I93">
        <f t="shared" si="15"/>
        <v>222000.00000000003</v>
      </c>
      <c r="K93" s="225">
        <v>6000</v>
      </c>
      <c r="L93" s="225">
        <v>37</v>
      </c>
      <c r="M93" s="225">
        <f t="shared" si="16"/>
        <v>222000</v>
      </c>
      <c r="N93" s="225">
        <f t="shared" si="17"/>
        <v>222000</v>
      </c>
      <c r="O93">
        <v>6000</v>
      </c>
      <c r="P93">
        <v>37</v>
      </c>
      <c r="Q93">
        <v>222000</v>
      </c>
      <c r="R93">
        <v>153457</v>
      </c>
      <c r="V93">
        <f t="shared" si="11"/>
        <v>26</v>
      </c>
      <c r="W93">
        <f t="shared" si="12"/>
        <v>156000</v>
      </c>
      <c r="X93" s="33"/>
      <c r="AC93">
        <v>9000</v>
      </c>
      <c r="AD93">
        <f t="shared" si="18"/>
        <v>17</v>
      </c>
      <c r="AE93">
        <f t="shared" si="19"/>
        <v>153000</v>
      </c>
    </row>
    <row r="94" spans="1:31" ht="14" x14ac:dyDescent="0.3">
      <c r="A94" s="437"/>
      <c r="B94" s="438" t="s">
        <v>220</v>
      </c>
      <c r="C94" s="436">
        <v>40</v>
      </c>
      <c r="D94" s="436">
        <v>2640</v>
      </c>
      <c r="E94" s="439"/>
      <c r="F94" s="441">
        <f t="shared" si="13"/>
        <v>105600</v>
      </c>
      <c r="H94">
        <f t="shared" si="14"/>
        <v>3.8786454124733714E-3</v>
      </c>
      <c r="I94">
        <f t="shared" si="15"/>
        <v>105600</v>
      </c>
      <c r="K94" s="225">
        <v>2640</v>
      </c>
      <c r="L94" s="225">
        <v>40</v>
      </c>
      <c r="M94" s="225">
        <f t="shared" si="16"/>
        <v>105600</v>
      </c>
      <c r="N94" s="225">
        <f t="shared" si="17"/>
        <v>105600</v>
      </c>
      <c r="O94">
        <v>2640</v>
      </c>
      <c r="P94">
        <v>40</v>
      </c>
      <c r="Q94">
        <v>105600</v>
      </c>
      <c r="R94">
        <v>67521</v>
      </c>
      <c r="V94">
        <f t="shared" si="11"/>
        <v>26</v>
      </c>
      <c r="W94">
        <f t="shared" si="12"/>
        <v>68640</v>
      </c>
      <c r="X94" s="33"/>
      <c r="AC94">
        <v>5640</v>
      </c>
      <c r="AD94">
        <f t="shared" si="18"/>
        <v>12</v>
      </c>
      <c r="AE94">
        <f t="shared" si="19"/>
        <v>67680</v>
      </c>
    </row>
    <row r="95" spans="1:31" ht="14" x14ac:dyDescent="0.3">
      <c r="A95" s="437"/>
      <c r="B95" s="438" t="s">
        <v>221</v>
      </c>
      <c r="C95" s="436">
        <v>26</v>
      </c>
      <c r="D95" s="436">
        <v>6000</v>
      </c>
      <c r="E95" s="439"/>
      <c r="F95" s="441">
        <f t="shared" si="13"/>
        <v>156000</v>
      </c>
      <c r="H95">
        <f t="shared" si="14"/>
        <v>5.7298170866083888E-3</v>
      </c>
      <c r="I95">
        <f t="shared" si="15"/>
        <v>156000</v>
      </c>
      <c r="K95" s="225">
        <v>6000</v>
      </c>
      <c r="L95" s="225">
        <v>26</v>
      </c>
      <c r="M95" s="225">
        <f t="shared" si="16"/>
        <v>156000</v>
      </c>
      <c r="N95" s="225">
        <f t="shared" si="17"/>
        <v>156000</v>
      </c>
      <c r="O95">
        <v>6000</v>
      </c>
      <c r="P95">
        <v>26</v>
      </c>
      <c r="Q95">
        <v>156000</v>
      </c>
      <c r="R95">
        <v>153457</v>
      </c>
      <c r="V95">
        <f t="shared" si="11"/>
        <v>26</v>
      </c>
      <c r="W95">
        <f t="shared" si="12"/>
        <v>156000</v>
      </c>
      <c r="X95" s="33"/>
      <c r="AC95">
        <v>9000</v>
      </c>
      <c r="AD95">
        <f t="shared" si="18"/>
        <v>17</v>
      </c>
      <c r="AE95">
        <f t="shared" si="19"/>
        <v>153000</v>
      </c>
    </row>
    <row r="96" spans="1:31" ht="14" x14ac:dyDescent="0.3">
      <c r="A96" s="437"/>
      <c r="B96" s="438" t="s">
        <v>222</v>
      </c>
      <c r="C96" s="436">
        <v>25</v>
      </c>
      <c r="D96" s="436">
        <v>24000</v>
      </c>
      <c r="E96" s="439"/>
      <c r="F96" s="441">
        <f t="shared" si="13"/>
        <v>600000</v>
      </c>
      <c r="H96">
        <f t="shared" si="14"/>
        <v>2.2037758025416881E-2</v>
      </c>
      <c r="I96">
        <f t="shared" si="15"/>
        <v>600000</v>
      </c>
      <c r="K96" s="225">
        <v>24000</v>
      </c>
      <c r="L96" s="225">
        <v>25</v>
      </c>
      <c r="M96" s="225">
        <f t="shared" si="16"/>
        <v>600000</v>
      </c>
      <c r="N96" s="225">
        <f t="shared" si="17"/>
        <v>600000</v>
      </c>
      <c r="O96">
        <v>24000</v>
      </c>
      <c r="P96">
        <v>25</v>
      </c>
      <c r="Q96">
        <v>600000</v>
      </c>
      <c r="R96">
        <v>613829</v>
      </c>
      <c r="V96">
        <f t="shared" si="11"/>
        <v>26</v>
      </c>
      <c r="W96">
        <f t="shared" si="12"/>
        <v>624000</v>
      </c>
      <c r="X96" s="33"/>
      <c r="AC96">
        <v>27000</v>
      </c>
      <c r="AD96">
        <f t="shared" si="18"/>
        <v>23</v>
      </c>
      <c r="AE96">
        <f t="shared" si="19"/>
        <v>621000</v>
      </c>
    </row>
    <row r="97" spans="1:31" ht="14" x14ac:dyDescent="0.3">
      <c r="A97" s="437"/>
      <c r="B97" s="438" t="s">
        <v>223</v>
      </c>
      <c r="C97" s="436">
        <v>26</v>
      </c>
      <c r="D97" s="436">
        <v>6600</v>
      </c>
      <c r="E97" s="439"/>
      <c r="F97" s="441">
        <f t="shared" si="13"/>
        <v>171600</v>
      </c>
      <c r="H97">
        <f t="shared" si="14"/>
        <v>6.3027987952692273E-3</v>
      </c>
      <c r="I97">
        <f t="shared" si="15"/>
        <v>171600</v>
      </c>
      <c r="K97" s="225">
        <v>6600</v>
      </c>
      <c r="L97" s="225">
        <v>26</v>
      </c>
      <c r="M97" s="225">
        <f t="shared" si="16"/>
        <v>171600</v>
      </c>
      <c r="N97" s="225">
        <f t="shared" si="17"/>
        <v>171600</v>
      </c>
      <c r="O97">
        <v>6600</v>
      </c>
      <c r="P97">
        <v>26</v>
      </c>
      <c r="Q97">
        <v>171600</v>
      </c>
      <c r="R97">
        <v>168803</v>
      </c>
      <c r="V97">
        <f t="shared" si="11"/>
        <v>26</v>
      </c>
      <c r="W97">
        <f t="shared" si="12"/>
        <v>171600</v>
      </c>
      <c r="X97" s="33"/>
      <c r="AC97">
        <v>9600</v>
      </c>
      <c r="AD97">
        <f t="shared" si="18"/>
        <v>18</v>
      </c>
      <c r="AE97">
        <f t="shared" si="19"/>
        <v>172800</v>
      </c>
    </row>
    <row r="98" spans="1:31" ht="14" x14ac:dyDescent="0.3">
      <c r="A98" s="437"/>
      <c r="B98" s="442" t="s">
        <v>224</v>
      </c>
      <c r="C98" s="436">
        <v>24</v>
      </c>
      <c r="D98" s="436">
        <v>5400</v>
      </c>
      <c r="E98" s="439"/>
      <c r="F98" s="441">
        <f t="shared" si="13"/>
        <v>129600</v>
      </c>
      <c r="H98">
        <f t="shared" si="14"/>
        <v>4.7601557334900459E-3</v>
      </c>
      <c r="I98">
        <f t="shared" si="15"/>
        <v>129599.99999999999</v>
      </c>
      <c r="K98" s="225">
        <v>5400</v>
      </c>
      <c r="L98" s="225">
        <v>24</v>
      </c>
      <c r="M98" s="225">
        <f t="shared" si="16"/>
        <v>129600</v>
      </c>
      <c r="N98" s="225">
        <f t="shared" si="17"/>
        <v>129600</v>
      </c>
      <c r="O98">
        <v>5400</v>
      </c>
      <c r="P98">
        <v>24</v>
      </c>
      <c r="Q98">
        <v>129600</v>
      </c>
      <c r="R98">
        <v>138112</v>
      </c>
      <c r="V98">
        <f t="shared" si="11"/>
        <v>26</v>
      </c>
      <c r="W98">
        <f t="shared" si="12"/>
        <v>140400</v>
      </c>
      <c r="X98" s="33"/>
      <c r="AC98">
        <v>8400</v>
      </c>
      <c r="AD98">
        <f t="shared" si="18"/>
        <v>16</v>
      </c>
      <c r="AE98">
        <f t="shared" si="19"/>
        <v>134400</v>
      </c>
    </row>
    <row r="99" spans="1:31" ht="14" x14ac:dyDescent="0.3">
      <c r="A99" s="437"/>
      <c r="B99" s="438" t="s">
        <v>225</v>
      </c>
      <c r="C99" s="436">
        <v>28</v>
      </c>
      <c r="D99" s="436">
        <v>4200</v>
      </c>
      <c r="E99" s="439"/>
      <c r="F99" s="441">
        <f t="shared" si="13"/>
        <v>117600</v>
      </c>
      <c r="H99">
        <f t="shared" si="14"/>
        <v>4.3194005729817082E-3</v>
      </c>
      <c r="I99">
        <f t="shared" si="15"/>
        <v>117599.99999999999</v>
      </c>
      <c r="K99" s="225">
        <v>4200</v>
      </c>
      <c r="L99" s="225">
        <v>28</v>
      </c>
      <c r="M99" s="225">
        <f t="shared" si="16"/>
        <v>117600</v>
      </c>
      <c r="N99" s="225">
        <f t="shared" si="17"/>
        <v>117600</v>
      </c>
      <c r="O99">
        <v>4200</v>
      </c>
      <c r="P99">
        <v>28</v>
      </c>
      <c r="Q99">
        <v>117600</v>
      </c>
      <c r="R99">
        <v>107420</v>
      </c>
      <c r="V99">
        <f t="shared" si="11"/>
        <v>26</v>
      </c>
      <c r="W99">
        <f t="shared" si="12"/>
        <v>109200</v>
      </c>
      <c r="X99" s="33"/>
      <c r="AC99">
        <v>7200</v>
      </c>
      <c r="AD99">
        <f t="shared" si="18"/>
        <v>15</v>
      </c>
      <c r="AE99">
        <f t="shared" si="19"/>
        <v>108000</v>
      </c>
    </row>
    <row r="100" spans="1:31" ht="14" x14ac:dyDescent="0.3">
      <c r="A100" s="437"/>
      <c r="B100" s="438" t="s">
        <v>226</v>
      </c>
      <c r="C100" s="436">
        <v>22</v>
      </c>
      <c r="D100" s="436">
        <v>960</v>
      </c>
      <c r="E100" s="439"/>
      <c r="F100" s="441">
        <f t="shared" si="13"/>
        <v>21120</v>
      </c>
      <c r="H100">
        <f t="shared" si="14"/>
        <v>7.7572908249467414E-4</v>
      </c>
      <c r="I100">
        <f t="shared" si="15"/>
        <v>21120</v>
      </c>
      <c r="K100" s="225">
        <v>960</v>
      </c>
      <c r="L100" s="225">
        <v>22</v>
      </c>
      <c r="M100" s="225">
        <f t="shared" si="16"/>
        <v>21120</v>
      </c>
      <c r="N100" s="225">
        <f t="shared" si="17"/>
        <v>21120</v>
      </c>
      <c r="O100">
        <v>960</v>
      </c>
      <c r="P100">
        <v>22</v>
      </c>
      <c r="Q100">
        <v>21120</v>
      </c>
      <c r="R100">
        <v>24553</v>
      </c>
      <c r="V100">
        <f t="shared" si="11"/>
        <v>26</v>
      </c>
      <c r="W100">
        <f t="shared" si="12"/>
        <v>24960</v>
      </c>
      <c r="X100" s="33"/>
      <c r="AC100">
        <v>3960</v>
      </c>
      <c r="AD100">
        <f t="shared" si="18"/>
        <v>6</v>
      </c>
      <c r="AE100">
        <f t="shared" si="19"/>
        <v>23760</v>
      </c>
    </row>
    <row r="101" spans="1:31" ht="14" x14ac:dyDescent="0.3">
      <c r="A101" s="437"/>
      <c r="B101" s="438" t="s">
        <v>227</v>
      </c>
      <c r="C101" s="436">
        <v>21</v>
      </c>
      <c r="D101" s="436">
        <v>2400</v>
      </c>
      <c r="E101" s="439"/>
      <c r="F101" s="441">
        <f t="shared" si="13"/>
        <v>50400</v>
      </c>
      <c r="H101">
        <f t="shared" si="14"/>
        <v>1.851171674135018E-3</v>
      </c>
      <c r="I101">
        <f t="shared" si="15"/>
        <v>50400</v>
      </c>
      <c r="K101" s="225">
        <v>2400</v>
      </c>
      <c r="L101" s="225">
        <v>21</v>
      </c>
      <c r="M101" s="225">
        <f t="shared" si="16"/>
        <v>50400</v>
      </c>
      <c r="N101" s="225">
        <f t="shared" si="17"/>
        <v>50400</v>
      </c>
      <c r="O101">
        <v>2400</v>
      </c>
      <c r="P101">
        <v>21</v>
      </c>
      <c r="Q101">
        <v>50400</v>
      </c>
      <c r="R101">
        <v>61383</v>
      </c>
      <c r="V101">
        <f t="shared" si="11"/>
        <v>26</v>
      </c>
      <c r="W101">
        <f t="shared" si="12"/>
        <v>62400</v>
      </c>
      <c r="X101" s="33"/>
      <c r="AC101">
        <v>5400</v>
      </c>
      <c r="AD101">
        <f t="shared" si="18"/>
        <v>11</v>
      </c>
      <c r="AE101">
        <f t="shared" si="19"/>
        <v>59400</v>
      </c>
    </row>
    <row r="102" spans="1:31" ht="14" x14ac:dyDescent="0.3">
      <c r="A102" s="437"/>
      <c r="B102" s="438" t="s">
        <v>228</v>
      </c>
      <c r="C102" s="436">
        <v>32</v>
      </c>
      <c r="D102" s="436">
        <v>2400</v>
      </c>
      <c r="E102" s="439"/>
      <c r="F102" s="441">
        <f t="shared" si="13"/>
        <v>76800</v>
      </c>
      <c r="H102">
        <f t="shared" si="14"/>
        <v>2.8208330272533606E-3</v>
      </c>
      <c r="I102">
        <f t="shared" si="15"/>
        <v>76800</v>
      </c>
      <c r="K102" s="225">
        <v>2400</v>
      </c>
      <c r="L102" s="225">
        <v>32</v>
      </c>
      <c r="M102" s="225">
        <f t="shared" si="16"/>
        <v>76800</v>
      </c>
      <c r="N102" s="225">
        <f t="shared" si="17"/>
        <v>76800</v>
      </c>
      <c r="O102">
        <v>2400</v>
      </c>
      <c r="P102">
        <v>32</v>
      </c>
      <c r="Q102">
        <v>76800</v>
      </c>
      <c r="R102">
        <v>61383</v>
      </c>
      <c r="V102">
        <f t="shared" si="11"/>
        <v>26</v>
      </c>
      <c r="W102">
        <f t="shared" si="12"/>
        <v>62400</v>
      </c>
      <c r="X102" s="33"/>
      <c r="AC102">
        <v>5400</v>
      </c>
      <c r="AD102">
        <f t="shared" si="18"/>
        <v>11</v>
      </c>
      <c r="AE102">
        <f t="shared" si="19"/>
        <v>59400</v>
      </c>
    </row>
    <row r="103" spans="1:31" ht="14" x14ac:dyDescent="0.3">
      <c r="A103" s="437"/>
      <c r="B103" s="366"/>
      <c r="C103" s="436" t="s">
        <v>431</v>
      </c>
      <c r="D103" s="436"/>
      <c r="E103" s="439"/>
      <c r="F103" s="441">
        <f t="shared" si="13"/>
        <v>0</v>
      </c>
      <c r="H103">
        <f t="shared" si="14"/>
        <v>0</v>
      </c>
      <c r="I103">
        <f t="shared" si="15"/>
        <v>0</v>
      </c>
      <c r="K103" s="225"/>
      <c r="L103" s="225" t="s">
        <v>431</v>
      </c>
      <c r="M103" s="225">
        <f t="shared" si="16"/>
        <v>0</v>
      </c>
      <c r="N103" s="225">
        <f t="shared" si="17"/>
        <v>0</v>
      </c>
      <c r="P103" t="s">
        <v>431</v>
      </c>
      <c r="Q103">
        <v>0</v>
      </c>
      <c r="R103">
        <v>0</v>
      </c>
      <c r="V103" t="str">
        <f t="shared" si="11"/>
        <v/>
      </c>
      <c r="W103" t="str">
        <f t="shared" si="12"/>
        <v/>
      </c>
      <c r="X103" s="33"/>
      <c r="AC103" t="s">
        <v>431</v>
      </c>
      <c r="AD103" t="str">
        <f t="shared" si="18"/>
        <v/>
      </c>
      <c r="AE103" t="str">
        <f t="shared" si="19"/>
        <v/>
      </c>
    </row>
    <row r="104" spans="1:31" ht="14" x14ac:dyDescent="0.3">
      <c r="A104" s="437">
        <v>15</v>
      </c>
      <c r="B104" s="448" t="s">
        <v>229</v>
      </c>
      <c r="C104" s="436" t="s">
        <v>431</v>
      </c>
      <c r="D104" s="436"/>
      <c r="E104" s="439"/>
      <c r="F104" s="441">
        <f t="shared" si="13"/>
        <v>0</v>
      </c>
      <c r="H104">
        <f t="shared" si="14"/>
        <v>0</v>
      </c>
      <c r="I104">
        <f t="shared" si="15"/>
        <v>0</v>
      </c>
      <c r="K104" s="225"/>
      <c r="L104" s="225" t="s">
        <v>431</v>
      </c>
      <c r="M104" s="225">
        <f t="shared" si="16"/>
        <v>0</v>
      </c>
      <c r="N104" s="225">
        <f t="shared" si="17"/>
        <v>0</v>
      </c>
      <c r="P104" t="s">
        <v>431</v>
      </c>
      <c r="Q104">
        <v>0</v>
      </c>
      <c r="R104">
        <v>0</v>
      </c>
      <c r="V104" t="str">
        <f t="shared" si="11"/>
        <v/>
      </c>
      <c r="W104" t="str">
        <f t="shared" si="12"/>
        <v/>
      </c>
      <c r="X104" s="33"/>
      <c r="AC104" t="s">
        <v>431</v>
      </c>
      <c r="AD104" t="str">
        <f t="shared" si="18"/>
        <v/>
      </c>
      <c r="AE104" t="str">
        <f t="shared" si="19"/>
        <v/>
      </c>
    </row>
    <row r="105" spans="1:31" ht="14" x14ac:dyDescent="0.3">
      <c r="A105" s="437"/>
      <c r="B105" s="435" t="s">
        <v>230</v>
      </c>
      <c r="C105" s="436" t="s">
        <v>431</v>
      </c>
      <c r="D105" s="436"/>
      <c r="E105" s="439"/>
      <c r="F105" s="441">
        <f t="shared" si="13"/>
        <v>0</v>
      </c>
      <c r="H105">
        <f t="shared" si="14"/>
        <v>0</v>
      </c>
      <c r="I105">
        <f t="shared" si="15"/>
        <v>0</v>
      </c>
      <c r="K105" s="225"/>
      <c r="L105" s="225" t="s">
        <v>431</v>
      </c>
      <c r="M105" s="225">
        <f t="shared" si="16"/>
        <v>0</v>
      </c>
      <c r="N105" s="225">
        <f t="shared" si="17"/>
        <v>0</v>
      </c>
      <c r="P105" t="s">
        <v>431</v>
      </c>
      <c r="Q105">
        <v>0</v>
      </c>
      <c r="R105">
        <v>0</v>
      </c>
      <c r="V105" t="str">
        <f t="shared" si="11"/>
        <v/>
      </c>
      <c r="W105" t="str">
        <f t="shared" si="12"/>
        <v/>
      </c>
      <c r="X105" s="33"/>
      <c r="AC105" t="s">
        <v>431</v>
      </c>
      <c r="AD105" t="str">
        <f t="shared" si="18"/>
        <v/>
      </c>
      <c r="AE105" t="str">
        <f t="shared" si="19"/>
        <v/>
      </c>
    </row>
    <row r="106" spans="1:31" ht="14" x14ac:dyDescent="0.3">
      <c r="A106" s="437"/>
      <c r="B106" s="442" t="s">
        <v>231</v>
      </c>
      <c r="C106" s="436">
        <v>51</v>
      </c>
      <c r="D106" s="436">
        <v>33865</v>
      </c>
      <c r="E106" s="439"/>
      <c r="F106" s="441">
        <f t="shared" si="13"/>
        <v>1727115</v>
      </c>
      <c r="H106">
        <f t="shared" si="14"/>
        <v>6.3436237420113131E-2</v>
      </c>
      <c r="I106">
        <f t="shared" si="15"/>
        <v>1727115</v>
      </c>
      <c r="K106" s="225">
        <v>33865</v>
      </c>
      <c r="L106" s="225">
        <v>51</v>
      </c>
      <c r="M106" s="225">
        <f t="shared" si="16"/>
        <v>1727115</v>
      </c>
      <c r="N106" s="225">
        <f t="shared" si="17"/>
        <v>1727115</v>
      </c>
      <c r="O106">
        <v>33865</v>
      </c>
      <c r="P106">
        <v>51</v>
      </c>
      <c r="Q106">
        <v>1727115</v>
      </c>
      <c r="R106">
        <v>1732277</v>
      </c>
      <c r="V106">
        <f t="shared" si="11"/>
        <v>51</v>
      </c>
      <c r="W106">
        <f t="shared" si="12"/>
        <v>1727115</v>
      </c>
      <c r="X106" s="33"/>
      <c r="AC106">
        <v>36865</v>
      </c>
      <c r="AD106">
        <f t="shared" si="18"/>
        <v>47</v>
      </c>
      <c r="AE106">
        <f t="shared" si="19"/>
        <v>1732655</v>
      </c>
    </row>
    <row r="107" spans="1:31" ht="14" x14ac:dyDescent="0.3">
      <c r="A107" s="437"/>
      <c r="B107" s="442" t="s">
        <v>232</v>
      </c>
      <c r="C107" s="436">
        <v>102</v>
      </c>
      <c r="D107" s="436">
        <v>60465</v>
      </c>
      <c r="E107" s="439"/>
      <c r="F107" s="441">
        <f t="shared" si="13"/>
        <v>6167430</v>
      </c>
      <c r="H107">
        <f t="shared" si="14"/>
        <v>0.22652721663116138</v>
      </c>
      <c r="I107">
        <f t="shared" si="15"/>
        <v>6167430</v>
      </c>
      <c r="K107" s="225">
        <v>60465</v>
      </c>
      <c r="L107" s="225">
        <v>102</v>
      </c>
      <c r="M107" s="225">
        <f t="shared" si="16"/>
        <v>6167430</v>
      </c>
      <c r="N107" s="225">
        <f t="shared" si="17"/>
        <v>6167430</v>
      </c>
      <c r="O107">
        <v>60465</v>
      </c>
      <c r="P107">
        <v>102</v>
      </c>
      <c r="Q107">
        <v>6167430</v>
      </c>
      <c r="R107">
        <v>6185865</v>
      </c>
      <c r="V107">
        <f t="shared" si="11"/>
        <v>102</v>
      </c>
      <c r="W107">
        <f t="shared" si="12"/>
        <v>6167430</v>
      </c>
      <c r="X107" s="33"/>
      <c r="AC107">
        <v>63465</v>
      </c>
      <c r="AD107">
        <f t="shared" si="18"/>
        <v>97</v>
      </c>
      <c r="AE107">
        <f t="shared" si="19"/>
        <v>6156105</v>
      </c>
    </row>
    <row r="108" spans="1:31" ht="14" x14ac:dyDescent="0.3">
      <c r="A108" s="437"/>
      <c r="B108" s="442" t="s">
        <v>233</v>
      </c>
      <c r="C108" s="436">
        <v>51</v>
      </c>
      <c r="D108" s="436">
        <v>5500</v>
      </c>
      <c r="E108" s="439"/>
      <c r="F108" s="441">
        <f t="shared" si="13"/>
        <v>280500</v>
      </c>
      <c r="H108">
        <f t="shared" si="14"/>
        <v>1.0302651876882393E-2</v>
      </c>
      <c r="I108">
        <f t="shared" si="15"/>
        <v>280500.00000000006</v>
      </c>
      <c r="K108" s="225">
        <v>5500</v>
      </c>
      <c r="L108" s="225">
        <v>51</v>
      </c>
      <c r="M108" s="225">
        <f t="shared" si="16"/>
        <v>280500</v>
      </c>
      <c r="N108" s="225">
        <f t="shared" si="17"/>
        <v>280500</v>
      </c>
      <c r="O108">
        <v>5500</v>
      </c>
      <c r="P108">
        <v>51</v>
      </c>
      <c r="Q108">
        <v>280500</v>
      </c>
      <c r="R108">
        <v>281338</v>
      </c>
      <c r="V108">
        <f t="shared" si="11"/>
        <v>51</v>
      </c>
      <c r="W108">
        <f t="shared" si="12"/>
        <v>280500</v>
      </c>
      <c r="X108" s="33"/>
      <c r="AC108">
        <v>8500</v>
      </c>
      <c r="AD108">
        <f t="shared" si="18"/>
        <v>33</v>
      </c>
      <c r="AE108">
        <f t="shared" si="19"/>
        <v>280500</v>
      </c>
    </row>
    <row r="109" spans="1:31" ht="14" x14ac:dyDescent="0.3">
      <c r="A109" s="437"/>
      <c r="B109" s="442" t="s">
        <v>234</v>
      </c>
      <c r="C109" s="436">
        <v>26</v>
      </c>
      <c r="D109" s="436">
        <v>27271</v>
      </c>
      <c r="E109" s="439"/>
      <c r="F109" s="441">
        <f t="shared" si="13"/>
        <v>709046</v>
      </c>
      <c r="H109">
        <f t="shared" si="14"/>
        <v>2.6042973628149564E-2</v>
      </c>
      <c r="I109">
        <f t="shared" si="15"/>
        <v>709046</v>
      </c>
      <c r="K109" s="225">
        <v>27271</v>
      </c>
      <c r="L109" s="225">
        <v>26</v>
      </c>
      <c r="M109" s="225">
        <f t="shared" si="16"/>
        <v>709046</v>
      </c>
      <c r="N109" s="225">
        <f t="shared" si="17"/>
        <v>709046</v>
      </c>
      <c r="O109">
        <v>27271</v>
      </c>
      <c r="P109">
        <v>26</v>
      </c>
      <c r="Q109">
        <v>709046</v>
      </c>
      <c r="R109">
        <v>697464</v>
      </c>
      <c r="V109">
        <f t="shared" si="11"/>
        <v>26</v>
      </c>
      <c r="W109">
        <f t="shared" si="12"/>
        <v>709046</v>
      </c>
      <c r="X109" s="33"/>
      <c r="AC109">
        <v>30270</v>
      </c>
      <c r="AD109">
        <f t="shared" si="18"/>
        <v>23</v>
      </c>
      <c r="AE109">
        <f t="shared" si="19"/>
        <v>696210</v>
      </c>
    </row>
    <row r="110" spans="1:31" ht="14" x14ac:dyDescent="0.3">
      <c r="A110" s="437"/>
      <c r="B110" s="366"/>
      <c r="C110" s="436" t="s">
        <v>431</v>
      </c>
      <c r="D110" s="436"/>
      <c r="E110" s="439"/>
      <c r="F110" s="441">
        <f t="shared" si="13"/>
        <v>0</v>
      </c>
      <c r="H110">
        <f t="shared" si="14"/>
        <v>0</v>
      </c>
      <c r="I110">
        <f t="shared" si="15"/>
        <v>0</v>
      </c>
      <c r="K110" s="225"/>
      <c r="L110" s="225" t="s">
        <v>431</v>
      </c>
      <c r="M110" s="225">
        <f t="shared" si="16"/>
        <v>0</v>
      </c>
      <c r="N110" s="225">
        <f t="shared" si="17"/>
        <v>0</v>
      </c>
      <c r="P110" t="s">
        <v>431</v>
      </c>
      <c r="Q110">
        <v>0</v>
      </c>
      <c r="R110">
        <v>0</v>
      </c>
      <c r="V110" t="str">
        <f t="shared" si="11"/>
        <v/>
      </c>
      <c r="W110" t="str">
        <f t="shared" si="12"/>
        <v/>
      </c>
      <c r="X110" s="33"/>
      <c r="AC110" t="s">
        <v>431</v>
      </c>
      <c r="AD110" t="str">
        <f t="shared" si="18"/>
        <v/>
      </c>
      <c r="AE110" t="str">
        <f t="shared" si="19"/>
        <v/>
      </c>
    </row>
    <row r="111" spans="1:31" ht="14" x14ac:dyDescent="0.3">
      <c r="A111" s="437"/>
      <c r="B111" s="438" t="s">
        <v>235</v>
      </c>
      <c r="C111" s="436">
        <v>51</v>
      </c>
      <c r="D111" s="436">
        <v>1380000</v>
      </c>
      <c r="E111" s="439"/>
      <c r="F111" s="441">
        <f t="shared" si="13"/>
        <v>70380000</v>
      </c>
      <c r="H111">
        <f t="shared" si="14"/>
        <v>2.5850290163814003</v>
      </c>
      <c r="I111">
        <f t="shared" si="15"/>
        <v>70380000</v>
      </c>
      <c r="K111" s="225">
        <v>1380000</v>
      </c>
      <c r="L111" s="225">
        <v>51</v>
      </c>
      <c r="M111" s="225">
        <f t="shared" si="16"/>
        <v>70380000</v>
      </c>
      <c r="N111" s="225">
        <f t="shared" si="17"/>
        <v>70380000</v>
      </c>
      <c r="O111">
        <v>1380000</v>
      </c>
      <c r="P111">
        <v>51</v>
      </c>
      <c r="Q111">
        <v>70380000</v>
      </c>
      <c r="R111">
        <v>70590371</v>
      </c>
      <c r="V111">
        <f t="shared" si="11"/>
        <v>51</v>
      </c>
      <c r="W111">
        <f t="shared" si="12"/>
        <v>70380000</v>
      </c>
      <c r="X111" s="33"/>
      <c r="AC111">
        <v>1383000</v>
      </c>
      <c r="AD111">
        <f t="shared" si="18"/>
        <v>51</v>
      </c>
      <c r="AE111">
        <f t="shared" si="19"/>
        <v>70533000</v>
      </c>
    </row>
    <row r="112" spans="1:31" ht="14" x14ac:dyDescent="0.3">
      <c r="A112" s="437"/>
      <c r="B112" s="442" t="s">
        <v>236</v>
      </c>
      <c r="C112" s="436">
        <v>26</v>
      </c>
      <c r="D112" s="436">
        <v>26550000</v>
      </c>
      <c r="E112" s="439"/>
      <c r="F112" s="441">
        <f t="shared" si="13"/>
        <v>690300000</v>
      </c>
      <c r="H112">
        <f t="shared" si="14"/>
        <v>25.354440608242122</v>
      </c>
      <c r="I112">
        <f t="shared" si="15"/>
        <v>690300000</v>
      </c>
      <c r="K112" s="225">
        <v>26550000</v>
      </c>
      <c r="L112" s="225">
        <v>26</v>
      </c>
      <c r="M112" s="225">
        <f t="shared" si="16"/>
        <v>690300000</v>
      </c>
      <c r="N112" s="225">
        <f t="shared" si="17"/>
        <v>690300000</v>
      </c>
      <c r="O112">
        <v>26550000</v>
      </c>
      <c r="P112">
        <v>26</v>
      </c>
      <c r="Q112">
        <v>690300000</v>
      </c>
      <c r="R112">
        <v>679048679</v>
      </c>
      <c r="V112">
        <f t="shared" ref="V112:V129" si="20">IFERROR(ROUND((R112/D112),0),"")</f>
        <v>26</v>
      </c>
      <c r="W112">
        <f t="shared" ref="W112:W133" si="21">IFERROR((V112*D112),"")</f>
        <v>690300000</v>
      </c>
      <c r="X112" s="33"/>
      <c r="AC112">
        <v>26553000</v>
      </c>
      <c r="AD112">
        <f t="shared" si="18"/>
        <v>26</v>
      </c>
      <c r="AE112">
        <f t="shared" si="19"/>
        <v>690378000</v>
      </c>
    </row>
    <row r="113" spans="1:31" ht="14" x14ac:dyDescent="0.3">
      <c r="A113" s="437"/>
      <c r="B113" s="442" t="s">
        <v>237</v>
      </c>
      <c r="C113" s="436">
        <v>26</v>
      </c>
      <c r="D113" s="436">
        <v>1848000</v>
      </c>
      <c r="E113" s="439"/>
      <c r="F113" s="441">
        <f t="shared" si="13"/>
        <v>48048000</v>
      </c>
      <c r="H113">
        <f t="shared" si="14"/>
        <v>1.7647836626753839</v>
      </c>
      <c r="I113">
        <f t="shared" si="15"/>
        <v>48048000.000000007</v>
      </c>
      <c r="K113" s="225">
        <v>1848000</v>
      </c>
      <c r="L113" s="225">
        <v>26</v>
      </c>
      <c r="M113" s="225">
        <f t="shared" si="16"/>
        <v>48048000</v>
      </c>
      <c r="N113" s="225">
        <f t="shared" ref="N113:N129" si="22">ROUND(I113,0)</f>
        <v>48048000</v>
      </c>
      <c r="O113">
        <v>1848000</v>
      </c>
      <c r="P113">
        <v>26</v>
      </c>
      <c r="Q113">
        <v>48048000</v>
      </c>
      <c r="R113">
        <v>47264857</v>
      </c>
      <c r="V113">
        <f t="shared" si="20"/>
        <v>26</v>
      </c>
      <c r="W113">
        <f t="shared" si="21"/>
        <v>48048000</v>
      </c>
      <c r="X113" s="33"/>
      <c r="AC113">
        <v>1851000</v>
      </c>
      <c r="AD113">
        <f t="shared" si="18"/>
        <v>26</v>
      </c>
      <c r="AE113">
        <f t="shared" si="19"/>
        <v>48126000</v>
      </c>
    </row>
    <row r="114" spans="1:31" ht="14" x14ac:dyDescent="0.3">
      <c r="A114" s="437"/>
      <c r="B114" s="438" t="s">
        <v>238</v>
      </c>
      <c r="C114" s="436">
        <v>128</v>
      </c>
      <c r="D114" s="436">
        <v>9900</v>
      </c>
      <c r="E114" s="439"/>
      <c r="F114" s="441">
        <f t="shared" si="13"/>
        <v>1267200</v>
      </c>
      <c r="H114">
        <f t="shared" si="14"/>
        <v>4.6543744949680457E-2</v>
      </c>
      <c r="I114">
        <f t="shared" si="15"/>
        <v>1267200</v>
      </c>
      <c r="K114" s="225">
        <v>9900</v>
      </c>
      <c r="L114" s="225">
        <v>128</v>
      </c>
      <c r="M114" s="225">
        <f t="shared" si="16"/>
        <v>1267200</v>
      </c>
      <c r="N114" s="225">
        <f t="shared" si="22"/>
        <v>1267200</v>
      </c>
      <c r="O114">
        <v>9900</v>
      </c>
      <c r="P114">
        <v>128</v>
      </c>
      <c r="Q114">
        <v>1267200</v>
      </c>
      <c r="R114">
        <v>1266023</v>
      </c>
      <c r="V114">
        <f t="shared" si="20"/>
        <v>128</v>
      </c>
      <c r="W114">
        <f t="shared" si="21"/>
        <v>1267200</v>
      </c>
      <c r="X114" s="33"/>
      <c r="AC114">
        <v>12900</v>
      </c>
      <c r="AD114">
        <f t="shared" si="18"/>
        <v>98</v>
      </c>
      <c r="AE114">
        <f t="shared" si="19"/>
        <v>1264200</v>
      </c>
    </row>
    <row r="115" spans="1:31" ht="14" x14ac:dyDescent="0.3">
      <c r="A115" s="437"/>
      <c r="B115" s="438"/>
      <c r="C115" s="436" t="s">
        <v>431</v>
      </c>
      <c r="D115" s="436"/>
      <c r="E115" s="439"/>
      <c r="F115" s="441">
        <f t="shared" si="13"/>
        <v>0</v>
      </c>
      <c r="H115">
        <f t="shared" si="14"/>
        <v>0</v>
      </c>
      <c r="I115">
        <f t="shared" si="15"/>
        <v>0</v>
      </c>
      <c r="K115" s="225"/>
      <c r="L115" s="225" t="s">
        <v>431</v>
      </c>
      <c r="M115" s="225">
        <f t="shared" si="16"/>
        <v>0</v>
      </c>
      <c r="N115" s="225">
        <f t="shared" si="22"/>
        <v>0</v>
      </c>
      <c r="P115" t="s">
        <v>431</v>
      </c>
      <c r="Q115">
        <v>0</v>
      </c>
      <c r="R115">
        <v>0</v>
      </c>
      <c r="V115" t="str">
        <f t="shared" si="20"/>
        <v/>
      </c>
      <c r="W115" t="str">
        <f t="shared" si="21"/>
        <v/>
      </c>
      <c r="X115" s="33"/>
      <c r="AC115" t="s">
        <v>431</v>
      </c>
      <c r="AD115" t="str">
        <f t="shared" si="18"/>
        <v/>
      </c>
      <c r="AE115" t="str">
        <f t="shared" si="19"/>
        <v/>
      </c>
    </row>
    <row r="116" spans="1:31" ht="14" x14ac:dyDescent="0.3">
      <c r="A116" s="437"/>
      <c r="B116" s="451" t="s">
        <v>239</v>
      </c>
      <c r="C116" s="436">
        <v>102</v>
      </c>
      <c r="D116" s="436">
        <v>1125000</v>
      </c>
      <c r="E116" s="439"/>
      <c r="F116" s="441">
        <f t="shared" si="13"/>
        <v>114750000</v>
      </c>
      <c r="H116">
        <f t="shared" si="14"/>
        <v>4.2147212223609785</v>
      </c>
      <c r="I116">
        <f t="shared" si="15"/>
        <v>114750000</v>
      </c>
      <c r="K116" s="225">
        <v>1125000</v>
      </c>
      <c r="L116" s="225">
        <v>102</v>
      </c>
      <c r="M116" s="225">
        <f t="shared" si="16"/>
        <v>114750000</v>
      </c>
      <c r="N116" s="225">
        <f t="shared" si="22"/>
        <v>114750000</v>
      </c>
      <c r="O116">
        <v>1125000</v>
      </c>
      <c r="P116">
        <v>102</v>
      </c>
      <c r="Q116">
        <v>114750000</v>
      </c>
      <c r="R116">
        <v>115092996</v>
      </c>
      <c r="V116">
        <f t="shared" si="20"/>
        <v>102</v>
      </c>
      <c r="W116">
        <f t="shared" si="21"/>
        <v>114750000</v>
      </c>
      <c r="X116" s="33"/>
      <c r="AC116">
        <v>1128000</v>
      </c>
      <c r="AD116">
        <f t="shared" si="18"/>
        <v>102</v>
      </c>
      <c r="AE116">
        <f t="shared" si="19"/>
        <v>115056000</v>
      </c>
    </row>
    <row r="117" spans="1:31" ht="14" x14ac:dyDescent="0.3">
      <c r="A117" s="437"/>
      <c r="B117" s="448" t="s">
        <v>240</v>
      </c>
      <c r="C117" s="436" t="s">
        <v>431</v>
      </c>
      <c r="D117" s="436"/>
      <c r="E117" s="439" t="s">
        <v>241</v>
      </c>
      <c r="F117" s="441">
        <f t="shared" si="13"/>
        <v>0</v>
      </c>
      <c r="H117">
        <f t="shared" si="14"/>
        <v>0</v>
      </c>
      <c r="I117">
        <f t="shared" si="15"/>
        <v>0</v>
      </c>
      <c r="K117" s="225"/>
      <c r="L117" s="225" t="s">
        <v>431</v>
      </c>
      <c r="M117" s="225">
        <f t="shared" si="16"/>
        <v>0</v>
      </c>
      <c r="N117" s="225">
        <f t="shared" si="22"/>
        <v>0</v>
      </c>
      <c r="P117" t="s">
        <v>431</v>
      </c>
      <c r="Q117">
        <v>0</v>
      </c>
      <c r="R117">
        <v>0</v>
      </c>
      <c r="V117" t="str">
        <f t="shared" si="20"/>
        <v/>
      </c>
      <c r="W117" t="str">
        <f t="shared" si="21"/>
        <v/>
      </c>
      <c r="X117" s="33"/>
      <c r="AC117" t="s">
        <v>431</v>
      </c>
      <c r="AD117" t="str">
        <f t="shared" si="18"/>
        <v/>
      </c>
      <c r="AE117" t="str">
        <f t="shared" si="19"/>
        <v/>
      </c>
    </row>
    <row r="118" spans="1:31" ht="14" x14ac:dyDescent="0.3">
      <c r="A118" s="437"/>
      <c r="B118" s="442" t="s">
        <v>242</v>
      </c>
      <c r="C118" s="436">
        <v>102</v>
      </c>
      <c r="D118" s="436">
        <v>160000</v>
      </c>
      <c r="E118" s="439"/>
      <c r="F118" s="441">
        <f t="shared" si="13"/>
        <v>16320000</v>
      </c>
      <c r="H118">
        <f t="shared" si="14"/>
        <v>0.59942701829133915</v>
      </c>
      <c r="I118">
        <f t="shared" si="15"/>
        <v>16320000</v>
      </c>
      <c r="K118" s="225">
        <v>160000</v>
      </c>
      <c r="L118" s="225">
        <v>102</v>
      </c>
      <c r="M118" s="225">
        <f t="shared" si="16"/>
        <v>16320000</v>
      </c>
      <c r="N118" s="225">
        <f t="shared" si="22"/>
        <v>16320000</v>
      </c>
      <c r="O118">
        <v>160000</v>
      </c>
      <c r="P118">
        <v>102</v>
      </c>
      <c r="Q118">
        <v>16320000</v>
      </c>
      <c r="R118">
        <v>16368782</v>
      </c>
      <c r="V118">
        <f t="shared" si="20"/>
        <v>102</v>
      </c>
      <c r="W118">
        <f t="shared" si="21"/>
        <v>16320000</v>
      </c>
      <c r="X118" s="33"/>
      <c r="AC118">
        <v>163000</v>
      </c>
      <c r="AD118">
        <f t="shared" si="18"/>
        <v>100</v>
      </c>
      <c r="AE118">
        <f t="shared" si="19"/>
        <v>16300000</v>
      </c>
    </row>
    <row r="119" spans="1:31" ht="14" x14ac:dyDescent="0.3">
      <c r="A119" s="437"/>
      <c r="B119" s="442" t="s">
        <v>243</v>
      </c>
      <c r="C119" s="436">
        <v>26</v>
      </c>
      <c r="D119" s="436">
        <v>260000</v>
      </c>
      <c r="E119" s="439"/>
      <c r="F119" s="441">
        <f t="shared" si="13"/>
        <v>6760000</v>
      </c>
      <c r="H119">
        <f t="shared" si="14"/>
        <v>0.2482920737530302</v>
      </c>
      <c r="I119">
        <f t="shared" si="15"/>
        <v>6760000</v>
      </c>
      <c r="K119" s="225">
        <v>260000</v>
      </c>
      <c r="L119" s="225">
        <v>26</v>
      </c>
      <c r="M119" s="225">
        <f t="shared" si="16"/>
        <v>6760000</v>
      </c>
      <c r="N119" s="225">
        <f t="shared" si="22"/>
        <v>6760000</v>
      </c>
      <c r="O119">
        <v>260000</v>
      </c>
      <c r="P119">
        <v>26</v>
      </c>
      <c r="Q119">
        <v>6760000</v>
      </c>
      <c r="R119">
        <v>6649818</v>
      </c>
      <c r="V119">
        <f t="shared" si="20"/>
        <v>26</v>
      </c>
      <c r="W119">
        <f t="shared" si="21"/>
        <v>6760000</v>
      </c>
      <c r="X119" s="33"/>
      <c r="AC119">
        <v>263000</v>
      </c>
      <c r="AD119">
        <f t="shared" si="18"/>
        <v>25</v>
      </c>
      <c r="AE119">
        <f t="shared" si="19"/>
        <v>6575000</v>
      </c>
    </row>
    <row r="120" spans="1:31" ht="14" x14ac:dyDescent="0.3">
      <c r="A120" s="437"/>
      <c r="B120" s="442" t="s">
        <v>244</v>
      </c>
      <c r="C120" s="436">
        <v>96</v>
      </c>
      <c r="D120" s="436">
        <v>150000</v>
      </c>
      <c r="E120" s="439"/>
      <c r="F120" s="441">
        <f t="shared" si="13"/>
        <v>14400000</v>
      </c>
      <c r="H120">
        <f t="shared" si="14"/>
        <v>0.52890619261000515</v>
      </c>
      <c r="I120">
        <f t="shared" si="15"/>
        <v>14400000.000000002</v>
      </c>
      <c r="K120" s="225">
        <v>150000</v>
      </c>
      <c r="L120" s="225">
        <v>96</v>
      </c>
      <c r="M120" s="225">
        <f t="shared" si="16"/>
        <v>14400000</v>
      </c>
      <c r="N120" s="225">
        <f t="shared" si="22"/>
        <v>14400000</v>
      </c>
      <c r="O120">
        <v>150000</v>
      </c>
      <c r="P120">
        <v>96</v>
      </c>
      <c r="Q120">
        <v>14400000</v>
      </c>
      <c r="R120">
        <v>15345733</v>
      </c>
      <c r="V120">
        <f t="shared" si="20"/>
        <v>102</v>
      </c>
      <c r="W120">
        <f t="shared" si="21"/>
        <v>15300000</v>
      </c>
      <c r="X120" s="33"/>
      <c r="AC120">
        <v>153000</v>
      </c>
      <c r="AD120">
        <f t="shared" si="18"/>
        <v>100</v>
      </c>
      <c r="AE120">
        <f t="shared" si="19"/>
        <v>15300000</v>
      </c>
    </row>
    <row r="121" spans="1:31" ht="14" x14ac:dyDescent="0.3">
      <c r="A121" s="437"/>
      <c r="B121" s="442" t="s">
        <v>245</v>
      </c>
      <c r="C121" s="436">
        <v>51</v>
      </c>
      <c r="D121" s="436">
        <v>40000</v>
      </c>
      <c r="E121" s="439"/>
      <c r="F121" s="441">
        <f t="shared" si="13"/>
        <v>2040000</v>
      </c>
      <c r="H121">
        <f t="shared" si="14"/>
        <v>7.4928377286417394E-2</v>
      </c>
      <c r="I121">
        <f t="shared" si="15"/>
        <v>2040000</v>
      </c>
      <c r="K121" s="225">
        <v>40000</v>
      </c>
      <c r="L121" s="225">
        <v>51</v>
      </c>
      <c r="M121" s="225">
        <f t="shared" si="16"/>
        <v>2040000</v>
      </c>
      <c r="N121" s="225">
        <f t="shared" si="22"/>
        <v>2040000</v>
      </c>
      <c r="O121">
        <v>40000</v>
      </c>
      <c r="P121">
        <v>51</v>
      </c>
      <c r="Q121">
        <v>2040000</v>
      </c>
      <c r="R121">
        <v>2046098</v>
      </c>
      <c r="V121">
        <f t="shared" si="20"/>
        <v>51</v>
      </c>
      <c r="W121">
        <f t="shared" si="21"/>
        <v>2040000</v>
      </c>
      <c r="X121" s="33"/>
      <c r="AC121">
        <v>43000</v>
      </c>
      <c r="AD121">
        <f t="shared" si="18"/>
        <v>48</v>
      </c>
      <c r="AE121">
        <f t="shared" si="19"/>
        <v>2064000</v>
      </c>
    </row>
    <row r="122" spans="1:31" ht="14" x14ac:dyDescent="0.3">
      <c r="A122" s="437">
        <v>16</v>
      </c>
      <c r="B122" s="438" t="s">
        <v>246</v>
      </c>
      <c r="C122" s="436">
        <v>26</v>
      </c>
      <c r="D122" s="436">
        <v>5942500</v>
      </c>
      <c r="E122" s="439"/>
      <c r="F122" s="441">
        <f t="shared" si="13"/>
        <v>154505000</v>
      </c>
      <c r="H122">
        <f t="shared" si="14"/>
        <v>5.6749063395283921</v>
      </c>
      <c r="I122">
        <f t="shared" si="15"/>
        <v>154505000</v>
      </c>
      <c r="K122" s="225">
        <v>5942500</v>
      </c>
      <c r="L122" s="225">
        <v>26</v>
      </c>
      <c r="M122" s="225">
        <f t="shared" si="16"/>
        <v>154505000</v>
      </c>
      <c r="N122" s="225">
        <f t="shared" si="22"/>
        <v>154505000</v>
      </c>
      <c r="O122">
        <v>5942500</v>
      </c>
      <c r="P122">
        <v>26</v>
      </c>
      <c r="Q122">
        <v>154505000</v>
      </c>
      <c r="R122">
        <v>151986696</v>
      </c>
      <c r="V122">
        <f t="shared" si="20"/>
        <v>26</v>
      </c>
      <c r="W122">
        <f t="shared" si="21"/>
        <v>154505000</v>
      </c>
      <c r="X122" s="33"/>
      <c r="AC122">
        <v>5945500</v>
      </c>
      <c r="AD122">
        <f t="shared" si="18"/>
        <v>26</v>
      </c>
      <c r="AE122">
        <f t="shared" si="19"/>
        <v>154583000</v>
      </c>
    </row>
    <row r="123" spans="1:31" ht="14" x14ac:dyDescent="0.3">
      <c r="A123" s="437">
        <v>17</v>
      </c>
      <c r="B123" s="438" t="s">
        <v>247</v>
      </c>
      <c r="C123" s="436">
        <v>26</v>
      </c>
      <c r="D123" s="436">
        <v>8221930</v>
      </c>
      <c r="E123" s="439"/>
      <c r="F123" s="441">
        <f t="shared" si="13"/>
        <v>213770180</v>
      </c>
      <c r="H123">
        <f t="shared" si="14"/>
        <v>7.8516924998163526</v>
      </c>
      <c r="I123">
        <f t="shared" si="15"/>
        <v>213770180.00000003</v>
      </c>
      <c r="K123" s="225">
        <v>8221930</v>
      </c>
      <c r="L123" s="225">
        <v>26</v>
      </c>
      <c r="M123" s="225">
        <f t="shared" si="16"/>
        <v>213770180</v>
      </c>
      <c r="N123" s="225">
        <f t="shared" si="22"/>
        <v>213770180</v>
      </c>
      <c r="O123">
        <v>8221930</v>
      </c>
      <c r="P123">
        <v>26</v>
      </c>
      <c r="Q123">
        <v>213770180</v>
      </c>
      <c r="R123">
        <v>210285902</v>
      </c>
      <c r="V123">
        <f t="shared" si="20"/>
        <v>26</v>
      </c>
      <c r="W123">
        <f t="shared" si="21"/>
        <v>213770180</v>
      </c>
      <c r="X123" s="33"/>
      <c r="AC123">
        <v>8224930</v>
      </c>
      <c r="AD123">
        <f t="shared" si="18"/>
        <v>26</v>
      </c>
      <c r="AE123">
        <f t="shared" si="19"/>
        <v>213848180</v>
      </c>
    </row>
    <row r="124" spans="1:31" ht="14" x14ac:dyDescent="0.3">
      <c r="A124" s="437">
        <v>18</v>
      </c>
      <c r="B124" s="438" t="s">
        <v>248</v>
      </c>
      <c r="C124" s="436">
        <v>26</v>
      </c>
      <c r="D124" s="436">
        <v>5750000</v>
      </c>
      <c r="E124" s="439"/>
      <c r="F124" s="441">
        <f t="shared" si="13"/>
        <v>149500000</v>
      </c>
      <c r="H124">
        <f t="shared" si="14"/>
        <v>5.4910747079997062</v>
      </c>
      <c r="I124">
        <f t="shared" si="15"/>
        <v>149500000</v>
      </c>
      <c r="K124" s="225">
        <v>5750000</v>
      </c>
      <c r="L124" s="225">
        <v>26</v>
      </c>
      <c r="M124" s="225">
        <f t="shared" si="16"/>
        <v>149500000</v>
      </c>
      <c r="N124" s="225">
        <f t="shared" si="22"/>
        <v>149500000</v>
      </c>
      <c r="O124">
        <v>5750000</v>
      </c>
      <c r="P124">
        <v>26</v>
      </c>
      <c r="Q124">
        <v>149500000</v>
      </c>
      <c r="R124">
        <v>147063273</v>
      </c>
      <c r="V124">
        <f t="shared" si="20"/>
        <v>26</v>
      </c>
      <c r="W124">
        <f t="shared" si="21"/>
        <v>149500000</v>
      </c>
      <c r="X124" s="33"/>
      <c r="AC124">
        <v>5753000</v>
      </c>
      <c r="AD124">
        <f t="shared" si="18"/>
        <v>26</v>
      </c>
      <c r="AE124">
        <f t="shared" si="19"/>
        <v>149578000</v>
      </c>
    </row>
    <row r="125" spans="1:31" ht="14" x14ac:dyDescent="0.3">
      <c r="A125" s="437">
        <v>19</v>
      </c>
      <c r="B125" s="442" t="s">
        <v>249</v>
      </c>
      <c r="C125" s="436">
        <v>23</v>
      </c>
      <c r="D125" s="436">
        <v>6000000</v>
      </c>
      <c r="E125" s="439"/>
      <c r="F125" s="441">
        <f t="shared" si="13"/>
        <v>138000000</v>
      </c>
      <c r="H125">
        <f t="shared" si="14"/>
        <v>5.0686843458458828</v>
      </c>
      <c r="I125">
        <f t="shared" si="15"/>
        <v>138000000</v>
      </c>
      <c r="K125" s="225">
        <v>6000000</v>
      </c>
      <c r="L125" s="225">
        <v>23</v>
      </c>
      <c r="M125" s="225">
        <f t="shared" si="16"/>
        <v>138000000</v>
      </c>
      <c r="N125" s="225">
        <f t="shared" si="22"/>
        <v>138000000</v>
      </c>
      <c r="O125">
        <v>6000000</v>
      </c>
      <c r="P125">
        <v>23</v>
      </c>
      <c r="Q125">
        <v>138000000</v>
      </c>
      <c r="R125">
        <v>153457329</v>
      </c>
      <c r="V125">
        <f t="shared" si="20"/>
        <v>26</v>
      </c>
      <c r="W125">
        <f t="shared" si="21"/>
        <v>156000000</v>
      </c>
      <c r="X125" s="33"/>
      <c r="AC125">
        <v>6003000</v>
      </c>
      <c r="AD125">
        <f t="shared" si="18"/>
        <v>26</v>
      </c>
      <c r="AE125">
        <f t="shared" si="19"/>
        <v>156078000</v>
      </c>
    </row>
    <row r="126" spans="1:31" ht="14" x14ac:dyDescent="0.3">
      <c r="A126" s="437"/>
      <c r="B126" s="366" t="s">
        <v>250</v>
      </c>
      <c r="C126" s="436">
        <v>25</v>
      </c>
      <c r="D126" s="436">
        <v>3279400</v>
      </c>
      <c r="E126" s="436"/>
      <c r="F126" s="441">
        <f t="shared" si="13"/>
        <v>81985000</v>
      </c>
      <c r="H126">
        <f t="shared" si="14"/>
        <v>3.0112759861896716</v>
      </c>
      <c r="I126">
        <f t="shared" si="15"/>
        <v>81985000</v>
      </c>
      <c r="K126" s="225">
        <v>3279400</v>
      </c>
      <c r="L126" s="225">
        <v>25</v>
      </c>
      <c r="M126" s="225">
        <f t="shared" si="16"/>
        <v>81985000</v>
      </c>
      <c r="N126" s="225">
        <f t="shared" si="22"/>
        <v>81985000</v>
      </c>
      <c r="O126">
        <v>3279400</v>
      </c>
      <c r="P126">
        <v>25</v>
      </c>
      <c r="Q126">
        <v>81985000</v>
      </c>
      <c r="R126">
        <v>83874840</v>
      </c>
      <c r="V126">
        <f t="shared" si="20"/>
        <v>26</v>
      </c>
      <c r="W126">
        <f t="shared" si="21"/>
        <v>85264400</v>
      </c>
      <c r="X126" s="33"/>
      <c r="AC126">
        <v>3282407</v>
      </c>
      <c r="AD126">
        <f t="shared" si="18"/>
        <v>26</v>
      </c>
      <c r="AE126">
        <f t="shared" si="19"/>
        <v>85342582</v>
      </c>
    </row>
    <row r="127" spans="1:31" ht="14" x14ac:dyDescent="0.3">
      <c r="A127" s="437"/>
      <c r="B127" s="366"/>
      <c r="C127" s="436" t="s">
        <v>431</v>
      </c>
      <c r="D127" s="452"/>
      <c r="E127" s="436"/>
      <c r="F127" s="422"/>
      <c r="H127">
        <f t="shared" si="14"/>
        <v>0</v>
      </c>
      <c r="I127">
        <f t="shared" si="15"/>
        <v>0</v>
      </c>
      <c r="K127" s="225"/>
      <c r="L127" s="225" t="s">
        <v>431</v>
      </c>
      <c r="M127" s="225"/>
      <c r="N127" s="225">
        <f t="shared" si="22"/>
        <v>0</v>
      </c>
      <c r="P127" t="s">
        <v>431</v>
      </c>
      <c r="R127">
        <v>0</v>
      </c>
      <c r="V127" t="str">
        <f t="shared" si="20"/>
        <v/>
      </c>
      <c r="W127" t="str">
        <f t="shared" si="21"/>
        <v/>
      </c>
      <c r="X127" s="33"/>
      <c r="AC127" t="s">
        <v>431</v>
      </c>
      <c r="AD127" t="str">
        <f t="shared" si="18"/>
        <v/>
      </c>
      <c r="AE127" t="str">
        <f t="shared" si="19"/>
        <v/>
      </c>
    </row>
    <row r="128" spans="1:31" ht="14.5" x14ac:dyDescent="0.35">
      <c r="A128" s="537"/>
      <c r="B128" s="538" t="s">
        <v>251</v>
      </c>
      <c r="C128" s="528" t="s">
        <v>431</v>
      </c>
      <c r="D128" s="539"/>
      <c r="E128" s="528"/>
      <c r="F128" s="540">
        <f>SUM(F13:F127)</f>
        <v>2498723138</v>
      </c>
      <c r="H128">
        <f t="shared" si="14"/>
        <v>91.777093146257243</v>
      </c>
      <c r="I128">
        <f t="shared" si="15"/>
        <v>2498723137.9999995</v>
      </c>
      <c r="K128" s="225"/>
      <c r="L128" s="225" t="s">
        <v>431</v>
      </c>
      <c r="M128" s="225">
        <f>SUM(M16:M126)</f>
        <v>2498723138</v>
      </c>
      <c r="N128" s="225">
        <f t="shared" si="22"/>
        <v>2498723138</v>
      </c>
      <c r="P128" t="s">
        <v>431</v>
      </c>
      <c r="Q128">
        <v>2498723138</v>
      </c>
      <c r="R128">
        <v>2498723149</v>
      </c>
      <c r="V128" t="str">
        <f t="shared" si="20"/>
        <v/>
      </c>
      <c r="W128" t="str">
        <f t="shared" si="21"/>
        <v/>
      </c>
      <c r="X128" s="33"/>
      <c r="AC128" t="s">
        <v>431</v>
      </c>
      <c r="AD128" t="str">
        <f t="shared" si="18"/>
        <v/>
      </c>
      <c r="AE128" t="str">
        <f t="shared" si="19"/>
        <v/>
      </c>
    </row>
    <row r="129" spans="1:31" ht="14.5" x14ac:dyDescent="0.35">
      <c r="A129" s="424"/>
      <c r="B129" s="453"/>
      <c r="C129" s="436" t="s">
        <v>431</v>
      </c>
      <c r="D129" s="427"/>
      <c r="E129" s="426"/>
      <c r="F129" s="428"/>
      <c r="H129">
        <f t="shared" si="14"/>
        <v>0</v>
      </c>
      <c r="I129">
        <f t="shared" si="15"/>
        <v>0</v>
      </c>
      <c r="K129" s="225"/>
      <c r="L129" s="225" t="s">
        <v>431</v>
      </c>
      <c r="M129" s="225"/>
      <c r="N129" s="225">
        <f t="shared" si="22"/>
        <v>0</v>
      </c>
      <c r="P129" t="s">
        <v>431</v>
      </c>
      <c r="R129">
        <v>0</v>
      </c>
      <c r="V129" t="str">
        <f t="shared" si="20"/>
        <v/>
      </c>
      <c r="W129" t="str">
        <f t="shared" si="21"/>
        <v/>
      </c>
      <c r="X129" s="33"/>
      <c r="AC129" t="s">
        <v>431</v>
      </c>
      <c r="AD129" t="str">
        <f t="shared" si="18"/>
        <v/>
      </c>
      <c r="AE129" t="str">
        <f t="shared" si="19"/>
        <v/>
      </c>
    </row>
    <row r="130" spans="1:31" ht="14" x14ac:dyDescent="0.3">
      <c r="A130" s="437"/>
      <c r="B130" s="527" t="s">
        <v>252</v>
      </c>
      <c r="C130" s="528"/>
      <c r="D130" s="529">
        <v>144969860</v>
      </c>
      <c r="E130" s="529"/>
      <c r="F130" s="529">
        <v>144969860</v>
      </c>
      <c r="H130">
        <f t="shared" si="14"/>
        <v>5.3246844927642689</v>
      </c>
      <c r="I130">
        <f t="shared" si="15"/>
        <v>144969859.99999997</v>
      </c>
      <c r="K130" s="225"/>
      <c r="L130" s="225"/>
      <c r="M130" s="225">
        <f>ROUND(I130,0)</f>
        <v>144969860</v>
      </c>
      <c r="N130" s="225"/>
      <c r="Q130">
        <v>144969860</v>
      </c>
      <c r="W130">
        <f t="shared" si="21"/>
        <v>0</v>
      </c>
      <c r="X130" s="33"/>
      <c r="AC130">
        <v>5671150</v>
      </c>
      <c r="AD130">
        <f t="shared" si="18"/>
        <v>0</v>
      </c>
      <c r="AE130">
        <f t="shared" si="19"/>
        <v>0</v>
      </c>
    </row>
    <row r="131" spans="1:31" ht="14" x14ac:dyDescent="0.3">
      <c r="A131" s="437"/>
      <c r="B131" s="530"/>
      <c r="C131" s="528"/>
      <c r="D131" s="529"/>
      <c r="E131" s="529"/>
      <c r="F131" s="531"/>
      <c r="H131">
        <f t="shared" si="14"/>
        <v>0</v>
      </c>
      <c r="I131">
        <f t="shared" si="15"/>
        <v>0</v>
      </c>
      <c r="K131" s="225"/>
      <c r="L131" s="225" t="str">
        <f>IFERROR(ROUND((N131/D131),0),"")</f>
        <v/>
      </c>
      <c r="M131" s="225"/>
      <c r="N131" s="225">
        <f>ROUND(I131,0)</f>
        <v>0</v>
      </c>
      <c r="P131" t="s">
        <v>431</v>
      </c>
      <c r="R131">
        <v>0</v>
      </c>
      <c r="V131" t="str">
        <f>IFERROR(ROUND((R131/D131),0),"")</f>
        <v/>
      </c>
      <c r="W131" t="str">
        <f t="shared" si="21"/>
        <v/>
      </c>
      <c r="X131" s="33"/>
      <c r="AC131" t="s">
        <v>431</v>
      </c>
      <c r="AD131" t="str">
        <f t="shared" si="18"/>
        <v/>
      </c>
      <c r="AE131" t="str">
        <f t="shared" si="19"/>
        <v/>
      </c>
    </row>
    <row r="132" spans="1:31" ht="14" x14ac:dyDescent="0.3">
      <c r="A132" s="437"/>
      <c r="B132" s="527" t="s">
        <v>253</v>
      </c>
      <c r="C132" s="528"/>
      <c r="D132" s="529"/>
      <c r="E132" s="529"/>
      <c r="F132" s="531">
        <v>78907002</v>
      </c>
      <c r="H132">
        <f t="shared" si="14"/>
        <v>2.8982223609784765</v>
      </c>
      <c r="I132">
        <f t="shared" si="15"/>
        <v>78907002</v>
      </c>
      <c r="K132" s="225"/>
      <c r="L132" s="225"/>
      <c r="M132" s="225">
        <v>78907002</v>
      </c>
      <c r="N132" s="225">
        <f>ROUND(I132,0)</f>
        <v>78907002</v>
      </c>
      <c r="Q132">
        <v>78907002</v>
      </c>
      <c r="R132">
        <v>78906991</v>
      </c>
      <c r="W132">
        <f t="shared" si="21"/>
        <v>0</v>
      </c>
      <c r="X132" s="33"/>
      <c r="AC132">
        <v>3088170</v>
      </c>
      <c r="AD132">
        <f t="shared" si="18"/>
        <v>26</v>
      </c>
      <c r="AE132">
        <f t="shared" si="19"/>
        <v>80292420</v>
      </c>
    </row>
    <row r="133" spans="1:31" ht="14" x14ac:dyDescent="0.3">
      <c r="A133" s="437"/>
      <c r="B133" s="532"/>
      <c r="C133" s="528"/>
      <c r="D133" s="529"/>
      <c r="E133" s="529"/>
      <c r="F133" s="531"/>
      <c r="H133">
        <f t="shared" si="14"/>
        <v>0</v>
      </c>
      <c r="I133">
        <f t="shared" si="15"/>
        <v>0</v>
      </c>
      <c r="K133" s="225"/>
      <c r="L133" s="225" t="str">
        <f>IFERROR(ROUND((N133/D133),0),"")</f>
        <v/>
      </c>
      <c r="M133" s="225"/>
      <c r="N133" s="225">
        <f>ROUND(I133,0)</f>
        <v>0</v>
      </c>
      <c r="P133" t="s">
        <v>431</v>
      </c>
      <c r="R133">
        <v>0</v>
      </c>
      <c r="V133" t="str">
        <f>IFERROR(ROUND((R133/D133),0),"")</f>
        <v/>
      </c>
      <c r="W133" t="str">
        <f t="shared" si="21"/>
        <v/>
      </c>
      <c r="X133" s="33"/>
      <c r="AC133" t="s">
        <v>431</v>
      </c>
      <c r="AD133" t="str">
        <f t="shared" si="18"/>
        <v/>
      </c>
      <c r="AE133" t="str">
        <f t="shared" si="19"/>
        <v/>
      </c>
    </row>
    <row r="134" spans="1:31" ht="14" x14ac:dyDescent="0.3">
      <c r="A134" s="424"/>
      <c r="B134" s="533" t="s">
        <v>254</v>
      </c>
      <c r="C134" s="534"/>
      <c r="D134" s="535"/>
      <c r="E134" s="534"/>
      <c r="F134" s="536">
        <f>F128+F130+F132</f>
        <v>2722600000</v>
      </c>
      <c r="H134">
        <f t="shared" si="14"/>
        <v>100</v>
      </c>
      <c r="I134">
        <f t="shared" si="15"/>
        <v>2722600000</v>
      </c>
      <c r="K134" s="225"/>
      <c r="L134" s="225" t="str">
        <f>IFERROR(ROUND((N134/D134),0),"")</f>
        <v/>
      </c>
      <c r="M134" s="228">
        <f>SUM(M128:M132)</f>
        <v>2722600000</v>
      </c>
      <c r="N134" s="228">
        <f>ROUND(I134,0)</f>
        <v>2722600000</v>
      </c>
      <c r="P134" t="s">
        <v>431</v>
      </c>
      <c r="Q134">
        <v>2722600000</v>
      </c>
      <c r="R134">
        <v>2722600000</v>
      </c>
      <c r="W134" s="60">
        <f>SUM(W16:W133)</f>
        <v>2525275043</v>
      </c>
      <c r="X134" s="33"/>
      <c r="AC134" t="s">
        <v>431</v>
      </c>
      <c r="AD134" t="str">
        <f t="shared" si="18"/>
        <v/>
      </c>
      <c r="AE134" s="60">
        <f>SUM(AE16:AE133)</f>
        <v>2601432492</v>
      </c>
    </row>
    <row r="135" spans="1:31" ht="14" x14ac:dyDescent="0.3">
      <c r="A135" s="18"/>
      <c r="B135" s="18"/>
      <c r="F135" s="81"/>
      <c r="K135" s="225"/>
      <c r="L135" s="225"/>
      <c r="M135" s="225"/>
      <c r="N135" s="225"/>
    </row>
    <row r="136" spans="1:31" ht="14" x14ac:dyDescent="0.3">
      <c r="A136" s="18"/>
      <c r="B136" s="18"/>
      <c r="F136" s="81"/>
    </row>
    <row r="137" spans="1:31" ht="14" x14ac:dyDescent="0.3">
      <c r="A137" s="18"/>
      <c r="B137" s="18"/>
      <c r="F137" s="81"/>
    </row>
    <row r="138" spans="1:31" ht="14" x14ac:dyDescent="0.3">
      <c r="A138" s="18"/>
      <c r="B138" s="18"/>
      <c r="F138" s="81"/>
    </row>
    <row r="139" spans="1:31" ht="14" x14ac:dyDescent="0.3">
      <c r="A139" s="18"/>
      <c r="B139" s="18"/>
      <c r="F139" s="81"/>
      <c r="R139" t="b">
        <f>I16=(H132/100)*R134</f>
        <v>0</v>
      </c>
      <c r="V139">
        <f>ROUND(R139,0)</f>
        <v>0</v>
      </c>
    </row>
    <row r="140" spans="1:31" ht="14" x14ac:dyDescent="0.3">
      <c r="A140" s="18"/>
      <c r="B140" s="18"/>
      <c r="F140" s="81"/>
    </row>
    <row r="141" spans="1:31" ht="14" x14ac:dyDescent="0.3">
      <c r="A141" s="18"/>
      <c r="B141" s="18"/>
      <c r="F141" s="81"/>
    </row>
    <row r="142" spans="1:31" ht="14" x14ac:dyDescent="0.3">
      <c r="A142" s="18"/>
      <c r="B142" s="18"/>
      <c r="F142" s="81"/>
    </row>
    <row r="143" spans="1:31" ht="14" x14ac:dyDescent="0.3">
      <c r="A143" s="18"/>
      <c r="B143" s="18"/>
      <c r="F143" s="81"/>
    </row>
  </sheetData>
  <sheetProtection selectLockedCells="1" selectUnlockedCells="1"/>
  <mergeCells count="2">
    <mergeCell ref="A1:F1"/>
    <mergeCell ref="A2:F2"/>
  </mergeCells>
  <pageMargins left="0.92986111111111114" right="0.45972222222222225" top="1.2798611111111111" bottom="1" header="0.51180555555555562" footer="0.51180555555555562"/>
  <pageSetup firstPageNumber="0" orientation="portrait" horizontalDpi="300" verticalDpi="300"/>
  <headerFooter alignWithMargins="0"/>
  <colBreaks count="1" manualBreakCount="1">
    <brk id="6"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44"/>
  <sheetViews>
    <sheetView showGridLines="0" topLeftCell="A24" zoomScale="86" workbookViewId="0">
      <selection activeCell="E37" sqref="E37"/>
    </sheetView>
  </sheetViews>
  <sheetFormatPr defaultRowHeight="12.5" x14ac:dyDescent="0.25"/>
  <cols>
    <col min="1" max="1" width="11.81640625" customWidth="1"/>
    <col min="2" max="2" width="49.453125" bestFit="1" customWidth="1"/>
    <col min="3" max="3" width="10.453125" customWidth="1"/>
    <col min="4" max="4" width="3.1796875" customWidth="1"/>
    <col min="5" max="5" width="15.1796875" customWidth="1"/>
    <col min="6" max="6" width="2.453125" customWidth="1"/>
    <col min="7" max="9" width="0" hidden="1" customWidth="1"/>
    <col min="11" max="11" width="18.81640625" customWidth="1"/>
    <col min="13" max="13" width="16.81640625" bestFit="1" customWidth="1"/>
  </cols>
  <sheetData>
    <row r="1" spans="1:13" ht="18" x14ac:dyDescent="0.4">
      <c r="A1" s="567">
        <f>SW!A1</f>
        <v>0</v>
      </c>
      <c r="B1" s="567"/>
      <c r="C1" s="567"/>
      <c r="D1" s="567"/>
      <c r="E1" s="567"/>
      <c r="F1" s="567"/>
      <c r="G1" s="567"/>
      <c r="H1" s="567"/>
      <c r="I1" s="567"/>
    </row>
    <row r="2" spans="1:13" ht="18" x14ac:dyDescent="0.4">
      <c r="A2" s="555">
        <f>ins.cap.!A2</f>
        <v>0</v>
      </c>
      <c r="B2" s="555"/>
      <c r="C2" s="555"/>
      <c r="D2" s="555"/>
      <c r="E2" s="555"/>
      <c r="F2" s="555"/>
      <c r="G2" s="101"/>
      <c r="H2" s="101"/>
      <c r="I2" s="101"/>
    </row>
    <row r="3" spans="1:13" ht="18" x14ac:dyDescent="0.4">
      <c r="A3" s="101"/>
      <c r="B3" s="101"/>
      <c r="C3" s="101"/>
      <c r="D3" s="101"/>
      <c r="E3" s="101"/>
      <c r="F3" s="101"/>
      <c r="G3" s="101"/>
      <c r="H3" s="101"/>
      <c r="I3" s="101"/>
    </row>
    <row r="4" spans="1:13" ht="13" x14ac:dyDescent="0.3">
      <c r="A4" s="39" t="s">
        <v>255</v>
      </c>
      <c r="B4" s="39"/>
      <c r="C4" s="39"/>
      <c r="D4" s="39"/>
      <c r="F4" s="39"/>
      <c r="G4" s="39"/>
      <c r="H4" s="39"/>
      <c r="I4" s="39"/>
    </row>
    <row r="5" spans="1:13" ht="13" x14ac:dyDescent="0.3">
      <c r="A5" s="102"/>
      <c r="B5" s="39"/>
      <c r="C5" s="39"/>
      <c r="D5" s="39"/>
      <c r="F5" s="39"/>
      <c r="G5" s="39"/>
      <c r="H5" s="39"/>
      <c r="I5" s="39"/>
    </row>
    <row r="6" spans="1:13" ht="15.5" x14ac:dyDescent="0.35">
      <c r="A6" s="555" t="s">
        <v>256</v>
      </c>
      <c r="B6" s="555"/>
      <c r="C6" s="555"/>
      <c r="D6" s="555"/>
      <c r="E6" s="555"/>
      <c r="F6" s="555"/>
    </row>
    <row r="7" spans="1:13" ht="15.5" x14ac:dyDescent="0.35">
      <c r="A7" s="16"/>
      <c r="B7" s="103"/>
      <c r="C7" s="103"/>
      <c r="D7" s="103"/>
      <c r="E7" s="103"/>
      <c r="F7" s="103"/>
    </row>
    <row r="8" spans="1:13" ht="14.5" x14ac:dyDescent="0.35">
      <c r="A8" s="90"/>
    </row>
    <row r="9" spans="1:13" ht="14" x14ac:dyDescent="0.3">
      <c r="A9" s="95" t="s">
        <v>82</v>
      </c>
      <c r="B9" s="96" t="s">
        <v>83</v>
      </c>
      <c r="C9" s="97"/>
      <c r="D9" s="97"/>
      <c r="E9" s="104" t="s">
        <v>151</v>
      </c>
      <c r="F9" s="27"/>
    </row>
    <row r="10" spans="1:13" ht="14" x14ac:dyDescent="0.3">
      <c r="A10" s="98"/>
      <c r="B10" s="99"/>
      <c r="C10" s="99"/>
      <c r="D10" s="99"/>
      <c r="E10" s="105" t="s">
        <v>257</v>
      </c>
      <c r="F10" s="29"/>
    </row>
    <row r="11" spans="1:13" ht="14" x14ac:dyDescent="0.3">
      <c r="A11" s="30"/>
      <c r="B11" s="91"/>
      <c r="F11" s="29"/>
    </row>
    <row r="12" spans="1:13" ht="14" x14ac:dyDescent="0.3">
      <c r="A12" s="20">
        <v>1</v>
      </c>
      <c r="B12" s="92" t="s">
        <v>258</v>
      </c>
      <c r="C12" s="92"/>
      <c r="E12" s="106">
        <v>1200</v>
      </c>
      <c r="F12" s="29"/>
      <c r="L12">
        <v>10000000</v>
      </c>
      <c r="M12" t="s">
        <v>437</v>
      </c>
    </row>
    <row r="13" spans="1:13" ht="14" x14ac:dyDescent="0.3">
      <c r="A13" s="20"/>
      <c r="B13" s="18"/>
      <c r="E13" s="81"/>
      <c r="F13" s="29"/>
    </row>
    <row r="14" spans="1:13" ht="14" x14ac:dyDescent="0.3">
      <c r="A14" s="20">
        <v>2</v>
      </c>
      <c r="B14" s="100" t="s">
        <v>259</v>
      </c>
      <c r="C14" s="92"/>
      <c r="D14" s="93"/>
      <c r="E14" s="107">
        <f>pm!F128/100000</f>
        <v>24987.231380000001</v>
      </c>
      <c r="F14" s="29"/>
    </row>
    <row r="15" spans="1:13" ht="14" x14ac:dyDescent="0.3">
      <c r="A15" s="20"/>
      <c r="B15" s="92" t="s">
        <v>260</v>
      </c>
      <c r="C15" s="92"/>
      <c r="D15" s="93"/>
      <c r="E15" s="107"/>
      <c r="F15" s="29"/>
    </row>
    <row r="16" spans="1:13" ht="14" x14ac:dyDescent="0.3">
      <c r="A16" s="20"/>
      <c r="B16" s="92"/>
      <c r="C16" s="92"/>
      <c r="D16" s="93"/>
      <c r="E16" s="107"/>
      <c r="F16" s="29"/>
    </row>
    <row r="17" spans="1:6" ht="14" x14ac:dyDescent="0.3">
      <c r="A17" s="20">
        <v>3</v>
      </c>
      <c r="B17" s="92" t="s">
        <v>253</v>
      </c>
      <c r="C17" s="92"/>
      <c r="D17" s="93"/>
      <c r="E17" s="107">
        <f>pm!F130/100000</f>
        <v>1449.6985999999999</v>
      </c>
      <c r="F17" s="29"/>
    </row>
    <row r="18" spans="1:6" ht="14" x14ac:dyDescent="0.3">
      <c r="A18" s="20"/>
      <c r="B18" s="92" t="s">
        <v>260</v>
      </c>
      <c r="C18" s="92"/>
      <c r="D18" s="93"/>
      <c r="E18" s="107"/>
      <c r="F18" s="29"/>
    </row>
    <row r="19" spans="1:6" ht="14" x14ac:dyDescent="0.3">
      <c r="A19" s="20"/>
      <c r="B19" s="92"/>
      <c r="C19" s="92"/>
      <c r="D19" s="93"/>
      <c r="E19" s="107"/>
      <c r="F19" s="29"/>
    </row>
    <row r="20" spans="1:6" ht="14" x14ac:dyDescent="0.3">
      <c r="A20" s="20">
        <v>4</v>
      </c>
      <c r="B20" s="92" t="s">
        <v>261</v>
      </c>
      <c r="C20" s="92"/>
      <c r="D20" s="93"/>
      <c r="E20" s="107">
        <f>pm!F132/100000</f>
        <v>789.07002</v>
      </c>
      <c r="F20" s="29"/>
    </row>
    <row r="21" spans="1:6" ht="14" x14ac:dyDescent="0.3">
      <c r="A21" s="20"/>
      <c r="B21" s="92" t="s">
        <v>260</v>
      </c>
      <c r="C21" s="92"/>
      <c r="D21" s="93"/>
      <c r="E21" s="107"/>
      <c r="F21" s="29"/>
    </row>
    <row r="22" spans="1:6" ht="14" x14ac:dyDescent="0.3">
      <c r="A22" s="20"/>
      <c r="B22" s="92"/>
      <c r="C22" s="92"/>
      <c r="D22" s="93"/>
      <c r="E22" s="107"/>
      <c r="F22" s="29"/>
    </row>
    <row r="23" spans="1:6" ht="14" x14ac:dyDescent="0.3">
      <c r="A23" s="20">
        <v>5</v>
      </c>
      <c r="B23" s="92" t="s">
        <v>262</v>
      </c>
      <c r="C23" s="92"/>
      <c r="D23" s="93"/>
      <c r="E23" s="107">
        <v>150</v>
      </c>
      <c r="F23" s="29"/>
    </row>
    <row r="24" spans="1:6" ht="14" x14ac:dyDescent="0.3">
      <c r="A24" s="20"/>
      <c r="B24" s="92"/>
      <c r="C24" s="92"/>
      <c r="D24" s="93"/>
      <c r="E24" s="107"/>
      <c r="F24" s="29"/>
    </row>
    <row r="25" spans="1:6" ht="14" x14ac:dyDescent="0.3">
      <c r="A25" s="20">
        <v>5</v>
      </c>
      <c r="B25" s="356" t="s">
        <v>263</v>
      </c>
      <c r="E25" s="80"/>
      <c r="F25" s="29"/>
    </row>
    <row r="26" spans="1:6" ht="14" x14ac:dyDescent="0.3">
      <c r="A26" s="17"/>
      <c r="B26" s="92"/>
      <c r="C26" s="107"/>
      <c r="D26" s="107"/>
      <c r="E26" s="107"/>
      <c r="F26" s="29"/>
    </row>
    <row r="27" spans="1:6" ht="14" x14ac:dyDescent="0.3">
      <c r="A27" s="17"/>
      <c r="B27" s="92" t="s">
        <v>264</v>
      </c>
      <c r="C27" s="107">
        <v>17</v>
      </c>
      <c r="D27" s="107"/>
      <c r="F27" s="29"/>
    </row>
    <row r="28" spans="1:6" ht="14" x14ac:dyDescent="0.3">
      <c r="A28" s="17"/>
      <c r="B28" s="18" t="s">
        <v>265</v>
      </c>
      <c r="C28" s="107"/>
      <c r="D28" s="107"/>
      <c r="E28" s="107"/>
      <c r="F28" s="29"/>
    </row>
    <row r="29" spans="1:6" ht="14" x14ac:dyDescent="0.3">
      <c r="A29" s="17"/>
      <c r="B29" s="18"/>
      <c r="C29" s="107"/>
      <c r="D29" s="107"/>
      <c r="E29" s="107"/>
      <c r="F29" s="29"/>
    </row>
    <row r="30" spans="1:6" ht="14" x14ac:dyDescent="0.3">
      <c r="A30" s="17"/>
      <c r="B30" s="18" t="s">
        <v>266</v>
      </c>
      <c r="C30" s="108">
        <f>(intt.!G41/100000)/2</f>
        <v>421.99997999999999</v>
      </c>
      <c r="D30" s="107"/>
      <c r="E30" s="357">
        <f>C30+C27</f>
        <v>438.99997999999999</v>
      </c>
      <c r="F30" s="29"/>
    </row>
    <row r="31" spans="1:6" ht="14" x14ac:dyDescent="0.3">
      <c r="A31" s="17"/>
      <c r="B31" s="18"/>
      <c r="C31" s="107"/>
      <c r="D31" s="107"/>
      <c r="E31" s="107"/>
      <c r="F31" s="29"/>
    </row>
    <row r="32" spans="1:6" ht="14" x14ac:dyDescent="0.3">
      <c r="A32" s="17"/>
      <c r="B32" s="26" t="s">
        <v>267</v>
      </c>
      <c r="E32" s="109">
        <f>SUM(E12:E30)</f>
        <v>29014.999980000001</v>
      </c>
      <c r="F32" s="29"/>
    </row>
    <row r="33" spans="1:11" x14ac:dyDescent="0.25">
      <c r="A33" s="30"/>
      <c r="F33" s="29"/>
    </row>
    <row r="34" spans="1:11" x14ac:dyDescent="0.25">
      <c r="A34" s="30"/>
      <c r="F34" s="29"/>
    </row>
    <row r="35" spans="1:11" ht="15" customHeight="1" x14ac:dyDescent="0.35">
      <c r="A35" s="568" t="s">
        <v>268</v>
      </c>
      <c r="B35" s="568"/>
      <c r="C35" s="568"/>
      <c r="D35" s="568"/>
      <c r="E35" s="568"/>
      <c r="F35" s="568"/>
    </row>
    <row r="36" spans="1:11" x14ac:dyDescent="0.25">
      <c r="A36" s="30"/>
      <c r="F36" s="29"/>
    </row>
    <row r="37" spans="1:11" ht="14" x14ac:dyDescent="0.3">
      <c r="A37" s="79">
        <v>1</v>
      </c>
      <c r="B37" s="541" t="s">
        <v>269</v>
      </c>
      <c r="C37" s="528"/>
      <c r="D37" s="528"/>
      <c r="E37" s="542">
        <v>8000</v>
      </c>
      <c r="F37" s="29"/>
    </row>
    <row r="38" spans="1:11" ht="14" x14ac:dyDescent="0.3">
      <c r="A38" s="79"/>
      <c r="B38" s="18"/>
      <c r="E38" s="110"/>
      <c r="F38" s="29"/>
    </row>
    <row r="39" spans="1:11" ht="14" x14ac:dyDescent="0.3">
      <c r="A39" s="79">
        <v>2</v>
      </c>
      <c r="B39" s="21" t="s">
        <v>438</v>
      </c>
      <c r="E39" s="80">
        <f>E32-E37</f>
        <v>21014.999980000001</v>
      </c>
      <c r="F39" s="29"/>
    </row>
    <row r="40" spans="1:11" x14ac:dyDescent="0.25">
      <c r="A40" s="30"/>
      <c r="F40" s="29"/>
    </row>
    <row r="41" spans="1:11" ht="14" x14ac:dyDescent="0.3">
      <c r="A41" s="22"/>
      <c r="B41" s="99" t="s">
        <v>267</v>
      </c>
      <c r="C41" s="23"/>
      <c r="D41" s="23"/>
      <c r="E41" s="109">
        <f>SUM(E37:E40)</f>
        <v>29014.999980000001</v>
      </c>
      <c r="F41" s="24"/>
    </row>
    <row r="44" spans="1:11" x14ac:dyDescent="0.25">
      <c r="K44">
        <f>E39/E32</f>
        <v>0.72428054435587153</v>
      </c>
    </row>
  </sheetData>
  <sheetProtection selectLockedCells="1" selectUnlockedCells="1"/>
  <mergeCells count="4">
    <mergeCell ref="A1:I1"/>
    <mergeCell ref="A2:F2"/>
    <mergeCell ref="A6:F6"/>
    <mergeCell ref="A35:F35"/>
  </mergeCells>
  <pageMargins left="1" right="0.75" top="1.2298611111111111" bottom="1" header="0.51180555555555562" footer="0.51180555555555562"/>
  <pageSetup scale="95"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11</vt:i4>
      </vt:variant>
    </vt:vector>
  </HeadingPairs>
  <TitlesOfParts>
    <vt:vector size="27" baseType="lpstr">
      <vt:lpstr>Front Page</vt:lpstr>
      <vt:lpstr>list of annex.</vt:lpstr>
      <vt:lpstr>pro. at glance</vt:lpstr>
      <vt:lpstr>d. of proj</vt:lpstr>
      <vt:lpstr>P. BD</vt:lpstr>
      <vt:lpstr>SW</vt:lpstr>
      <vt:lpstr>ins.cap.</vt:lpstr>
      <vt:lpstr>pm</vt:lpstr>
      <vt:lpstr>pc&amp;mf</vt:lpstr>
      <vt:lpstr>intt.</vt:lpstr>
      <vt:lpstr>Dep</vt:lpstr>
      <vt:lpstr>P&amp;L</vt:lpstr>
      <vt:lpstr>BS</vt:lpstr>
      <vt:lpstr>Capital</vt:lpstr>
      <vt:lpstr>CF</vt:lpstr>
      <vt:lpstr>BEP</vt:lpstr>
      <vt:lpstr>BS!Print_Area</vt:lpstr>
      <vt:lpstr>Capital!Print_Area</vt:lpstr>
      <vt:lpstr>CF!Print_Area</vt:lpstr>
      <vt:lpstr>'d. of proj'!Print_Area</vt:lpstr>
      <vt:lpstr>ins.cap.!Print_Area</vt:lpstr>
      <vt:lpstr>intt.!Print_Area</vt:lpstr>
      <vt:lpstr>'P&amp;L'!Print_Area</vt:lpstr>
      <vt:lpstr>'P. BD'!Print_Area</vt:lpstr>
      <vt:lpstr>'pc&amp;mf'!Print_Area</vt:lpstr>
      <vt:lpstr>pm!Print_Area</vt:lpstr>
      <vt:lpstr>SW!Print_Area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dheeraj kumar</cp:lastModifiedBy>
  <dcterms:created xsi:type="dcterms:W3CDTF">2024-02-20T14:46:41Z</dcterms:created>
  <dcterms:modified xsi:type="dcterms:W3CDTF">2024-04-02T03:56:10Z</dcterms:modified>
</cp:coreProperties>
</file>