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E7D65AE6-1401-4625-BF76-38B19BFDAFDE}" xr6:coauthVersionLast="47" xr6:coauthVersionMax="47" xr10:uidLastSave="{00000000-0000-0000-0000-000000000000}"/>
  <bookViews>
    <workbookView xWindow="-108" yWindow="-108" windowWidth="23256" windowHeight="13896" tabRatio="500" xr2:uid="{00000000-000D-0000-FFFF-FFFF00000000}"/>
  </bookViews>
  <sheets>
    <sheet name="DC JuntoSep" sheetId="1" r:id="rId1"/>
    <sheet name="Notes" sheetId="2" r:id="rId2"/>
    <sheet name="PPM Prod C5" sheetId="3" r:id="rId3"/>
    <sheet name="PPM CT C5" sheetId="4" r:id="rId4"/>
    <sheet name="PPM DRE C5" sheetId="5" r:id="rId5"/>
    <sheet name="PPM Prod C4" sheetId="6" r:id="rId6"/>
    <sheet name="PPM CT C4" sheetId="7" r:id="rId7"/>
    <sheet name="PPM DRE C4" sheetId="8" r:id="rId8"/>
  </sheets>
  <definedNames>
    <definedName name="_xlnm._FilterDatabase" localSheetId="0" hidden="1">'DC JuntoSep'!$A$1:$AZ$46</definedName>
    <definedName name="MY_FUNCTION1" localSheetId="5">_xludf.lambda(((#REF!-#REF!)/#REF!)+1)</definedName>
    <definedName name="MY_FUNCTION1">_xludf.lambda(((#REF!-#REF!)/#REF!)+1)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49" i="8" l="1"/>
  <c r="P48" i="8"/>
  <c r="O46" i="8"/>
  <c r="P37" i="8"/>
  <c r="O37" i="8"/>
  <c r="S52" i="7"/>
  <c r="R52" i="7"/>
  <c r="S51" i="7"/>
  <c r="R51" i="7"/>
  <c r="Q49" i="7"/>
  <c r="S44" i="7"/>
  <c r="Q44" i="7"/>
  <c r="S37" i="7"/>
  <c r="R37" i="7"/>
  <c r="Q37" i="7"/>
  <c r="R49" i="6"/>
  <c r="Q49" i="6"/>
  <c r="R48" i="6"/>
  <c r="Q48" i="6"/>
  <c r="P46" i="6"/>
  <c r="R42" i="6"/>
  <c r="P42" i="6"/>
  <c r="R37" i="6"/>
  <c r="Q37" i="6"/>
  <c r="P37" i="6"/>
  <c r="R49" i="3"/>
  <c r="Q49" i="3"/>
  <c r="R48" i="3"/>
  <c r="Q48" i="3"/>
  <c r="B5" i="2"/>
  <c r="J48" i="1"/>
  <c r="I48" i="1"/>
  <c r="AZ46" i="1"/>
  <c r="AY46" i="1"/>
  <c r="AX46" i="1"/>
  <c r="AW46" i="1"/>
  <c r="AV46" i="1"/>
  <c r="AU46" i="1"/>
  <c r="AT46" i="1"/>
  <c r="AS46" i="1"/>
  <c r="AR46" i="1"/>
  <c r="H46" i="1"/>
  <c r="AZ45" i="1"/>
  <c r="AY45" i="1"/>
  <c r="AX45" i="1"/>
  <c r="AW45" i="1"/>
  <c r="AV45" i="1"/>
  <c r="AU45" i="1"/>
  <c r="AT45" i="1"/>
  <c r="AS45" i="1"/>
  <c r="AR45" i="1"/>
  <c r="H45" i="1"/>
  <c r="AZ44" i="1"/>
  <c r="AY44" i="1"/>
  <c r="AX44" i="1"/>
  <c r="AW44" i="1"/>
  <c r="AV44" i="1"/>
  <c r="AT44" i="1"/>
  <c r="AS44" i="1"/>
  <c r="K44" i="1"/>
  <c r="AZ43" i="1"/>
  <c r="AY43" i="1"/>
  <c r="AW43" i="1" s="1"/>
  <c r="AX43" i="1"/>
  <c r="AT43" i="1"/>
  <c r="AS43" i="1"/>
  <c r="K43" i="1"/>
  <c r="H43" i="1"/>
  <c r="AZ42" i="1"/>
  <c r="AY42" i="1"/>
  <c r="AW42" i="1" s="1"/>
  <c r="AX42" i="1"/>
  <c r="AV42" i="1"/>
  <c r="AT42" i="1"/>
  <c r="AS42" i="1"/>
  <c r="K42" i="1"/>
  <c r="H42" i="1"/>
  <c r="AZ41" i="1"/>
  <c r="AY41" i="1"/>
  <c r="AX41" i="1"/>
  <c r="AW41" i="1"/>
  <c r="AV41" i="1"/>
  <c r="AT41" i="1"/>
  <c r="AS41" i="1"/>
  <c r="K41" i="1"/>
  <c r="H41" i="1"/>
  <c r="AZ38" i="1"/>
  <c r="AY38" i="1"/>
  <c r="AX38" i="1"/>
  <c r="AW38" i="1"/>
  <c r="AU38" i="1"/>
  <c r="AT38" i="1"/>
  <c r="AS38" i="1"/>
  <c r="K38" i="1"/>
  <c r="H38" i="1"/>
  <c r="AZ37" i="1"/>
  <c r="AY37" i="1"/>
  <c r="AX37" i="1"/>
  <c r="AV37" i="1"/>
  <c r="AT37" i="1"/>
  <c r="AS37" i="1"/>
  <c r="K37" i="1"/>
  <c r="H37" i="1"/>
  <c r="AZ36" i="1"/>
  <c r="AY36" i="1"/>
  <c r="AX36" i="1"/>
  <c r="AW36" i="1"/>
  <c r="AV36" i="1"/>
  <c r="AT36" i="1"/>
  <c r="AS36" i="1"/>
  <c r="K36" i="1"/>
  <c r="H36" i="1"/>
  <c r="AZ35" i="1"/>
  <c r="AY35" i="1"/>
  <c r="AX35" i="1"/>
  <c r="AW35" i="1"/>
  <c r="AV35" i="1"/>
  <c r="AT35" i="1"/>
  <c r="K35" i="1"/>
  <c r="H35" i="1"/>
  <c r="AU35" i="1" s="1"/>
  <c r="AZ34" i="1"/>
  <c r="AY34" i="1"/>
  <c r="AX34" i="1"/>
  <c r="AW34" i="1"/>
  <c r="AU34" i="1"/>
  <c r="AT34" i="1"/>
  <c r="K34" i="1"/>
  <c r="H34" i="1"/>
  <c r="AZ33" i="1"/>
  <c r="AY33" i="1"/>
  <c r="AW33" i="1" s="1"/>
  <c r="AX33" i="1"/>
  <c r="AS33" i="1"/>
  <c r="K33" i="1"/>
  <c r="H33" i="1"/>
  <c r="AZ32" i="1"/>
  <c r="AY32" i="1"/>
  <c r="AW32" i="1" s="1"/>
  <c r="AX32" i="1"/>
  <c r="AT32" i="1"/>
  <c r="AS32" i="1"/>
  <c r="K32" i="1"/>
  <c r="H32" i="1"/>
  <c r="AZ31" i="1"/>
  <c r="AY31" i="1"/>
  <c r="AW31" i="1" s="1"/>
  <c r="AX31" i="1"/>
  <c r="AV31" i="1"/>
  <c r="AT31" i="1"/>
  <c r="AS31" i="1"/>
  <c r="K31" i="1"/>
  <c r="H31" i="1"/>
  <c r="AZ30" i="1"/>
  <c r="AY30" i="1"/>
  <c r="AW30" i="1" s="1"/>
  <c r="AX30" i="1"/>
  <c r="AT30" i="1"/>
  <c r="AS30" i="1"/>
  <c r="K30" i="1"/>
  <c r="H30" i="1"/>
  <c r="AZ29" i="1"/>
  <c r="AY29" i="1"/>
  <c r="AW29" i="1" s="1"/>
  <c r="AX29" i="1"/>
  <c r="AV29" i="1"/>
  <c r="AT29" i="1"/>
  <c r="K29" i="1"/>
  <c r="H29" i="1"/>
  <c r="AZ28" i="1"/>
  <c r="AY28" i="1"/>
  <c r="AW28" i="1" s="1"/>
  <c r="AX28" i="1"/>
  <c r="AV28" i="1"/>
  <c r="AT28" i="1"/>
  <c r="K28" i="1"/>
  <c r="H28" i="1"/>
  <c r="AZ27" i="1"/>
  <c r="AY27" i="1"/>
  <c r="AW27" i="1" s="1"/>
  <c r="AX27" i="1"/>
  <c r="AV27" i="1"/>
  <c r="AT27" i="1"/>
  <c r="AS27" i="1"/>
  <c r="K27" i="1"/>
  <c r="H27" i="1"/>
  <c r="AZ26" i="1"/>
  <c r="AY26" i="1"/>
  <c r="AW26" i="1" s="1"/>
  <c r="AX26" i="1"/>
  <c r="AV26" i="1"/>
  <c r="AT26" i="1"/>
  <c r="AS26" i="1"/>
  <c r="K26" i="1"/>
  <c r="H26" i="1"/>
  <c r="AZ25" i="1"/>
  <c r="AY25" i="1"/>
  <c r="AW25" i="1" s="1"/>
  <c r="AX25" i="1"/>
  <c r="AV25" i="1"/>
  <c r="AT25" i="1"/>
  <c r="AS25" i="1"/>
  <c r="K25" i="1"/>
  <c r="H25" i="1"/>
  <c r="AZ24" i="1"/>
  <c r="AY24" i="1"/>
  <c r="AW24" i="1" s="1"/>
  <c r="AX24" i="1"/>
  <c r="AT24" i="1"/>
  <c r="AS24" i="1"/>
  <c r="K24" i="1"/>
  <c r="H24" i="1"/>
  <c r="AZ23" i="1"/>
  <c r="AY23" i="1"/>
  <c r="AW23" i="1" s="1"/>
  <c r="AX23" i="1"/>
  <c r="AT23" i="1"/>
  <c r="AS23" i="1"/>
  <c r="K23" i="1"/>
  <c r="H23" i="1"/>
  <c r="AR23" i="1" s="1"/>
  <c r="A11" i="4" s="1"/>
  <c r="AZ22" i="1"/>
  <c r="AY22" i="1"/>
  <c r="AW22" i="1" s="1"/>
  <c r="AX22" i="1"/>
  <c r="AV22" i="1"/>
  <c r="AT22" i="1"/>
  <c r="K22" i="1"/>
  <c r="AZ21" i="1"/>
  <c r="AY21" i="1"/>
  <c r="AX21" i="1"/>
  <c r="AW21" i="1"/>
  <c r="AU21" i="1"/>
  <c r="AT21" i="1"/>
  <c r="AS21" i="1"/>
  <c r="K21" i="1"/>
  <c r="H21" i="1"/>
  <c r="AZ20" i="1"/>
  <c r="AY20" i="1"/>
  <c r="AX20" i="1"/>
  <c r="AW20" i="1"/>
  <c r="AV20" i="1"/>
  <c r="AT20" i="1"/>
  <c r="AS20" i="1"/>
  <c r="K20" i="1"/>
  <c r="H20" i="1"/>
  <c r="AZ19" i="1"/>
  <c r="AY19" i="1"/>
  <c r="AX19" i="1"/>
  <c r="AV19" i="1"/>
  <c r="AT19" i="1"/>
  <c r="AS19" i="1"/>
  <c r="K19" i="1"/>
  <c r="H19" i="1"/>
  <c r="AZ18" i="1"/>
  <c r="AY18" i="1"/>
  <c r="AX18" i="1"/>
  <c r="AW18" i="1"/>
  <c r="AV18" i="1"/>
  <c r="AT18" i="1"/>
  <c r="AS18" i="1"/>
  <c r="K18" i="1"/>
  <c r="H18" i="1"/>
  <c r="AZ17" i="1"/>
  <c r="AY17" i="1"/>
  <c r="AX17" i="1"/>
  <c r="AW17" i="1"/>
  <c r="AT17" i="1"/>
  <c r="AS17" i="1"/>
  <c r="K17" i="1"/>
  <c r="H17" i="1"/>
  <c r="AZ16" i="1"/>
  <c r="AY16" i="1"/>
  <c r="AX16" i="1"/>
  <c r="AW16" i="1"/>
  <c r="AV16" i="1"/>
  <c r="AT16" i="1"/>
  <c r="AS16" i="1"/>
  <c r="K16" i="1"/>
  <c r="H16" i="1"/>
  <c r="AZ15" i="1"/>
  <c r="AY15" i="1"/>
  <c r="AX15" i="1"/>
  <c r="AW15" i="1"/>
  <c r="K15" i="1"/>
  <c r="AZ14" i="1"/>
  <c r="AY14" i="1"/>
  <c r="AX14" i="1"/>
  <c r="AW14" i="1"/>
  <c r="AV14" i="1"/>
  <c r="AT14" i="1"/>
  <c r="AS14" i="1"/>
  <c r="K14" i="1"/>
  <c r="H14" i="1"/>
  <c r="AZ13" i="1"/>
  <c r="AW13" i="1" s="1"/>
  <c r="AY13" i="1"/>
  <c r="AX13" i="1"/>
  <c r="AV13" i="1"/>
  <c r="AT13" i="1"/>
  <c r="AS13" i="1"/>
  <c r="K13" i="1"/>
  <c r="H13" i="1"/>
  <c r="AZ12" i="1"/>
  <c r="AY12" i="1"/>
  <c r="AX12" i="1"/>
  <c r="AW12" i="1"/>
  <c r="AT12" i="1"/>
  <c r="AS12" i="1"/>
  <c r="K12" i="1"/>
  <c r="H12" i="1"/>
  <c r="AZ11" i="1"/>
  <c r="AY11" i="1"/>
  <c r="AX11" i="1"/>
  <c r="AW11" i="1"/>
  <c r="AV11" i="1"/>
  <c r="AT11" i="1"/>
  <c r="AS11" i="1"/>
  <c r="K11" i="1"/>
  <c r="H11" i="1"/>
  <c r="AZ10" i="1"/>
  <c r="AY10" i="1"/>
  <c r="AX10" i="1"/>
  <c r="AW10" i="1"/>
  <c r="AT10" i="1"/>
  <c r="AS10" i="1"/>
  <c r="K10" i="1"/>
  <c r="H10" i="1"/>
  <c r="AZ9" i="1"/>
  <c r="AY9" i="1"/>
  <c r="AX9" i="1"/>
  <c r="AW9" i="1"/>
  <c r="AT9" i="1"/>
  <c r="AS9" i="1"/>
  <c r="K9" i="1"/>
  <c r="H9" i="1"/>
  <c r="AZ8" i="1"/>
  <c r="AY8" i="1"/>
  <c r="AX8" i="1"/>
  <c r="AW8" i="1"/>
  <c r="AT8" i="1"/>
  <c r="AS8" i="1"/>
  <c r="K8" i="1"/>
  <c r="H8" i="1"/>
  <c r="AZ7" i="1"/>
  <c r="AY7" i="1"/>
  <c r="AX7" i="1"/>
  <c r="AW7" i="1"/>
  <c r="AT7" i="1"/>
  <c r="AS7" i="1"/>
  <c r="K7" i="1"/>
  <c r="H7" i="1"/>
  <c r="AZ6" i="1"/>
  <c r="AY6" i="1"/>
  <c r="AX6" i="1"/>
  <c r="AW6" i="1"/>
  <c r="AU6" i="1"/>
  <c r="AT6" i="1"/>
  <c r="AS6" i="1"/>
  <c r="K6" i="1"/>
  <c r="H6" i="1"/>
  <c r="AZ5" i="1"/>
  <c r="AY5" i="1"/>
  <c r="AW5" i="1" s="1"/>
  <c r="AX5" i="1"/>
  <c r="AV5" i="1"/>
  <c r="AT5" i="1"/>
  <c r="AS5" i="1"/>
  <c r="K5" i="1"/>
  <c r="H5" i="1"/>
  <c r="AZ4" i="1"/>
  <c r="AY4" i="1"/>
  <c r="AX4" i="1"/>
  <c r="AW4" i="1"/>
  <c r="AV4" i="1"/>
  <c r="AT4" i="1"/>
  <c r="AS4" i="1"/>
  <c r="K4" i="1"/>
  <c r="H4" i="1"/>
  <c r="AZ3" i="1"/>
  <c r="AY3" i="1"/>
  <c r="AX3" i="1"/>
  <c r="AW3" i="1"/>
  <c r="AT3" i="1"/>
  <c r="AS3" i="1"/>
  <c r="K3" i="1"/>
  <c r="H3" i="1"/>
  <c r="AZ2" i="1"/>
  <c r="AY2" i="1"/>
  <c r="AW2" i="1" s="1"/>
  <c r="AX2" i="1"/>
  <c r="AT2" i="1"/>
  <c r="AS2" i="1"/>
  <c r="K2" i="1"/>
  <c r="H2" i="1"/>
  <c r="AW37" i="1" l="1"/>
  <c r="AW19" i="1"/>
  <c r="K48" i="1"/>
  <c r="O49" i="8"/>
  <c r="O48" i="8"/>
  <c r="Q52" i="7"/>
  <c r="Q51" i="7"/>
  <c r="P49" i="6"/>
  <c r="P48" i="6"/>
  <c r="H44" i="1"/>
  <c r="H15" i="1"/>
  <c r="H22" i="1"/>
  <c r="AQ46" i="1"/>
  <c r="AP46" i="1"/>
  <c r="AO46" i="1"/>
  <c r="AN46" i="1"/>
  <c r="AM46" i="1"/>
  <c r="AM45" i="1"/>
  <c r="AQ45" i="1"/>
  <c r="AP45" i="1"/>
  <c r="AO45" i="1"/>
  <c r="AN45" i="1"/>
  <c r="AO43" i="1"/>
  <c r="AM43" i="1"/>
  <c r="A16" i="3" s="1"/>
  <c r="AN43" i="1"/>
  <c r="AV43" i="1"/>
  <c r="C16" i="4" s="1"/>
  <c r="AU43" i="1"/>
  <c r="B16" i="4" s="1"/>
  <c r="AR43" i="1"/>
  <c r="A16" i="4" s="1"/>
  <c r="AQ43" i="1"/>
  <c r="C16" i="3" s="1"/>
  <c r="AP43" i="1"/>
  <c r="B16" i="3" s="1"/>
  <c r="AM42" i="1"/>
  <c r="AP42" i="1"/>
  <c r="AQ42" i="1"/>
  <c r="AR42" i="1"/>
  <c r="AU42" i="1"/>
  <c r="AN42" i="1"/>
  <c r="AO42" i="1"/>
  <c r="AU41" i="1"/>
  <c r="AP41" i="1"/>
  <c r="AO41" i="1"/>
  <c r="AN41" i="1"/>
  <c r="AM41" i="1"/>
  <c r="AR41" i="1"/>
  <c r="AQ41" i="1"/>
  <c r="AP38" i="1"/>
  <c r="AO38" i="1"/>
  <c r="AM38" i="1"/>
  <c r="AV38" i="1"/>
  <c r="AR38" i="1"/>
  <c r="AN38" i="1"/>
  <c r="AQ38" i="1"/>
  <c r="AR37" i="1"/>
  <c r="AM37" i="1"/>
  <c r="AU37" i="1"/>
  <c r="AQ37" i="1"/>
  <c r="AP37" i="1"/>
  <c r="AO37" i="1"/>
  <c r="AN37" i="1"/>
  <c r="AU36" i="1"/>
  <c r="AR36" i="1"/>
  <c r="AP36" i="1"/>
  <c r="AQ36" i="1"/>
  <c r="AN36" i="1"/>
  <c r="AO36" i="1"/>
  <c r="AM36" i="1"/>
  <c r="AR35" i="1"/>
  <c r="AP35" i="1"/>
  <c r="AQ35" i="1"/>
  <c r="AS35" i="1"/>
  <c r="AN35" i="1"/>
  <c r="AM35" i="1"/>
  <c r="AO35" i="1"/>
  <c r="AO34" i="1"/>
  <c r="AQ34" i="1"/>
  <c r="AV34" i="1"/>
  <c r="AM34" i="1"/>
  <c r="AP34" i="1"/>
  <c r="AR34" i="1"/>
  <c r="AN34" i="1"/>
  <c r="AS34" i="1"/>
  <c r="AV33" i="1"/>
  <c r="C15" i="4" s="1"/>
  <c r="AT33" i="1"/>
  <c r="AQ33" i="1"/>
  <c r="C15" i="3" s="1"/>
  <c r="AP33" i="1"/>
  <c r="B15" i="3" s="1"/>
  <c r="AO33" i="1"/>
  <c r="AM33" i="1"/>
  <c r="A15" i="3" s="1"/>
  <c r="AR33" i="1"/>
  <c r="A15" i="4" s="1"/>
  <c r="AU33" i="1"/>
  <c r="B15" i="4" s="1"/>
  <c r="AN33" i="1"/>
  <c r="AU32" i="1"/>
  <c r="B14" i="4" s="1"/>
  <c r="AR32" i="1"/>
  <c r="A14" i="4" s="1"/>
  <c r="AQ32" i="1"/>
  <c r="C14" i="3" s="1"/>
  <c r="AM32" i="1"/>
  <c r="A14" i="3" s="1"/>
  <c r="AO32" i="1"/>
  <c r="AV32" i="1"/>
  <c r="C14" i="4" s="1"/>
  <c r="AP32" i="1"/>
  <c r="B14" i="3" s="1"/>
  <c r="AN32" i="1"/>
  <c r="AU31" i="1"/>
  <c r="AP31" i="1"/>
  <c r="AN31" i="1"/>
  <c r="AR31" i="1"/>
  <c r="AQ31" i="1"/>
  <c r="AM31" i="1"/>
  <c r="AO31" i="1"/>
  <c r="AO30" i="1"/>
  <c r="AV30" i="1"/>
  <c r="C13" i="4" s="1"/>
  <c r="AU30" i="1"/>
  <c r="B13" i="4" s="1"/>
  <c r="AR30" i="1"/>
  <c r="A13" i="4" s="1"/>
  <c r="AM30" i="1"/>
  <c r="A13" i="3" s="1"/>
  <c r="AQ30" i="1"/>
  <c r="C13" i="3" s="1"/>
  <c r="AP30" i="1"/>
  <c r="B13" i="3" s="1"/>
  <c r="AN30" i="1"/>
  <c r="AS29" i="1"/>
  <c r="AQ29" i="1"/>
  <c r="AO29" i="1"/>
  <c r="AR29" i="1"/>
  <c r="AU29" i="1"/>
  <c r="AP29" i="1"/>
  <c r="AN29" i="1"/>
  <c r="AM29" i="1"/>
  <c r="AO28" i="1"/>
  <c r="AU28" i="1"/>
  <c r="AS28" i="1"/>
  <c r="AR28" i="1"/>
  <c r="AQ28" i="1"/>
  <c r="AP28" i="1"/>
  <c r="AN28" i="1"/>
  <c r="AM28" i="1"/>
  <c r="AN27" i="1"/>
  <c r="AU27" i="1"/>
  <c r="AO27" i="1"/>
  <c r="AM27" i="1"/>
  <c r="AP27" i="1"/>
  <c r="AR27" i="1"/>
  <c r="AQ27" i="1"/>
  <c r="AO26" i="1"/>
  <c r="AN26" i="1"/>
  <c r="AM26" i="1"/>
  <c r="AU26" i="1"/>
  <c r="AQ26" i="1"/>
  <c r="AP26" i="1"/>
  <c r="AR26" i="1"/>
  <c r="AP25" i="1"/>
  <c r="AN25" i="1"/>
  <c r="AU25" i="1"/>
  <c r="AR25" i="1"/>
  <c r="AQ25" i="1"/>
  <c r="AO25" i="1"/>
  <c r="AM25" i="1"/>
  <c r="AR24" i="1"/>
  <c r="A12" i="4" s="1"/>
  <c r="AM24" i="1"/>
  <c r="A12" i="3" s="1"/>
  <c r="AU24" i="1"/>
  <c r="B12" i="4" s="1"/>
  <c r="AQ24" i="1"/>
  <c r="C12" i="3" s="1"/>
  <c r="AO24" i="1"/>
  <c r="AP24" i="1"/>
  <c r="B12" i="3" s="1"/>
  <c r="AN24" i="1"/>
  <c r="AV24" i="1"/>
  <c r="C12" i="4" s="1"/>
  <c r="AN23" i="1"/>
  <c r="AO23" i="1"/>
  <c r="AM23" i="1"/>
  <c r="A11" i="3" s="1"/>
  <c r="AP23" i="1"/>
  <c r="B11" i="3" s="1"/>
  <c r="AV23" i="1"/>
  <c r="C11" i="4" s="1"/>
  <c r="AQ23" i="1"/>
  <c r="C11" i="3" s="1"/>
  <c r="AU23" i="1"/>
  <c r="B11" i="4" s="1"/>
  <c r="AV21" i="1"/>
  <c r="AM21" i="1"/>
  <c r="AN21" i="1"/>
  <c r="AO21" i="1"/>
  <c r="AP21" i="1"/>
  <c r="AQ21" i="1"/>
  <c r="AR21" i="1"/>
  <c r="AM20" i="1"/>
  <c r="AN20" i="1"/>
  <c r="AO20" i="1"/>
  <c r="AQ20" i="1"/>
  <c r="AR20" i="1"/>
  <c r="AU20" i="1"/>
  <c r="AP20" i="1"/>
  <c r="AQ19" i="1"/>
  <c r="AR19" i="1"/>
  <c r="AM19" i="1"/>
  <c r="AN19" i="1"/>
  <c r="AU19" i="1"/>
  <c r="AO19" i="1"/>
  <c r="AP19" i="1"/>
  <c r="AP18" i="1"/>
  <c r="AO18" i="1"/>
  <c r="AN18" i="1"/>
  <c r="AM18" i="1"/>
  <c r="AU18" i="1"/>
  <c r="AR18" i="1"/>
  <c r="AQ18" i="1"/>
  <c r="AR17" i="1"/>
  <c r="A10" i="4" s="1"/>
  <c r="AV17" i="1"/>
  <c r="C10" i="4" s="1"/>
  <c r="AU17" i="1"/>
  <c r="B10" i="4" s="1"/>
  <c r="AQ17" i="1"/>
  <c r="C10" i="3" s="1"/>
  <c r="AP17" i="1"/>
  <c r="B10" i="3" s="1"/>
  <c r="AO17" i="1"/>
  <c r="AN17" i="1"/>
  <c r="AM17" i="1"/>
  <c r="A10" i="3" s="1"/>
  <c r="AM16" i="1"/>
  <c r="AN16" i="1"/>
  <c r="AO16" i="1"/>
  <c r="AU16" i="1"/>
  <c r="AR16" i="1"/>
  <c r="AQ16" i="1"/>
  <c r="AP16" i="1"/>
  <c r="AP14" i="1"/>
  <c r="AO14" i="1"/>
  <c r="AN14" i="1"/>
  <c r="AM14" i="1"/>
  <c r="AU14" i="1"/>
  <c r="AR14" i="1"/>
  <c r="AQ14" i="1"/>
  <c r="AP13" i="1"/>
  <c r="AO13" i="1"/>
  <c r="AN13" i="1"/>
  <c r="AM13" i="1"/>
  <c r="AU13" i="1"/>
  <c r="AR13" i="1"/>
  <c r="AQ13" i="1"/>
  <c r="AM12" i="1"/>
  <c r="A8" i="3" s="1"/>
  <c r="AN12" i="1"/>
  <c r="AR12" i="1"/>
  <c r="A8" i="4" s="1"/>
  <c r="AO12" i="1"/>
  <c r="AP12" i="1"/>
  <c r="B8" i="3" s="1"/>
  <c r="AV12" i="1"/>
  <c r="C8" i="4" s="1"/>
  <c r="AQ12" i="1"/>
  <c r="C8" i="3" s="1"/>
  <c r="AU12" i="1"/>
  <c r="B8" i="4" s="1"/>
  <c r="AO11" i="1"/>
  <c r="AN11" i="1"/>
  <c r="AR11" i="1"/>
  <c r="AU11" i="1"/>
  <c r="AQ11" i="1"/>
  <c r="AP11" i="1"/>
  <c r="AM11" i="1"/>
  <c r="AN10" i="1"/>
  <c r="AO10" i="1"/>
  <c r="AP10" i="1"/>
  <c r="B7" i="3" s="1"/>
  <c r="AQ10" i="1"/>
  <c r="C7" i="3" s="1"/>
  <c r="AU10" i="1"/>
  <c r="B7" i="4" s="1"/>
  <c r="AV10" i="1"/>
  <c r="C7" i="4" s="1"/>
  <c r="AM10" i="1"/>
  <c r="A7" i="3" s="1"/>
  <c r="AR10" i="1"/>
  <c r="A7" i="4" s="1"/>
  <c r="AU9" i="1"/>
  <c r="B6" i="4" s="1"/>
  <c r="AP9" i="1"/>
  <c r="B6" i="3" s="1"/>
  <c r="AO9" i="1"/>
  <c r="AM9" i="1"/>
  <c r="A6" i="3" s="1"/>
  <c r="AV9" i="1"/>
  <c r="C6" i="4" s="1"/>
  <c r="AQ9" i="1"/>
  <c r="C6" i="3" s="1"/>
  <c r="AR9" i="1"/>
  <c r="A6" i="4" s="1"/>
  <c r="AN9" i="1"/>
  <c r="AM8" i="1"/>
  <c r="A5" i="3" s="1"/>
  <c r="AV8" i="1"/>
  <c r="C5" i="4" s="1"/>
  <c r="AN8" i="1"/>
  <c r="AU8" i="1"/>
  <c r="B5" i="4" s="1"/>
  <c r="AR8" i="1"/>
  <c r="A5" i="4" s="1"/>
  <c r="AQ8" i="1"/>
  <c r="C5" i="3" s="1"/>
  <c r="AP8" i="1"/>
  <c r="B5" i="3" s="1"/>
  <c r="AO8" i="1"/>
  <c r="AR7" i="1"/>
  <c r="A4" i="4" s="1"/>
  <c r="AV7" i="1"/>
  <c r="C4" i="4" s="1"/>
  <c r="AQ7" i="1"/>
  <c r="C4" i="3" s="1"/>
  <c r="AP7" i="1"/>
  <c r="B4" i="3" s="1"/>
  <c r="AN7" i="1"/>
  <c r="AM7" i="1"/>
  <c r="A4" i="3" s="1"/>
  <c r="AU7" i="1"/>
  <c r="B4" i="4" s="1"/>
  <c r="AO7" i="1"/>
  <c r="AQ6" i="1"/>
  <c r="AR6" i="1"/>
  <c r="AV6" i="1"/>
  <c r="AP6" i="1"/>
  <c r="AO6" i="1"/>
  <c r="AN6" i="1"/>
  <c r="AM6" i="1"/>
  <c r="AU5" i="1"/>
  <c r="AQ5" i="1"/>
  <c r="AP5" i="1"/>
  <c r="AR5" i="1"/>
  <c r="AN5" i="1"/>
  <c r="AM5" i="1"/>
  <c r="AO5" i="1"/>
  <c r="AP4" i="1"/>
  <c r="AM4" i="1"/>
  <c r="AN4" i="1"/>
  <c r="AQ4" i="1"/>
  <c r="AO4" i="1"/>
  <c r="AU4" i="1"/>
  <c r="AR4" i="1"/>
  <c r="AM3" i="1"/>
  <c r="A3" i="3" s="1"/>
  <c r="AN3" i="1"/>
  <c r="AO3" i="1"/>
  <c r="AP3" i="1"/>
  <c r="B3" i="3" s="1"/>
  <c r="AQ3" i="1"/>
  <c r="C3" i="3" s="1"/>
  <c r="AU3" i="1"/>
  <c r="B3" i="4" s="1"/>
  <c r="AV3" i="1"/>
  <c r="C3" i="4" s="1"/>
  <c r="AR3" i="1"/>
  <c r="A3" i="4" s="1"/>
  <c r="AO2" i="1"/>
  <c r="AN2" i="1"/>
  <c r="AM2" i="1"/>
  <c r="A2" i="3" s="1"/>
  <c r="AU2" i="1"/>
  <c r="B2" i="4" s="1"/>
  <c r="AV2" i="1"/>
  <c r="C2" i="4" s="1"/>
  <c r="H48" i="1"/>
  <c r="AR2" i="1"/>
  <c r="A2" i="4" s="1"/>
  <c r="AQ2" i="1"/>
  <c r="C2" i="3" s="1"/>
  <c r="AP2" i="1"/>
  <c r="B2" i="3" s="1"/>
  <c r="AM44" i="1" l="1"/>
  <c r="AN44" i="1"/>
  <c r="AO44" i="1"/>
  <c r="AP44" i="1"/>
  <c r="AQ44" i="1"/>
  <c r="AR44" i="1"/>
  <c r="AU44" i="1"/>
  <c r="AM15" i="1"/>
  <c r="A9" i="3" s="1"/>
  <c r="P36" i="3" s="1"/>
  <c r="AN15" i="1"/>
  <c r="AO15" i="1"/>
  <c r="AP15" i="1"/>
  <c r="B9" i="3" s="1"/>
  <c r="AQ15" i="1"/>
  <c r="C9" i="3" s="1"/>
  <c r="R36" i="3" s="1"/>
  <c r="AR15" i="1"/>
  <c r="A9" i="4" s="1"/>
  <c r="Q36" i="4" s="1"/>
  <c r="AS15" i="1"/>
  <c r="AT15" i="1"/>
  <c r="AU15" i="1"/>
  <c r="B9" i="4" s="1"/>
  <c r="AV15" i="1"/>
  <c r="C9" i="4" s="1"/>
  <c r="S36" i="4" s="1"/>
  <c r="AS22" i="1"/>
  <c r="AR22" i="1"/>
  <c r="AN22" i="1"/>
  <c r="AQ22" i="1"/>
  <c r="AM22" i="1"/>
  <c r="AP22" i="1"/>
  <c r="AU22" i="1"/>
  <c r="AO22" i="1"/>
  <c r="Q30" i="4"/>
  <c r="R36" i="4"/>
  <c r="Q38" i="4"/>
  <c r="Q39" i="4"/>
  <c r="S38" i="4" l="1"/>
  <c r="S37" i="4" s="1"/>
  <c r="S49" i="4"/>
  <c r="S39" i="4"/>
  <c r="Q37" i="4"/>
  <c r="R38" i="4"/>
  <c r="R39" i="4"/>
  <c r="R49" i="4"/>
  <c r="P39" i="3"/>
  <c r="P38" i="3"/>
  <c r="R42" i="3"/>
  <c r="P42" i="3" s="1"/>
  <c r="O29" i="3"/>
  <c r="Q36" i="3"/>
  <c r="P46" i="3"/>
  <c r="R38" i="3"/>
  <c r="R39" i="3"/>
  <c r="S44" i="4"/>
  <c r="Q44" i="4" s="1"/>
  <c r="P37" i="3" l="1"/>
  <c r="S51" i="4"/>
  <c r="S52" i="4"/>
  <c r="R51" i="4"/>
  <c r="R52" i="4"/>
  <c r="Q49" i="4"/>
  <c r="Q39" i="3"/>
  <c r="Q38" i="3"/>
  <c r="P49" i="3"/>
  <c r="P48" i="3"/>
  <c r="R37" i="4"/>
  <c r="R37" i="3"/>
  <c r="Q37" i="3" l="1"/>
  <c r="Q51" i="4"/>
  <c r="Q52" i="4"/>
</calcChain>
</file>

<file path=xl/sharedStrings.xml><?xml version="1.0" encoding="utf-8"?>
<sst xmlns="http://schemas.openxmlformats.org/spreadsheetml/2006/main" count="381" uniqueCount="206">
  <si>
    <t>Sr No</t>
  </si>
  <si>
    <t>Department</t>
  </si>
  <si>
    <t>Project Name</t>
  </si>
  <si>
    <t>Module</t>
  </si>
  <si>
    <t>Name of Sub Modules</t>
  </si>
  <si>
    <t xml:space="preserve"> Features-Functionality</t>
  </si>
  <si>
    <t>CR</t>
  </si>
  <si>
    <t>Size USP_FP</t>
  </si>
  <si>
    <t>Hours Consumed</t>
  </si>
  <si>
    <t>Planned Effort (Person Hours)</t>
  </si>
  <si>
    <t>Actual Effort (Person Hours)</t>
  </si>
  <si>
    <t>Planned Start Date (module)</t>
  </si>
  <si>
    <t>Planned End Date (module)</t>
  </si>
  <si>
    <t>Actual Start Date (module)</t>
  </si>
  <si>
    <t>Actual End Date (module)</t>
  </si>
  <si>
    <t>Requirement Analysis Start Date (module)</t>
  </si>
  <si>
    <t>Requirement Analysis End Date (module)</t>
  </si>
  <si>
    <t>Design Start Date (module)</t>
  </si>
  <si>
    <t>Design End Date (module)</t>
  </si>
  <si>
    <t>Coding Start Date (module)</t>
  </si>
  <si>
    <t>Coding End Date (module)</t>
  </si>
  <si>
    <t>Testing Start Date (module)</t>
  </si>
  <si>
    <t>Testing End Date (module)</t>
  </si>
  <si>
    <t>Requirement Efforts</t>
  </si>
  <si>
    <t>Design Actual Efforts</t>
  </si>
  <si>
    <t>Coding Actual Effort</t>
  </si>
  <si>
    <t>Code Review Actual Effort</t>
  </si>
  <si>
    <t>Testing Actual Effort</t>
  </si>
  <si>
    <t>Testing Review Efforts</t>
  </si>
  <si>
    <t>Requirement Review Efforts</t>
  </si>
  <si>
    <t>Design Review Effort</t>
  </si>
  <si>
    <t>Requirement Review Defects</t>
  </si>
  <si>
    <t>Design Review Defects</t>
  </si>
  <si>
    <t>Code Review Defects</t>
  </si>
  <si>
    <t>Internal Testing Defects</t>
  </si>
  <si>
    <t>UAT Defects</t>
  </si>
  <si>
    <t>Production Defects</t>
  </si>
  <si>
    <t>Productivity</t>
  </si>
  <si>
    <t>Req_Rate</t>
  </si>
  <si>
    <t>Des_Rate</t>
  </si>
  <si>
    <t>Code_Rate</t>
  </si>
  <si>
    <t>Test_Rate</t>
  </si>
  <si>
    <t>Cycle Time</t>
  </si>
  <si>
    <t>Req_CT</t>
  </si>
  <si>
    <t>Des_CT</t>
  </si>
  <si>
    <t>Code_CT</t>
  </si>
  <si>
    <t>Test_CT</t>
  </si>
  <si>
    <t>DRE</t>
  </si>
  <si>
    <t xml:space="preserve">Code Review Per Size </t>
  </si>
  <si>
    <t>Total Review Defects</t>
  </si>
  <si>
    <t>Internal Testing</t>
  </si>
  <si>
    <t>Public Health Engineering Department</t>
  </si>
  <si>
    <t>Jal Rekha</t>
  </si>
  <si>
    <t>Anusharavan</t>
  </si>
  <si>
    <t>RFI New Stages &amp; Reports</t>
  </si>
  <si>
    <t>1. Stage Updation
2. NEW Stage changes
3. Testing
4. Report creation/ Modification
Ref: US-ANS-C5-001/002/003; Jun-Aug PSR (new stage, stage updation, report modification)</t>
  </si>
  <si>
    <t>CR - Save as Draft, Survey Fix &amp; Optimisation</t>
  </si>
  <si>
    <t>1. Anusharavan Survey Bug fix and optimization
2. FE login - Save as Draft Functionality
3. Internal Testing
Ref: US-SEP-24; Sep PSR (survey bug fix and optimisation)</t>
  </si>
  <si>
    <t>Yes</t>
  </si>
  <si>
    <t>Asset Mapping</t>
  </si>
  <si>
    <t>Asset Data Map, BISAC / Sujalam Bharat API</t>
  </si>
  <si>
    <t>1. Bug Fixing from Frontend
2. API Integration
3. Sujalam Bharat API Mapping &amp; Survey Asset data
Ref: US-AST-C5-001/002, US-BISAC-C5-001/002, US-AUG-31/32</t>
  </si>
  <si>
    <t>Bharosa CR</t>
  </si>
  <si>
    <t>Factory Testing Web</t>
  </si>
  <si>
    <t>1. Bug Fixing from Frontend
Ref: US-BHR-C5-001; Jul MoM (item master duplicate fix)</t>
  </si>
  <si>
    <t>CR - Factory Testing Mobile</t>
  </si>
  <si>
    <t>1. Internal Testing
Ref: US-BHR-C5-002; Jul MoM (factory testing mobile bug fixes)</t>
  </si>
  <si>
    <t>Cube Testing</t>
  </si>
  <si>
    <t>Contractor Login</t>
  </si>
  <si>
    <t>1. Prod/CR/UAT Testing (Including prod issue validation)
2. Creation of Cube Inspection by Contractor
3. Internal Testing
Ref: US-CUBE-C5-001/002/003; Jun-Jul MoM</t>
  </si>
  <si>
    <t>FE Login</t>
  </si>
  <si>
    <t>1. Internal Testing
2. Cube inspection carried out by FE
3. Prod/CR/UAT Testing (Including prod issue validation)
4. Save as Draft functionality for FE Login
5. Test Case and Test Scenario Creation
Ref: US-CUBE-C5-004; Jul PSR (FE re-inspection, loop testing)</t>
  </si>
  <si>
    <t>GM - SQC - TPIA</t>
  </si>
  <si>
    <t>1. Prod/CR/UAT Testing (Including prod issue validation)
2. Bug Fixing from Frontend
Ref: US-CUBE-C5-001; Jun/Jul PSR (GM login rejected-RFI, prod validation)</t>
  </si>
  <si>
    <t>CR - Re-Inspection Loop, RFI Details &amp; New Stages</t>
  </si>
  <si>
    <t>1. Mandatory Mulitple Image Upload functionality
2. Complete Loop run again till FE (Cube Testing Approval)
3. New Stage Changes - Mobile App, DB, API &amp; Web level
4. New Feature creation &amp; Modification  - RFI details Updation with UI Change
5. UAT/Prod/CR-- Validation including bugs
Ref: US-CUBE-C5-004/005, US-SEP-20/21; Jul-Sep PSR</t>
  </si>
  <si>
    <t>Requirement - Web Pages &amp; Queries</t>
  </si>
  <si>
    <t>1. New web page creation/ Modification
2. Query/SP creation/Modification
Ref: Jul PSR (rejected RFI re-inspection, UI update)</t>
  </si>
  <si>
    <t>Dhara</t>
  </si>
  <si>
    <t>Dhara - Reports, UI &amp; Bug Fixes</t>
  </si>
  <si>
    <t>1. UI update in existing page
2. Bug fixing from Dhara Report
3. UAT/Prod/CR Testing
4. New web page creation/ Modification
Ref: US-DHR-C5-001/002/004/006; US-SEP-15/16</t>
  </si>
  <si>
    <t>Dhara CR - Reports (MWSR, DWSR, UFW)</t>
  </si>
  <si>
    <t>1. Updation and recreate fetch - DWSR, MWSR, Bulk Consumer, Approved Reports, and UFW
Ref: US-DHR-C5-001/002/007; Jun-Jul PSR</t>
  </si>
  <si>
    <t>Dhara Change Request - GM PIU User/TL</t>
  </si>
  <si>
    <t>1. Meter reading survey for intake, wtp, oht, bulk both for web &amp; mobile view
2. Dhara - Habitation Updation
Ref: US-SEP-16/17; Sep PSR (meter reading survey, 16-Sep working session)</t>
  </si>
  <si>
    <t>Dashboard</t>
  </si>
  <si>
    <t>Dashboard Redesign &amp; Public Reports</t>
  </si>
  <si>
    <t>1. Wireframing
2. BUg Fixing / Modification of Public DWSR
3. Requirement Gathering
4. CR/Prod/UAT Bug testing
Ref: Jul PSR (dashboard redesign, public reports); Sep PSR (login/forgot-password UI)</t>
  </si>
  <si>
    <t>FHTC</t>
  </si>
  <si>
    <t>Change Request FHTC - Loop, Reports &amp; API</t>
  </si>
  <si>
    <t>1. FHTC Loop functionality implementation
2. Database functions to be Implemented &amp; modified
3. Report Filter issues at column level
4. API Service and External API Functionality updations
5. Customized and Summary report changes
Ref: US-FHTC-C5-001/004/005; Jul MoM (Samagra multi-survey)</t>
  </si>
  <si>
    <t>FE Reports - Bug Fixing, Pages &amp; Test Cases</t>
  </si>
  <si>
    <t>1. Query/SP creation/Modification
2. Test Case Creation
3. Bug Fixing from Frontend or Database end
4. New web page creation/ Modification
Ref: US-FHTC-C5-002/003; Jul-Aug PSR</t>
  </si>
  <si>
    <t>Parinam Enhancements - Dashboard</t>
  </si>
  <si>
    <t>1. Parinam Dashboard
Ref: US-AUG-27, US-SEP-26</t>
  </si>
  <si>
    <t>Master</t>
  </si>
  <si>
    <t>Change Request - Mapping &amp; Reports</t>
  </si>
  <si>
    <t>1. Dhara Mapped Summary report - Changes in Abstract report
2. Scheme Village OHT Mapping &amp; Report Updations
Ref: US-VST-C5-001..005, US-MSTR-C5-001/002/003</t>
  </si>
  <si>
    <t>Survey Intake / WTP / OHT Master</t>
  </si>
  <si>
    <t>1. Survey data of Intake Master
2. Survey data of OHT Master
3. Survey data of WTP Master
Ref: US-SEP-25; Sep PSR (delivered 16-Sep working session)</t>
  </si>
  <si>
    <t>Material Testing</t>
  </si>
  <si>
    <t>1. UAT/Prod/CR Testing
Ref: Aug PSR (UAT/prod checks)</t>
  </si>
  <si>
    <t>GM / Contractor Login</t>
  </si>
  <si>
    <t>1. Bug Fixing from Frontend
2. Business Logic APIs creation/Changes
3. Requirement Gathering
Ref: US-MAT-C5-003; Jun-Jul PSR</t>
  </si>
  <si>
    <t>CR - Re-Inspection Loop, DB/API &amp; New Stages</t>
  </si>
  <si>
    <t>1. Database functions Updation &amp; API Web and Mobile Services
2. Loop Functionality
3. Test Case/Scenario Creation
4. New Stage Changes - Mobile App, DB, API &amp; Web level
Ref: US-MAT-C5-001/002/003, US-AUG-25, US-SEP-22</t>
  </si>
  <si>
    <t>Nirmal</t>
  </si>
  <si>
    <t>CR - Reports (Beneficiary, WTP, OHT)</t>
  </si>
  <si>
    <t>1. Report Issue
2. Production Bug Fix
3. Test Scenario and Test Case Creation
4. Nirmal Issues of reading
Ref: US-NRM-C5-001/002/004</t>
  </si>
  <si>
    <t>FE Mobile Reports</t>
  </si>
  <si>
    <t>1. Nirmal Reports
Ref: US-NRM-C5-003</t>
  </si>
  <si>
    <t>O&amp;M</t>
  </si>
  <si>
    <t>CR - GM</t>
  </si>
  <si>
    <t>1. Bug Fixing from Frontend
2. UI update in existing page
3. New web page creation/ Modification
Ref: US-OM-C5-013/015/016; PSR-SEP-03</t>
  </si>
  <si>
    <t>CR - Contractor</t>
  </si>
  <si>
    <t>1. O&amp;M Billing Contractor Summary Page changes
2. Contractor Bill generation flow and update Approved Reports
3. CR in Contractor - Summary page Abstract Report
4. "Generate Abstract Page(Pressure Redressal Sheet)" After Save &amp; Submit – Contractor Side
5. Updation &amp; Validation addition in Dhara Reports
Ref: US-OM-C5-001/008; PSR-SEP-02 (Bill Tracking UI overhaul)</t>
  </si>
  <si>
    <t>Enhancements - Bill Generation, WSDCP &amp; Workflow Requirements</t>
  </si>
  <si>
    <t>1. Contractor/GM Login O&amp;M BIll Generation Enhancements
2. O&amp;M Workflow Implementation and WSDCP and TRR Phase requirement gathering
Ref: US-AUG-01..14, US-AUG-18, US-SEP-02..14</t>
  </si>
  <si>
    <t>Workflow between GM (O&amp;M) &amp; Higher Officials</t>
  </si>
  <si>
    <t>1. Worflow Functionality at each login for O&amp;M Billing
2. O&amp;M Billing Workflow preparation &amp; requirement gathering
Ref: US-AUG-07/09/10; Sep PSR (quarter filter, open bill access)</t>
  </si>
  <si>
    <t>Sahbhagita</t>
  </si>
  <si>
    <t>Change Request - RA Bill, Activities &amp; Abstract Report</t>
  </si>
  <si>
    <t>1. Sahbhagita Activities Addition &amp; Abstract Report Creation
2. RA Bill Functionlaity on CP Manager
3. Test Case Creation
4. New web page creation/ Modification
Ref: US-SAH-C5-001/002/003/006/007; US-AUG-26</t>
  </si>
  <si>
    <t>Change Request - GM / PM / Reports</t>
  </si>
  <si>
    <t>1. Bug Fixing from Frontend or Database end
2. Add Save as Draft Functionality
Ref: US-SAH-C5-008; Jun-Aug PSR</t>
  </si>
  <si>
    <t>GM - Production Support, SIT &amp; UAT</t>
  </si>
  <si>
    <t>1. Bug Fixing from Frontend
2. Bug Fixing from Frontend or Database end
3. UAT/Prod/CR Testing
4. SIT Testing
Ref: US-SAH-C5-005/009/010/011; Jun-Sep PSR</t>
  </si>
  <si>
    <t>SVS</t>
  </si>
  <si>
    <t>Water Supply Monitoring</t>
  </si>
  <si>
    <t>1. Development of Web pages and Database functions
2. SVS Daily Water Supply Wireframe
3. SVS dashboard Creation
4. Database functionality to add specific fields into the required tables
5. Test Case/Scenario Creation
6. Test Plan Document
7. Internal Testing
Ref: US-SVS-C5-001..004, US-AUG-19/20/21</t>
  </si>
  <si>
    <t>SVS Nirmal - FTK Kit &amp; Nirmal GP</t>
  </si>
  <si>
    <t>1. SVS Nirmal  Water Supply details FTK kit requirements
2. Requirement gathering, meetings and wireframe
3. Internal Testing
Ref: US-SEP-28; Sep PSR (FTK kit wireframe, SVS Nirmal GP)</t>
  </si>
  <si>
    <t>SVS Anusharavan GP - Master, Mobile &amp; RFI</t>
  </si>
  <si>
    <t>1. Project Module Initiation Meeting and Requirement gathering
2. Anusharavan at Gram Panchanyat level
3. Mobile Development
4. Requirement gathering, meetings and Wireframe
5. Web Development, API &amp; Database Functions
Ref: US-SEP-29/30/31/32/33/34, US-AUG-35</t>
  </si>
  <si>
    <t>Sopan</t>
  </si>
  <si>
    <t>CR - Contractor Calendar (Web / Mobile)</t>
  </si>
  <si>
    <t>1. Adding Calendar functionality for 2026-27 year option
Ref: US-SOP-C5-001; Jul MoM</t>
  </si>
  <si>
    <t>Daily Inspection</t>
  </si>
  <si>
    <t>Role-based Reports &amp; Mobile Fixes</t>
  </si>
  <si>
    <t>1. Production deployment
2. New web page creation/ Modification
3. Bug Fixing Mobile APP
Ref: US-DIN-C5-001/002</t>
  </si>
  <si>
    <t>User &amp; Role Management</t>
  </si>
  <si>
    <t>Selenium Automation (Login, Registration, Assign Work)</t>
  </si>
  <si>
    <t>1. Automation with Selenium
Ref: US-QA-C5-001/002, PSR-SEP-04</t>
  </si>
  <si>
    <t>CI/CD</t>
  </si>
  <si>
    <t>Azure DevOps Android Pipeline</t>
  </si>
  <si>
    <t>1. CI/CD Pipeline Implementation
Ref: Jun PSR (CI/CD pipeline implementation)</t>
  </si>
  <si>
    <t>Adhoc</t>
  </si>
  <si>
    <t>Two-Factor Authentication Implementation</t>
  </si>
  <si>
    <t>1. 2 Factor Authentication Implementation
Ref: US-SEP-36; Sep PSR (Adhoc)</t>
  </si>
  <si>
    <t>Crash Analytics Fixes &amp; Regression Testing</t>
  </si>
  <si>
    <t>1. Crash Analytics &amp; Issue Fixes
2. Mobile/Web- Enhancement and Regression Testing
Ref: US-SEP-37; Sep PSR (Play Store crashlytics fixes)</t>
  </si>
  <si>
    <t>AI Module</t>
  </si>
  <si>
    <t>AI Module - FHTC Tap Connection</t>
  </si>
  <si>
    <t>1. Machine Learning Predictive Model Implementation
2. ML model implementation on the tap connection monitoring buffer region, and other validations
3. Data Processing of FHTC Tap connections using AI models
Ref: US-AI-C5-001/002/003; Jun MoM/PSR (YOLO model, buffer-region validation)</t>
  </si>
  <si>
    <t>CMMI Doc</t>
  </si>
  <si>
    <t>CMMI Documentation - Cycle 4 Closure &amp; Cycle 5</t>
  </si>
  <si>
    <t>1. Cycle 4 Documentation from Jan to June 2026
2. Documentation of CMMI and Attneding Audit meeting
3. Data Collection Estimation &amp; Model Minitab
4. CMMI Cycle 5 Documentation from June till end
5. Promot activity- CMMIL5 Audit
6. CMMI Documentation
7. Automation Testing - Internal Review Meeting
8. CMMI documents Creation
Ref: US-CMMI-C5-001/002, US-AUG-29; Jun-Aug PSR</t>
  </si>
  <si>
    <t>CMMI Statistical Analysis (Minitab)</t>
  </si>
  <si>
    <t>1. Minitab Data Modeling - PPM Prod, PPM CT and DRE
Ref: Jun PSR (PPM Productivity, Cycle Time, DRE modelling)</t>
  </si>
  <si>
    <t>TOTAL</t>
  </si>
  <si>
    <t>Jal Rekha - Data Collection Cycle 5 (Jun-Sep 2026): parameters and method</t>
  </si>
  <si>
    <t>Parameter</t>
  </si>
  <si>
    <t>Value</t>
  </si>
  <si>
    <t>Note</t>
  </si>
  <si>
    <t>Targeted productivity (pt/hr)</t>
  </si>
  <si>
    <t>Raised from 0.179 (Cycle 4) to 0.19 as instructed; same value as Baseline Productivity in the Cycle 5 estimation workbook.</t>
  </si>
  <si>
    <t>Hours per story point</t>
  </si>
  <si>
    <t>About 5.26 hrs (Cycle 4 used 5.6). Size (col H) = ROUNDUP(Hours Consumed / B5), the same rule as Cycle 4 with the new divisor.</t>
  </si>
  <si>
    <t>Source of hours / dates</t>
  </si>
  <si>
    <t>Date-Wise Time Sheet Jun-Sep 2026 (622 entries, 3,442 hrs). Hours Consumed = sum of consumed hours for the sub-module; Actual Effort = Hours Consumed.</t>
  </si>
  <si>
    <t>Planned Effort</t>
  </si>
  <si>
    <t>Sum of Assign Hours of unique tasks (resource, module, activity, task, assign date) in the sub-module. Planned Start = earliest Task Assign Date; Planned End = latest (Task Assign Date + assigned hours / 8 working days).</t>
  </si>
  <si>
    <t>Actual Start / End</t>
  </si>
  <si>
    <t>Earliest and latest timesheet entry dates for the sub-module.</t>
  </si>
  <si>
    <t>Phase dates and efforts</t>
  </si>
  <si>
    <t>Timesheet entries classified by Activity Name: requirement / meeting / initiation = Requirement; wireframe = Design; test / UAT / SIT / Selenium = Testing; everything else = Coding. Phases with no entries are left blank (not estimated).</t>
  </si>
  <si>
    <t>Cycle Time (col AR)</t>
  </si>
  <si>
    <t>Calendar days from earliest to latest phase date divided by Size; phase cycle times are blank when a phase has no dates. Cycle 4 used Requirement start to Testing end, which fails when a phase is absent.</t>
  </si>
  <si>
    <t>Not available in any source</t>
  </si>
  <si>
    <t>Review efforts (AA, AC, AD, AE) and all defect counts (AF-AK) are not in the timesheet, MoMs, PSRs or user stories, so they are left blank (yellow). DRE, Code Review Per Size, Total Review Defects and Internal Testing density stay blank until entered. Code_Rate and Test_Rate exclude review effort until AA/AC are filled.</t>
  </si>
  <si>
    <t>CMMI Doc rows</t>
  </si>
  <si>
    <t>Hours and size only, as in Cycle 4.</t>
  </si>
  <si>
    <t>Excluded timesheet hours</t>
  </si>
  <si>
    <t>Department Meetings (34 hrs) and Adhoc Training/Walkthrough (3 hrs) = 37 hrs; all other 3,405 hrs are in the DC sheet.</t>
  </si>
  <si>
    <t>Cycle 4 baseline</t>
  </si>
  <si>
    <t>PPM Prod C4 / PPM CT C4 / PPM DRE C4 are carried over unchanged from Cycle 4 V6 for comparison. PPM C5 sheets are live formulas on the DC sheet.</t>
  </si>
  <si>
    <t>PPM C5 statistics</t>
  </si>
  <si>
    <t>Mean = AVERAGE; UCL / LCL = Mean +/- 3 SD (sample SD); regression coefficients from LINEST. Cycle 4 values were produced in Minitab, so small differences are expected; re-run Minitab for the audit record.</t>
  </si>
  <si>
    <t>Regression Equation</t>
  </si>
  <si>
    <t>=</t>
  </si>
  <si>
    <t xml:space="preserve">AS-IS </t>
  </si>
  <si>
    <t xml:space="preserve">Mean </t>
  </si>
  <si>
    <t xml:space="preserve">SD </t>
  </si>
  <si>
    <t xml:space="preserve">UCL </t>
  </si>
  <si>
    <t xml:space="preserve">LCL </t>
  </si>
  <si>
    <t>Target</t>
  </si>
  <si>
    <t xml:space="preserve">What if </t>
  </si>
  <si>
    <t xml:space="preserve">USL </t>
  </si>
  <si>
    <t>LSL</t>
  </si>
  <si>
    <t>Cycle time</t>
  </si>
  <si>
    <t>Code Review Per Size</t>
  </si>
  <si>
    <t>Pending: enter review and defect counts in DC JuntoSep (AF-AK); then link rows here as in PPM DRE C4.</t>
  </si>
  <si>
    <t>Regression to be run once defect data is available (Cycle 4: 0.5959 + 1.215 Code Review Per Size)</t>
  </si>
  <si>
    <t>0.1199 + 0.1236 Code_Rate + 0.03540 Test_Rate</t>
  </si>
  <si>
    <t>0.1055 + 1.585 Code_CT + 0.805 Test_CT</t>
  </si>
  <si>
    <t>0.5959 + 1.215 Code Review Per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</si>
</sst>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dd\-mm\-yyyy"/>
    <numFmt numFmtId="166" formatCode="0.000"/>
  </numFmts>
  <fonts count="13" x14ac:knownFonts="1">
    <font>
      <sz val="11"/>
      <color theme="1"/>
      <name val="Calibri"/>
      <charset val="1"/>
    </font>
    <font>
      <sz val="10"/>
      <name val="Arial"/>
      <family val="2"/>
      <charset val="1"/>
    </font>
    <font>
      <sz val="11"/>
      <color theme="1"/>
      <name val="Calibri"/>
      <family val="2"/>
      <charset val="1"/>
    </font>
    <font>
      <b/>
      <sz val="12"/>
      <color theme="1"/>
      <name val="Calibri"/>
      <family val="2"/>
      <charset val="1"/>
    </font>
    <font>
      <sz val="12"/>
      <color theme="1"/>
      <name val="Calibri"/>
      <family val="2"/>
      <charset val="1"/>
    </font>
    <font>
      <b/>
      <sz val="11"/>
      <name val="Cambria"/>
      <charset val="1"/>
    </font>
    <font>
      <b/>
      <sz val="12"/>
      <name val="Arial"/>
      <charset val="1"/>
    </font>
    <font>
      <b/>
      <sz val="10"/>
      <name val="Arial"/>
      <charset val="1"/>
    </font>
    <font>
      <sz val="10"/>
      <name val="Arial"/>
      <charset val="1"/>
    </font>
    <font>
      <sz val="10"/>
      <color rgb="FF0000FF"/>
      <name val="Arial"/>
      <charset val="1"/>
    </font>
    <font>
      <sz val="11"/>
      <color rgb="FF0000FF"/>
      <name val="Cambria"/>
      <charset val="1"/>
    </font>
    <font>
      <i/>
      <sz val="11"/>
      <name val="Cambria"/>
      <charset val="1"/>
    </font>
    <font>
      <b/>
      <sz val="11"/>
      <color theme="1"/>
      <name val="Calibri"/>
      <family val="2"/>
      <charset val="1"/>
    </font>
  </fonts>
  <fills count="15">
    <fill>
      <patternFill patternType="none"/>
    </fill>
    <fill>
      <patternFill patternType="gray125"/>
    </fill>
    <fill>
      <patternFill patternType="solid">
        <fgColor rgb="FFC1D7D7"/>
        <bgColor rgb="FFB4C6E7"/>
      </patternFill>
    </fill>
    <fill>
      <patternFill patternType="solid">
        <fgColor rgb="FFFFFF00"/>
        <bgColor rgb="FFFFFF00"/>
      </patternFill>
    </fill>
    <fill>
      <patternFill patternType="solid">
        <fgColor rgb="FFFFE598"/>
        <bgColor rgb="FFFFF2CC"/>
      </patternFill>
    </fill>
    <fill>
      <patternFill patternType="solid">
        <fgColor rgb="FF00B0F0"/>
        <bgColor rgb="FF33CCCC"/>
      </patternFill>
    </fill>
    <fill>
      <patternFill patternType="solid">
        <fgColor rgb="FFB4C6E7"/>
        <bgColor rgb="FFC1D7D7"/>
      </patternFill>
    </fill>
    <fill>
      <patternFill patternType="solid">
        <fgColor rgb="FFA8D08D"/>
        <bgColor rgb="FF92D050"/>
      </patternFill>
    </fill>
    <fill>
      <patternFill patternType="solid">
        <fgColor theme="0"/>
        <bgColor rgb="FFFFF2CC"/>
      </patternFill>
    </fill>
    <fill>
      <patternFill patternType="solid">
        <fgColor rgb="FFFFF2CC"/>
        <bgColor rgb="FFFFFFFF"/>
      </patternFill>
    </fill>
    <fill>
      <patternFill patternType="solid">
        <fgColor theme="5"/>
        <bgColor rgb="FFFF8080"/>
      </patternFill>
    </fill>
    <fill>
      <patternFill patternType="solid">
        <fgColor rgb="FF92D050"/>
        <bgColor rgb="FFA8D08D"/>
      </patternFill>
    </fill>
    <fill>
      <patternFill patternType="solid">
        <fgColor theme="0"/>
        <bgColor indexed="64"/>
      </patternFill>
    </fill>
    <fill>
      <patternFill patternType="solid">
        <fgColor theme="0"/>
        <bgColor rgb="FFFFFF00"/>
      </patternFill>
    </fill>
    <fill>
      <patternFill patternType="solid">
        <fgColor theme="0"/>
        <bgColor rgb="FFFFFFFF"/>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7">
    <xf numFmtId="0" fontId="0" fillId="0" borderId="0"/>
    <xf numFmtId="0" fontId="1" fillId="0" borderId="0"/>
    <xf numFmtId="0" fontId="2" fillId="0" borderId="0"/>
    <xf numFmtId="0" fontId="2" fillId="0" borderId="0"/>
    <xf numFmtId="0" fontId="2" fillId="0" borderId="0"/>
    <xf numFmtId="0" fontId="2" fillId="0" borderId="0"/>
    <xf numFmtId="9" fontId="2" fillId="0" borderId="0"/>
  </cellStyleXfs>
  <cellXfs count="73">
    <xf numFmtId="0" fontId="0" fillId="0" borderId="0" xfId="0"/>
    <xf numFmtId="0" fontId="4" fillId="4"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top"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164" fontId="3" fillId="2" borderId="1" xfId="0" applyNumberFormat="1" applyFont="1" applyFill="1" applyBorder="1" applyAlignment="1">
      <alignment horizontal="center" vertical="center" wrapText="1"/>
    </xf>
    <xf numFmtId="165" fontId="3" fillId="2" borderId="1"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4" borderId="1" xfId="0" applyFont="1" applyFill="1" applyBorder="1" applyAlignment="1">
      <alignment horizontal="center" vertical="center" wrapText="1"/>
    </xf>
    <xf numFmtId="0" fontId="4" fillId="0" borderId="1" xfId="0" applyFont="1" applyBorder="1" applyAlignment="1">
      <alignment horizontal="left" vertical="top" wrapText="1"/>
    </xf>
    <xf numFmtId="165" fontId="4" fillId="8" borderId="1" xfId="0" applyNumberFormat="1" applyFont="1" applyFill="1" applyBorder="1" applyAlignment="1">
      <alignment horizontal="center" vertical="center"/>
    </xf>
    <xf numFmtId="165" fontId="4" fillId="3" borderId="1" xfId="0" applyNumberFormat="1" applyFont="1" applyFill="1" applyBorder="1" applyAlignment="1">
      <alignment horizontal="center" vertical="center"/>
    </xf>
    <xf numFmtId="0" fontId="4" fillId="9" borderId="1" xfId="0" applyFont="1" applyFill="1" applyBorder="1" applyAlignment="1">
      <alignment horizontal="center" vertical="center"/>
    </xf>
    <xf numFmtId="0" fontId="2" fillId="8" borderId="1" xfId="0" applyFont="1" applyFill="1" applyBorder="1" applyAlignment="1">
      <alignment horizontal="center" vertical="center"/>
    </xf>
    <xf numFmtId="0" fontId="0" fillId="8" borderId="1" xfId="0" applyFill="1" applyBorder="1" applyAlignment="1">
      <alignment horizontal="center" vertical="center"/>
    </xf>
    <xf numFmtId="0" fontId="2" fillId="0" borderId="1" xfId="0" applyFont="1" applyBorder="1" applyAlignment="1">
      <alignment horizontal="center" vertical="center"/>
    </xf>
    <xf numFmtId="0" fontId="4" fillId="8" borderId="1" xfId="0" applyFont="1" applyFill="1" applyBorder="1" applyAlignment="1">
      <alignment horizontal="center" vertical="center"/>
    </xf>
    <xf numFmtId="0" fontId="5" fillId="0" borderId="0" xfId="0" applyFont="1"/>
    <xf numFmtId="0" fontId="6" fillId="0" borderId="0" xfId="0" applyFont="1"/>
    <xf numFmtId="0" fontId="7" fillId="0" borderId="0" xfId="0" applyFont="1"/>
    <xf numFmtId="0" fontId="8" fillId="0" borderId="0" xfId="0" applyFont="1"/>
    <xf numFmtId="166" fontId="9" fillId="0" borderId="0" xfId="0" applyNumberFormat="1" applyFont="1"/>
    <xf numFmtId="2" fontId="0" fillId="0" borderId="0" xfId="0" applyNumberFormat="1"/>
    <xf numFmtId="0" fontId="7" fillId="0" borderId="0" xfId="0" applyFont="1" applyAlignment="1">
      <alignment vertical="top"/>
    </xf>
    <xf numFmtId="0" fontId="8" fillId="0" borderId="0" xfId="0" applyFont="1" applyAlignment="1">
      <alignment vertical="top" wrapText="1"/>
    </xf>
    <xf numFmtId="0" fontId="10" fillId="0" borderId="0" xfId="0" applyFont="1"/>
    <xf numFmtId="0" fontId="2" fillId="0" borderId="0" xfId="0" applyFont="1"/>
    <xf numFmtId="0" fontId="11" fillId="0" borderId="0" xfId="0" applyFont="1"/>
    <xf numFmtId="0" fontId="0" fillId="10" borderId="0" xfId="0" applyFill="1"/>
    <xf numFmtId="0" fontId="12" fillId="0" borderId="1" xfId="2" applyFont="1" applyBorder="1" applyAlignment="1">
      <alignment vertical="top"/>
    </xf>
    <xf numFmtId="2" fontId="12" fillId="0" borderId="1" xfId="0" applyNumberFormat="1" applyFont="1" applyBorder="1"/>
    <xf numFmtId="0" fontId="2" fillId="0" borderId="1" xfId="2" applyBorder="1" applyAlignment="1">
      <alignment vertical="top"/>
    </xf>
    <xf numFmtId="0" fontId="2" fillId="3" borderId="1" xfId="2" applyFill="1" applyBorder="1"/>
    <xf numFmtId="166" fontId="2" fillId="0" borderId="1" xfId="2" applyNumberFormat="1" applyBorder="1" applyAlignment="1">
      <alignment vertical="top"/>
    </xf>
    <xf numFmtId="0" fontId="2" fillId="0" borderId="1" xfId="2" applyBorder="1"/>
    <xf numFmtId="0" fontId="2" fillId="0" borderId="0" xfId="2"/>
    <xf numFmtId="2" fontId="2" fillId="11" borderId="1" xfId="2" applyNumberFormat="1" applyFill="1" applyBorder="1" applyAlignment="1">
      <alignment vertical="top"/>
    </xf>
    <xf numFmtId="2" fontId="2" fillId="0" borderId="0" xfId="6" applyNumberFormat="1"/>
    <xf numFmtId="0" fontId="2" fillId="11" borderId="1" xfId="2" applyFill="1" applyBorder="1" applyAlignment="1">
      <alignment vertical="top"/>
    </xf>
    <xf numFmtId="0" fontId="2" fillId="11" borderId="1" xfId="2" applyFill="1" applyBorder="1"/>
    <xf numFmtId="0" fontId="2" fillId="10" borderId="0" xfId="0" applyFont="1" applyFill="1"/>
    <xf numFmtId="0" fontId="12" fillId="0" borderId="1" xfId="0" applyFont="1" applyBorder="1" applyAlignment="1">
      <alignment vertical="top"/>
    </xf>
    <xf numFmtId="0" fontId="12" fillId="0" borderId="1" xfId="0" applyFont="1" applyBorder="1"/>
    <xf numFmtId="0" fontId="0" fillId="0" borderId="1" xfId="0" applyBorder="1" applyAlignment="1">
      <alignment vertical="top"/>
    </xf>
    <xf numFmtId="0" fontId="2" fillId="3" borderId="1" xfId="0" applyFont="1" applyFill="1" applyBorder="1"/>
    <xf numFmtId="0" fontId="0" fillId="3" borderId="1" xfId="0" applyFill="1" applyBorder="1"/>
    <xf numFmtId="166" fontId="0" fillId="0" borderId="1" xfId="0" applyNumberFormat="1" applyBorder="1" applyAlignment="1">
      <alignment vertical="top"/>
    </xf>
    <xf numFmtId="0" fontId="2" fillId="0" borderId="1" xfId="0" applyFont="1" applyBorder="1"/>
    <xf numFmtId="0" fontId="0" fillId="0" borderId="1" xfId="0" applyBorder="1"/>
    <xf numFmtId="0" fontId="0" fillId="0" borderId="0" xfId="0" applyAlignment="1">
      <alignment vertical="top"/>
    </xf>
    <xf numFmtId="0" fontId="0" fillId="11" borderId="1" xfId="0" applyFill="1" applyBorder="1" applyAlignment="1">
      <alignment vertical="top"/>
    </xf>
    <xf numFmtId="0" fontId="0" fillId="11" borderId="1" xfId="0" applyFill="1" applyBorder="1"/>
    <xf numFmtId="0" fontId="12" fillId="0" borderId="1" xfId="3" applyFont="1" applyBorder="1" applyAlignment="1">
      <alignment vertical="top"/>
    </xf>
    <xf numFmtId="0" fontId="2" fillId="0" borderId="1" xfId="3" applyBorder="1" applyAlignment="1">
      <alignment vertical="top"/>
    </xf>
    <xf numFmtId="0" fontId="0" fillId="3" borderId="1" xfId="0" applyFill="1" applyBorder="1" applyAlignment="1">
      <alignment horizontal="center"/>
    </xf>
    <xf numFmtId="0" fontId="0" fillId="0" borderId="1" xfId="0" applyBorder="1" applyAlignment="1">
      <alignment horizontal="center"/>
    </xf>
    <xf numFmtId="166" fontId="2" fillId="0" borderId="1" xfId="3" applyNumberFormat="1" applyBorder="1" applyAlignment="1">
      <alignment horizontal="center" vertical="top"/>
    </xf>
    <xf numFmtId="0" fontId="2" fillId="0" borderId="0" xfId="3"/>
    <xf numFmtId="2" fontId="2" fillId="11" borderId="1" xfId="3" applyNumberFormat="1" applyFill="1" applyBorder="1" applyAlignment="1">
      <alignment horizontal="center" vertical="top"/>
    </xf>
    <xf numFmtId="2" fontId="2" fillId="0" borderId="1" xfId="3" applyNumberFormat="1" applyBorder="1" applyAlignment="1">
      <alignment horizontal="center" vertical="top"/>
    </xf>
    <xf numFmtId="166" fontId="2" fillId="11" borderId="1" xfId="3" applyNumberFormat="1" applyFill="1" applyBorder="1" applyAlignment="1">
      <alignment vertical="top"/>
    </xf>
    <xf numFmtId="0" fontId="4" fillId="12" borderId="1" xfId="0" applyFont="1" applyFill="1" applyBorder="1" applyAlignment="1">
      <alignment horizontal="center" vertical="center"/>
    </xf>
    <xf numFmtId="0" fontId="4" fillId="8" borderId="1" xfId="0" applyFont="1" applyFill="1" applyBorder="1" applyAlignment="1">
      <alignment horizontal="center" vertical="center" wrapText="1"/>
    </xf>
    <xf numFmtId="0" fontId="4" fillId="12" borderId="1" xfId="0" applyFont="1" applyFill="1" applyBorder="1" applyAlignment="1">
      <alignment horizontal="left" vertical="top" wrapText="1"/>
    </xf>
    <xf numFmtId="165" fontId="4" fillId="13" borderId="1" xfId="0" applyNumberFormat="1" applyFont="1" applyFill="1" applyBorder="1" applyAlignment="1">
      <alignment horizontal="center" vertical="center"/>
    </xf>
    <xf numFmtId="0" fontId="4" fillId="14" borderId="1" xfId="0" applyFont="1" applyFill="1" applyBorder="1" applyAlignment="1">
      <alignment horizontal="center" vertical="center"/>
    </xf>
    <xf numFmtId="0" fontId="0" fillId="12" borderId="0" xfId="0" applyFill="1"/>
    <xf numFmtId="0" fontId="2" fillId="12" borderId="1" xfId="0" applyFont="1" applyFill="1" applyBorder="1" applyAlignment="1">
      <alignment horizontal="center" vertical="center"/>
    </xf>
  </cellXfs>
  <cellStyles count="7">
    <cellStyle name="Normal" xfId="0" builtinId="0"/>
    <cellStyle name="Normal 2" xfId="1" xr:uid="{00000000-0005-0000-0000-000006000000}"/>
    <cellStyle name="Normal 3" xfId="2" xr:uid="{00000000-0005-0000-0000-000007000000}"/>
    <cellStyle name="Normal 3 2" xfId="3" xr:uid="{00000000-0005-0000-0000-000008000000}"/>
    <cellStyle name="Normal 3 2 2" xfId="4" xr:uid="{00000000-0005-0000-0000-000009000000}"/>
    <cellStyle name="Normal 4" xfId="5" xr:uid="{00000000-0005-0000-0000-00000A000000}"/>
    <cellStyle name="Percent 2" xfId="6" xr:uid="{00000000-0005-0000-0000-00000B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6E7"/>
      <rgbColor rgb="FF808080"/>
      <rgbColor rgb="FF9999FF"/>
      <rgbColor rgb="FF993366"/>
      <rgbColor rgb="FFFFF2CC"/>
      <rgbColor rgb="FFCCFFFF"/>
      <rgbColor rgb="FF660066"/>
      <rgbColor rgb="FFFF8080"/>
      <rgbColor rgb="FF0066CC"/>
      <rgbColor rgb="FFC1D7D7"/>
      <rgbColor rgb="FF000080"/>
      <rgbColor rgb="FFFF00FF"/>
      <rgbColor rgb="FFFFFF00"/>
      <rgbColor rgb="FF00FFFF"/>
      <rgbColor rgb="FF800080"/>
      <rgbColor rgb="FF800000"/>
      <rgbColor rgb="FF008080"/>
      <rgbColor rgb="FF0000FF"/>
      <rgbColor rgb="FF00B0F0"/>
      <rgbColor rgb="FFCCFFFF"/>
      <rgbColor rgb="FFCCFFCC"/>
      <rgbColor rgb="FFFFFF99"/>
      <rgbColor rgb="FFA8D08D"/>
      <rgbColor rgb="FFFF99CC"/>
      <rgbColor rgb="FFCC99FF"/>
      <rgbColor rgb="FFFFE598"/>
      <rgbColor rgb="FF3366FF"/>
      <rgbColor rgb="FF33CCCC"/>
      <rgbColor rgb="FF92D050"/>
      <rgbColor rgb="FFFFCC00"/>
      <rgbColor rgb="FFFF9900"/>
      <rgbColor rgb="FFED7D31"/>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13</xdr:col>
      <xdr:colOff>182520</xdr:colOff>
      <xdr:row>19</xdr:row>
      <xdr:rowOff>60120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tretch/>
      </xdr:blipFill>
      <xdr:spPr>
        <a:xfrm>
          <a:off x="2446200" y="181080"/>
          <a:ext cx="5685840" cy="3317400"/>
        </a:xfrm>
        <a:prstGeom prst="rect">
          <a:avLst/>
        </a:prstGeom>
        <a:ln w="0">
          <a:noFill/>
        </a:ln>
      </xdr:spPr>
    </xdr:pic>
    <xdr:clientData/>
  </xdr:twoCellAnchor>
  <xdr:twoCellAnchor editAs="oneCell">
    <xdr:from>
      <xdr:col>14</xdr:col>
      <xdr:colOff>0</xdr:colOff>
      <xdr:row>1</xdr:row>
      <xdr:rowOff>0</xdr:rowOff>
    </xdr:from>
    <xdr:to>
      <xdr:col>23</xdr:col>
      <xdr:colOff>208080</xdr:colOff>
      <xdr:row>19</xdr:row>
      <xdr:rowOff>72720</xdr:rowOff>
    </xdr:to>
    <xdr:pic>
      <xdr:nvPicPr>
        <xdr:cNvPr id="3" name="Picture 2">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a:stretch/>
      </xdr:blipFill>
      <xdr:spPr>
        <a:xfrm>
          <a:off x="8561160" y="181080"/>
          <a:ext cx="5711400" cy="3330000"/>
        </a:xfrm>
        <a:prstGeom prst="rect">
          <a:avLst/>
        </a:prstGeom>
        <a:ln w="0">
          <a:noFill/>
        </a:ln>
      </xdr:spPr>
    </xdr:pic>
    <xdr:clientData/>
  </xdr:twoCellAnchor>
  <xdr:twoCellAnchor editAs="oneCell">
    <xdr:from>
      <xdr:col>24</xdr:col>
      <xdr:colOff>0</xdr:colOff>
      <xdr:row>1</xdr:row>
      <xdr:rowOff>0</xdr:rowOff>
    </xdr:from>
    <xdr:to>
      <xdr:col>33</xdr:col>
      <xdr:colOff>299520</xdr:colOff>
      <xdr:row>19</xdr:row>
      <xdr:rowOff>127080</xdr:rowOff>
    </xdr:to>
    <xdr:pic>
      <xdr:nvPicPr>
        <xdr:cNvPr id="4" name="Picture 3">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3"/>
        <a:stretch/>
      </xdr:blipFill>
      <xdr:spPr>
        <a:xfrm>
          <a:off x="14676120" y="181080"/>
          <a:ext cx="5803200" cy="3384360"/>
        </a:xfrm>
        <a:prstGeom prst="rect">
          <a:avLst/>
        </a:prstGeom>
        <a:ln w="0">
          <a:noFill/>
        </a:ln>
      </xdr:spPr>
    </xdr:pic>
    <xdr:clientData/>
  </xdr:twoCellAnchor>
  <xdr:twoCellAnchor editAs="oneCell">
    <xdr:from>
      <xdr:col>0</xdr:col>
      <xdr:colOff>0</xdr:colOff>
      <xdr:row>26</xdr:row>
      <xdr:rowOff>0</xdr:rowOff>
    </xdr:from>
    <xdr:to>
      <xdr:col>10</xdr:col>
      <xdr:colOff>58320</xdr:colOff>
      <xdr:row>64</xdr:row>
      <xdr:rowOff>57600</xdr:rowOff>
    </xdr:to>
    <xdr:pic>
      <xdr:nvPicPr>
        <xdr:cNvPr id="5" name="Picture 4">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4"/>
        <a:stretch/>
      </xdr:blipFill>
      <xdr:spPr>
        <a:xfrm>
          <a:off x="0" y="4705200"/>
          <a:ext cx="6173280" cy="69346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13</xdr:col>
      <xdr:colOff>365400</xdr:colOff>
      <xdr:row>19</xdr:row>
      <xdr:rowOff>168840</xdr:rowOff>
    </xdr:to>
    <xdr:pic>
      <xdr:nvPicPr>
        <xdr:cNvPr id="4" name="Picture 1">
          <a:extLst>
            <a:ext uri="{FF2B5EF4-FFF2-40B4-BE49-F238E27FC236}">
              <a16:creationId xmlns:a16="http://schemas.microsoft.com/office/drawing/2014/main" id="{00000000-0008-0000-0600-000004000000}"/>
            </a:ext>
          </a:extLst>
        </xdr:cNvPr>
        <xdr:cNvPicPr/>
      </xdr:nvPicPr>
      <xdr:blipFill>
        <a:blip xmlns:r="http://schemas.openxmlformats.org/officeDocument/2006/relationships" r:embed="rId1"/>
        <a:stretch/>
      </xdr:blipFill>
      <xdr:spPr>
        <a:xfrm>
          <a:off x="2446200" y="181080"/>
          <a:ext cx="5868720" cy="3426120"/>
        </a:xfrm>
        <a:prstGeom prst="rect">
          <a:avLst/>
        </a:prstGeom>
        <a:ln w="0">
          <a:noFill/>
        </a:ln>
      </xdr:spPr>
    </xdr:pic>
    <xdr:clientData/>
  </xdr:twoCellAnchor>
  <xdr:twoCellAnchor editAs="oneCell">
    <xdr:from>
      <xdr:col>14</xdr:col>
      <xdr:colOff>0</xdr:colOff>
      <xdr:row>1</xdr:row>
      <xdr:rowOff>0</xdr:rowOff>
    </xdr:from>
    <xdr:to>
      <xdr:col>23</xdr:col>
      <xdr:colOff>273960</xdr:colOff>
      <xdr:row>19</xdr:row>
      <xdr:rowOff>114480</xdr:rowOff>
    </xdr:to>
    <xdr:pic>
      <xdr:nvPicPr>
        <xdr:cNvPr id="5" name="Picture 2">
          <a:extLst>
            <a:ext uri="{FF2B5EF4-FFF2-40B4-BE49-F238E27FC236}">
              <a16:creationId xmlns:a16="http://schemas.microsoft.com/office/drawing/2014/main" id="{00000000-0008-0000-0600-000005000000}"/>
            </a:ext>
          </a:extLst>
        </xdr:cNvPr>
        <xdr:cNvPicPr/>
      </xdr:nvPicPr>
      <xdr:blipFill>
        <a:blip xmlns:r="http://schemas.openxmlformats.org/officeDocument/2006/relationships" r:embed="rId2"/>
        <a:stretch/>
      </xdr:blipFill>
      <xdr:spPr>
        <a:xfrm>
          <a:off x="8561160" y="181080"/>
          <a:ext cx="5777280" cy="3371760"/>
        </a:xfrm>
        <a:prstGeom prst="rect">
          <a:avLst/>
        </a:prstGeom>
        <a:ln w="0">
          <a:noFill/>
        </a:ln>
      </xdr:spPr>
    </xdr:pic>
    <xdr:clientData/>
  </xdr:twoCellAnchor>
  <xdr:twoCellAnchor editAs="oneCell">
    <xdr:from>
      <xdr:col>24</xdr:col>
      <xdr:colOff>0</xdr:colOff>
      <xdr:row>1</xdr:row>
      <xdr:rowOff>0</xdr:rowOff>
    </xdr:from>
    <xdr:to>
      <xdr:col>33</xdr:col>
      <xdr:colOff>273960</xdr:colOff>
      <xdr:row>19</xdr:row>
      <xdr:rowOff>114480</xdr:rowOff>
    </xdr:to>
    <xdr:pic>
      <xdr:nvPicPr>
        <xdr:cNvPr id="6" name="Picture 3">
          <a:extLst>
            <a:ext uri="{FF2B5EF4-FFF2-40B4-BE49-F238E27FC236}">
              <a16:creationId xmlns:a16="http://schemas.microsoft.com/office/drawing/2014/main" id="{00000000-0008-0000-0600-000006000000}"/>
            </a:ext>
          </a:extLst>
        </xdr:cNvPr>
        <xdr:cNvPicPr/>
      </xdr:nvPicPr>
      <xdr:blipFill>
        <a:blip xmlns:r="http://schemas.openxmlformats.org/officeDocument/2006/relationships" r:embed="rId3"/>
        <a:stretch/>
      </xdr:blipFill>
      <xdr:spPr>
        <a:xfrm>
          <a:off x="14676120" y="181080"/>
          <a:ext cx="5777640" cy="3371760"/>
        </a:xfrm>
        <a:prstGeom prst="rect">
          <a:avLst/>
        </a:prstGeom>
        <a:ln w="0">
          <a:noFill/>
        </a:ln>
      </xdr:spPr>
    </xdr:pic>
    <xdr:clientData/>
  </xdr:twoCellAnchor>
  <xdr:twoCellAnchor editAs="oneCell">
    <xdr:from>
      <xdr:col>0</xdr:col>
      <xdr:colOff>0</xdr:colOff>
      <xdr:row>26</xdr:row>
      <xdr:rowOff>0</xdr:rowOff>
    </xdr:from>
    <xdr:to>
      <xdr:col>11</xdr:col>
      <xdr:colOff>43200</xdr:colOff>
      <xdr:row>72</xdr:row>
      <xdr:rowOff>61560</xdr:rowOff>
    </xdr:to>
    <xdr:pic>
      <xdr:nvPicPr>
        <xdr:cNvPr id="7" name="Picture 4">
          <a:extLst>
            <a:ext uri="{FF2B5EF4-FFF2-40B4-BE49-F238E27FC236}">
              <a16:creationId xmlns:a16="http://schemas.microsoft.com/office/drawing/2014/main" id="{00000000-0008-0000-0600-000007000000}"/>
            </a:ext>
          </a:extLst>
        </xdr:cNvPr>
        <xdr:cNvPicPr/>
      </xdr:nvPicPr>
      <xdr:blipFill>
        <a:blip xmlns:r="http://schemas.openxmlformats.org/officeDocument/2006/relationships" r:embed="rId4"/>
        <a:stretch/>
      </xdr:blipFill>
      <xdr:spPr>
        <a:xfrm>
          <a:off x="0" y="4705200"/>
          <a:ext cx="6769800" cy="838656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1</xdr:row>
      <xdr:rowOff>0</xdr:rowOff>
    </xdr:from>
    <xdr:to>
      <xdr:col>14</xdr:col>
      <xdr:colOff>182520</xdr:colOff>
      <xdr:row>19</xdr:row>
      <xdr:rowOff>60120</xdr:rowOff>
    </xdr:to>
    <xdr:pic>
      <xdr:nvPicPr>
        <xdr:cNvPr id="8" name="Picture 1">
          <a:extLst>
            <a:ext uri="{FF2B5EF4-FFF2-40B4-BE49-F238E27FC236}">
              <a16:creationId xmlns:a16="http://schemas.microsoft.com/office/drawing/2014/main" id="{00000000-0008-0000-0700-000008000000}"/>
            </a:ext>
          </a:extLst>
        </xdr:cNvPr>
        <xdr:cNvPicPr/>
      </xdr:nvPicPr>
      <xdr:blipFill>
        <a:blip xmlns:r="http://schemas.openxmlformats.org/officeDocument/2006/relationships" r:embed="rId1"/>
        <a:stretch/>
      </xdr:blipFill>
      <xdr:spPr>
        <a:xfrm>
          <a:off x="3057480" y="181080"/>
          <a:ext cx="5686200" cy="3317400"/>
        </a:xfrm>
        <a:prstGeom prst="rect">
          <a:avLst/>
        </a:prstGeom>
        <a:ln w="0">
          <a:noFill/>
        </a:ln>
      </xdr:spPr>
    </xdr:pic>
    <xdr:clientData/>
  </xdr:twoCellAnchor>
  <xdr:twoCellAnchor editAs="oneCell">
    <xdr:from>
      <xdr:col>15</xdr:col>
      <xdr:colOff>56520</xdr:colOff>
      <xdr:row>1</xdr:row>
      <xdr:rowOff>0</xdr:rowOff>
    </xdr:from>
    <xdr:to>
      <xdr:col>24</xdr:col>
      <xdr:colOff>330480</xdr:colOff>
      <xdr:row>19</xdr:row>
      <xdr:rowOff>114480</xdr:rowOff>
    </xdr:to>
    <xdr:pic>
      <xdr:nvPicPr>
        <xdr:cNvPr id="9" name="Picture 2">
          <a:extLst>
            <a:ext uri="{FF2B5EF4-FFF2-40B4-BE49-F238E27FC236}">
              <a16:creationId xmlns:a16="http://schemas.microsoft.com/office/drawing/2014/main" id="{00000000-0008-0000-0700-000009000000}"/>
            </a:ext>
          </a:extLst>
        </xdr:cNvPr>
        <xdr:cNvPicPr/>
      </xdr:nvPicPr>
      <xdr:blipFill>
        <a:blip xmlns:r="http://schemas.openxmlformats.org/officeDocument/2006/relationships" r:embed="rId2"/>
        <a:stretch/>
      </xdr:blipFill>
      <xdr:spPr>
        <a:xfrm>
          <a:off x="9228960" y="181080"/>
          <a:ext cx="5777640" cy="3371760"/>
        </a:xfrm>
        <a:prstGeom prst="rect">
          <a:avLst/>
        </a:prstGeom>
        <a:ln w="0">
          <a:noFill/>
        </a:ln>
      </xdr:spPr>
    </xdr:pic>
    <xdr:clientData/>
  </xdr:twoCellAnchor>
  <xdr:twoCellAnchor editAs="oneCell">
    <xdr:from>
      <xdr:col>0</xdr:col>
      <xdr:colOff>0</xdr:colOff>
      <xdr:row>26</xdr:row>
      <xdr:rowOff>0</xdr:rowOff>
    </xdr:from>
    <xdr:to>
      <xdr:col>11</xdr:col>
      <xdr:colOff>360</xdr:colOff>
      <xdr:row>73</xdr:row>
      <xdr:rowOff>45000</xdr:rowOff>
    </xdr:to>
    <xdr:pic>
      <xdr:nvPicPr>
        <xdr:cNvPr id="10" name="Picture 3">
          <a:extLst>
            <a:ext uri="{FF2B5EF4-FFF2-40B4-BE49-F238E27FC236}">
              <a16:creationId xmlns:a16="http://schemas.microsoft.com/office/drawing/2014/main" id="{00000000-0008-0000-0700-00000A000000}"/>
            </a:ext>
          </a:extLst>
        </xdr:cNvPr>
        <xdr:cNvPicPr/>
      </xdr:nvPicPr>
      <xdr:blipFill>
        <a:blip xmlns:r="http://schemas.openxmlformats.org/officeDocument/2006/relationships" r:embed="rId3"/>
        <a:stretch/>
      </xdr:blipFill>
      <xdr:spPr>
        <a:xfrm>
          <a:off x="0" y="4705200"/>
          <a:ext cx="6726960" cy="8551080"/>
        </a:xfrm>
        <a:prstGeom prst="rect">
          <a:avLst/>
        </a:prstGeom>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48"/>
  <sheetViews>
    <sheetView tabSelected="1" zoomScale="80" zoomScaleNormal="80" workbookViewId="0">
      <pane xSplit="5" ySplit="1" topLeftCell="F34" activePane="bottomRight" state="frozen"/>
      <selection pane="topRight" activeCell="F1" sqref="F1"/>
      <selection pane="bottomLeft" activeCell="A2" sqref="A2"/>
      <selection pane="bottomRight" activeCell="E2" sqref="E2:E38"/>
    </sheetView>
  </sheetViews>
  <sheetFormatPr defaultColWidth="8.6640625" defaultRowHeight="14.4" x14ac:dyDescent="0.3"/>
  <cols>
    <col min="1" max="1" width="3.77734375" customWidth="1"/>
    <col min="2" max="2" width="9.33203125" customWidth="1"/>
    <col min="3" max="3" width="9" customWidth="1"/>
    <col min="4" max="4" width="7.77734375" customWidth="1"/>
    <col min="5" max="5" width="34.44140625" customWidth="1"/>
    <col min="6" max="6" width="52.5546875" customWidth="1"/>
    <col min="7" max="7" width="4" customWidth="1"/>
    <col min="8" max="8" width="13.88671875" customWidth="1"/>
    <col min="9" max="9" width="15" customWidth="1"/>
    <col min="10" max="10" width="14.6640625" customWidth="1"/>
    <col min="11" max="11" width="18.33203125" customWidth="1"/>
    <col min="12" max="12" width="17.33203125" customWidth="1"/>
    <col min="13" max="13" width="15.77734375" customWidth="1"/>
    <col min="14" max="14" width="22.33203125" customWidth="1"/>
    <col min="15" max="15" width="16.44140625" customWidth="1"/>
    <col min="16" max="16" width="24.21875" customWidth="1"/>
    <col min="17" max="17" width="21.5546875" customWidth="1"/>
    <col min="18" max="18" width="16.77734375" customWidth="1"/>
    <col min="19" max="19" width="14.88671875" customWidth="1"/>
    <col min="20" max="20" width="19.5546875" customWidth="1"/>
    <col min="21" max="21" width="23.21875" customWidth="1"/>
    <col min="22" max="22" width="22.21875" customWidth="1"/>
    <col min="23" max="23" width="15.44140625" customWidth="1"/>
    <col min="24" max="24" width="17.5546875" customWidth="1"/>
    <col min="25" max="25" width="14.44140625" customWidth="1"/>
    <col min="26" max="26" width="15.21875" customWidth="1"/>
    <col min="27" max="27" width="16.44140625" customWidth="1"/>
    <col min="28" max="28" width="14.6640625" customWidth="1"/>
    <col min="29" max="29" width="15.5546875" customWidth="1"/>
    <col min="30" max="30" width="15.21875" customWidth="1"/>
    <col min="31" max="31" width="13.77734375" customWidth="1"/>
    <col min="32" max="32" width="16.44140625" customWidth="1"/>
    <col min="33" max="33" width="18.21875" customWidth="1"/>
    <col min="34" max="34" width="15" customWidth="1"/>
    <col min="35" max="35" width="14.21875" customWidth="1"/>
    <col min="36" max="36" width="16.77734375" customWidth="1"/>
    <col min="37" max="37" width="13.21875" customWidth="1"/>
    <col min="38" max="38" width="8.5546875" customWidth="1"/>
    <col min="39" max="39" width="17.21875" customWidth="1"/>
    <col min="40" max="40" width="14.44140625" customWidth="1"/>
    <col min="41" max="41" width="14.21875" customWidth="1"/>
    <col min="42" max="42" width="16.21875" customWidth="1"/>
    <col min="43" max="43" width="14.77734375" customWidth="1"/>
    <col min="44" max="44" width="15.77734375" customWidth="1"/>
    <col min="45" max="45" width="14" customWidth="1"/>
    <col min="47" max="47" width="13.5546875" customWidth="1"/>
    <col min="48" max="48" width="14" customWidth="1"/>
    <col min="50" max="50" width="30.21875" customWidth="1"/>
    <col min="51" max="51" width="29" customWidth="1"/>
    <col min="52" max="52" width="21.77734375" customWidth="1"/>
    <col min="53" max="53" width="23.77734375" customWidth="1"/>
  </cols>
  <sheetData>
    <row r="1" spans="1:52" ht="63" customHeight="1" x14ac:dyDescent="0.3">
      <c r="A1" s="2" t="s">
        <v>0</v>
      </c>
      <c r="B1" s="2" t="s">
        <v>1</v>
      </c>
      <c r="C1" s="2" t="s">
        <v>2</v>
      </c>
      <c r="D1" s="2" t="s">
        <v>3</v>
      </c>
      <c r="E1" s="2" t="s">
        <v>4</v>
      </c>
      <c r="F1" s="3" t="s">
        <v>5</v>
      </c>
      <c r="G1" s="2" t="s">
        <v>6</v>
      </c>
      <c r="H1" s="2" t="s">
        <v>7</v>
      </c>
      <c r="I1" s="4" t="s">
        <v>8</v>
      </c>
      <c r="J1" s="4" t="s">
        <v>9</v>
      </c>
      <c r="K1" s="2" t="s">
        <v>10</v>
      </c>
      <c r="L1" s="4" t="s">
        <v>11</v>
      </c>
      <c r="M1" s="4" t="s">
        <v>12</v>
      </c>
      <c r="N1" s="5" t="s">
        <v>13</v>
      </c>
      <c r="O1" s="4" t="s">
        <v>14</v>
      </c>
      <c r="P1" s="2" t="s">
        <v>15</v>
      </c>
      <c r="Q1" s="2" t="s">
        <v>16</v>
      </c>
      <c r="R1" s="2" t="s">
        <v>17</v>
      </c>
      <c r="S1" s="6" t="s">
        <v>18</v>
      </c>
      <c r="T1" s="7" t="s">
        <v>19</v>
      </c>
      <c r="U1" s="6" t="s">
        <v>20</v>
      </c>
      <c r="V1" s="6" t="s">
        <v>21</v>
      </c>
      <c r="W1" s="6" t="s">
        <v>22</v>
      </c>
      <c r="X1" s="5" t="s">
        <v>23</v>
      </c>
      <c r="Y1" s="5" t="s">
        <v>24</v>
      </c>
      <c r="Z1" s="5" t="s">
        <v>25</v>
      </c>
      <c r="AA1" s="5" t="s">
        <v>26</v>
      </c>
      <c r="AB1" s="5" t="s">
        <v>27</v>
      </c>
      <c r="AC1" s="5" t="s">
        <v>28</v>
      </c>
      <c r="AD1" s="5" t="s">
        <v>29</v>
      </c>
      <c r="AE1" s="5" t="s">
        <v>30</v>
      </c>
      <c r="AF1" s="2" t="s">
        <v>31</v>
      </c>
      <c r="AG1" s="2" t="s">
        <v>32</v>
      </c>
      <c r="AH1" s="2" t="s">
        <v>33</v>
      </c>
      <c r="AI1" s="2" t="s">
        <v>34</v>
      </c>
      <c r="AJ1" s="2" t="s">
        <v>35</v>
      </c>
      <c r="AK1" s="2" t="s">
        <v>36</v>
      </c>
      <c r="AL1" s="8"/>
      <c r="AM1" s="9" t="s">
        <v>37</v>
      </c>
      <c r="AN1" s="10" t="s">
        <v>38</v>
      </c>
      <c r="AO1" s="10" t="s">
        <v>39</v>
      </c>
      <c r="AP1" s="10" t="s">
        <v>40</v>
      </c>
      <c r="AQ1" s="10" t="s">
        <v>41</v>
      </c>
      <c r="AR1" s="11" t="s">
        <v>42</v>
      </c>
      <c r="AS1" s="2" t="s">
        <v>43</v>
      </c>
      <c r="AT1" s="2" t="s">
        <v>44</v>
      </c>
      <c r="AU1" s="2" t="s">
        <v>45</v>
      </c>
      <c r="AV1" s="2" t="s">
        <v>46</v>
      </c>
      <c r="AW1" s="4" t="s">
        <v>47</v>
      </c>
      <c r="AX1" s="2" t="s">
        <v>48</v>
      </c>
      <c r="AY1" s="2" t="s">
        <v>49</v>
      </c>
      <c r="AZ1" s="2" t="s">
        <v>50</v>
      </c>
    </row>
    <row r="2" spans="1:52" ht="75" customHeight="1" x14ac:dyDescent="0.3">
      <c r="A2" s="12">
        <v>1</v>
      </c>
      <c r="B2" s="12" t="s">
        <v>51</v>
      </c>
      <c r="C2" s="12" t="s">
        <v>52</v>
      </c>
      <c r="D2" s="1" t="s">
        <v>53</v>
      </c>
      <c r="E2" s="13" t="s">
        <v>54</v>
      </c>
      <c r="F2" s="14" t="s">
        <v>55</v>
      </c>
      <c r="G2" s="12"/>
      <c r="H2" s="12">
        <f>ROUNDUP(I2/Notes!$B$5,0)</f>
        <v>12</v>
      </c>
      <c r="I2" s="12">
        <v>63</v>
      </c>
      <c r="J2" s="12">
        <v>63</v>
      </c>
      <c r="K2" s="12">
        <f t="shared" ref="K2:K44" si="0">I2</f>
        <v>63</v>
      </c>
      <c r="L2" s="15">
        <v>46188</v>
      </c>
      <c r="M2" s="16">
        <v>46266</v>
      </c>
      <c r="N2" s="15">
        <v>46188</v>
      </c>
      <c r="O2" s="16">
        <v>46266</v>
      </c>
      <c r="P2" s="15"/>
      <c r="Q2" s="15"/>
      <c r="R2" s="15"/>
      <c r="S2" s="15"/>
      <c r="T2" s="15">
        <v>46188</v>
      </c>
      <c r="U2" s="15">
        <v>46266</v>
      </c>
      <c r="V2" s="15">
        <v>46197</v>
      </c>
      <c r="W2" s="15">
        <v>46244</v>
      </c>
      <c r="X2" s="12">
        <v>0</v>
      </c>
      <c r="Y2" s="12">
        <v>0</v>
      </c>
      <c r="Z2" s="12">
        <v>56</v>
      </c>
      <c r="AA2" s="17"/>
      <c r="AB2" s="12">
        <v>7</v>
      </c>
      <c r="AC2" s="17"/>
      <c r="AD2" s="17"/>
      <c r="AE2" s="17"/>
      <c r="AF2" s="17"/>
      <c r="AG2" s="17"/>
      <c r="AH2" s="17"/>
      <c r="AI2" s="17"/>
      <c r="AJ2" s="17"/>
      <c r="AK2" s="17"/>
      <c r="AM2" s="18">
        <f t="shared" ref="AM2:AM46" si="1">IFERROR(H2/I2,"")</f>
        <v>0.19047619047619047</v>
      </c>
      <c r="AN2" s="18" t="str">
        <f t="shared" ref="AN2:AN46" si="2">IFERROR(H2/(X2+AD2),"")</f>
        <v/>
      </c>
      <c r="AO2" s="18" t="str">
        <f t="shared" ref="AO2:AO46" si="3">IFERROR(H2/(Y2+AE2),"")</f>
        <v/>
      </c>
      <c r="AP2" s="18">
        <f t="shared" ref="AP2:AP46" si="4">IFERROR(H2/(Z2+AA2),"")</f>
        <v>0.21428571428571427</v>
      </c>
      <c r="AQ2" s="18">
        <f t="shared" ref="AQ2:AQ46" si="5">IFERROR(H2/(AB2+AC2),"")</f>
        <v>1.7142857142857142</v>
      </c>
      <c r="AR2" s="18">
        <f t="shared" ref="AR2:AR46" si="6">IF(COUNT(P2:W2)=0,"",(MAX(P2:W2)-MIN(P2:W2))/H2)</f>
        <v>6.5</v>
      </c>
      <c r="AS2" s="18" t="str">
        <f t="shared" ref="AS2:AS46" si="7">IF(COUNT(P2:Q2)=2,(Q2-P2)/H2,"")</f>
        <v/>
      </c>
      <c r="AT2" s="18" t="str">
        <f t="shared" ref="AT2:AT46" si="8">IF(COUNT(R2:S2)=2,(S2-R2)/H2,"")</f>
        <v/>
      </c>
      <c r="AU2" s="18">
        <f t="shared" ref="AU2:AU46" si="9">IF(COUNT(T2:U2)=2,(U2-T2)/H2,"")</f>
        <v>6.5</v>
      </c>
      <c r="AV2" s="18">
        <f t="shared" ref="AV2:AV46" si="10">IF(COUNT(V2:W2)=2,(W2-V2)/H2,"")</f>
        <v>3.9166666666666665</v>
      </c>
      <c r="AW2" s="18" t="str">
        <f t="shared" ref="AW2:AW46" si="11">IFERROR(AY2/(AY2+AZ2),"")</f>
        <v/>
      </c>
      <c r="AX2" s="19" t="str">
        <f t="shared" ref="AX2:AX46" si="12">IF(AH2="","",AH2/H2)</f>
        <v/>
      </c>
      <c r="AY2" s="20" t="str">
        <f t="shared" ref="AY2:AY46" si="13">IF(COUNT(AF2:AH2)=0,"",(AF2+AH2+AG2)/H2)</f>
        <v/>
      </c>
      <c r="AZ2" s="20" t="str">
        <f t="shared" ref="AZ2:AZ46" si="14">IF(AI2="","",AI2/H2)</f>
        <v/>
      </c>
    </row>
    <row r="3" spans="1:52" ht="63" customHeight="1" x14ac:dyDescent="0.3">
      <c r="A3" s="12"/>
      <c r="B3" s="12"/>
      <c r="C3" s="12"/>
      <c r="D3" s="1"/>
      <c r="E3" s="13" t="s">
        <v>56</v>
      </c>
      <c r="F3" s="14" t="s">
        <v>57</v>
      </c>
      <c r="G3" s="12" t="s">
        <v>58</v>
      </c>
      <c r="H3" s="12">
        <f>ROUNDUP(I3/Notes!$B$5,0)</f>
        <v>10</v>
      </c>
      <c r="I3" s="12">
        <v>52</v>
      </c>
      <c r="J3" s="12">
        <v>52</v>
      </c>
      <c r="K3" s="12">
        <f t="shared" si="0"/>
        <v>52</v>
      </c>
      <c r="L3" s="15">
        <v>46191</v>
      </c>
      <c r="M3" s="16">
        <v>46267</v>
      </c>
      <c r="N3" s="15">
        <v>46191</v>
      </c>
      <c r="O3" s="16">
        <v>46267</v>
      </c>
      <c r="P3" s="15"/>
      <c r="Q3" s="15"/>
      <c r="R3" s="15"/>
      <c r="S3" s="15"/>
      <c r="T3" s="15">
        <v>46191</v>
      </c>
      <c r="U3" s="15">
        <v>46267</v>
      </c>
      <c r="V3" s="15">
        <v>46253</v>
      </c>
      <c r="W3" s="15">
        <v>46253</v>
      </c>
      <c r="X3" s="12">
        <v>0</v>
      </c>
      <c r="Y3" s="12">
        <v>0</v>
      </c>
      <c r="Z3" s="12">
        <v>48</v>
      </c>
      <c r="AA3" s="17"/>
      <c r="AB3" s="12">
        <v>4</v>
      </c>
      <c r="AC3" s="17"/>
      <c r="AD3" s="17"/>
      <c r="AE3" s="17"/>
      <c r="AF3" s="17"/>
      <c r="AG3" s="17"/>
      <c r="AH3" s="17"/>
      <c r="AI3" s="17"/>
      <c r="AJ3" s="17"/>
      <c r="AK3" s="17"/>
      <c r="AM3" s="18">
        <f t="shared" si="1"/>
        <v>0.19230769230769232</v>
      </c>
      <c r="AN3" s="18" t="str">
        <f t="shared" si="2"/>
        <v/>
      </c>
      <c r="AO3" s="18" t="str">
        <f t="shared" si="3"/>
        <v/>
      </c>
      <c r="AP3" s="18">
        <f t="shared" si="4"/>
        <v>0.20833333333333334</v>
      </c>
      <c r="AQ3" s="18">
        <f t="shared" si="5"/>
        <v>2.5</v>
      </c>
      <c r="AR3" s="18">
        <f t="shared" si="6"/>
        <v>7.6</v>
      </c>
      <c r="AS3" s="18" t="str">
        <f t="shared" si="7"/>
        <v/>
      </c>
      <c r="AT3" s="18" t="str">
        <f t="shared" si="8"/>
        <v/>
      </c>
      <c r="AU3" s="18">
        <f t="shared" si="9"/>
        <v>7.6</v>
      </c>
      <c r="AV3" s="18">
        <f t="shared" si="10"/>
        <v>0</v>
      </c>
      <c r="AW3" s="18" t="str">
        <f t="shared" si="11"/>
        <v/>
      </c>
      <c r="AX3" s="19" t="str">
        <f t="shared" si="12"/>
        <v/>
      </c>
      <c r="AY3" s="20" t="str">
        <f t="shared" si="13"/>
        <v/>
      </c>
      <c r="AZ3" s="20" t="str">
        <f t="shared" si="14"/>
        <v/>
      </c>
    </row>
    <row r="4" spans="1:52" ht="63" customHeight="1" x14ac:dyDescent="0.3">
      <c r="A4" s="12">
        <v>2</v>
      </c>
      <c r="B4" s="12" t="s">
        <v>51</v>
      </c>
      <c r="C4" s="12" t="s">
        <v>52</v>
      </c>
      <c r="D4" s="13" t="s">
        <v>59</v>
      </c>
      <c r="E4" s="13" t="s">
        <v>60</v>
      </c>
      <c r="F4" s="14" t="s">
        <v>61</v>
      </c>
      <c r="G4" s="12"/>
      <c r="H4" s="12">
        <f>ROUNDUP(I4/Notes!$B$5,0)</f>
        <v>9</v>
      </c>
      <c r="I4" s="12">
        <v>44</v>
      </c>
      <c r="J4" s="12">
        <v>48</v>
      </c>
      <c r="K4" s="12">
        <f t="shared" si="0"/>
        <v>44</v>
      </c>
      <c r="L4" s="15">
        <v>46202</v>
      </c>
      <c r="M4" s="16">
        <v>46265</v>
      </c>
      <c r="N4" s="15">
        <v>46202</v>
      </c>
      <c r="O4" s="16">
        <v>46265</v>
      </c>
      <c r="P4" s="15"/>
      <c r="Q4" s="15"/>
      <c r="R4" s="15"/>
      <c r="S4" s="15"/>
      <c r="T4" s="15">
        <v>46202</v>
      </c>
      <c r="U4" s="15">
        <v>46265</v>
      </c>
      <c r="V4" s="15"/>
      <c r="W4" s="15"/>
      <c r="X4" s="12">
        <v>0</v>
      </c>
      <c r="Y4" s="12">
        <v>0</v>
      </c>
      <c r="Z4" s="12">
        <v>44</v>
      </c>
      <c r="AA4" s="17"/>
      <c r="AB4" s="12">
        <v>0</v>
      </c>
      <c r="AC4" s="17"/>
      <c r="AD4" s="17"/>
      <c r="AE4" s="17"/>
      <c r="AF4" s="17"/>
      <c r="AG4" s="17"/>
      <c r="AH4" s="17"/>
      <c r="AI4" s="17"/>
      <c r="AJ4" s="17"/>
      <c r="AK4" s="17"/>
      <c r="AM4" s="18">
        <f t="shared" si="1"/>
        <v>0.20454545454545456</v>
      </c>
      <c r="AN4" s="18" t="str">
        <f t="shared" si="2"/>
        <v/>
      </c>
      <c r="AO4" s="18" t="str">
        <f t="shared" si="3"/>
        <v/>
      </c>
      <c r="AP4" s="18">
        <f t="shared" si="4"/>
        <v>0.20454545454545456</v>
      </c>
      <c r="AQ4" s="18" t="str">
        <f t="shared" si="5"/>
        <v/>
      </c>
      <c r="AR4" s="18">
        <f t="shared" si="6"/>
        <v>7</v>
      </c>
      <c r="AS4" s="18" t="str">
        <f t="shared" si="7"/>
        <v/>
      </c>
      <c r="AT4" s="18" t="str">
        <f t="shared" si="8"/>
        <v/>
      </c>
      <c r="AU4" s="18">
        <f t="shared" si="9"/>
        <v>7</v>
      </c>
      <c r="AV4" s="18" t="str">
        <f t="shared" si="10"/>
        <v/>
      </c>
      <c r="AW4" s="18" t="str">
        <f t="shared" si="11"/>
        <v/>
      </c>
      <c r="AX4" s="19" t="str">
        <f t="shared" si="12"/>
        <v/>
      </c>
      <c r="AY4" s="20" t="str">
        <f t="shared" si="13"/>
        <v/>
      </c>
      <c r="AZ4" s="20" t="str">
        <f t="shared" si="14"/>
        <v/>
      </c>
    </row>
    <row r="5" spans="1:52" ht="63" customHeight="1" x14ac:dyDescent="0.3">
      <c r="A5" s="12">
        <v>3</v>
      </c>
      <c r="B5" s="12" t="s">
        <v>51</v>
      </c>
      <c r="C5" s="12" t="s">
        <v>52</v>
      </c>
      <c r="D5" s="1" t="s">
        <v>62</v>
      </c>
      <c r="E5" s="13" t="s">
        <v>63</v>
      </c>
      <c r="F5" s="14" t="s">
        <v>64</v>
      </c>
      <c r="G5" s="12"/>
      <c r="H5" s="12">
        <f>ROUNDUP(I5/Notes!$B$5,0)</f>
        <v>1</v>
      </c>
      <c r="I5" s="12">
        <v>3</v>
      </c>
      <c r="J5" s="12">
        <v>3</v>
      </c>
      <c r="K5" s="12">
        <f t="shared" si="0"/>
        <v>3</v>
      </c>
      <c r="L5" s="15">
        <v>46232</v>
      </c>
      <c r="M5" s="16">
        <v>46232</v>
      </c>
      <c r="N5" s="15">
        <v>46232</v>
      </c>
      <c r="O5" s="16">
        <v>46232</v>
      </c>
      <c r="P5" s="15"/>
      <c r="Q5" s="15"/>
      <c r="R5" s="15"/>
      <c r="S5" s="15"/>
      <c r="T5" s="15">
        <v>46232</v>
      </c>
      <c r="U5" s="15">
        <v>46232</v>
      </c>
      <c r="V5" s="15"/>
      <c r="W5" s="15"/>
      <c r="X5" s="12">
        <v>0</v>
      </c>
      <c r="Y5" s="12">
        <v>0</v>
      </c>
      <c r="Z5" s="12">
        <v>3</v>
      </c>
      <c r="AA5" s="17"/>
      <c r="AB5" s="12">
        <v>0</v>
      </c>
      <c r="AC5" s="17"/>
      <c r="AD5" s="17"/>
      <c r="AE5" s="17"/>
      <c r="AF5" s="17"/>
      <c r="AG5" s="17"/>
      <c r="AH5" s="17"/>
      <c r="AI5" s="17"/>
      <c r="AJ5" s="17"/>
      <c r="AK5" s="17"/>
      <c r="AM5" s="18">
        <f t="shared" si="1"/>
        <v>0.33333333333333331</v>
      </c>
      <c r="AN5" s="18" t="str">
        <f t="shared" si="2"/>
        <v/>
      </c>
      <c r="AO5" s="18" t="str">
        <f t="shared" si="3"/>
        <v/>
      </c>
      <c r="AP5" s="18">
        <f t="shared" si="4"/>
        <v>0.33333333333333331</v>
      </c>
      <c r="AQ5" s="18" t="str">
        <f t="shared" si="5"/>
        <v/>
      </c>
      <c r="AR5" s="18">
        <f t="shared" si="6"/>
        <v>0</v>
      </c>
      <c r="AS5" s="18" t="str">
        <f t="shared" si="7"/>
        <v/>
      </c>
      <c r="AT5" s="18" t="str">
        <f t="shared" si="8"/>
        <v/>
      </c>
      <c r="AU5" s="18">
        <f t="shared" si="9"/>
        <v>0</v>
      </c>
      <c r="AV5" s="18" t="str">
        <f t="shared" si="10"/>
        <v/>
      </c>
      <c r="AW5" s="18" t="str">
        <f t="shared" si="11"/>
        <v/>
      </c>
      <c r="AX5" s="19" t="str">
        <f t="shared" si="12"/>
        <v/>
      </c>
      <c r="AY5" s="20" t="str">
        <f t="shared" si="13"/>
        <v/>
      </c>
      <c r="AZ5" s="20" t="str">
        <f t="shared" si="14"/>
        <v/>
      </c>
    </row>
    <row r="6" spans="1:52" ht="63" customHeight="1" x14ac:dyDescent="0.3">
      <c r="A6" s="12"/>
      <c r="B6" s="12"/>
      <c r="C6" s="12"/>
      <c r="D6" s="1"/>
      <c r="E6" s="13" t="s">
        <v>65</v>
      </c>
      <c r="F6" s="14" t="s">
        <v>66</v>
      </c>
      <c r="G6" s="12" t="s">
        <v>58</v>
      </c>
      <c r="H6" s="12">
        <f>ROUNDUP(I6/Notes!$B$5,0)</f>
        <v>1</v>
      </c>
      <c r="I6" s="12">
        <v>4</v>
      </c>
      <c r="J6" s="12">
        <v>4</v>
      </c>
      <c r="K6" s="12">
        <f t="shared" si="0"/>
        <v>4</v>
      </c>
      <c r="L6" s="15">
        <v>46231</v>
      </c>
      <c r="M6" s="16">
        <v>46231</v>
      </c>
      <c r="N6" s="15">
        <v>46231</v>
      </c>
      <c r="O6" s="16">
        <v>46231</v>
      </c>
      <c r="P6" s="15"/>
      <c r="Q6" s="15"/>
      <c r="R6" s="15"/>
      <c r="S6" s="15"/>
      <c r="T6" s="15"/>
      <c r="U6" s="15"/>
      <c r="V6" s="15">
        <v>46231</v>
      </c>
      <c r="W6" s="15">
        <v>46231</v>
      </c>
      <c r="X6" s="12">
        <v>0</v>
      </c>
      <c r="Y6" s="12">
        <v>0</v>
      </c>
      <c r="Z6" s="12">
        <v>0</v>
      </c>
      <c r="AA6" s="17"/>
      <c r="AB6" s="12">
        <v>4</v>
      </c>
      <c r="AC6" s="17"/>
      <c r="AD6" s="17"/>
      <c r="AE6" s="17"/>
      <c r="AF6" s="17"/>
      <c r="AG6" s="17"/>
      <c r="AH6" s="17"/>
      <c r="AI6" s="17"/>
      <c r="AJ6" s="17"/>
      <c r="AK6" s="17"/>
      <c r="AM6" s="18">
        <f t="shared" si="1"/>
        <v>0.25</v>
      </c>
      <c r="AN6" s="18" t="str">
        <f t="shared" si="2"/>
        <v/>
      </c>
      <c r="AO6" s="18" t="str">
        <f t="shared" si="3"/>
        <v/>
      </c>
      <c r="AP6" s="18" t="str">
        <f t="shared" si="4"/>
        <v/>
      </c>
      <c r="AQ6" s="18">
        <f t="shared" si="5"/>
        <v>0.25</v>
      </c>
      <c r="AR6" s="18">
        <f t="shared" si="6"/>
        <v>0</v>
      </c>
      <c r="AS6" s="18" t="str">
        <f t="shared" si="7"/>
        <v/>
      </c>
      <c r="AT6" s="18" t="str">
        <f t="shared" si="8"/>
        <v/>
      </c>
      <c r="AU6" s="18" t="str">
        <f t="shared" si="9"/>
        <v/>
      </c>
      <c r="AV6" s="18">
        <f t="shared" si="10"/>
        <v>0</v>
      </c>
      <c r="AW6" s="18" t="str">
        <f t="shared" si="11"/>
        <v/>
      </c>
      <c r="AX6" s="19" t="str">
        <f t="shared" si="12"/>
        <v/>
      </c>
      <c r="AY6" s="20" t="str">
        <f t="shared" si="13"/>
        <v/>
      </c>
      <c r="AZ6" s="20" t="str">
        <f t="shared" si="14"/>
        <v/>
      </c>
    </row>
    <row r="7" spans="1:52" ht="63" customHeight="1" x14ac:dyDescent="0.3">
      <c r="A7" s="12">
        <v>4</v>
      </c>
      <c r="B7" s="12" t="s">
        <v>51</v>
      </c>
      <c r="C7" s="12" t="s">
        <v>52</v>
      </c>
      <c r="D7" s="1" t="s">
        <v>67</v>
      </c>
      <c r="E7" s="13" t="s">
        <v>68</v>
      </c>
      <c r="F7" s="14" t="s">
        <v>69</v>
      </c>
      <c r="G7" s="12"/>
      <c r="H7" s="12">
        <f>ROUNDUP(I7/Notes!$B$5,0)</f>
        <v>10</v>
      </c>
      <c r="I7" s="12">
        <v>52</v>
      </c>
      <c r="J7" s="12">
        <v>52</v>
      </c>
      <c r="K7" s="12">
        <f t="shared" si="0"/>
        <v>52</v>
      </c>
      <c r="L7" s="15">
        <v>46184</v>
      </c>
      <c r="M7" s="16">
        <v>46294</v>
      </c>
      <c r="N7" s="15">
        <v>46184</v>
      </c>
      <c r="O7" s="16">
        <v>46294</v>
      </c>
      <c r="P7" s="15"/>
      <c r="Q7" s="15"/>
      <c r="R7" s="15"/>
      <c r="S7" s="15"/>
      <c r="T7" s="15">
        <v>46184</v>
      </c>
      <c r="U7" s="15">
        <v>46203</v>
      </c>
      <c r="V7" s="15">
        <v>46216</v>
      </c>
      <c r="W7" s="15">
        <v>46294</v>
      </c>
      <c r="X7" s="12">
        <v>0</v>
      </c>
      <c r="Y7" s="12">
        <v>0</v>
      </c>
      <c r="Z7" s="12">
        <v>24</v>
      </c>
      <c r="AA7" s="17"/>
      <c r="AB7" s="12">
        <v>28</v>
      </c>
      <c r="AC7" s="17"/>
      <c r="AD7" s="17"/>
      <c r="AE7" s="17"/>
      <c r="AF7" s="17"/>
      <c r="AG7" s="17"/>
      <c r="AH7" s="17"/>
      <c r="AI7" s="17"/>
      <c r="AJ7" s="17"/>
      <c r="AK7" s="17"/>
      <c r="AM7" s="18">
        <f t="shared" si="1"/>
        <v>0.19230769230769232</v>
      </c>
      <c r="AN7" s="18" t="str">
        <f t="shared" si="2"/>
        <v/>
      </c>
      <c r="AO7" s="18" t="str">
        <f t="shared" si="3"/>
        <v/>
      </c>
      <c r="AP7" s="18">
        <f t="shared" si="4"/>
        <v>0.41666666666666669</v>
      </c>
      <c r="AQ7" s="18">
        <f t="shared" si="5"/>
        <v>0.35714285714285715</v>
      </c>
      <c r="AR7" s="18">
        <f t="shared" si="6"/>
        <v>11</v>
      </c>
      <c r="AS7" s="18" t="str">
        <f t="shared" si="7"/>
        <v/>
      </c>
      <c r="AT7" s="18" t="str">
        <f t="shared" si="8"/>
        <v/>
      </c>
      <c r="AU7" s="18">
        <f t="shared" si="9"/>
        <v>1.9</v>
      </c>
      <c r="AV7" s="18">
        <f t="shared" si="10"/>
        <v>7.8</v>
      </c>
      <c r="AW7" s="18" t="str">
        <f t="shared" si="11"/>
        <v/>
      </c>
      <c r="AX7" s="19" t="str">
        <f t="shared" si="12"/>
        <v/>
      </c>
      <c r="AY7" s="20" t="str">
        <f t="shared" si="13"/>
        <v/>
      </c>
      <c r="AZ7" s="20" t="str">
        <f t="shared" si="14"/>
        <v/>
      </c>
    </row>
    <row r="8" spans="1:52" ht="99.75" customHeight="1" x14ac:dyDescent="0.3">
      <c r="A8" s="12"/>
      <c r="B8" s="12"/>
      <c r="C8" s="12"/>
      <c r="D8" s="1"/>
      <c r="E8" s="13" t="s">
        <v>70</v>
      </c>
      <c r="F8" s="14" t="s">
        <v>71</v>
      </c>
      <c r="G8" s="12"/>
      <c r="H8" s="12">
        <f>ROUNDUP(I8/Notes!$B$5,0)</f>
        <v>13</v>
      </c>
      <c r="I8" s="12">
        <v>68</v>
      </c>
      <c r="J8" s="12">
        <v>68</v>
      </c>
      <c r="K8" s="12">
        <f t="shared" si="0"/>
        <v>68</v>
      </c>
      <c r="L8" s="15">
        <v>46182</v>
      </c>
      <c r="M8" s="16">
        <v>46248</v>
      </c>
      <c r="N8" s="15">
        <v>46182</v>
      </c>
      <c r="O8" s="16">
        <v>46251</v>
      </c>
      <c r="P8" s="15"/>
      <c r="Q8" s="15"/>
      <c r="R8" s="15"/>
      <c r="S8" s="15"/>
      <c r="T8" s="15">
        <v>46182</v>
      </c>
      <c r="U8" s="15">
        <v>46213</v>
      </c>
      <c r="V8" s="15">
        <v>46210</v>
      </c>
      <c r="W8" s="15">
        <v>46251</v>
      </c>
      <c r="X8" s="12">
        <v>0</v>
      </c>
      <c r="Y8" s="12">
        <v>0</v>
      </c>
      <c r="Z8" s="12">
        <v>40</v>
      </c>
      <c r="AA8" s="17"/>
      <c r="AB8" s="12">
        <v>28</v>
      </c>
      <c r="AC8" s="17"/>
      <c r="AD8" s="17"/>
      <c r="AE8" s="17"/>
      <c r="AF8" s="17"/>
      <c r="AG8" s="17"/>
      <c r="AH8" s="17"/>
      <c r="AI8" s="17"/>
      <c r="AJ8" s="17"/>
      <c r="AK8" s="17"/>
      <c r="AM8" s="18">
        <f t="shared" si="1"/>
        <v>0.19117647058823528</v>
      </c>
      <c r="AN8" s="18" t="str">
        <f t="shared" si="2"/>
        <v/>
      </c>
      <c r="AO8" s="18" t="str">
        <f t="shared" si="3"/>
        <v/>
      </c>
      <c r="AP8" s="18">
        <f t="shared" si="4"/>
        <v>0.32500000000000001</v>
      </c>
      <c r="AQ8" s="18">
        <f t="shared" si="5"/>
        <v>0.4642857142857143</v>
      </c>
      <c r="AR8" s="18">
        <f t="shared" si="6"/>
        <v>5.3076923076923075</v>
      </c>
      <c r="AS8" s="18" t="str">
        <f t="shared" si="7"/>
        <v/>
      </c>
      <c r="AT8" s="18" t="str">
        <f t="shared" si="8"/>
        <v/>
      </c>
      <c r="AU8" s="18">
        <f t="shared" si="9"/>
        <v>2.3846153846153846</v>
      </c>
      <c r="AV8" s="18">
        <f t="shared" si="10"/>
        <v>3.1538461538461537</v>
      </c>
      <c r="AW8" s="18" t="str">
        <f t="shared" si="11"/>
        <v/>
      </c>
      <c r="AX8" s="19" t="str">
        <f t="shared" si="12"/>
        <v/>
      </c>
      <c r="AY8" s="20" t="str">
        <f t="shared" si="13"/>
        <v/>
      </c>
      <c r="AZ8" s="20" t="str">
        <f t="shared" si="14"/>
        <v/>
      </c>
    </row>
    <row r="9" spans="1:52" ht="63" customHeight="1" x14ac:dyDescent="0.3">
      <c r="A9" s="12"/>
      <c r="B9" s="12"/>
      <c r="C9" s="12"/>
      <c r="D9" s="1"/>
      <c r="E9" s="13" t="s">
        <v>72</v>
      </c>
      <c r="F9" s="14" t="s">
        <v>73</v>
      </c>
      <c r="G9" s="12"/>
      <c r="H9" s="12">
        <f>ROUNDUP(I9/Notes!$B$5,0)</f>
        <v>6</v>
      </c>
      <c r="I9" s="12">
        <v>30</v>
      </c>
      <c r="J9" s="12">
        <v>30</v>
      </c>
      <c r="K9" s="12">
        <f t="shared" si="0"/>
        <v>30</v>
      </c>
      <c r="L9" s="15">
        <v>46175</v>
      </c>
      <c r="M9" s="16">
        <v>46204</v>
      </c>
      <c r="N9" s="15">
        <v>46175</v>
      </c>
      <c r="O9" s="16">
        <v>46204</v>
      </c>
      <c r="P9" s="15"/>
      <c r="Q9" s="15"/>
      <c r="R9" s="15"/>
      <c r="S9" s="15"/>
      <c r="T9" s="15">
        <v>46175</v>
      </c>
      <c r="U9" s="15">
        <v>46204</v>
      </c>
      <c r="V9" s="15">
        <v>46184</v>
      </c>
      <c r="W9" s="15">
        <v>46203</v>
      </c>
      <c r="X9" s="12">
        <v>0</v>
      </c>
      <c r="Y9" s="12">
        <v>0</v>
      </c>
      <c r="Z9" s="12">
        <v>12</v>
      </c>
      <c r="AA9" s="17"/>
      <c r="AB9" s="12">
        <v>18</v>
      </c>
      <c r="AC9" s="17"/>
      <c r="AD9" s="17"/>
      <c r="AE9" s="17"/>
      <c r="AF9" s="17"/>
      <c r="AG9" s="17"/>
      <c r="AH9" s="17"/>
      <c r="AI9" s="17"/>
      <c r="AJ9" s="17"/>
      <c r="AK9" s="17"/>
      <c r="AM9" s="18">
        <f t="shared" si="1"/>
        <v>0.2</v>
      </c>
      <c r="AN9" s="18" t="str">
        <f t="shared" si="2"/>
        <v/>
      </c>
      <c r="AO9" s="18" t="str">
        <f t="shared" si="3"/>
        <v/>
      </c>
      <c r="AP9" s="18">
        <f t="shared" si="4"/>
        <v>0.5</v>
      </c>
      <c r="AQ9" s="18">
        <f t="shared" si="5"/>
        <v>0.33333333333333331</v>
      </c>
      <c r="AR9" s="18">
        <f t="shared" si="6"/>
        <v>4.833333333333333</v>
      </c>
      <c r="AS9" s="18" t="str">
        <f t="shared" si="7"/>
        <v/>
      </c>
      <c r="AT9" s="18" t="str">
        <f t="shared" si="8"/>
        <v/>
      </c>
      <c r="AU9" s="18">
        <f t="shared" si="9"/>
        <v>4.833333333333333</v>
      </c>
      <c r="AV9" s="18">
        <f t="shared" si="10"/>
        <v>3.1666666666666665</v>
      </c>
      <c r="AW9" s="18" t="str">
        <f t="shared" si="11"/>
        <v/>
      </c>
      <c r="AX9" s="19" t="str">
        <f t="shared" si="12"/>
        <v/>
      </c>
      <c r="AY9" s="20" t="str">
        <f t="shared" si="13"/>
        <v/>
      </c>
      <c r="AZ9" s="20" t="str">
        <f t="shared" si="14"/>
        <v/>
      </c>
    </row>
    <row r="10" spans="1:52" ht="99.75" customHeight="1" x14ac:dyDescent="0.3">
      <c r="A10" s="12"/>
      <c r="B10" s="12"/>
      <c r="C10" s="12"/>
      <c r="D10" s="1"/>
      <c r="E10" s="13" t="s">
        <v>74</v>
      </c>
      <c r="F10" s="14" t="s">
        <v>75</v>
      </c>
      <c r="G10" s="12" t="s">
        <v>58</v>
      </c>
      <c r="H10" s="12">
        <f>ROUNDUP(I10/Notes!$B$5,0)</f>
        <v>50</v>
      </c>
      <c r="I10" s="12">
        <v>261</v>
      </c>
      <c r="J10" s="12">
        <v>262</v>
      </c>
      <c r="K10" s="12">
        <f t="shared" si="0"/>
        <v>261</v>
      </c>
      <c r="L10" s="15">
        <v>46188</v>
      </c>
      <c r="M10" s="16">
        <v>46293</v>
      </c>
      <c r="N10" s="15">
        <v>46188</v>
      </c>
      <c r="O10" s="16">
        <v>46293</v>
      </c>
      <c r="P10" s="15"/>
      <c r="Q10" s="15"/>
      <c r="R10" s="15"/>
      <c r="S10" s="15"/>
      <c r="T10" s="15">
        <v>46188</v>
      </c>
      <c r="U10" s="15">
        <v>46275</v>
      </c>
      <c r="V10" s="15">
        <v>46210</v>
      </c>
      <c r="W10" s="15">
        <v>46293</v>
      </c>
      <c r="X10" s="12">
        <v>0</v>
      </c>
      <c r="Y10" s="12">
        <v>0</v>
      </c>
      <c r="Z10" s="12">
        <v>129</v>
      </c>
      <c r="AA10" s="17"/>
      <c r="AB10" s="12">
        <v>132</v>
      </c>
      <c r="AC10" s="17"/>
      <c r="AD10" s="17"/>
      <c r="AE10" s="17"/>
      <c r="AF10" s="17"/>
      <c r="AG10" s="17"/>
      <c r="AH10" s="17"/>
      <c r="AI10" s="17"/>
      <c r="AJ10" s="17"/>
      <c r="AK10" s="17"/>
      <c r="AM10" s="18">
        <f t="shared" si="1"/>
        <v>0.19157088122605365</v>
      </c>
      <c r="AN10" s="18" t="str">
        <f t="shared" si="2"/>
        <v/>
      </c>
      <c r="AO10" s="18" t="str">
        <f t="shared" si="3"/>
        <v/>
      </c>
      <c r="AP10" s="18">
        <f t="shared" si="4"/>
        <v>0.38759689922480622</v>
      </c>
      <c r="AQ10" s="18">
        <f t="shared" si="5"/>
        <v>0.37878787878787878</v>
      </c>
      <c r="AR10" s="18">
        <f t="shared" si="6"/>
        <v>2.1</v>
      </c>
      <c r="AS10" s="18" t="str">
        <f t="shared" si="7"/>
        <v/>
      </c>
      <c r="AT10" s="18" t="str">
        <f t="shared" si="8"/>
        <v/>
      </c>
      <c r="AU10" s="18">
        <f t="shared" si="9"/>
        <v>1.74</v>
      </c>
      <c r="AV10" s="18">
        <f t="shared" si="10"/>
        <v>1.66</v>
      </c>
      <c r="AW10" s="18" t="str">
        <f t="shared" si="11"/>
        <v/>
      </c>
      <c r="AX10" s="19" t="str">
        <f t="shared" si="12"/>
        <v/>
      </c>
      <c r="AY10" s="20" t="str">
        <f t="shared" si="13"/>
        <v/>
      </c>
      <c r="AZ10" s="20" t="str">
        <f t="shared" si="14"/>
        <v/>
      </c>
    </row>
    <row r="11" spans="1:52" ht="63" customHeight="1" x14ac:dyDescent="0.3">
      <c r="A11" s="12"/>
      <c r="B11" s="12"/>
      <c r="C11" s="12"/>
      <c r="D11" s="1"/>
      <c r="E11" s="13" t="s">
        <v>76</v>
      </c>
      <c r="F11" s="14" t="s">
        <v>77</v>
      </c>
      <c r="G11" s="12"/>
      <c r="H11" s="12">
        <f>ROUNDUP(I11/Notes!$B$5,0)</f>
        <v>5</v>
      </c>
      <c r="I11" s="12">
        <v>24</v>
      </c>
      <c r="J11" s="12">
        <v>24</v>
      </c>
      <c r="K11" s="12">
        <f t="shared" si="0"/>
        <v>24</v>
      </c>
      <c r="L11" s="15">
        <v>46209</v>
      </c>
      <c r="M11" s="16">
        <v>46219</v>
      </c>
      <c r="N11" s="15">
        <v>46209</v>
      </c>
      <c r="O11" s="16">
        <v>46219</v>
      </c>
      <c r="P11" s="15"/>
      <c r="Q11" s="15"/>
      <c r="R11" s="15"/>
      <c r="S11" s="15"/>
      <c r="T11" s="15">
        <v>46209</v>
      </c>
      <c r="U11" s="15">
        <v>46219</v>
      </c>
      <c r="V11" s="15"/>
      <c r="W11" s="15"/>
      <c r="X11" s="12">
        <v>0</v>
      </c>
      <c r="Y11" s="12">
        <v>0</v>
      </c>
      <c r="Z11" s="12">
        <v>24</v>
      </c>
      <c r="AA11" s="17"/>
      <c r="AB11" s="12">
        <v>0</v>
      </c>
      <c r="AC11" s="17"/>
      <c r="AD11" s="17"/>
      <c r="AE11" s="17"/>
      <c r="AF11" s="17"/>
      <c r="AG11" s="17"/>
      <c r="AH11" s="17"/>
      <c r="AI11" s="17"/>
      <c r="AJ11" s="17"/>
      <c r="AK11" s="17"/>
      <c r="AM11" s="18">
        <f t="shared" si="1"/>
        <v>0.20833333333333334</v>
      </c>
      <c r="AN11" s="18" t="str">
        <f t="shared" si="2"/>
        <v/>
      </c>
      <c r="AO11" s="18" t="str">
        <f t="shared" si="3"/>
        <v/>
      </c>
      <c r="AP11" s="18">
        <f t="shared" si="4"/>
        <v>0.20833333333333334</v>
      </c>
      <c r="AQ11" s="18" t="str">
        <f t="shared" si="5"/>
        <v/>
      </c>
      <c r="AR11" s="18">
        <f t="shared" si="6"/>
        <v>2</v>
      </c>
      <c r="AS11" s="18" t="str">
        <f t="shared" si="7"/>
        <v/>
      </c>
      <c r="AT11" s="18" t="str">
        <f t="shared" si="8"/>
        <v/>
      </c>
      <c r="AU11" s="18">
        <f t="shared" si="9"/>
        <v>2</v>
      </c>
      <c r="AV11" s="18" t="str">
        <f t="shared" si="10"/>
        <v/>
      </c>
      <c r="AW11" s="18" t="str">
        <f t="shared" si="11"/>
        <v/>
      </c>
      <c r="AX11" s="19" t="str">
        <f t="shared" si="12"/>
        <v/>
      </c>
      <c r="AY11" s="20" t="str">
        <f t="shared" si="13"/>
        <v/>
      </c>
      <c r="AZ11" s="20" t="str">
        <f t="shared" si="14"/>
        <v/>
      </c>
    </row>
    <row r="12" spans="1:52" ht="63" customHeight="1" x14ac:dyDescent="0.3">
      <c r="A12" s="12">
        <v>5</v>
      </c>
      <c r="B12" s="12" t="s">
        <v>51</v>
      </c>
      <c r="C12" s="12" t="s">
        <v>52</v>
      </c>
      <c r="D12" s="1" t="s">
        <v>78</v>
      </c>
      <c r="E12" s="13" t="s">
        <v>79</v>
      </c>
      <c r="F12" s="14" t="s">
        <v>80</v>
      </c>
      <c r="G12" s="12"/>
      <c r="H12" s="12">
        <f>ROUNDUP(I12/Notes!$B$5,0)</f>
        <v>18</v>
      </c>
      <c r="I12" s="12">
        <v>94</v>
      </c>
      <c r="J12" s="12">
        <v>94</v>
      </c>
      <c r="K12" s="12">
        <f t="shared" si="0"/>
        <v>94</v>
      </c>
      <c r="L12" s="15">
        <v>46174</v>
      </c>
      <c r="M12" s="16">
        <v>46289</v>
      </c>
      <c r="N12" s="15">
        <v>46174</v>
      </c>
      <c r="O12" s="16">
        <v>46289</v>
      </c>
      <c r="P12" s="15"/>
      <c r="Q12" s="15"/>
      <c r="R12" s="15"/>
      <c r="S12" s="15"/>
      <c r="T12" s="15">
        <v>46174</v>
      </c>
      <c r="U12" s="15">
        <v>46289</v>
      </c>
      <c r="V12" s="15">
        <v>46281</v>
      </c>
      <c r="W12" s="15">
        <v>46283</v>
      </c>
      <c r="X12" s="12">
        <v>0</v>
      </c>
      <c r="Y12" s="12">
        <v>0</v>
      </c>
      <c r="Z12" s="12">
        <v>88</v>
      </c>
      <c r="AA12" s="17"/>
      <c r="AB12" s="12">
        <v>6</v>
      </c>
      <c r="AC12" s="17"/>
      <c r="AD12" s="17"/>
      <c r="AE12" s="17"/>
      <c r="AF12" s="17"/>
      <c r="AG12" s="17"/>
      <c r="AH12" s="17"/>
      <c r="AI12" s="17"/>
      <c r="AJ12" s="17"/>
      <c r="AK12" s="17"/>
      <c r="AM12" s="18">
        <f t="shared" si="1"/>
        <v>0.19148936170212766</v>
      </c>
      <c r="AN12" s="18" t="str">
        <f t="shared" si="2"/>
        <v/>
      </c>
      <c r="AO12" s="18" t="str">
        <f t="shared" si="3"/>
        <v/>
      </c>
      <c r="AP12" s="18">
        <f t="shared" si="4"/>
        <v>0.20454545454545456</v>
      </c>
      <c r="AQ12" s="18">
        <f t="shared" si="5"/>
        <v>3</v>
      </c>
      <c r="AR12" s="18">
        <f t="shared" si="6"/>
        <v>6.3888888888888893</v>
      </c>
      <c r="AS12" s="18" t="str">
        <f t="shared" si="7"/>
        <v/>
      </c>
      <c r="AT12" s="18" t="str">
        <f t="shared" si="8"/>
        <v/>
      </c>
      <c r="AU12" s="18">
        <f t="shared" si="9"/>
        <v>6.3888888888888893</v>
      </c>
      <c r="AV12" s="18">
        <f t="shared" si="10"/>
        <v>0.1111111111111111</v>
      </c>
      <c r="AW12" s="18" t="str">
        <f t="shared" si="11"/>
        <v/>
      </c>
      <c r="AX12" s="19" t="str">
        <f t="shared" si="12"/>
        <v/>
      </c>
      <c r="AY12" s="20" t="str">
        <f t="shared" si="13"/>
        <v/>
      </c>
      <c r="AZ12" s="20" t="str">
        <f t="shared" si="14"/>
        <v/>
      </c>
    </row>
    <row r="13" spans="1:52" ht="63" customHeight="1" x14ac:dyDescent="0.3">
      <c r="A13" s="12"/>
      <c r="B13" s="12"/>
      <c r="C13" s="12"/>
      <c r="D13" s="1"/>
      <c r="E13" s="13" t="s">
        <v>81</v>
      </c>
      <c r="F13" s="14" t="s">
        <v>82</v>
      </c>
      <c r="G13" s="12" t="s">
        <v>58</v>
      </c>
      <c r="H13" s="12">
        <f>ROUNDUP(I13/Notes!$B$5,0)</f>
        <v>7</v>
      </c>
      <c r="I13" s="12">
        <v>32</v>
      </c>
      <c r="J13" s="12">
        <v>32</v>
      </c>
      <c r="K13" s="12">
        <f t="shared" si="0"/>
        <v>32</v>
      </c>
      <c r="L13" s="15">
        <v>46183</v>
      </c>
      <c r="M13" s="16">
        <v>46205</v>
      </c>
      <c r="N13" s="15">
        <v>46183</v>
      </c>
      <c r="O13" s="16">
        <v>46205</v>
      </c>
      <c r="P13" s="15"/>
      <c r="Q13" s="15"/>
      <c r="R13" s="15"/>
      <c r="S13" s="15"/>
      <c r="T13" s="15">
        <v>46183</v>
      </c>
      <c r="U13" s="15">
        <v>46205</v>
      </c>
      <c r="V13" s="15"/>
      <c r="W13" s="15"/>
      <c r="X13" s="12">
        <v>0</v>
      </c>
      <c r="Y13" s="12">
        <v>0</v>
      </c>
      <c r="Z13" s="12">
        <v>32</v>
      </c>
      <c r="AA13" s="17"/>
      <c r="AB13" s="12">
        <v>0</v>
      </c>
      <c r="AC13" s="17"/>
      <c r="AD13" s="17"/>
      <c r="AE13" s="17"/>
      <c r="AF13" s="17"/>
      <c r="AG13" s="17"/>
      <c r="AH13" s="17"/>
      <c r="AI13" s="17"/>
      <c r="AJ13" s="17"/>
      <c r="AK13" s="17"/>
      <c r="AM13" s="18">
        <f t="shared" si="1"/>
        <v>0.21875</v>
      </c>
      <c r="AN13" s="18" t="str">
        <f t="shared" si="2"/>
        <v/>
      </c>
      <c r="AO13" s="18" t="str">
        <f t="shared" si="3"/>
        <v/>
      </c>
      <c r="AP13" s="18">
        <f t="shared" si="4"/>
        <v>0.21875</v>
      </c>
      <c r="AQ13" s="18" t="str">
        <f t="shared" si="5"/>
        <v/>
      </c>
      <c r="AR13" s="18">
        <f t="shared" si="6"/>
        <v>3.1428571428571428</v>
      </c>
      <c r="AS13" s="18" t="str">
        <f t="shared" si="7"/>
        <v/>
      </c>
      <c r="AT13" s="18" t="str">
        <f t="shared" si="8"/>
        <v/>
      </c>
      <c r="AU13" s="18">
        <f t="shared" si="9"/>
        <v>3.1428571428571428</v>
      </c>
      <c r="AV13" s="18" t="str">
        <f t="shared" si="10"/>
        <v/>
      </c>
      <c r="AW13" s="18" t="str">
        <f t="shared" si="11"/>
        <v/>
      </c>
      <c r="AX13" s="19" t="str">
        <f t="shared" si="12"/>
        <v/>
      </c>
      <c r="AY13" s="20" t="str">
        <f t="shared" si="13"/>
        <v/>
      </c>
      <c r="AZ13" s="20" t="str">
        <f t="shared" si="14"/>
        <v/>
      </c>
    </row>
    <row r="14" spans="1:52" ht="63" customHeight="1" x14ac:dyDescent="0.3">
      <c r="A14" s="12"/>
      <c r="B14" s="12"/>
      <c r="C14" s="12"/>
      <c r="D14" s="1"/>
      <c r="E14" s="13" t="s">
        <v>83</v>
      </c>
      <c r="F14" s="14" t="s">
        <v>84</v>
      </c>
      <c r="G14" s="12" t="s">
        <v>58</v>
      </c>
      <c r="H14" s="12">
        <f>ROUNDUP(I14/Notes!$B$5,0)</f>
        <v>12</v>
      </c>
      <c r="I14" s="12">
        <v>63</v>
      </c>
      <c r="J14" s="12">
        <v>64</v>
      </c>
      <c r="K14" s="12">
        <f t="shared" si="0"/>
        <v>63</v>
      </c>
      <c r="L14" s="15">
        <v>46178</v>
      </c>
      <c r="M14" s="16">
        <v>46283</v>
      </c>
      <c r="N14" s="15">
        <v>46178</v>
      </c>
      <c r="O14" s="16">
        <v>46286</v>
      </c>
      <c r="P14" s="15"/>
      <c r="Q14" s="15"/>
      <c r="R14" s="15"/>
      <c r="S14" s="15"/>
      <c r="T14" s="15">
        <v>46178</v>
      </c>
      <c r="U14" s="15">
        <v>46286</v>
      </c>
      <c r="V14" s="15"/>
      <c r="W14" s="15"/>
      <c r="X14" s="12">
        <v>0</v>
      </c>
      <c r="Y14" s="12">
        <v>0</v>
      </c>
      <c r="Z14" s="12">
        <v>63</v>
      </c>
      <c r="AA14" s="17"/>
      <c r="AB14" s="12">
        <v>0</v>
      </c>
      <c r="AC14" s="17"/>
      <c r="AD14" s="17"/>
      <c r="AE14" s="17"/>
      <c r="AF14" s="17"/>
      <c r="AG14" s="17"/>
      <c r="AH14" s="17"/>
      <c r="AI14" s="17"/>
      <c r="AJ14" s="17"/>
      <c r="AK14" s="17"/>
      <c r="AM14" s="18">
        <f t="shared" si="1"/>
        <v>0.19047619047619047</v>
      </c>
      <c r="AN14" s="18" t="str">
        <f t="shared" si="2"/>
        <v/>
      </c>
      <c r="AO14" s="18" t="str">
        <f t="shared" si="3"/>
        <v/>
      </c>
      <c r="AP14" s="18">
        <f t="shared" si="4"/>
        <v>0.19047619047619047</v>
      </c>
      <c r="AQ14" s="18" t="str">
        <f t="shared" si="5"/>
        <v/>
      </c>
      <c r="AR14" s="18">
        <f t="shared" si="6"/>
        <v>9</v>
      </c>
      <c r="AS14" s="18" t="str">
        <f t="shared" si="7"/>
        <v/>
      </c>
      <c r="AT14" s="18" t="str">
        <f t="shared" si="8"/>
        <v/>
      </c>
      <c r="AU14" s="18">
        <f t="shared" si="9"/>
        <v>9</v>
      </c>
      <c r="AV14" s="18" t="str">
        <f t="shared" si="10"/>
        <v/>
      </c>
      <c r="AW14" s="18" t="str">
        <f t="shared" si="11"/>
        <v/>
      </c>
      <c r="AX14" s="19" t="str">
        <f t="shared" si="12"/>
        <v/>
      </c>
      <c r="AY14" s="20" t="str">
        <f t="shared" si="13"/>
        <v/>
      </c>
      <c r="AZ14" s="20" t="str">
        <f t="shared" si="14"/>
        <v/>
      </c>
    </row>
    <row r="15" spans="1:52" ht="75" customHeight="1" x14ac:dyDescent="0.3">
      <c r="A15" s="12">
        <v>6</v>
      </c>
      <c r="B15" s="12" t="s">
        <v>51</v>
      </c>
      <c r="C15" s="12" t="s">
        <v>52</v>
      </c>
      <c r="D15" s="13" t="s">
        <v>85</v>
      </c>
      <c r="E15" s="13" t="s">
        <v>86</v>
      </c>
      <c r="F15" s="14" t="s">
        <v>87</v>
      </c>
      <c r="G15" s="12"/>
      <c r="H15" s="12">
        <f>ROUNDUP(I15/Notes!$B$5,0)</f>
        <v>12</v>
      </c>
      <c r="I15" s="12">
        <v>58</v>
      </c>
      <c r="J15" s="12">
        <v>58</v>
      </c>
      <c r="K15" s="12">
        <f t="shared" si="0"/>
        <v>58</v>
      </c>
      <c r="L15" s="15">
        <v>46206</v>
      </c>
      <c r="M15" s="16">
        <v>46286</v>
      </c>
      <c r="N15" s="15">
        <v>46206</v>
      </c>
      <c r="O15" s="16">
        <v>46286</v>
      </c>
      <c r="P15" s="15">
        <v>46283</v>
      </c>
      <c r="Q15" s="15">
        <v>46286</v>
      </c>
      <c r="R15" s="15">
        <v>46206</v>
      </c>
      <c r="S15" s="15">
        <v>46209</v>
      </c>
      <c r="T15" s="15">
        <v>46225</v>
      </c>
      <c r="U15" s="15">
        <v>46231</v>
      </c>
      <c r="V15" s="15">
        <v>46219</v>
      </c>
      <c r="W15" s="15">
        <v>46219</v>
      </c>
      <c r="X15" s="12">
        <v>16</v>
      </c>
      <c r="Y15" s="12">
        <v>16</v>
      </c>
      <c r="Z15" s="12">
        <v>22</v>
      </c>
      <c r="AA15" s="17"/>
      <c r="AB15" s="12">
        <v>4</v>
      </c>
      <c r="AC15" s="17"/>
      <c r="AD15" s="17"/>
      <c r="AE15" s="17"/>
      <c r="AF15" s="17"/>
      <c r="AG15" s="17"/>
      <c r="AH15" s="17"/>
      <c r="AI15" s="17"/>
      <c r="AJ15" s="17"/>
      <c r="AK15" s="17"/>
      <c r="AM15" s="18">
        <f t="shared" si="1"/>
        <v>0.20689655172413793</v>
      </c>
      <c r="AN15" s="18">
        <f t="shared" si="2"/>
        <v>0.75</v>
      </c>
      <c r="AO15" s="18">
        <f t="shared" si="3"/>
        <v>0.75</v>
      </c>
      <c r="AP15" s="18">
        <f t="shared" si="4"/>
        <v>0.54545454545454541</v>
      </c>
      <c r="AQ15" s="18">
        <f t="shared" si="5"/>
        <v>3</v>
      </c>
      <c r="AR15" s="18">
        <f t="shared" si="6"/>
        <v>6.666666666666667</v>
      </c>
      <c r="AS15" s="18">
        <f t="shared" si="7"/>
        <v>0.25</v>
      </c>
      <c r="AT15" s="18">
        <f t="shared" si="8"/>
        <v>0.25</v>
      </c>
      <c r="AU15" s="18">
        <f t="shared" si="9"/>
        <v>0.5</v>
      </c>
      <c r="AV15" s="18">
        <f t="shared" si="10"/>
        <v>0</v>
      </c>
      <c r="AW15" s="18" t="str">
        <f t="shared" si="11"/>
        <v/>
      </c>
      <c r="AX15" s="19" t="str">
        <f t="shared" si="12"/>
        <v/>
      </c>
      <c r="AY15" s="20" t="str">
        <f t="shared" si="13"/>
        <v/>
      </c>
      <c r="AZ15" s="20" t="str">
        <f t="shared" si="14"/>
        <v/>
      </c>
    </row>
    <row r="16" spans="1:52" ht="99.75" customHeight="1" x14ac:dyDescent="0.3">
      <c r="A16" s="12">
        <v>7</v>
      </c>
      <c r="B16" s="12" t="s">
        <v>51</v>
      </c>
      <c r="C16" s="12" t="s">
        <v>52</v>
      </c>
      <c r="D16" s="1" t="s">
        <v>88</v>
      </c>
      <c r="E16" s="13" t="s">
        <v>89</v>
      </c>
      <c r="F16" s="14" t="s">
        <v>90</v>
      </c>
      <c r="G16" s="12" t="s">
        <v>58</v>
      </c>
      <c r="H16" s="12">
        <f>ROUNDUP(I16/Notes!$B$5,0)</f>
        <v>33</v>
      </c>
      <c r="I16" s="12">
        <v>169</v>
      </c>
      <c r="J16" s="12">
        <v>169</v>
      </c>
      <c r="K16" s="12">
        <f t="shared" si="0"/>
        <v>169</v>
      </c>
      <c r="L16" s="15">
        <v>46203</v>
      </c>
      <c r="M16" s="16">
        <v>46287</v>
      </c>
      <c r="N16" s="15">
        <v>46203</v>
      </c>
      <c r="O16" s="16">
        <v>46287</v>
      </c>
      <c r="P16" s="15"/>
      <c r="Q16" s="15"/>
      <c r="R16" s="15"/>
      <c r="S16" s="15"/>
      <c r="T16" s="15">
        <v>46203</v>
      </c>
      <c r="U16" s="15">
        <v>46287</v>
      </c>
      <c r="V16" s="15"/>
      <c r="W16" s="15"/>
      <c r="X16" s="12">
        <v>0</v>
      </c>
      <c r="Y16" s="12">
        <v>0</v>
      </c>
      <c r="Z16" s="12">
        <v>169</v>
      </c>
      <c r="AA16" s="17"/>
      <c r="AB16" s="12">
        <v>0</v>
      </c>
      <c r="AC16" s="17"/>
      <c r="AD16" s="17"/>
      <c r="AE16" s="17"/>
      <c r="AF16" s="17"/>
      <c r="AG16" s="17"/>
      <c r="AH16" s="17"/>
      <c r="AI16" s="17"/>
      <c r="AJ16" s="17"/>
      <c r="AK16" s="17"/>
      <c r="AM16" s="18">
        <f t="shared" si="1"/>
        <v>0.19526627218934911</v>
      </c>
      <c r="AN16" s="18" t="str">
        <f t="shared" si="2"/>
        <v/>
      </c>
      <c r="AO16" s="18" t="str">
        <f t="shared" si="3"/>
        <v/>
      </c>
      <c r="AP16" s="18">
        <f t="shared" si="4"/>
        <v>0.19526627218934911</v>
      </c>
      <c r="AQ16" s="18" t="str">
        <f t="shared" si="5"/>
        <v/>
      </c>
      <c r="AR16" s="18">
        <f t="shared" si="6"/>
        <v>2.5454545454545454</v>
      </c>
      <c r="AS16" s="18" t="str">
        <f t="shared" si="7"/>
        <v/>
      </c>
      <c r="AT16" s="18" t="str">
        <f t="shared" si="8"/>
        <v/>
      </c>
      <c r="AU16" s="18">
        <f t="shared" si="9"/>
        <v>2.5454545454545454</v>
      </c>
      <c r="AV16" s="18" t="str">
        <f t="shared" si="10"/>
        <v/>
      </c>
      <c r="AW16" s="18" t="str">
        <f t="shared" si="11"/>
        <v/>
      </c>
      <c r="AX16" s="19" t="str">
        <f t="shared" si="12"/>
        <v/>
      </c>
      <c r="AY16" s="20" t="str">
        <f t="shared" si="13"/>
        <v/>
      </c>
      <c r="AZ16" s="20" t="str">
        <f t="shared" si="14"/>
        <v/>
      </c>
    </row>
    <row r="17" spans="1:52" ht="63" customHeight="1" x14ac:dyDescent="0.3">
      <c r="A17" s="12"/>
      <c r="B17" s="12"/>
      <c r="C17" s="12"/>
      <c r="D17" s="1"/>
      <c r="E17" s="13" t="s">
        <v>91</v>
      </c>
      <c r="F17" s="14" t="s">
        <v>92</v>
      </c>
      <c r="G17" s="12"/>
      <c r="H17" s="12">
        <f>ROUNDUP(I17/Notes!$B$5,0)</f>
        <v>9</v>
      </c>
      <c r="I17" s="12">
        <v>44</v>
      </c>
      <c r="J17" s="12">
        <v>44</v>
      </c>
      <c r="K17" s="12">
        <f t="shared" si="0"/>
        <v>44</v>
      </c>
      <c r="L17" s="15">
        <v>46225</v>
      </c>
      <c r="M17" s="16">
        <v>46295</v>
      </c>
      <c r="N17" s="15">
        <v>46225</v>
      </c>
      <c r="O17" s="16">
        <v>46295</v>
      </c>
      <c r="P17" s="15"/>
      <c r="Q17" s="15"/>
      <c r="R17" s="15"/>
      <c r="S17" s="15"/>
      <c r="T17" s="15">
        <v>46225</v>
      </c>
      <c r="U17" s="15">
        <v>46295</v>
      </c>
      <c r="V17" s="15">
        <v>46265</v>
      </c>
      <c r="W17" s="15">
        <v>46265</v>
      </c>
      <c r="X17" s="12">
        <v>0</v>
      </c>
      <c r="Y17" s="12">
        <v>0</v>
      </c>
      <c r="Z17" s="12">
        <v>40</v>
      </c>
      <c r="AA17" s="17"/>
      <c r="AB17" s="12">
        <v>4</v>
      </c>
      <c r="AC17" s="17"/>
      <c r="AD17" s="17"/>
      <c r="AE17" s="17"/>
      <c r="AF17" s="17"/>
      <c r="AG17" s="17"/>
      <c r="AH17" s="17"/>
      <c r="AI17" s="17"/>
      <c r="AJ17" s="17"/>
      <c r="AK17" s="17"/>
      <c r="AM17" s="18">
        <f t="shared" si="1"/>
        <v>0.20454545454545456</v>
      </c>
      <c r="AN17" s="18" t="str">
        <f t="shared" si="2"/>
        <v/>
      </c>
      <c r="AO17" s="18" t="str">
        <f t="shared" si="3"/>
        <v/>
      </c>
      <c r="AP17" s="18">
        <f t="shared" si="4"/>
        <v>0.22500000000000001</v>
      </c>
      <c r="AQ17" s="18">
        <f t="shared" si="5"/>
        <v>2.25</v>
      </c>
      <c r="AR17" s="18">
        <f t="shared" si="6"/>
        <v>7.7777777777777777</v>
      </c>
      <c r="AS17" s="18" t="str">
        <f t="shared" si="7"/>
        <v/>
      </c>
      <c r="AT17" s="18" t="str">
        <f t="shared" si="8"/>
        <v/>
      </c>
      <c r="AU17" s="18">
        <f t="shared" si="9"/>
        <v>7.7777777777777777</v>
      </c>
      <c r="AV17" s="18">
        <f t="shared" si="10"/>
        <v>0</v>
      </c>
      <c r="AW17" s="18" t="str">
        <f t="shared" si="11"/>
        <v/>
      </c>
      <c r="AX17" s="19" t="str">
        <f t="shared" si="12"/>
        <v/>
      </c>
      <c r="AY17" s="20" t="str">
        <f t="shared" si="13"/>
        <v/>
      </c>
      <c r="AZ17" s="20" t="str">
        <f t="shared" si="14"/>
        <v/>
      </c>
    </row>
    <row r="18" spans="1:52" ht="63" customHeight="1" x14ac:dyDescent="0.3">
      <c r="A18" s="12"/>
      <c r="B18" s="12"/>
      <c r="C18" s="12"/>
      <c r="D18" s="1"/>
      <c r="E18" s="13" t="s">
        <v>93</v>
      </c>
      <c r="F18" s="14" t="s">
        <v>94</v>
      </c>
      <c r="G18" s="12"/>
      <c r="H18" s="12">
        <f>ROUNDUP(I18/Notes!$B$5,0)</f>
        <v>3</v>
      </c>
      <c r="I18" s="12">
        <v>12</v>
      </c>
      <c r="J18" s="12">
        <v>12</v>
      </c>
      <c r="K18" s="12">
        <f t="shared" si="0"/>
        <v>12</v>
      </c>
      <c r="L18" s="15">
        <v>46254</v>
      </c>
      <c r="M18" s="16">
        <v>46283</v>
      </c>
      <c r="N18" s="15">
        <v>46260</v>
      </c>
      <c r="O18" s="16">
        <v>46283</v>
      </c>
      <c r="P18" s="15"/>
      <c r="Q18" s="15"/>
      <c r="R18" s="15"/>
      <c r="S18" s="15"/>
      <c r="T18" s="15">
        <v>46260</v>
      </c>
      <c r="U18" s="15">
        <v>46283</v>
      </c>
      <c r="V18" s="15"/>
      <c r="W18" s="15"/>
      <c r="X18" s="12">
        <v>0</v>
      </c>
      <c r="Y18" s="12">
        <v>0</v>
      </c>
      <c r="Z18" s="12">
        <v>12</v>
      </c>
      <c r="AA18" s="17"/>
      <c r="AB18" s="12">
        <v>0</v>
      </c>
      <c r="AC18" s="17"/>
      <c r="AD18" s="17"/>
      <c r="AE18" s="17"/>
      <c r="AF18" s="17"/>
      <c r="AG18" s="17"/>
      <c r="AH18" s="17"/>
      <c r="AI18" s="17"/>
      <c r="AJ18" s="17"/>
      <c r="AK18" s="17"/>
      <c r="AM18" s="18">
        <f t="shared" si="1"/>
        <v>0.25</v>
      </c>
      <c r="AN18" s="18" t="str">
        <f t="shared" si="2"/>
        <v/>
      </c>
      <c r="AO18" s="18" t="str">
        <f t="shared" si="3"/>
        <v/>
      </c>
      <c r="AP18" s="18">
        <f t="shared" si="4"/>
        <v>0.25</v>
      </c>
      <c r="AQ18" s="18" t="str">
        <f t="shared" si="5"/>
        <v/>
      </c>
      <c r="AR18" s="18">
        <f t="shared" si="6"/>
        <v>7.666666666666667</v>
      </c>
      <c r="AS18" s="18" t="str">
        <f t="shared" si="7"/>
        <v/>
      </c>
      <c r="AT18" s="18" t="str">
        <f t="shared" si="8"/>
        <v/>
      </c>
      <c r="AU18" s="18">
        <f t="shared" si="9"/>
        <v>7.666666666666667</v>
      </c>
      <c r="AV18" s="18" t="str">
        <f t="shared" si="10"/>
        <v/>
      </c>
      <c r="AW18" s="18" t="str">
        <f t="shared" si="11"/>
        <v/>
      </c>
      <c r="AX18" s="19" t="str">
        <f t="shared" si="12"/>
        <v/>
      </c>
      <c r="AY18" s="20" t="str">
        <f t="shared" si="13"/>
        <v/>
      </c>
      <c r="AZ18" s="20" t="str">
        <f t="shared" si="14"/>
        <v/>
      </c>
    </row>
    <row r="19" spans="1:52" ht="63" customHeight="1" x14ac:dyDescent="0.3">
      <c r="A19" s="12">
        <v>8</v>
      </c>
      <c r="B19" s="12" t="s">
        <v>51</v>
      </c>
      <c r="C19" s="12" t="s">
        <v>52</v>
      </c>
      <c r="D19" s="1" t="s">
        <v>95</v>
      </c>
      <c r="E19" s="13" t="s">
        <v>96</v>
      </c>
      <c r="F19" s="14" t="s">
        <v>97</v>
      </c>
      <c r="G19" s="12" t="s">
        <v>58</v>
      </c>
      <c r="H19" s="12">
        <f>ROUNDUP(I19/Notes!$B$5,0)</f>
        <v>5</v>
      </c>
      <c r="I19" s="12">
        <v>24</v>
      </c>
      <c r="J19" s="12">
        <v>24</v>
      </c>
      <c r="K19" s="12">
        <f t="shared" si="0"/>
        <v>24</v>
      </c>
      <c r="L19" s="15">
        <v>46182</v>
      </c>
      <c r="M19" s="16">
        <v>46283</v>
      </c>
      <c r="N19" s="15">
        <v>46182</v>
      </c>
      <c r="O19" s="16">
        <v>46283</v>
      </c>
      <c r="P19" s="15"/>
      <c r="Q19" s="15"/>
      <c r="R19" s="15"/>
      <c r="S19" s="15"/>
      <c r="T19" s="15">
        <v>46182</v>
      </c>
      <c r="U19" s="15">
        <v>46283</v>
      </c>
      <c r="V19" s="15"/>
      <c r="W19" s="15"/>
      <c r="X19" s="12">
        <v>0</v>
      </c>
      <c r="Y19" s="12">
        <v>0</v>
      </c>
      <c r="Z19" s="12">
        <v>24</v>
      </c>
      <c r="AA19" s="17"/>
      <c r="AB19" s="12">
        <v>0</v>
      </c>
      <c r="AC19" s="17"/>
      <c r="AD19" s="17"/>
      <c r="AE19" s="17"/>
      <c r="AF19" s="17"/>
      <c r="AG19" s="17"/>
      <c r="AH19" s="17"/>
      <c r="AI19" s="17"/>
      <c r="AJ19" s="17"/>
      <c r="AK19" s="17"/>
      <c r="AM19" s="18">
        <f t="shared" si="1"/>
        <v>0.20833333333333334</v>
      </c>
      <c r="AN19" s="18" t="str">
        <f t="shared" si="2"/>
        <v/>
      </c>
      <c r="AO19" s="18" t="str">
        <f t="shared" si="3"/>
        <v/>
      </c>
      <c r="AP19" s="18">
        <f t="shared" si="4"/>
        <v>0.20833333333333334</v>
      </c>
      <c r="AQ19" s="18" t="str">
        <f t="shared" si="5"/>
        <v/>
      </c>
      <c r="AR19" s="18">
        <f t="shared" si="6"/>
        <v>20.2</v>
      </c>
      <c r="AS19" s="18" t="str">
        <f t="shared" si="7"/>
        <v/>
      </c>
      <c r="AT19" s="18" t="str">
        <f t="shared" si="8"/>
        <v/>
      </c>
      <c r="AU19" s="18">
        <f t="shared" si="9"/>
        <v>20.2</v>
      </c>
      <c r="AV19" s="18" t="str">
        <f t="shared" si="10"/>
        <v/>
      </c>
      <c r="AW19" s="18" t="str">
        <f t="shared" si="11"/>
        <v/>
      </c>
      <c r="AX19" s="19" t="str">
        <f t="shared" si="12"/>
        <v/>
      </c>
      <c r="AY19" s="20" t="str">
        <f t="shared" si="13"/>
        <v/>
      </c>
      <c r="AZ19" s="20" t="str">
        <f t="shared" si="14"/>
        <v/>
      </c>
    </row>
    <row r="20" spans="1:52" ht="63" customHeight="1" x14ac:dyDescent="0.3">
      <c r="A20" s="12"/>
      <c r="B20" s="12"/>
      <c r="C20" s="12"/>
      <c r="D20" s="1"/>
      <c r="E20" s="13" t="s">
        <v>98</v>
      </c>
      <c r="F20" s="14" t="s">
        <v>99</v>
      </c>
      <c r="G20" s="12"/>
      <c r="H20" s="12">
        <f>ROUNDUP(I20/Notes!$B$5,0)</f>
        <v>7</v>
      </c>
      <c r="I20" s="12">
        <v>32</v>
      </c>
      <c r="J20" s="12">
        <v>32</v>
      </c>
      <c r="K20" s="12">
        <f t="shared" si="0"/>
        <v>32</v>
      </c>
      <c r="L20" s="15">
        <v>46286</v>
      </c>
      <c r="M20" s="16">
        <v>46289</v>
      </c>
      <c r="N20" s="15">
        <v>46286</v>
      </c>
      <c r="O20" s="16">
        <v>46289</v>
      </c>
      <c r="P20" s="15"/>
      <c r="Q20" s="15"/>
      <c r="R20" s="15"/>
      <c r="S20" s="15"/>
      <c r="T20" s="15">
        <v>46286</v>
      </c>
      <c r="U20" s="15">
        <v>46289</v>
      </c>
      <c r="V20" s="15"/>
      <c r="W20" s="15"/>
      <c r="X20" s="12">
        <v>0</v>
      </c>
      <c r="Y20" s="12">
        <v>0</v>
      </c>
      <c r="Z20" s="12">
        <v>32</v>
      </c>
      <c r="AA20" s="17"/>
      <c r="AB20" s="12">
        <v>0</v>
      </c>
      <c r="AC20" s="17"/>
      <c r="AD20" s="17"/>
      <c r="AE20" s="17"/>
      <c r="AF20" s="17"/>
      <c r="AG20" s="17"/>
      <c r="AH20" s="17"/>
      <c r="AI20" s="17"/>
      <c r="AJ20" s="17"/>
      <c r="AK20" s="17"/>
      <c r="AM20" s="18">
        <f t="shared" si="1"/>
        <v>0.21875</v>
      </c>
      <c r="AN20" s="18" t="str">
        <f t="shared" si="2"/>
        <v/>
      </c>
      <c r="AO20" s="18" t="str">
        <f t="shared" si="3"/>
        <v/>
      </c>
      <c r="AP20" s="18">
        <f t="shared" si="4"/>
        <v>0.21875</v>
      </c>
      <c r="AQ20" s="18" t="str">
        <f t="shared" si="5"/>
        <v/>
      </c>
      <c r="AR20" s="18">
        <f t="shared" si="6"/>
        <v>0.42857142857142855</v>
      </c>
      <c r="AS20" s="18" t="str">
        <f t="shared" si="7"/>
        <v/>
      </c>
      <c r="AT20" s="18" t="str">
        <f t="shared" si="8"/>
        <v/>
      </c>
      <c r="AU20" s="18">
        <f t="shared" si="9"/>
        <v>0.42857142857142855</v>
      </c>
      <c r="AV20" s="18" t="str">
        <f t="shared" si="10"/>
        <v/>
      </c>
      <c r="AW20" s="18" t="str">
        <f t="shared" si="11"/>
        <v/>
      </c>
      <c r="AX20" s="19" t="str">
        <f t="shared" si="12"/>
        <v/>
      </c>
      <c r="AY20" s="20" t="str">
        <f t="shared" si="13"/>
        <v/>
      </c>
      <c r="AZ20" s="20" t="str">
        <f t="shared" si="14"/>
        <v/>
      </c>
    </row>
    <row r="21" spans="1:52" ht="63" customHeight="1" x14ac:dyDescent="0.3">
      <c r="A21" s="12">
        <v>9</v>
      </c>
      <c r="B21" s="12" t="s">
        <v>51</v>
      </c>
      <c r="C21" s="12" t="s">
        <v>52</v>
      </c>
      <c r="D21" s="1" t="s">
        <v>100</v>
      </c>
      <c r="E21" s="13" t="s">
        <v>70</v>
      </c>
      <c r="F21" s="14" t="s">
        <v>101</v>
      </c>
      <c r="G21" s="12"/>
      <c r="H21" s="12">
        <f>ROUNDUP(I21/Notes!$B$5,0)</f>
        <v>1</v>
      </c>
      <c r="I21" s="12">
        <v>1</v>
      </c>
      <c r="J21" s="12">
        <v>1</v>
      </c>
      <c r="K21" s="12">
        <f t="shared" si="0"/>
        <v>1</v>
      </c>
      <c r="L21" s="15">
        <v>46240</v>
      </c>
      <c r="M21" s="16">
        <v>46240</v>
      </c>
      <c r="N21" s="15">
        <v>46240</v>
      </c>
      <c r="O21" s="16">
        <v>46240</v>
      </c>
      <c r="P21" s="15"/>
      <c r="Q21" s="15"/>
      <c r="R21" s="15"/>
      <c r="S21" s="15"/>
      <c r="T21" s="15"/>
      <c r="U21" s="15"/>
      <c r="V21" s="15">
        <v>46240</v>
      </c>
      <c r="W21" s="15">
        <v>46240</v>
      </c>
      <c r="X21" s="12">
        <v>0</v>
      </c>
      <c r="Y21" s="12">
        <v>0</v>
      </c>
      <c r="Z21" s="12">
        <v>0</v>
      </c>
      <c r="AA21" s="17"/>
      <c r="AB21" s="12">
        <v>1</v>
      </c>
      <c r="AC21" s="17"/>
      <c r="AD21" s="17"/>
      <c r="AE21" s="17"/>
      <c r="AF21" s="17"/>
      <c r="AG21" s="17"/>
      <c r="AH21" s="17"/>
      <c r="AI21" s="17"/>
      <c r="AJ21" s="17"/>
      <c r="AK21" s="17"/>
      <c r="AM21" s="18">
        <f t="shared" si="1"/>
        <v>1</v>
      </c>
      <c r="AN21" s="18" t="str">
        <f t="shared" si="2"/>
        <v/>
      </c>
      <c r="AO21" s="18" t="str">
        <f t="shared" si="3"/>
        <v/>
      </c>
      <c r="AP21" s="18" t="str">
        <f t="shared" si="4"/>
        <v/>
      </c>
      <c r="AQ21" s="18">
        <f t="shared" si="5"/>
        <v>1</v>
      </c>
      <c r="AR21" s="18">
        <f t="shared" si="6"/>
        <v>0</v>
      </c>
      <c r="AS21" s="18" t="str">
        <f t="shared" si="7"/>
        <v/>
      </c>
      <c r="AT21" s="18" t="str">
        <f t="shared" si="8"/>
        <v/>
      </c>
      <c r="AU21" s="18" t="str">
        <f t="shared" si="9"/>
        <v/>
      </c>
      <c r="AV21" s="18">
        <f t="shared" si="10"/>
        <v>0</v>
      </c>
      <c r="AW21" s="18" t="str">
        <f t="shared" si="11"/>
        <v/>
      </c>
      <c r="AX21" s="19" t="str">
        <f t="shared" si="12"/>
        <v/>
      </c>
      <c r="AY21" s="20" t="str">
        <f t="shared" si="13"/>
        <v/>
      </c>
      <c r="AZ21" s="20" t="str">
        <f t="shared" si="14"/>
        <v/>
      </c>
    </row>
    <row r="22" spans="1:52" ht="63" customHeight="1" x14ac:dyDescent="0.3">
      <c r="A22" s="12"/>
      <c r="B22" s="12"/>
      <c r="C22" s="12"/>
      <c r="D22" s="1"/>
      <c r="E22" s="13" t="s">
        <v>102</v>
      </c>
      <c r="F22" s="14" t="s">
        <v>103</v>
      </c>
      <c r="G22" s="12"/>
      <c r="H22" s="12">
        <f>ROUNDUP(I22/Notes!$B$5,0)</f>
        <v>5</v>
      </c>
      <c r="I22" s="12">
        <v>25</v>
      </c>
      <c r="J22" s="12">
        <v>25</v>
      </c>
      <c r="K22" s="12">
        <f t="shared" si="0"/>
        <v>25</v>
      </c>
      <c r="L22" s="15">
        <v>46185</v>
      </c>
      <c r="M22" s="16">
        <v>46218</v>
      </c>
      <c r="N22" s="15">
        <v>46185</v>
      </c>
      <c r="O22" s="16">
        <v>46218</v>
      </c>
      <c r="P22" s="15">
        <v>46217</v>
      </c>
      <c r="Q22" s="15">
        <v>46217</v>
      </c>
      <c r="R22" s="15"/>
      <c r="S22" s="15"/>
      <c r="T22" s="15">
        <v>46185</v>
      </c>
      <c r="U22" s="15">
        <v>46218</v>
      </c>
      <c r="V22" s="15"/>
      <c r="W22" s="15"/>
      <c r="X22" s="12">
        <v>4</v>
      </c>
      <c r="Y22" s="12">
        <v>0</v>
      </c>
      <c r="Z22" s="12">
        <v>21</v>
      </c>
      <c r="AA22" s="17"/>
      <c r="AB22" s="12">
        <v>0</v>
      </c>
      <c r="AC22" s="17"/>
      <c r="AD22" s="17"/>
      <c r="AE22" s="17"/>
      <c r="AF22" s="17"/>
      <c r="AG22" s="17"/>
      <c r="AH22" s="17"/>
      <c r="AI22" s="17"/>
      <c r="AJ22" s="17"/>
      <c r="AK22" s="17"/>
      <c r="AM22" s="18">
        <f t="shared" si="1"/>
        <v>0.2</v>
      </c>
      <c r="AN22" s="18">
        <f t="shared" si="2"/>
        <v>1.25</v>
      </c>
      <c r="AO22" s="18" t="str">
        <f t="shared" si="3"/>
        <v/>
      </c>
      <c r="AP22" s="18">
        <f t="shared" si="4"/>
        <v>0.23809523809523808</v>
      </c>
      <c r="AQ22" s="18" t="str">
        <f t="shared" si="5"/>
        <v/>
      </c>
      <c r="AR22" s="18">
        <f t="shared" si="6"/>
        <v>6.6</v>
      </c>
      <c r="AS22" s="18">
        <f t="shared" si="7"/>
        <v>0</v>
      </c>
      <c r="AT22" s="18" t="str">
        <f t="shared" si="8"/>
        <v/>
      </c>
      <c r="AU22" s="18">
        <f t="shared" si="9"/>
        <v>6.6</v>
      </c>
      <c r="AV22" s="18" t="str">
        <f t="shared" si="10"/>
        <v/>
      </c>
      <c r="AW22" s="18" t="str">
        <f t="shared" si="11"/>
        <v/>
      </c>
      <c r="AX22" s="19" t="str">
        <f t="shared" si="12"/>
        <v/>
      </c>
      <c r="AY22" s="20" t="str">
        <f t="shared" si="13"/>
        <v/>
      </c>
      <c r="AZ22" s="20" t="str">
        <f t="shared" si="14"/>
        <v/>
      </c>
    </row>
    <row r="23" spans="1:52" ht="75" customHeight="1" x14ac:dyDescent="0.3">
      <c r="A23" s="12"/>
      <c r="B23" s="12"/>
      <c r="C23" s="12"/>
      <c r="D23" s="1"/>
      <c r="E23" s="13" t="s">
        <v>104</v>
      </c>
      <c r="F23" s="14" t="s">
        <v>105</v>
      </c>
      <c r="G23" s="12" t="s">
        <v>58</v>
      </c>
      <c r="H23" s="12">
        <f>ROUNDUP(I23/Notes!$B$5,0)</f>
        <v>42</v>
      </c>
      <c r="I23" s="12">
        <v>221</v>
      </c>
      <c r="J23" s="12">
        <v>223</v>
      </c>
      <c r="K23" s="12">
        <f t="shared" si="0"/>
        <v>221</v>
      </c>
      <c r="L23" s="15">
        <v>46218</v>
      </c>
      <c r="M23" s="16">
        <v>46288</v>
      </c>
      <c r="N23" s="15">
        <v>46218</v>
      </c>
      <c r="O23" s="16">
        <v>46288</v>
      </c>
      <c r="P23" s="15"/>
      <c r="Q23" s="15"/>
      <c r="R23" s="15"/>
      <c r="S23" s="15"/>
      <c r="T23" s="15">
        <v>46218</v>
      </c>
      <c r="U23" s="15">
        <v>46288</v>
      </c>
      <c r="V23" s="15">
        <v>46247</v>
      </c>
      <c r="W23" s="15">
        <v>46248</v>
      </c>
      <c r="X23" s="12">
        <v>0</v>
      </c>
      <c r="Y23" s="12">
        <v>0</v>
      </c>
      <c r="Z23" s="12">
        <v>213</v>
      </c>
      <c r="AA23" s="17"/>
      <c r="AB23" s="12">
        <v>8</v>
      </c>
      <c r="AC23" s="17"/>
      <c r="AD23" s="17"/>
      <c r="AE23" s="17"/>
      <c r="AF23" s="17"/>
      <c r="AG23" s="17"/>
      <c r="AH23" s="17"/>
      <c r="AI23" s="17"/>
      <c r="AJ23" s="17"/>
      <c r="AK23" s="17"/>
      <c r="AM23" s="18">
        <f t="shared" si="1"/>
        <v>0.19004524886877827</v>
      </c>
      <c r="AN23" s="18" t="str">
        <f t="shared" si="2"/>
        <v/>
      </c>
      <c r="AO23" s="18" t="str">
        <f t="shared" si="3"/>
        <v/>
      </c>
      <c r="AP23" s="18">
        <f t="shared" si="4"/>
        <v>0.19718309859154928</v>
      </c>
      <c r="AQ23" s="18">
        <f t="shared" si="5"/>
        <v>5.25</v>
      </c>
      <c r="AR23" s="18">
        <f t="shared" si="6"/>
        <v>1.6666666666666667</v>
      </c>
      <c r="AS23" s="18" t="str">
        <f t="shared" si="7"/>
        <v/>
      </c>
      <c r="AT23" s="18" t="str">
        <f t="shared" si="8"/>
        <v/>
      </c>
      <c r="AU23" s="18">
        <f t="shared" si="9"/>
        <v>1.6666666666666667</v>
      </c>
      <c r="AV23" s="18">
        <f t="shared" si="10"/>
        <v>2.3809523809523808E-2</v>
      </c>
      <c r="AW23" s="18" t="str">
        <f t="shared" si="11"/>
        <v/>
      </c>
      <c r="AX23" s="19" t="str">
        <f t="shared" si="12"/>
        <v/>
      </c>
      <c r="AY23" s="20" t="str">
        <f t="shared" si="13"/>
        <v/>
      </c>
      <c r="AZ23" s="20" t="str">
        <f t="shared" si="14"/>
        <v/>
      </c>
    </row>
    <row r="24" spans="1:52" ht="63" customHeight="1" x14ac:dyDescent="0.3">
      <c r="A24" s="12">
        <v>10</v>
      </c>
      <c r="B24" s="12" t="s">
        <v>51</v>
      </c>
      <c r="C24" s="12" t="s">
        <v>52</v>
      </c>
      <c r="D24" s="1" t="s">
        <v>106</v>
      </c>
      <c r="E24" s="13" t="s">
        <v>107</v>
      </c>
      <c r="F24" s="14" t="s">
        <v>108</v>
      </c>
      <c r="G24" s="12" t="s">
        <v>58</v>
      </c>
      <c r="H24" s="12">
        <f>ROUNDUP(I24/Notes!$B$5,0)</f>
        <v>10</v>
      </c>
      <c r="I24" s="12">
        <v>48</v>
      </c>
      <c r="J24" s="12">
        <v>48</v>
      </c>
      <c r="K24" s="12">
        <f t="shared" si="0"/>
        <v>48</v>
      </c>
      <c r="L24" s="15">
        <v>46192</v>
      </c>
      <c r="M24" s="16">
        <v>46259</v>
      </c>
      <c r="N24" s="15">
        <v>46192</v>
      </c>
      <c r="O24" s="16">
        <v>46259</v>
      </c>
      <c r="P24" s="15"/>
      <c r="Q24" s="15"/>
      <c r="R24" s="15"/>
      <c r="S24" s="15"/>
      <c r="T24" s="15">
        <v>46192</v>
      </c>
      <c r="U24" s="15">
        <v>46259</v>
      </c>
      <c r="V24" s="15">
        <v>46192</v>
      </c>
      <c r="W24" s="15">
        <v>46192</v>
      </c>
      <c r="X24" s="12">
        <v>0</v>
      </c>
      <c r="Y24" s="12">
        <v>0</v>
      </c>
      <c r="Z24" s="12">
        <v>43</v>
      </c>
      <c r="AA24" s="17"/>
      <c r="AB24" s="12">
        <v>5</v>
      </c>
      <c r="AC24" s="17"/>
      <c r="AD24" s="17"/>
      <c r="AE24" s="17"/>
      <c r="AF24" s="17"/>
      <c r="AG24" s="17"/>
      <c r="AH24" s="17"/>
      <c r="AI24" s="17"/>
      <c r="AJ24" s="17"/>
      <c r="AK24" s="17"/>
      <c r="AM24" s="18">
        <f t="shared" si="1"/>
        <v>0.20833333333333334</v>
      </c>
      <c r="AN24" s="18" t="str">
        <f t="shared" si="2"/>
        <v/>
      </c>
      <c r="AO24" s="18" t="str">
        <f t="shared" si="3"/>
        <v/>
      </c>
      <c r="AP24" s="18">
        <f t="shared" si="4"/>
        <v>0.23255813953488372</v>
      </c>
      <c r="AQ24" s="18">
        <f t="shared" si="5"/>
        <v>2</v>
      </c>
      <c r="AR24" s="18">
        <f t="shared" si="6"/>
        <v>6.7</v>
      </c>
      <c r="AS24" s="18" t="str">
        <f t="shared" si="7"/>
        <v/>
      </c>
      <c r="AT24" s="18" t="str">
        <f t="shared" si="8"/>
        <v/>
      </c>
      <c r="AU24" s="18">
        <f t="shared" si="9"/>
        <v>6.7</v>
      </c>
      <c r="AV24" s="18">
        <f t="shared" si="10"/>
        <v>0</v>
      </c>
      <c r="AW24" s="18" t="str">
        <f t="shared" si="11"/>
        <v/>
      </c>
      <c r="AX24" s="19" t="str">
        <f t="shared" si="12"/>
        <v/>
      </c>
      <c r="AY24" s="20" t="str">
        <f t="shared" si="13"/>
        <v/>
      </c>
      <c r="AZ24" s="20" t="str">
        <f t="shared" si="14"/>
        <v/>
      </c>
    </row>
    <row r="25" spans="1:52" ht="63" customHeight="1" x14ac:dyDescent="0.3">
      <c r="A25" s="12"/>
      <c r="B25" s="12"/>
      <c r="C25" s="12"/>
      <c r="D25" s="1"/>
      <c r="E25" s="13" t="s">
        <v>109</v>
      </c>
      <c r="F25" s="14" t="s">
        <v>110</v>
      </c>
      <c r="G25" s="12"/>
      <c r="H25" s="12">
        <f>ROUNDUP(I25/Notes!$B$5,0)</f>
        <v>2</v>
      </c>
      <c r="I25" s="12">
        <v>9</v>
      </c>
      <c r="J25" s="12">
        <v>9</v>
      </c>
      <c r="K25" s="12">
        <f t="shared" si="0"/>
        <v>9</v>
      </c>
      <c r="L25" s="15">
        <v>46177</v>
      </c>
      <c r="M25" s="16">
        <v>46198</v>
      </c>
      <c r="N25" s="15">
        <v>46177</v>
      </c>
      <c r="O25" s="16">
        <v>46198</v>
      </c>
      <c r="P25" s="15"/>
      <c r="Q25" s="15"/>
      <c r="R25" s="15"/>
      <c r="S25" s="15"/>
      <c r="T25" s="15">
        <v>46177</v>
      </c>
      <c r="U25" s="15">
        <v>46198</v>
      </c>
      <c r="V25" s="15"/>
      <c r="W25" s="15"/>
      <c r="X25" s="12">
        <v>0</v>
      </c>
      <c r="Y25" s="12">
        <v>0</v>
      </c>
      <c r="Z25" s="12">
        <v>9</v>
      </c>
      <c r="AA25" s="17"/>
      <c r="AB25" s="12">
        <v>0</v>
      </c>
      <c r="AC25" s="17"/>
      <c r="AD25" s="17"/>
      <c r="AE25" s="17"/>
      <c r="AF25" s="17"/>
      <c r="AG25" s="17"/>
      <c r="AH25" s="17"/>
      <c r="AI25" s="17"/>
      <c r="AJ25" s="17"/>
      <c r="AK25" s="17"/>
      <c r="AM25" s="18">
        <f t="shared" si="1"/>
        <v>0.22222222222222221</v>
      </c>
      <c r="AN25" s="18" t="str">
        <f t="shared" si="2"/>
        <v/>
      </c>
      <c r="AO25" s="18" t="str">
        <f t="shared" si="3"/>
        <v/>
      </c>
      <c r="AP25" s="18">
        <f t="shared" si="4"/>
        <v>0.22222222222222221</v>
      </c>
      <c r="AQ25" s="18" t="str">
        <f t="shared" si="5"/>
        <v/>
      </c>
      <c r="AR25" s="18">
        <f t="shared" si="6"/>
        <v>10.5</v>
      </c>
      <c r="AS25" s="18" t="str">
        <f t="shared" si="7"/>
        <v/>
      </c>
      <c r="AT25" s="18" t="str">
        <f t="shared" si="8"/>
        <v/>
      </c>
      <c r="AU25" s="18">
        <f t="shared" si="9"/>
        <v>10.5</v>
      </c>
      <c r="AV25" s="18" t="str">
        <f t="shared" si="10"/>
        <v/>
      </c>
      <c r="AW25" s="18" t="str">
        <f t="shared" si="11"/>
        <v/>
      </c>
      <c r="AX25" s="19" t="str">
        <f t="shared" si="12"/>
        <v/>
      </c>
      <c r="AY25" s="20" t="str">
        <f t="shared" si="13"/>
        <v/>
      </c>
      <c r="AZ25" s="20" t="str">
        <f t="shared" si="14"/>
        <v/>
      </c>
    </row>
    <row r="26" spans="1:52" ht="63" customHeight="1" x14ac:dyDescent="0.3">
      <c r="A26" s="12">
        <v>11</v>
      </c>
      <c r="B26" s="12" t="s">
        <v>51</v>
      </c>
      <c r="C26" s="12" t="s">
        <v>52</v>
      </c>
      <c r="D26" s="1" t="s">
        <v>111</v>
      </c>
      <c r="E26" s="13" t="s">
        <v>112</v>
      </c>
      <c r="F26" s="14" t="s">
        <v>113</v>
      </c>
      <c r="G26" s="12" t="s">
        <v>58</v>
      </c>
      <c r="H26" s="12">
        <f>ROUNDUP(I26/Notes!$B$5,0)</f>
        <v>12</v>
      </c>
      <c r="I26" s="12">
        <v>60</v>
      </c>
      <c r="J26" s="12">
        <v>60</v>
      </c>
      <c r="K26" s="12">
        <f t="shared" si="0"/>
        <v>60</v>
      </c>
      <c r="L26" s="15">
        <v>46174</v>
      </c>
      <c r="M26" s="16">
        <v>46293</v>
      </c>
      <c r="N26" s="15">
        <v>46174</v>
      </c>
      <c r="O26" s="16">
        <v>46293</v>
      </c>
      <c r="P26" s="15"/>
      <c r="Q26" s="15"/>
      <c r="R26" s="15"/>
      <c r="S26" s="15"/>
      <c r="T26" s="15">
        <v>46174</v>
      </c>
      <c r="U26" s="15">
        <v>46293</v>
      </c>
      <c r="V26" s="15"/>
      <c r="W26" s="15"/>
      <c r="X26" s="12">
        <v>0</v>
      </c>
      <c r="Y26" s="12">
        <v>0</v>
      </c>
      <c r="Z26" s="12">
        <v>60</v>
      </c>
      <c r="AA26" s="17"/>
      <c r="AB26" s="12">
        <v>0</v>
      </c>
      <c r="AC26" s="17"/>
      <c r="AD26" s="17"/>
      <c r="AE26" s="17"/>
      <c r="AF26" s="17"/>
      <c r="AG26" s="17"/>
      <c r="AH26" s="17"/>
      <c r="AI26" s="17"/>
      <c r="AJ26" s="17"/>
      <c r="AK26" s="17"/>
      <c r="AM26" s="18">
        <f t="shared" si="1"/>
        <v>0.2</v>
      </c>
      <c r="AN26" s="18" t="str">
        <f t="shared" si="2"/>
        <v/>
      </c>
      <c r="AO26" s="18" t="str">
        <f t="shared" si="3"/>
        <v/>
      </c>
      <c r="AP26" s="18">
        <f t="shared" si="4"/>
        <v>0.2</v>
      </c>
      <c r="AQ26" s="18" t="str">
        <f t="shared" si="5"/>
        <v/>
      </c>
      <c r="AR26" s="18">
        <f t="shared" si="6"/>
        <v>9.9166666666666661</v>
      </c>
      <c r="AS26" s="18" t="str">
        <f t="shared" si="7"/>
        <v/>
      </c>
      <c r="AT26" s="18" t="str">
        <f t="shared" si="8"/>
        <v/>
      </c>
      <c r="AU26" s="18">
        <f t="shared" si="9"/>
        <v>9.9166666666666661</v>
      </c>
      <c r="AV26" s="18" t="str">
        <f t="shared" si="10"/>
        <v/>
      </c>
      <c r="AW26" s="18" t="str">
        <f t="shared" si="11"/>
        <v/>
      </c>
      <c r="AX26" s="19" t="str">
        <f t="shared" si="12"/>
        <v/>
      </c>
      <c r="AY26" s="20" t="str">
        <f t="shared" si="13"/>
        <v/>
      </c>
      <c r="AZ26" s="20" t="str">
        <f t="shared" si="14"/>
        <v/>
      </c>
    </row>
    <row r="27" spans="1:52" ht="112.5" customHeight="1" x14ac:dyDescent="0.3">
      <c r="A27" s="12"/>
      <c r="B27" s="12"/>
      <c r="C27" s="12"/>
      <c r="D27" s="1"/>
      <c r="E27" s="13" t="s">
        <v>114</v>
      </c>
      <c r="F27" s="14" t="s">
        <v>115</v>
      </c>
      <c r="G27" s="12" t="s">
        <v>58</v>
      </c>
      <c r="H27" s="12">
        <f>ROUNDUP(I27/Notes!$B$5,0)</f>
        <v>24</v>
      </c>
      <c r="I27" s="12">
        <v>122</v>
      </c>
      <c r="J27" s="12">
        <v>131</v>
      </c>
      <c r="K27" s="12">
        <f t="shared" si="0"/>
        <v>122</v>
      </c>
      <c r="L27" s="15">
        <v>46177</v>
      </c>
      <c r="M27" s="16">
        <v>46290</v>
      </c>
      <c r="N27" s="15">
        <v>46177</v>
      </c>
      <c r="O27" s="16">
        <v>46290</v>
      </c>
      <c r="P27" s="15"/>
      <c r="Q27" s="15"/>
      <c r="R27" s="15"/>
      <c r="S27" s="15"/>
      <c r="T27" s="15">
        <v>46177</v>
      </c>
      <c r="U27" s="15">
        <v>46290</v>
      </c>
      <c r="V27" s="15"/>
      <c r="W27" s="15"/>
      <c r="X27" s="12">
        <v>0</v>
      </c>
      <c r="Y27" s="12">
        <v>0</v>
      </c>
      <c r="Z27" s="12">
        <v>122</v>
      </c>
      <c r="AA27" s="17"/>
      <c r="AB27" s="12">
        <v>0</v>
      </c>
      <c r="AC27" s="17"/>
      <c r="AD27" s="17"/>
      <c r="AE27" s="17"/>
      <c r="AF27" s="17"/>
      <c r="AG27" s="17"/>
      <c r="AH27" s="17"/>
      <c r="AI27" s="17"/>
      <c r="AJ27" s="17"/>
      <c r="AK27" s="17"/>
      <c r="AM27" s="18">
        <f t="shared" si="1"/>
        <v>0.19672131147540983</v>
      </c>
      <c r="AN27" s="18" t="str">
        <f t="shared" si="2"/>
        <v/>
      </c>
      <c r="AO27" s="18" t="str">
        <f t="shared" si="3"/>
        <v/>
      </c>
      <c r="AP27" s="18">
        <f t="shared" si="4"/>
        <v>0.19672131147540983</v>
      </c>
      <c r="AQ27" s="18" t="str">
        <f t="shared" si="5"/>
        <v/>
      </c>
      <c r="AR27" s="18">
        <f t="shared" si="6"/>
        <v>4.708333333333333</v>
      </c>
      <c r="AS27" s="18" t="str">
        <f t="shared" si="7"/>
        <v/>
      </c>
      <c r="AT27" s="18" t="str">
        <f t="shared" si="8"/>
        <v/>
      </c>
      <c r="AU27" s="18">
        <f t="shared" si="9"/>
        <v>4.708333333333333</v>
      </c>
      <c r="AV27" s="18" t="str">
        <f t="shared" si="10"/>
        <v/>
      </c>
      <c r="AW27" s="18" t="str">
        <f t="shared" si="11"/>
        <v/>
      </c>
      <c r="AX27" s="19" t="str">
        <f t="shared" si="12"/>
        <v/>
      </c>
      <c r="AY27" s="20" t="str">
        <f t="shared" si="13"/>
        <v/>
      </c>
      <c r="AZ27" s="20" t="str">
        <f t="shared" si="14"/>
        <v/>
      </c>
    </row>
    <row r="28" spans="1:52" ht="63" customHeight="1" x14ac:dyDescent="0.3">
      <c r="A28" s="12"/>
      <c r="B28" s="12"/>
      <c r="C28" s="12"/>
      <c r="D28" s="1"/>
      <c r="E28" s="13" t="s">
        <v>116</v>
      </c>
      <c r="F28" s="14" t="s">
        <v>117</v>
      </c>
      <c r="G28" s="12" t="s">
        <v>58</v>
      </c>
      <c r="H28" s="12">
        <f>ROUNDUP(I28/Notes!$B$5,0)</f>
        <v>93</v>
      </c>
      <c r="I28" s="12">
        <v>485</v>
      </c>
      <c r="J28" s="12">
        <v>496</v>
      </c>
      <c r="K28" s="12">
        <f t="shared" si="0"/>
        <v>485</v>
      </c>
      <c r="L28" s="15">
        <v>46204</v>
      </c>
      <c r="M28" s="16">
        <v>46288</v>
      </c>
      <c r="N28" s="15">
        <v>46204</v>
      </c>
      <c r="O28" s="16">
        <v>46288</v>
      </c>
      <c r="P28" s="15">
        <v>46238</v>
      </c>
      <c r="Q28" s="15">
        <v>46265</v>
      </c>
      <c r="R28" s="15"/>
      <c r="S28" s="15"/>
      <c r="T28" s="15">
        <v>46204</v>
      </c>
      <c r="U28" s="15">
        <v>46288</v>
      </c>
      <c r="V28" s="15"/>
      <c r="W28" s="15"/>
      <c r="X28" s="12">
        <v>36</v>
      </c>
      <c r="Y28" s="12">
        <v>0</v>
      </c>
      <c r="Z28" s="12">
        <v>449</v>
      </c>
      <c r="AA28" s="17"/>
      <c r="AB28" s="12">
        <v>0</v>
      </c>
      <c r="AC28" s="17"/>
      <c r="AD28" s="17"/>
      <c r="AE28" s="17"/>
      <c r="AF28" s="17"/>
      <c r="AG28" s="17"/>
      <c r="AH28" s="17"/>
      <c r="AI28" s="17"/>
      <c r="AJ28" s="17"/>
      <c r="AK28" s="17"/>
      <c r="AM28" s="18">
        <f t="shared" si="1"/>
        <v>0.19175257731958764</v>
      </c>
      <c r="AN28" s="18">
        <f t="shared" si="2"/>
        <v>2.5833333333333335</v>
      </c>
      <c r="AO28" s="18" t="str">
        <f t="shared" si="3"/>
        <v/>
      </c>
      <c r="AP28" s="18">
        <f t="shared" si="4"/>
        <v>0.20712694877505569</v>
      </c>
      <c r="AQ28" s="18" t="str">
        <f t="shared" si="5"/>
        <v/>
      </c>
      <c r="AR28" s="18">
        <f t="shared" si="6"/>
        <v>0.90322580645161288</v>
      </c>
      <c r="AS28" s="18">
        <f t="shared" si="7"/>
        <v>0.29032258064516131</v>
      </c>
      <c r="AT28" s="18" t="str">
        <f t="shared" si="8"/>
        <v/>
      </c>
      <c r="AU28" s="18">
        <f t="shared" si="9"/>
        <v>0.90322580645161288</v>
      </c>
      <c r="AV28" s="18" t="str">
        <f t="shared" si="10"/>
        <v/>
      </c>
      <c r="AW28" s="18" t="str">
        <f t="shared" si="11"/>
        <v/>
      </c>
      <c r="AX28" s="19" t="str">
        <f t="shared" si="12"/>
        <v/>
      </c>
      <c r="AY28" s="20" t="str">
        <f t="shared" si="13"/>
        <v/>
      </c>
      <c r="AZ28" s="20" t="str">
        <f t="shared" si="14"/>
        <v/>
      </c>
    </row>
    <row r="29" spans="1:52" ht="63" customHeight="1" x14ac:dyDescent="0.3">
      <c r="A29" s="12"/>
      <c r="B29" s="12"/>
      <c r="C29" s="12"/>
      <c r="D29" s="1"/>
      <c r="E29" s="13" t="s">
        <v>118</v>
      </c>
      <c r="F29" s="14" t="s">
        <v>119</v>
      </c>
      <c r="G29" s="12"/>
      <c r="H29" s="12">
        <f>ROUNDUP(I29/Notes!$B$5,0)</f>
        <v>9</v>
      </c>
      <c r="I29" s="12">
        <v>46</v>
      </c>
      <c r="J29" s="12">
        <v>51</v>
      </c>
      <c r="K29" s="12">
        <f t="shared" si="0"/>
        <v>46</v>
      </c>
      <c r="L29" s="15">
        <v>46188</v>
      </c>
      <c r="M29" s="16">
        <v>46289</v>
      </c>
      <c r="N29" s="15">
        <v>46185</v>
      </c>
      <c r="O29" s="16">
        <v>46289</v>
      </c>
      <c r="P29" s="15">
        <v>46185</v>
      </c>
      <c r="Q29" s="15">
        <v>46233</v>
      </c>
      <c r="R29" s="15"/>
      <c r="S29" s="15"/>
      <c r="T29" s="15">
        <v>46204</v>
      </c>
      <c r="U29" s="15">
        <v>46289</v>
      </c>
      <c r="V29" s="15"/>
      <c r="W29" s="15"/>
      <c r="X29" s="12">
        <v>18</v>
      </c>
      <c r="Y29" s="12">
        <v>0</v>
      </c>
      <c r="Z29" s="12">
        <v>28</v>
      </c>
      <c r="AA29" s="17"/>
      <c r="AB29" s="12">
        <v>0</v>
      </c>
      <c r="AC29" s="17"/>
      <c r="AD29" s="17"/>
      <c r="AE29" s="17"/>
      <c r="AF29" s="17"/>
      <c r="AG29" s="17"/>
      <c r="AH29" s="17"/>
      <c r="AI29" s="17"/>
      <c r="AJ29" s="17"/>
      <c r="AK29" s="17"/>
      <c r="AM29" s="18">
        <f t="shared" si="1"/>
        <v>0.19565217391304349</v>
      </c>
      <c r="AN29" s="18">
        <f t="shared" si="2"/>
        <v>0.5</v>
      </c>
      <c r="AO29" s="18" t="str">
        <f t="shared" si="3"/>
        <v/>
      </c>
      <c r="AP29" s="18">
        <f t="shared" si="4"/>
        <v>0.32142857142857145</v>
      </c>
      <c r="AQ29" s="18" t="str">
        <f t="shared" si="5"/>
        <v/>
      </c>
      <c r="AR29" s="18">
        <f t="shared" si="6"/>
        <v>11.555555555555555</v>
      </c>
      <c r="AS29" s="18">
        <f t="shared" si="7"/>
        <v>5.333333333333333</v>
      </c>
      <c r="AT29" s="18" t="str">
        <f t="shared" si="8"/>
        <v/>
      </c>
      <c r="AU29" s="18">
        <f t="shared" si="9"/>
        <v>9.4444444444444446</v>
      </c>
      <c r="AV29" s="18" t="str">
        <f t="shared" si="10"/>
        <v/>
      </c>
      <c r="AW29" s="18" t="str">
        <f t="shared" si="11"/>
        <v/>
      </c>
      <c r="AX29" s="19" t="str">
        <f t="shared" si="12"/>
        <v/>
      </c>
      <c r="AY29" s="20" t="str">
        <f t="shared" si="13"/>
        <v/>
      </c>
      <c r="AZ29" s="20" t="str">
        <f t="shared" si="14"/>
        <v/>
      </c>
    </row>
    <row r="30" spans="1:52" ht="75" customHeight="1" x14ac:dyDescent="0.3">
      <c r="A30" s="12">
        <v>12</v>
      </c>
      <c r="B30" s="12" t="s">
        <v>51</v>
      </c>
      <c r="C30" s="12" t="s">
        <v>52</v>
      </c>
      <c r="D30" s="1" t="s">
        <v>120</v>
      </c>
      <c r="E30" s="13" t="s">
        <v>121</v>
      </c>
      <c r="F30" s="14" t="s">
        <v>122</v>
      </c>
      <c r="G30" s="12" t="s">
        <v>58</v>
      </c>
      <c r="H30" s="12">
        <f>ROUNDUP(I30/Notes!$B$5,0)</f>
        <v>30</v>
      </c>
      <c r="I30" s="12">
        <v>155</v>
      </c>
      <c r="J30" s="12">
        <v>159</v>
      </c>
      <c r="K30" s="12">
        <f t="shared" si="0"/>
        <v>155</v>
      </c>
      <c r="L30" s="15">
        <v>46174</v>
      </c>
      <c r="M30" s="16">
        <v>46231</v>
      </c>
      <c r="N30" s="15">
        <v>46174</v>
      </c>
      <c r="O30" s="16">
        <v>46232</v>
      </c>
      <c r="P30" s="15"/>
      <c r="Q30" s="15"/>
      <c r="R30" s="15"/>
      <c r="S30" s="15"/>
      <c r="T30" s="15">
        <v>46174</v>
      </c>
      <c r="U30" s="15">
        <v>46232</v>
      </c>
      <c r="V30" s="15">
        <v>46230</v>
      </c>
      <c r="W30" s="15">
        <v>46232</v>
      </c>
      <c r="X30" s="12">
        <v>0</v>
      </c>
      <c r="Y30" s="12">
        <v>0</v>
      </c>
      <c r="Z30" s="12">
        <v>143</v>
      </c>
      <c r="AA30" s="17"/>
      <c r="AB30" s="12">
        <v>12</v>
      </c>
      <c r="AC30" s="17"/>
      <c r="AD30" s="17"/>
      <c r="AE30" s="17"/>
      <c r="AF30" s="17"/>
      <c r="AG30" s="17"/>
      <c r="AH30" s="17"/>
      <c r="AI30" s="17"/>
      <c r="AJ30" s="17"/>
      <c r="AK30" s="17"/>
      <c r="AM30" s="18">
        <f t="shared" si="1"/>
        <v>0.19354838709677419</v>
      </c>
      <c r="AN30" s="18" t="str">
        <f t="shared" si="2"/>
        <v/>
      </c>
      <c r="AO30" s="18" t="str">
        <f t="shared" si="3"/>
        <v/>
      </c>
      <c r="AP30" s="18">
        <f t="shared" si="4"/>
        <v>0.20979020979020979</v>
      </c>
      <c r="AQ30" s="18">
        <f t="shared" si="5"/>
        <v>2.5</v>
      </c>
      <c r="AR30" s="18">
        <f t="shared" si="6"/>
        <v>1.9333333333333333</v>
      </c>
      <c r="AS30" s="18" t="str">
        <f t="shared" si="7"/>
        <v/>
      </c>
      <c r="AT30" s="18" t="str">
        <f t="shared" si="8"/>
        <v/>
      </c>
      <c r="AU30" s="18">
        <f t="shared" si="9"/>
        <v>1.9333333333333333</v>
      </c>
      <c r="AV30" s="18">
        <f t="shared" si="10"/>
        <v>6.6666666666666666E-2</v>
      </c>
      <c r="AW30" s="18" t="str">
        <f t="shared" si="11"/>
        <v/>
      </c>
      <c r="AX30" s="19" t="str">
        <f t="shared" si="12"/>
        <v/>
      </c>
      <c r="AY30" s="20" t="str">
        <f t="shared" si="13"/>
        <v/>
      </c>
      <c r="AZ30" s="20" t="str">
        <f t="shared" si="14"/>
        <v/>
      </c>
    </row>
    <row r="31" spans="1:52" ht="63" customHeight="1" x14ac:dyDescent="0.3">
      <c r="A31" s="12"/>
      <c r="B31" s="12"/>
      <c r="C31" s="12"/>
      <c r="D31" s="1"/>
      <c r="E31" s="13" t="s">
        <v>123</v>
      </c>
      <c r="F31" s="14" t="s">
        <v>124</v>
      </c>
      <c r="G31" s="12" t="s">
        <v>58</v>
      </c>
      <c r="H31" s="12">
        <f>ROUNDUP(I31/Notes!$B$5,0)</f>
        <v>8</v>
      </c>
      <c r="I31" s="12">
        <v>42</v>
      </c>
      <c r="J31" s="12">
        <v>44</v>
      </c>
      <c r="K31" s="12">
        <f t="shared" si="0"/>
        <v>42</v>
      </c>
      <c r="L31" s="15">
        <v>46178</v>
      </c>
      <c r="M31" s="16">
        <v>46252</v>
      </c>
      <c r="N31" s="15">
        <v>46178</v>
      </c>
      <c r="O31" s="16">
        <v>46253</v>
      </c>
      <c r="P31" s="15"/>
      <c r="Q31" s="15"/>
      <c r="R31" s="15"/>
      <c r="S31" s="15"/>
      <c r="T31" s="15">
        <v>46178</v>
      </c>
      <c r="U31" s="15">
        <v>46253</v>
      </c>
      <c r="V31" s="15"/>
      <c r="W31" s="15"/>
      <c r="X31" s="12">
        <v>0</v>
      </c>
      <c r="Y31" s="12">
        <v>0</v>
      </c>
      <c r="Z31" s="12">
        <v>42</v>
      </c>
      <c r="AA31" s="17"/>
      <c r="AB31" s="12">
        <v>0</v>
      </c>
      <c r="AC31" s="17"/>
      <c r="AD31" s="17"/>
      <c r="AE31" s="17"/>
      <c r="AF31" s="17"/>
      <c r="AG31" s="17"/>
      <c r="AH31" s="17"/>
      <c r="AI31" s="17"/>
      <c r="AJ31" s="17"/>
      <c r="AK31" s="17"/>
      <c r="AM31" s="18">
        <f t="shared" si="1"/>
        <v>0.19047619047619047</v>
      </c>
      <c r="AN31" s="18" t="str">
        <f t="shared" si="2"/>
        <v/>
      </c>
      <c r="AO31" s="18" t="str">
        <f t="shared" si="3"/>
        <v/>
      </c>
      <c r="AP31" s="18">
        <f t="shared" si="4"/>
        <v>0.19047619047619047</v>
      </c>
      <c r="AQ31" s="18" t="str">
        <f t="shared" si="5"/>
        <v/>
      </c>
      <c r="AR31" s="18">
        <f t="shared" si="6"/>
        <v>9.375</v>
      </c>
      <c r="AS31" s="18" t="str">
        <f t="shared" si="7"/>
        <v/>
      </c>
      <c r="AT31" s="18" t="str">
        <f t="shared" si="8"/>
        <v/>
      </c>
      <c r="AU31" s="18">
        <f t="shared" si="9"/>
        <v>9.375</v>
      </c>
      <c r="AV31" s="18" t="str">
        <f t="shared" si="10"/>
        <v/>
      </c>
      <c r="AW31" s="18" t="str">
        <f t="shared" si="11"/>
        <v/>
      </c>
      <c r="AX31" s="19" t="str">
        <f t="shared" si="12"/>
        <v/>
      </c>
      <c r="AY31" s="20" t="str">
        <f t="shared" si="13"/>
        <v/>
      </c>
      <c r="AZ31" s="20" t="str">
        <f t="shared" si="14"/>
        <v/>
      </c>
    </row>
    <row r="32" spans="1:52" ht="63" customHeight="1" x14ac:dyDescent="0.3">
      <c r="A32" s="12"/>
      <c r="B32" s="12"/>
      <c r="C32" s="12"/>
      <c r="D32" s="1"/>
      <c r="E32" s="13" t="s">
        <v>125</v>
      </c>
      <c r="F32" s="14" t="s">
        <v>126</v>
      </c>
      <c r="G32" s="12"/>
      <c r="H32" s="12">
        <f>ROUNDUP(I32/Notes!$B$5,0)</f>
        <v>23</v>
      </c>
      <c r="I32" s="12">
        <v>117</v>
      </c>
      <c r="J32" s="12">
        <v>117</v>
      </c>
      <c r="K32" s="12">
        <f t="shared" si="0"/>
        <v>117</v>
      </c>
      <c r="L32" s="15">
        <v>46188</v>
      </c>
      <c r="M32" s="16">
        <v>46281</v>
      </c>
      <c r="N32" s="15">
        <v>46188</v>
      </c>
      <c r="O32" s="16">
        <v>46281</v>
      </c>
      <c r="P32" s="15"/>
      <c r="Q32" s="15"/>
      <c r="R32" s="15"/>
      <c r="S32" s="15"/>
      <c r="T32" s="15">
        <v>46188</v>
      </c>
      <c r="U32" s="15">
        <v>46259</v>
      </c>
      <c r="V32" s="15">
        <v>46189</v>
      </c>
      <c r="W32" s="15">
        <v>46281</v>
      </c>
      <c r="X32" s="12">
        <v>0</v>
      </c>
      <c r="Y32" s="12">
        <v>0</v>
      </c>
      <c r="Z32" s="12">
        <v>70</v>
      </c>
      <c r="AA32" s="17"/>
      <c r="AB32" s="12">
        <v>47</v>
      </c>
      <c r="AC32" s="17"/>
      <c r="AD32" s="17"/>
      <c r="AE32" s="17"/>
      <c r="AF32" s="17"/>
      <c r="AG32" s="17"/>
      <c r="AH32" s="17"/>
      <c r="AI32" s="17"/>
      <c r="AJ32" s="17"/>
      <c r="AK32" s="17"/>
      <c r="AM32" s="18">
        <f t="shared" si="1"/>
        <v>0.19658119658119658</v>
      </c>
      <c r="AN32" s="18" t="str">
        <f t="shared" si="2"/>
        <v/>
      </c>
      <c r="AO32" s="18" t="str">
        <f t="shared" si="3"/>
        <v/>
      </c>
      <c r="AP32" s="18">
        <f t="shared" si="4"/>
        <v>0.32857142857142857</v>
      </c>
      <c r="AQ32" s="18">
        <f t="shared" si="5"/>
        <v>0.48936170212765956</v>
      </c>
      <c r="AR32" s="18">
        <f t="shared" si="6"/>
        <v>4.0434782608695654</v>
      </c>
      <c r="AS32" s="18" t="str">
        <f t="shared" si="7"/>
        <v/>
      </c>
      <c r="AT32" s="18" t="str">
        <f t="shared" si="8"/>
        <v/>
      </c>
      <c r="AU32" s="18">
        <f t="shared" si="9"/>
        <v>3.0869565217391304</v>
      </c>
      <c r="AV32" s="18">
        <f t="shared" si="10"/>
        <v>4</v>
      </c>
      <c r="AW32" s="18" t="str">
        <f t="shared" si="11"/>
        <v/>
      </c>
      <c r="AX32" s="19" t="str">
        <f t="shared" si="12"/>
        <v/>
      </c>
      <c r="AY32" s="20" t="str">
        <f t="shared" si="13"/>
        <v/>
      </c>
      <c r="AZ32" s="20" t="str">
        <f t="shared" si="14"/>
        <v/>
      </c>
    </row>
    <row r="33" spans="1:52" ht="112.5" customHeight="1" x14ac:dyDescent="0.3">
      <c r="A33" s="12">
        <v>13</v>
      </c>
      <c r="B33" s="12" t="s">
        <v>51</v>
      </c>
      <c r="C33" s="12" t="s">
        <v>52</v>
      </c>
      <c r="D33" s="1" t="s">
        <v>127</v>
      </c>
      <c r="E33" s="13" t="s">
        <v>128</v>
      </c>
      <c r="F33" s="14" t="s">
        <v>129</v>
      </c>
      <c r="G33" s="12"/>
      <c r="H33" s="12">
        <f>ROUNDUP(I33/Notes!$B$5,0)</f>
        <v>33</v>
      </c>
      <c r="I33" s="12">
        <v>171</v>
      </c>
      <c r="J33" s="12">
        <v>177</v>
      </c>
      <c r="K33" s="12">
        <f t="shared" si="0"/>
        <v>171</v>
      </c>
      <c r="L33" s="15">
        <v>46183</v>
      </c>
      <c r="M33" s="16">
        <v>46276</v>
      </c>
      <c r="N33" s="15">
        <v>46182</v>
      </c>
      <c r="O33" s="16">
        <v>46276</v>
      </c>
      <c r="P33" s="15"/>
      <c r="Q33" s="15"/>
      <c r="R33" s="15">
        <v>46183</v>
      </c>
      <c r="S33" s="15">
        <v>46234</v>
      </c>
      <c r="T33" s="15">
        <v>46182</v>
      </c>
      <c r="U33" s="15">
        <v>46276</v>
      </c>
      <c r="V33" s="15">
        <v>46188</v>
      </c>
      <c r="W33" s="15">
        <v>46248</v>
      </c>
      <c r="X33" s="12">
        <v>0</v>
      </c>
      <c r="Y33" s="12">
        <v>10</v>
      </c>
      <c r="Z33" s="12">
        <v>147</v>
      </c>
      <c r="AA33" s="17"/>
      <c r="AB33" s="12">
        <v>14</v>
      </c>
      <c r="AC33" s="17"/>
      <c r="AD33" s="17"/>
      <c r="AE33" s="17"/>
      <c r="AF33" s="17"/>
      <c r="AG33" s="17"/>
      <c r="AH33" s="17"/>
      <c r="AI33" s="17"/>
      <c r="AJ33" s="17"/>
      <c r="AK33" s="17"/>
      <c r="AM33" s="18">
        <f t="shared" si="1"/>
        <v>0.19298245614035087</v>
      </c>
      <c r="AN33" s="18" t="str">
        <f t="shared" si="2"/>
        <v/>
      </c>
      <c r="AO33" s="18">
        <f t="shared" si="3"/>
        <v>3.3</v>
      </c>
      <c r="AP33" s="18">
        <f t="shared" si="4"/>
        <v>0.22448979591836735</v>
      </c>
      <c r="AQ33" s="18">
        <f t="shared" si="5"/>
        <v>2.3571428571428572</v>
      </c>
      <c r="AR33" s="18">
        <f t="shared" si="6"/>
        <v>2.8484848484848486</v>
      </c>
      <c r="AS33" s="18" t="str">
        <f t="shared" si="7"/>
        <v/>
      </c>
      <c r="AT33" s="18">
        <f t="shared" si="8"/>
        <v>1.5454545454545454</v>
      </c>
      <c r="AU33" s="18">
        <f t="shared" si="9"/>
        <v>2.8484848484848486</v>
      </c>
      <c r="AV33" s="18">
        <f t="shared" si="10"/>
        <v>1.8181818181818181</v>
      </c>
      <c r="AW33" s="18" t="str">
        <f t="shared" si="11"/>
        <v/>
      </c>
      <c r="AX33" s="19" t="str">
        <f t="shared" si="12"/>
        <v/>
      </c>
      <c r="AY33" s="20" t="str">
        <f t="shared" si="13"/>
        <v/>
      </c>
      <c r="AZ33" s="20" t="str">
        <f t="shared" si="14"/>
        <v/>
      </c>
    </row>
    <row r="34" spans="1:52" ht="75" customHeight="1" x14ac:dyDescent="0.3">
      <c r="A34" s="12"/>
      <c r="B34" s="12"/>
      <c r="C34" s="12"/>
      <c r="D34" s="1"/>
      <c r="E34" s="13" t="s">
        <v>130</v>
      </c>
      <c r="F34" s="14" t="s">
        <v>131</v>
      </c>
      <c r="G34" s="12"/>
      <c r="H34" s="12">
        <f>ROUNDUP(I34/Notes!$B$5,0)</f>
        <v>14</v>
      </c>
      <c r="I34" s="12">
        <v>70</v>
      </c>
      <c r="J34" s="12">
        <v>70</v>
      </c>
      <c r="K34" s="12">
        <f t="shared" si="0"/>
        <v>70</v>
      </c>
      <c r="L34" s="15">
        <v>46238</v>
      </c>
      <c r="M34" s="16">
        <v>46273</v>
      </c>
      <c r="N34" s="15">
        <v>46238</v>
      </c>
      <c r="O34" s="16">
        <v>46283</v>
      </c>
      <c r="P34" s="15">
        <v>46238</v>
      </c>
      <c r="Q34" s="15">
        <v>46283</v>
      </c>
      <c r="R34" s="15"/>
      <c r="S34" s="15"/>
      <c r="T34" s="15"/>
      <c r="U34" s="15"/>
      <c r="V34" s="15">
        <v>46272</v>
      </c>
      <c r="W34" s="15">
        <v>46273</v>
      </c>
      <c r="X34" s="12">
        <v>62</v>
      </c>
      <c r="Y34" s="12">
        <v>0</v>
      </c>
      <c r="Z34" s="12">
        <v>0</v>
      </c>
      <c r="AA34" s="17"/>
      <c r="AB34" s="12">
        <v>8</v>
      </c>
      <c r="AC34" s="17"/>
      <c r="AD34" s="17"/>
      <c r="AE34" s="17"/>
      <c r="AF34" s="17"/>
      <c r="AG34" s="17"/>
      <c r="AH34" s="17"/>
      <c r="AI34" s="17"/>
      <c r="AJ34" s="17"/>
      <c r="AK34" s="17"/>
      <c r="AM34" s="18">
        <f t="shared" si="1"/>
        <v>0.2</v>
      </c>
      <c r="AN34" s="18">
        <f t="shared" si="2"/>
        <v>0.22580645161290322</v>
      </c>
      <c r="AO34" s="18" t="str">
        <f t="shared" si="3"/>
        <v/>
      </c>
      <c r="AP34" s="18" t="str">
        <f t="shared" si="4"/>
        <v/>
      </c>
      <c r="AQ34" s="18">
        <f t="shared" si="5"/>
        <v>1.75</v>
      </c>
      <c r="AR34" s="18">
        <f t="shared" si="6"/>
        <v>3.2142857142857144</v>
      </c>
      <c r="AS34" s="18">
        <f t="shared" si="7"/>
        <v>3.2142857142857144</v>
      </c>
      <c r="AT34" s="18" t="str">
        <f t="shared" si="8"/>
        <v/>
      </c>
      <c r="AU34" s="18" t="str">
        <f t="shared" si="9"/>
        <v/>
      </c>
      <c r="AV34" s="18">
        <f t="shared" si="10"/>
        <v>7.1428571428571425E-2</v>
      </c>
      <c r="AW34" s="18" t="str">
        <f t="shared" si="11"/>
        <v/>
      </c>
      <c r="AX34" s="19" t="str">
        <f t="shared" si="12"/>
        <v/>
      </c>
      <c r="AY34" s="20" t="str">
        <f t="shared" si="13"/>
        <v/>
      </c>
      <c r="AZ34" s="20" t="str">
        <f t="shared" si="14"/>
        <v/>
      </c>
    </row>
    <row r="35" spans="1:52" ht="87" customHeight="1" x14ac:dyDescent="0.3">
      <c r="A35" s="12"/>
      <c r="B35" s="12"/>
      <c r="C35" s="12"/>
      <c r="D35" s="1"/>
      <c r="E35" s="13" t="s">
        <v>132</v>
      </c>
      <c r="F35" s="14" t="s">
        <v>133</v>
      </c>
      <c r="G35" s="12"/>
      <c r="H35" s="12">
        <f>ROUNDUP(I35/Notes!$B$5,0)</f>
        <v>32</v>
      </c>
      <c r="I35" s="12">
        <v>168</v>
      </c>
      <c r="J35" s="12">
        <v>170</v>
      </c>
      <c r="K35" s="12">
        <f t="shared" si="0"/>
        <v>168</v>
      </c>
      <c r="L35" s="15">
        <v>46232</v>
      </c>
      <c r="M35" s="16">
        <v>46289</v>
      </c>
      <c r="N35" s="15">
        <v>46234</v>
      </c>
      <c r="O35" s="16">
        <v>46295</v>
      </c>
      <c r="P35" s="15">
        <v>46234</v>
      </c>
      <c r="Q35" s="15">
        <v>46295</v>
      </c>
      <c r="R35" s="15"/>
      <c r="S35" s="15"/>
      <c r="T35" s="15">
        <v>46266</v>
      </c>
      <c r="U35" s="15">
        <v>46289</v>
      </c>
      <c r="V35" s="15"/>
      <c r="W35" s="15"/>
      <c r="X35" s="12">
        <v>30</v>
      </c>
      <c r="Y35" s="12">
        <v>0</v>
      </c>
      <c r="Z35" s="12">
        <v>138</v>
      </c>
      <c r="AA35" s="17"/>
      <c r="AB35" s="12">
        <v>0</v>
      </c>
      <c r="AC35" s="17"/>
      <c r="AD35" s="17"/>
      <c r="AE35" s="17"/>
      <c r="AF35" s="17"/>
      <c r="AG35" s="17"/>
      <c r="AH35" s="17"/>
      <c r="AI35" s="17"/>
      <c r="AJ35" s="17"/>
      <c r="AK35" s="17"/>
      <c r="AM35" s="18">
        <f t="shared" si="1"/>
        <v>0.19047619047619047</v>
      </c>
      <c r="AN35" s="18">
        <f t="shared" si="2"/>
        <v>1.0666666666666667</v>
      </c>
      <c r="AO35" s="18" t="str">
        <f t="shared" si="3"/>
        <v/>
      </c>
      <c r="AP35" s="18">
        <f t="shared" si="4"/>
        <v>0.2318840579710145</v>
      </c>
      <c r="AQ35" s="18" t="str">
        <f t="shared" si="5"/>
        <v/>
      </c>
      <c r="AR35" s="18">
        <f t="shared" si="6"/>
        <v>1.90625</v>
      </c>
      <c r="AS35" s="18">
        <f t="shared" si="7"/>
        <v>1.90625</v>
      </c>
      <c r="AT35" s="18" t="str">
        <f t="shared" si="8"/>
        <v/>
      </c>
      <c r="AU35" s="18">
        <f t="shared" si="9"/>
        <v>0.71875</v>
      </c>
      <c r="AV35" s="18" t="str">
        <f t="shared" si="10"/>
        <v/>
      </c>
      <c r="AW35" s="18" t="str">
        <f t="shared" si="11"/>
        <v/>
      </c>
      <c r="AX35" s="19" t="str">
        <f t="shared" si="12"/>
        <v/>
      </c>
      <c r="AY35" s="20" t="str">
        <f t="shared" si="13"/>
        <v/>
      </c>
      <c r="AZ35" s="20" t="str">
        <f t="shared" si="14"/>
        <v/>
      </c>
    </row>
    <row r="36" spans="1:52" ht="63" customHeight="1" x14ac:dyDescent="0.3">
      <c r="A36" s="12">
        <v>14</v>
      </c>
      <c r="B36" s="12" t="s">
        <v>51</v>
      </c>
      <c r="C36" s="12" t="s">
        <v>52</v>
      </c>
      <c r="D36" s="13" t="s">
        <v>134</v>
      </c>
      <c r="E36" s="13" t="s">
        <v>135</v>
      </c>
      <c r="F36" s="14" t="s">
        <v>136</v>
      </c>
      <c r="G36" s="12" t="s">
        <v>58</v>
      </c>
      <c r="H36" s="12">
        <f>ROUNDUP(I36/Notes!$B$5,0)</f>
        <v>2</v>
      </c>
      <c r="I36" s="12">
        <v>10</v>
      </c>
      <c r="J36" s="12">
        <v>10</v>
      </c>
      <c r="K36" s="12">
        <f t="shared" si="0"/>
        <v>10</v>
      </c>
      <c r="L36" s="15">
        <v>46224</v>
      </c>
      <c r="M36" s="16">
        <v>46246</v>
      </c>
      <c r="N36" s="15">
        <v>46224</v>
      </c>
      <c r="O36" s="16">
        <v>46245</v>
      </c>
      <c r="P36" s="15"/>
      <c r="Q36" s="15"/>
      <c r="R36" s="15"/>
      <c r="S36" s="15"/>
      <c r="T36" s="15">
        <v>46224</v>
      </c>
      <c r="U36" s="15">
        <v>46245</v>
      </c>
      <c r="V36" s="15"/>
      <c r="W36" s="15"/>
      <c r="X36" s="12">
        <v>0</v>
      </c>
      <c r="Y36" s="12">
        <v>0</v>
      </c>
      <c r="Z36" s="12">
        <v>10</v>
      </c>
      <c r="AA36" s="17"/>
      <c r="AB36" s="12">
        <v>0</v>
      </c>
      <c r="AC36" s="17"/>
      <c r="AD36" s="17"/>
      <c r="AE36" s="17"/>
      <c r="AF36" s="17"/>
      <c r="AG36" s="17"/>
      <c r="AH36" s="17"/>
      <c r="AI36" s="17"/>
      <c r="AJ36" s="17"/>
      <c r="AK36" s="17"/>
      <c r="AM36" s="18">
        <f t="shared" si="1"/>
        <v>0.2</v>
      </c>
      <c r="AN36" s="18" t="str">
        <f t="shared" si="2"/>
        <v/>
      </c>
      <c r="AO36" s="18" t="str">
        <f t="shared" si="3"/>
        <v/>
      </c>
      <c r="AP36" s="18">
        <f t="shared" si="4"/>
        <v>0.2</v>
      </c>
      <c r="AQ36" s="18" t="str">
        <f t="shared" si="5"/>
        <v/>
      </c>
      <c r="AR36" s="18">
        <f t="shared" si="6"/>
        <v>10.5</v>
      </c>
      <c r="AS36" s="18" t="str">
        <f t="shared" si="7"/>
        <v/>
      </c>
      <c r="AT36" s="18" t="str">
        <f t="shared" si="8"/>
        <v/>
      </c>
      <c r="AU36" s="18">
        <f t="shared" si="9"/>
        <v>10.5</v>
      </c>
      <c r="AV36" s="18" t="str">
        <f t="shared" si="10"/>
        <v/>
      </c>
      <c r="AW36" s="18" t="str">
        <f t="shared" si="11"/>
        <v/>
      </c>
      <c r="AX36" s="19" t="str">
        <f t="shared" si="12"/>
        <v/>
      </c>
      <c r="AY36" s="20" t="str">
        <f t="shared" si="13"/>
        <v/>
      </c>
      <c r="AZ36" s="20" t="str">
        <f t="shared" si="14"/>
        <v/>
      </c>
    </row>
    <row r="37" spans="1:52" ht="63" customHeight="1" x14ac:dyDescent="0.3">
      <c r="A37" s="12">
        <v>15</v>
      </c>
      <c r="B37" s="12" t="s">
        <v>51</v>
      </c>
      <c r="C37" s="12" t="s">
        <v>52</v>
      </c>
      <c r="D37" s="13" t="s">
        <v>137</v>
      </c>
      <c r="E37" s="13" t="s">
        <v>138</v>
      </c>
      <c r="F37" s="14" t="s">
        <v>139</v>
      </c>
      <c r="G37" s="12"/>
      <c r="H37" s="12">
        <f>ROUNDUP(I37/Notes!$B$5,0)</f>
        <v>6</v>
      </c>
      <c r="I37" s="12">
        <v>28</v>
      </c>
      <c r="J37" s="12">
        <v>28</v>
      </c>
      <c r="K37" s="12">
        <f t="shared" si="0"/>
        <v>28</v>
      </c>
      <c r="L37" s="15">
        <v>46176</v>
      </c>
      <c r="M37" s="16">
        <v>46254</v>
      </c>
      <c r="N37" s="15">
        <v>46176</v>
      </c>
      <c r="O37" s="16">
        <v>46254</v>
      </c>
      <c r="P37" s="15"/>
      <c r="Q37" s="15"/>
      <c r="R37" s="15"/>
      <c r="S37" s="15"/>
      <c r="T37" s="15">
        <v>46176</v>
      </c>
      <c r="U37" s="15">
        <v>46254</v>
      </c>
      <c r="V37" s="15"/>
      <c r="W37" s="15"/>
      <c r="X37" s="12">
        <v>0</v>
      </c>
      <c r="Y37" s="12">
        <v>0</v>
      </c>
      <c r="Z37" s="12">
        <v>28</v>
      </c>
      <c r="AA37" s="17"/>
      <c r="AB37" s="12">
        <v>0</v>
      </c>
      <c r="AC37" s="17"/>
      <c r="AD37" s="17"/>
      <c r="AE37" s="17"/>
      <c r="AF37" s="17"/>
      <c r="AG37" s="17"/>
      <c r="AH37" s="17"/>
      <c r="AI37" s="17"/>
      <c r="AJ37" s="17"/>
      <c r="AK37" s="17"/>
      <c r="AM37" s="18">
        <f t="shared" si="1"/>
        <v>0.21428571428571427</v>
      </c>
      <c r="AN37" s="18" t="str">
        <f t="shared" si="2"/>
        <v/>
      </c>
      <c r="AO37" s="18" t="str">
        <f t="shared" si="3"/>
        <v/>
      </c>
      <c r="AP37" s="18">
        <f t="shared" si="4"/>
        <v>0.21428571428571427</v>
      </c>
      <c r="AQ37" s="18" t="str">
        <f t="shared" si="5"/>
        <v/>
      </c>
      <c r="AR37" s="18">
        <f t="shared" si="6"/>
        <v>13</v>
      </c>
      <c r="AS37" s="18" t="str">
        <f t="shared" si="7"/>
        <v/>
      </c>
      <c r="AT37" s="18" t="str">
        <f t="shared" si="8"/>
        <v/>
      </c>
      <c r="AU37" s="18">
        <f t="shared" si="9"/>
        <v>13</v>
      </c>
      <c r="AV37" s="18" t="str">
        <f t="shared" si="10"/>
        <v/>
      </c>
      <c r="AW37" s="18" t="str">
        <f t="shared" si="11"/>
        <v/>
      </c>
      <c r="AX37" s="19" t="str">
        <f t="shared" si="12"/>
        <v/>
      </c>
      <c r="AY37" s="20" t="str">
        <f t="shared" si="13"/>
        <v/>
      </c>
      <c r="AZ37" s="20" t="str">
        <f t="shared" si="14"/>
        <v/>
      </c>
    </row>
    <row r="38" spans="1:52" ht="63" customHeight="1" x14ac:dyDescent="0.3">
      <c r="A38" s="12">
        <v>16</v>
      </c>
      <c r="B38" s="12" t="s">
        <v>51</v>
      </c>
      <c r="C38" s="12" t="s">
        <v>52</v>
      </c>
      <c r="D38" s="13" t="s">
        <v>140</v>
      </c>
      <c r="E38" s="13" t="s">
        <v>141</v>
      </c>
      <c r="F38" s="14" t="s">
        <v>142</v>
      </c>
      <c r="G38" s="12"/>
      <c r="H38" s="12">
        <f>ROUNDUP(I38/Notes!$B$5,0)</f>
        <v>7</v>
      </c>
      <c r="I38" s="12">
        <v>32</v>
      </c>
      <c r="J38" s="12">
        <v>32</v>
      </c>
      <c r="K38" s="12">
        <f t="shared" si="0"/>
        <v>32</v>
      </c>
      <c r="L38" s="15">
        <v>46178</v>
      </c>
      <c r="M38" s="16">
        <v>46274</v>
      </c>
      <c r="N38" s="15">
        <v>46181</v>
      </c>
      <c r="O38" s="16">
        <v>46274</v>
      </c>
      <c r="P38" s="15"/>
      <c r="Q38" s="15"/>
      <c r="R38" s="15"/>
      <c r="S38" s="15"/>
      <c r="T38" s="15"/>
      <c r="U38" s="15"/>
      <c r="V38" s="15">
        <v>46181</v>
      </c>
      <c r="W38" s="15">
        <v>46274</v>
      </c>
      <c r="X38" s="12">
        <v>0</v>
      </c>
      <c r="Y38" s="12">
        <v>0</v>
      </c>
      <c r="Z38" s="12">
        <v>0</v>
      </c>
      <c r="AA38" s="17"/>
      <c r="AB38" s="12">
        <v>32</v>
      </c>
      <c r="AC38" s="17"/>
      <c r="AD38" s="17"/>
      <c r="AE38" s="17"/>
      <c r="AF38" s="17"/>
      <c r="AG38" s="17"/>
      <c r="AH38" s="17"/>
      <c r="AI38" s="17"/>
      <c r="AJ38" s="17"/>
      <c r="AK38" s="17"/>
      <c r="AM38" s="18">
        <f t="shared" si="1"/>
        <v>0.21875</v>
      </c>
      <c r="AN38" s="18" t="str">
        <f t="shared" si="2"/>
        <v/>
      </c>
      <c r="AO38" s="18" t="str">
        <f t="shared" si="3"/>
        <v/>
      </c>
      <c r="AP38" s="18" t="str">
        <f t="shared" si="4"/>
        <v/>
      </c>
      <c r="AQ38" s="18">
        <f t="shared" si="5"/>
        <v>0.21875</v>
      </c>
      <c r="AR38" s="18">
        <f t="shared" si="6"/>
        <v>13.285714285714286</v>
      </c>
      <c r="AS38" s="18" t="str">
        <f t="shared" si="7"/>
        <v/>
      </c>
      <c r="AT38" s="18" t="str">
        <f t="shared" si="8"/>
        <v/>
      </c>
      <c r="AU38" s="18" t="str">
        <f t="shared" si="9"/>
        <v/>
      </c>
      <c r="AV38" s="18">
        <f t="shared" si="10"/>
        <v>13.285714285714286</v>
      </c>
      <c r="AW38" s="18" t="str">
        <f t="shared" si="11"/>
        <v/>
      </c>
      <c r="AX38" s="19" t="str">
        <f t="shared" si="12"/>
        <v/>
      </c>
      <c r="AY38" s="20" t="str">
        <f t="shared" si="13"/>
        <v/>
      </c>
      <c r="AZ38" s="20" t="str">
        <f t="shared" si="14"/>
        <v/>
      </c>
    </row>
    <row r="39" spans="1:52" s="71" customFormat="1" ht="63" customHeight="1" x14ac:dyDescent="0.3">
      <c r="A39" s="66"/>
      <c r="B39" s="66"/>
      <c r="C39" s="66"/>
      <c r="D39" s="67"/>
      <c r="E39" s="67"/>
      <c r="F39" s="68"/>
      <c r="G39" s="66"/>
      <c r="H39" s="66"/>
      <c r="I39" s="66"/>
      <c r="J39" s="66"/>
      <c r="K39" s="66"/>
      <c r="L39" s="15"/>
      <c r="M39" s="69"/>
      <c r="N39" s="15"/>
      <c r="O39" s="69"/>
      <c r="P39" s="15"/>
      <c r="Q39" s="15"/>
      <c r="R39" s="15"/>
      <c r="S39" s="15"/>
      <c r="T39" s="15"/>
      <c r="U39" s="15"/>
      <c r="V39" s="15"/>
      <c r="W39" s="15"/>
      <c r="X39" s="66"/>
      <c r="Y39" s="66"/>
      <c r="Z39" s="66"/>
      <c r="AA39" s="70"/>
      <c r="AB39" s="66"/>
      <c r="AC39" s="70"/>
      <c r="AD39" s="70"/>
      <c r="AE39" s="70"/>
      <c r="AF39" s="70"/>
      <c r="AG39" s="70"/>
      <c r="AH39" s="70"/>
      <c r="AI39" s="70"/>
      <c r="AJ39" s="70"/>
      <c r="AK39" s="70"/>
      <c r="AM39" s="18"/>
      <c r="AN39" s="18"/>
      <c r="AO39" s="18"/>
      <c r="AP39" s="18"/>
      <c r="AQ39" s="18"/>
      <c r="AR39" s="18"/>
      <c r="AS39" s="18"/>
      <c r="AT39" s="18"/>
      <c r="AU39" s="18"/>
      <c r="AV39" s="18"/>
      <c r="AW39" s="18"/>
      <c r="AX39" s="19"/>
      <c r="AY39" s="72"/>
      <c r="AZ39" s="72"/>
    </row>
    <row r="40" spans="1:52" s="71" customFormat="1" ht="63" customHeight="1" x14ac:dyDescent="0.3">
      <c r="A40" s="66"/>
      <c r="B40" s="66"/>
      <c r="C40" s="66"/>
      <c r="D40" s="67"/>
      <c r="E40" s="67"/>
      <c r="F40" s="68"/>
      <c r="G40" s="66"/>
      <c r="H40" s="66"/>
      <c r="I40" s="66"/>
      <c r="J40" s="66"/>
      <c r="K40" s="66"/>
      <c r="L40" s="15"/>
      <c r="M40" s="69"/>
      <c r="N40" s="15"/>
      <c r="O40" s="69"/>
      <c r="P40" s="15"/>
      <c r="Q40" s="15"/>
      <c r="R40" s="15"/>
      <c r="S40" s="15"/>
      <c r="T40" s="15"/>
      <c r="U40" s="15"/>
      <c r="V40" s="15"/>
      <c r="W40" s="15"/>
      <c r="X40" s="66"/>
      <c r="Y40" s="66"/>
      <c r="Z40" s="66"/>
      <c r="AA40" s="70"/>
      <c r="AB40" s="66"/>
      <c r="AC40" s="70"/>
      <c r="AD40" s="70"/>
      <c r="AE40" s="70"/>
      <c r="AF40" s="70"/>
      <c r="AG40" s="70"/>
      <c r="AH40" s="70"/>
      <c r="AI40" s="70"/>
      <c r="AJ40" s="70"/>
      <c r="AK40" s="70"/>
      <c r="AM40" s="18"/>
      <c r="AN40" s="18"/>
      <c r="AO40" s="18"/>
      <c r="AP40" s="18"/>
      <c r="AQ40" s="18"/>
      <c r="AR40" s="18"/>
      <c r="AS40" s="18"/>
      <c r="AT40" s="18"/>
      <c r="AU40" s="18"/>
      <c r="AV40" s="18"/>
      <c r="AW40" s="18"/>
      <c r="AX40" s="19"/>
      <c r="AY40" s="72"/>
      <c r="AZ40" s="72"/>
    </row>
    <row r="41" spans="1:52" ht="63" customHeight="1" x14ac:dyDescent="0.3">
      <c r="A41" s="12">
        <v>17</v>
      </c>
      <c r="B41" s="12" t="s">
        <v>51</v>
      </c>
      <c r="C41" s="12" t="s">
        <v>52</v>
      </c>
      <c r="D41" s="13" t="s">
        <v>143</v>
      </c>
      <c r="E41" s="13" t="s">
        <v>144</v>
      </c>
      <c r="F41" s="14" t="s">
        <v>145</v>
      </c>
      <c r="G41" s="12"/>
      <c r="H41" s="12">
        <f>ROUNDUP(I41/Notes!$B$5,0)</f>
        <v>4</v>
      </c>
      <c r="I41" s="12">
        <v>16</v>
      </c>
      <c r="J41" s="12">
        <v>16</v>
      </c>
      <c r="K41" s="12">
        <f t="shared" si="0"/>
        <v>16</v>
      </c>
      <c r="L41" s="15">
        <v>46202</v>
      </c>
      <c r="M41" s="16">
        <v>46203</v>
      </c>
      <c r="N41" s="15">
        <v>46202</v>
      </c>
      <c r="O41" s="16">
        <v>46203</v>
      </c>
      <c r="P41" s="15"/>
      <c r="Q41" s="15"/>
      <c r="R41" s="15"/>
      <c r="S41" s="15"/>
      <c r="T41" s="15">
        <v>46202</v>
      </c>
      <c r="U41" s="15">
        <v>46203</v>
      </c>
      <c r="V41" s="15"/>
      <c r="W41" s="15"/>
      <c r="X41" s="12">
        <v>0</v>
      </c>
      <c r="Y41" s="12">
        <v>0</v>
      </c>
      <c r="Z41" s="12">
        <v>16</v>
      </c>
      <c r="AA41" s="17"/>
      <c r="AB41" s="12">
        <v>0</v>
      </c>
      <c r="AC41" s="17"/>
      <c r="AD41" s="17"/>
      <c r="AE41" s="17"/>
      <c r="AF41" s="17"/>
      <c r="AG41" s="17"/>
      <c r="AH41" s="17"/>
      <c r="AI41" s="17"/>
      <c r="AJ41" s="17"/>
      <c r="AK41" s="17"/>
      <c r="AM41" s="18">
        <f t="shared" si="1"/>
        <v>0.25</v>
      </c>
      <c r="AN41" s="18" t="str">
        <f t="shared" si="2"/>
        <v/>
      </c>
      <c r="AO41" s="18" t="str">
        <f t="shared" si="3"/>
        <v/>
      </c>
      <c r="AP41" s="18">
        <f t="shared" si="4"/>
        <v>0.25</v>
      </c>
      <c r="AQ41" s="18" t="str">
        <f t="shared" si="5"/>
        <v/>
      </c>
      <c r="AR41" s="18">
        <f t="shared" si="6"/>
        <v>0.25</v>
      </c>
      <c r="AS41" s="18" t="str">
        <f t="shared" si="7"/>
        <v/>
      </c>
      <c r="AT41" s="18" t="str">
        <f t="shared" si="8"/>
        <v/>
      </c>
      <c r="AU41" s="18">
        <f t="shared" si="9"/>
        <v>0.25</v>
      </c>
      <c r="AV41" s="18" t="str">
        <f t="shared" si="10"/>
        <v/>
      </c>
      <c r="AW41" s="18" t="str">
        <f t="shared" si="11"/>
        <v/>
      </c>
      <c r="AX41" s="19" t="str">
        <f t="shared" si="12"/>
        <v/>
      </c>
      <c r="AY41" s="20" t="str">
        <f t="shared" si="13"/>
        <v/>
      </c>
      <c r="AZ41" s="20" t="str">
        <f t="shared" si="14"/>
        <v/>
      </c>
    </row>
    <row r="42" spans="1:52" ht="63" customHeight="1" x14ac:dyDescent="0.3">
      <c r="A42" s="12">
        <v>18</v>
      </c>
      <c r="B42" s="12" t="s">
        <v>51</v>
      </c>
      <c r="C42" s="12" t="s">
        <v>52</v>
      </c>
      <c r="D42" s="1" t="s">
        <v>146</v>
      </c>
      <c r="E42" s="13" t="s">
        <v>147</v>
      </c>
      <c r="F42" s="14" t="s">
        <v>148</v>
      </c>
      <c r="G42" s="12"/>
      <c r="H42" s="12">
        <f>ROUNDUP(I42/Notes!$B$5,0)</f>
        <v>5</v>
      </c>
      <c r="I42" s="12">
        <v>24</v>
      </c>
      <c r="J42" s="12">
        <v>24</v>
      </c>
      <c r="K42" s="12">
        <f t="shared" si="0"/>
        <v>24</v>
      </c>
      <c r="L42" s="15">
        <v>46268</v>
      </c>
      <c r="M42" s="16">
        <v>46275</v>
      </c>
      <c r="N42" s="15">
        <v>46268</v>
      </c>
      <c r="O42" s="16">
        <v>46275</v>
      </c>
      <c r="P42" s="15"/>
      <c r="Q42" s="15"/>
      <c r="R42" s="15"/>
      <c r="S42" s="15"/>
      <c r="T42" s="15">
        <v>46268</v>
      </c>
      <c r="U42" s="15">
        <v>46275</v>
      </c>
      <c r="V42" s="15"/>
      <c r="W42" s="15"/>
      <c r="X42" s="12">
        <v>0</v>
      </c>
      <c r="Y42" s="12">
        <v>0</v>
      </c>
      <c r="Z42" s="12">
        <v>24</v>
      </c>
      <c r="AA42" s="17"/>
      <c r="AB42" s="12">
        <v>0</v>
      </c>
      <c r="AC42" s="17"/>
      <c r="AD42" s="17"/>
      <c r="AE42" s="17"/>
      <c r="AF42" s="17"/>
      <c r="AG42" s="17"/>
      <c r="AH42" s="17"/>
      <c r="AI42" s="17"/>
      <c r="AJ42" s="17"/>
      <c r="AK42" s="17"/>
      <c r="AM42" s="18">
        <f t="shared" si="1"/>
        <v>0.20833333333333334</v>
      </c>
      <c r="AN42" s="18" t="str">
        <f t="shared" si="2"/>
        <v/>
      </c>
      <c r="AO42" s="18" t="str">
        <f t="shared" si="3"/>
        <v/>
      </c>
      <c r="AP42" s="18">
        <f t="shared" si="4"/>
        <v>0.20833333333333334</v>
      </c>
      <c r="AQ42" s="18" t="str">
        <f t="shared" si="5"/>
        <v/>
      </c>
      <c r="AR42" s="18">
        <f t="shared" si="6"/>
        <v>1.4</v>
      </c>
      <c r="AS42" s="18" t="str">
        <f t="shared" si="7"/>
        <v/>
      </c>
      <c r="AT42" s="18" t="str">
        <f t="shared" si="8"/>
        <v/>
      </c>
      <c r="AU42" s="18">
        <f t="shared" si="9"/>
        <v>1.4</v>
      </c>
      <c r="AV42" s="18" t="str">
        <f t="shared" si="10"/>
        <v/>
      </c>
      <c r="AW42" s="18" t="str">
        <f t="shared" si="11"/>
        <v/>
      </c>
      <c r="AX42" s="19" t="str">
        <f t="shared" si="12"/>
        <v/>
      </c>
      <c r="AY42" s="20" t="str">
        <f t="shared" si="13"/>
        <v/>
      </c>
      <c r="AZ42" s="20" t="str">
        <f t="shared" si="14"/>
        <v/>
      </c>
    </row>
    <row r="43" spans="1:52" ht="63" customHeight="1" x14ac:dyDescent="0.3">
      <c r="A43" s="12"/>
      <c r="B43" s="12"/>
      <c r="C43" s="12"/>
      <c r="D43" s="1"/>
      <c r="E43" s="13" t="s">
        <v>149</v>
      </c>
      <c r="F43" s="14" t="s">
        <v>150</v>
      </c>
      <c r="G43" s="12"/>
      <c r="H43" s="12">
        <f>ROUNDUP(I43/Notes!$B$5,0)</f>
        <v>11</v>
      </c>
      <c r="I43" s="12">
        <v>56</v>
      </c>
      <c r="J43" s="12">
        <v>56</v>
      </c>
      <c r="K43" s="12">
        <f t="shared" si="0"/>
        <v>56</v>
      </c>
      <c r="L43" s="15">
        <v>46275</v>
      </c>
      <c r="M43" s="16">
        <v>46295</v>
      </c>
      <c r="N43" s="15">
        <v>46275</v>
      </c>
      <c r="O43" s="16">
        <v>46295</v>
      </c>
      <c r="P43" s="15"/>
      <c r="Q43" s="15"/>
      <c r="R43" s="15"/>
      <c r="S43" s="15"/>
      <c r="T43" s="15">
        <v>46275</v>
      </c>
      <c r="U43" s="15">
        <v>46276</v>
      </c>
      <c r="V43" s="15">
        <v>46293</v>
      </c>
      <c r="W43" s="15">
        <v>46295</v>
      </c>
      <c r="X43" s="12">
        <v>0</v>
      </c>
      <c r="Y43" s="12">
        <v>0</v>
      </c>
      <c r="Z43" s="12">
        <v>16</v>
      </c>
      <c r="AA43" s="17"/>
      <c r="AB43" s="12">
        <v>40</v>
      </c>
      <c r="AC43" s="17"/>
      <c r="AD43" s="17"/>
      <c r="AE43" s="17"/>
      <c r="AF43" s="17"/>
      <c r="AG43" s="17"/>
      <c r="AH43" s="17"/>
      <c r="AI43" s="17"/>
      <c r="AJ43" s="17"/>
      <c r="AK43" s="17"/>
      <c r="AM43" s="18">
        <f t="shared" si="1"/>
        <v>0.19642857142857142</v>
      </c>
      <c r="AN43" s="18" t="str">
        <f t="shared" si="2"/>
        <v/>
      </c>
      <c r="AO43" s="18" t="str">
        <f t="shared" si="3"/>
        <v/>
      </c>
      <c r="AP43" s="18">
        <f t="shared" si="4"/>
        <v>0.6875</v>
      </c>
      <c r="AQ43" s="18">
        <f t="shared" si="5"/>
        <v>0.27500000000000002</v>
      </c>
      <c r="AR43" s="18">
        <f t="shared" si="6"/>
        <v>1.8181818181818181</v>
      </c>
      <c r="AS43" s="18" t="str">
        <f t="shared" si="7"/>
        <v/>
      </c>
      <c r="AT43" s="18" t="str">
        <f t="shared" si="8"/>
        <v/>
      </c>
      <c r="AU43" s="18">
        <f t="shared" si="9"/>
        <v>9.0909090909090912E-2</v>
      </c>
      <c r="AV43" s="18">
        <f t="shared" si="10"/>
        <v>0.18181818181818182</v>
      </c>
      <c r="AW43" s="18" t="str">
        <f t="shared" si="11"/>
        <v/>
      </c>
      <c r="AX43" s="19" t="str">
        <f t="shared" si="12"/>
        <v/>
      </c>
      <c r="AY43" s="20" t="str">
        <f t="shared" si="13"/>
        <v/>
      </c>
      <c r="AZ43" s="20" t="str">
        <f t="shared" si="14"/>
        <v/>
      </c>
    </row>
    <row r="44" spans="1:52" ht="87" customHeight="1" x14ac:dyDescent="0.3">
      <c r="A44" s="12">
        <v>19</v>
      </c>
      <c r="B44" s="12" t="s">
        <v>51</v>
      </c>
      <c r="C44" s="12" t="s">
        <v>52</v>
      </c>
      <c r="D44" s="13" t="s">
        <v>151</v>
      </c>
      <c r="E44" s="13" t="s">
        <v>152</v>
      </c>
      <c r="F44" s="14" t="s">
        <v>153</v>
      </c>
      <c r="G44" s="12"/>
      <c r="H44" s="12">
        <f>ROUNDUP(I44/Notes!$B$5,0)</f>
        <v>28</v>
      </c>
      <c r="I44" s="12">
        <v>147</v>
      </c>
      <c r="J44" s="12">
        <v>160</v>
      </c>
      <c r="K44" s="12">
        <f t="shared" si="0"/>
        <v>147</v>
      </c>
      <c r="L44" s="15">
        <v>46174</v>
      </c>
      <c r="M44" s="16">
        <v>46188</v>
      </c>
      <c r="N44" s="15">
        <v>46174</v>
      </c>
      <c r="O44" s="16">
        <v>46188</v>
      </c>
      <c r="P44" s="15"/>
      <c r="Q44" s="15"/>
      <c r="R44" s="15"/>
      <c r="S44" s="15"/>
      <c r="T44" s="15">
        <v>46174</v>
      </c>
      <c r="U44" s="15">
        <v>46188</v>
      </c>
      <c r="V44" s="15"/>
      <c r="W44" s="15"/>
      <c r="X44" s="12">
        <v>0</v>
      </c>
      <c r="Y44" s="12">
        <v>0</v>
      </c>
      <c r="Z44" s="12">
        <v>147</v>
      </c>
      <c r="AA44" s="17"/>
      <c r="AB44" s="12">
        <v>0</v>
      </c>
      <c r="AC44" s="17"/>
      <c r="AD44" s="17"/>
      <c r="AE44" s="17"/>
      <c r="AF44" s="17"/>
      <c r="AG44" s="17"/>
      <c r="AH44" s="17"/>
      <c r="AI44" s="17"/>
      <c r="AJ44" s="17"/>
      <c r="AK44" s="17"/>
      <c r="AM44" s="18">
        <f t="shared" si="1"/>
        <v>0.19047619047619047</v>
      </c>
      <c r="AN44" s="18" t="str">
        <f t="shared" si="2"/>
        <v/>
      </c>
      <c r="AO44" s="18" t="str">
        <f t="shared" si="3"/>
        <v/>
      </c>
      <c r="AP44" s="18">
        <f t="shared" si="4"/>
        <v>0.19047619047619047</v>
      </c>
      <c r="AQ44" s="18" t="str">
        <f t="shared" si="5"/>
        <v/>
      </c>
      <c r="AR44" s="18">
        <f t="shared" si="6"/>
        <v>0.5</v>
      </c>
      <c r="AS44" s="18" t="str">
        <f t="shared" si="7"/>
        <v/>
      </c>
      <c r="AT44" s="18" t="str">
        <f t="shared" si="8"/>
        <v/>
      </c>
      <c r="AU44" s="18">
        <f t="shared" si="9"/>
        <v>0.5</v>
      </c>
      <c r="AV44" s="18" t="str">
        <f t="shared" si="10"/>
        <v/>
      </c>
      <c r="AW44" s="18" t="str">
        <f t="shared" si="11"/>
        <v/>
      </c>
      <c r="AX44" s="19" t="str">
        <f t="shared" si="12"/>
        <v/>
      </c>
      <c r="AY44" s="20" t="str">
        <f t="shared" si="13"/>
        <v/>
      </c>
      <c r="AZ44" s="20" t="str">
        <f t="shared" si="14"/>
        <v/>
      </c>
    </row>
    <row r="45" spans="1:52" ht="112.5" customHeight="1" x14ac:dyDescent="0.3">
      <c r="A45" s="12">
        <v>20</v>
      </c>
      <c r="B45" s="12" t="s">
        <v>51</v>
      </c>
      <c r="C45" s="12" t="s">
        <v>52</v>
      </c>
      <c r="D45" s="1" t="s">
        <v>154</v>
      </c>
      <c r="E45" s="13" t="s">
        <v>155</v>
      </c>
      <c r="F45" s="14" t="s">
        <v>156</v>
      </c>
      <c r="G45" s="12"/>
      <c r="H45" s="12">
        <f>ROUNDUP(I45/Notes!$B$5,0)</f>
        <v>41</v>
      </c>
      <c r="I45" s="12">
        <v>211</v>
      </c>
      <c r="J45" s="12"/>
      <c r="K45" s="12"/>
      <c r="L45" s="15"/>
      <c r="M45" s="16"/>
      <c r="N45" s="15"/>
      <c r="O45" s="16"/>
      <c r="P45" s="15"/>
      <c r="Q45" s="15"/>
      <c r="R45" s="15"/>
      <c r="S45" s="15"/>
      <c r="T45" s="15"/>
      <c r="U45" s="15"/>
      <c r="V45" s="15"/>
      <c r="W45" s="15"/>
      <c r="X45" s="12"/>
      <c r="Y45" s="12"/>
      <c r="Z45" s="12"/>
      <c r="AA45" s="12"/>
      <c r="AB45" s="12"/>
      <c r="AC45" s="12"/>
      <c r="AD45" s="12"/>
      <c r="AE45" s="12"/>
      <c r="AF45" s="21"/>
      <c r="AG45" s="21"/>
      <c r="AH45" s="21"/>
      <c r="AI45" s="21"/>
      <c r="AJ45" s="21"/>
      <c r="AK45" s="21"/>
      <c r="AM45" s="18">
        <f t="shared" si="1"/>
        <v>0.19431279620853081</v>
      </c>
      <c r="AN45" s="18" t="str">
        <f t="shared" si="2"/>
        <v/>
      </c>
      <c r="AO45" s="18" t="str">
        <f t="shared" si="3"/>
        <v/>
      </c>
      <c r="AP45" s="18" t="str">
        <f t="shared" si="4"/>
        <v/>
      </c>
      <c r="AQ45" s="18" t="str">
        <f t="shared" si="5"/>
        <v/>
      </c>
      <c r="AR45" s="18" t="str">
        <f t="shared" si="6"/>
        <v/>
      </c>
      <c r="AS45" s="18" t="str">
        <f t="shared" si="7"/>
        <v/>
      </c>
      <c r="AT45" s="18" t="str">
        <f t="shared" si="8"/>
        <v/>
      </c>
      <c r="AU45" s="18" t="str">
        <f t="shared" si="9"/>
        <v/>
      </c>
      <c r="AV45" s="18" t="str">
        <f t="shared" si="10"/>
        <v/>
      </c>
      <c r="AW45" s="18" t="str">
        <f t="shared" si="11"/>
        <v/>
      </c>
      <c r="AX45" s="19" t="str">
        <f t="shared" si="12"/>
        <v/>
      </c>
      <c r="AY45" s="20" t="str">
        <f t="shared" si="13"/>
        <v/>
      </c>
      <c r="AZ45" s="20" t="str">
        <f t="shared" si="14"/>
        <v/>
      </c>
    </row>
    <row r="46" spans="1:52" ht="63" customHeight="1" x14ac:dyDescent="0.3">
      <c r="A46" s="12"/>
      <c r="B46" s="12"/>
      <c r="C46" s="12"/>
      <c r="D46" s="1"/>
      <c r="E46" s="13" t="s">
        <v>157</v>
      </c>
      <c r="F46" s="14" t="s">
        <v>158</v>
      </c>
      <c r="G46" s="12"/>
      <c r="H46" s="12">
        <f>ROUNDUP(I46/Notes!$B$5,0)</f>
        <v>3</v>
      </c>
      <c r="I46" s="12">
        <v>12</v>
      </c>
      <c r="J46" s="12"/>
      <c r="K46" s="12"/>
      <c r="L46" s="15"/>
      <c r="M46" s="16"/>
      <c r="N46" s="15"/>
      <c r="O46" s="16"/>
      <c r="P46" s="15"/>
      <c r="Q46" s="15"/>
      <c r="R46" s="15"/>
      <c r="S46" s="15"/>
      <c r="T46" s="15"/>
      <c r="U46" s="15"/>
      <c r="V46" s="15"/>
      <c r="W46" s="15"/>
      <c r="X46" s="12"/>
      <c r="Y46" s="12"/>
      <c r="Z46" s="12"/>
      <c r="AA46" s="12"/>
      <c r="AB46" s="12"/>
      <c r="AC46" s="12"/>
      <c r="AD46" s="12"/>
      <c r="AE46" s="12"/>
      <c r="AF46" s="21"/>
      <c r="AG46" s="21"/>
      <c r="AH46" s="21"/>
      <c r="AI46" s="21"/>
      <c r="AJ46" s="21"/>
      <c r="AK46" s="21"/>
      <c r="AM46" s="18">
        <f t="shared" si="1"/>
        <v>0.25</v>
      </c>
      <c r="AN46" s="18" t="str">
        <f t="shared" si="2"/>
        <v/>
      </c>
      <c r="AO46" s="18" t="str">
        <f t="shared" si="3"/>
        <v/>
      </c>
      <c r="AP46" s="18" t="str">
        <f t="shared" si="4"/>
        <v/>
      </c>
      <c r="AQ46" s="18" t="str">
        <f t="shared" si="5"/>
        <v/>
      </c>
      <c r="AR46" s="18" t="str">
        <f t="shared" si="6"/>
        <v/>
      </c>
      <c r="AS46" s="18" t="str">
        <f t="shared" si="7"/>
        <v/>
      </c>
      <c r="AT46" s="18" t="str">
        <f t="shared" si="8"/>
        <v/>
      </c>
      <c r="AU46" s="18" t="str">
        <f t="shared" si="9"/>
        <v/>
      </c>
      <c r="AV46" s="18" t="str">
        <f t="shared" si="10"/>
        <v/>
      </c>
      <c r="AW46" s="18" t="str">
        <f t="shared" si="11"/>
        <v/>
      </c>
      <c r="AX46" s="19" t="str">
        <f t="shared" si="12"/>
        <v/>
      </c>
      <c r="AY46" s="20" t="str">
        <f t="shared" si="13"/>
        <v/>
      </c>
      <c r="AZ46" s="20" t="str">
        <f t="shared" si="14"/>
        <v/>
      </c>
    </row>
    <row r="48" spans="1:52" x14ac:dyDescent="0.3">
      <c r="E48" s="22" t="s">
        <v>159</v>
      </c>
      <c r="H48" s="22">
        <f>SUM(H2:H46)</f>
        <v>668</v>
      </c>
      <c r="I48" s="22">
        <f>SUM(I2:I46)</f>
        <v>3405</v>
      </c>
      <c r="J48" s="22">
        <f>SUM(J2:J46)</f>
        <v>3242</v>
      </c>
      <c r="K48" s="22">
        <f>SUM(K2:K46)</f>
        <v>3182</v>
      </c>
    </row>
  </sheetData>
  <autoFilter ref="A1:AZ46" xr:uid="{00000000-0009-0000-0000-000000000000}"/>
  <mergeCells count="13">
    <mergeCell ref="D33:D35"/>
    <mergeCell ref="D42:D43"/>
    <mergeCell ref="D45:D46"/>
    <mergeCell ref="D19:D20"/>
    <mergeCell ref="D21:D23"/>
    <mergeCell ref="D24:D25"/>
    <mergeCell ref="D26:D29"/>
    <mergeCell ref="D30:D32"/>
    <mergeCell ref="D2:D3"/>
    <mergeCell ref="D5:D6"/>
    <mergeCell ref="D7:D11"/>
    <mergeCell ref="D12:D14"/>
    <mergeCell ref="D16:D1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zoomScaleNormal="100" workbookViewId="0"/>
  </sheetViews>
  <sheetFormatPr defaultColWidth="8.6640625" defaultRowHeight="14.4" x14ac:dyDescent="0.3"/>
  <cols>
    <col min="1" max="1" width="42" customWidth="1"/>
    <col min="2" max="2" width="14" customWidth="1"/>
    <col min="3" max="3" width="110" customWidth="1"/>
  </cols>
  <sheetData>
    <row r="1" spans="1:3" ht="15.6" x14ac:dyDescent="0.3">
      <c r="A1" s="23" t="s">
        <v>160</v>
      </c>
    </row>
    <row r="3" spans="1:3" x14ac:dyDescent="0.3">
      <c r="A3" s="24" t="s">
        <v>161</v>
      </c>
      <c r="B3" s="24" t="s">
        <v>162</v>
      </c>
      <c r="C3" s="24" t="s">
        <v>163</v>
      </c>
    </row>
    <row r="4" spans="1:3" x14ac:dyDescent="0.3">
      <c r="A4" s="25" t="s">
        <v>164</v>
      </c>
      <c r="B4" s="26">
        <v>0.19</v>
      </c>
      <c r="C4" s="25" t="s">
        <v>165</v>
      </c>
    </row>
    <row r="5" spans="1:3" x14ac:dyDescent="0.3">
      <c r="A5" s="25" t="s">
        <v>166</v>
      </c>
      <c r="B5" s="27">
        <f>1/B4</f>
        <v>5.2631578947368425</v>
      </c>
      <c r="C5" s="25" t="s">
        <v>167</v>
      </c>
    </row>
    <row r="8" spans="1:3" ht="30" customHeight="1" x14ac:dyDescent="0.3">
      <c r="A8" s="28" t="s">
        <v>168</v>
      </c>
      <c r="C8" s="29" t="s">
        <v>169</v>
      </c>
    </row>
    <row r="9" spans="1:3" ht="45" customHeight="1" x14ac:dyDescent="0.3">
      <c r="A9" s="28" t="s">
        <v>170</v>
      </c>
      <c r="C9" s="29" t="s">
        <v>171</v>
      </c>
    </row>
    <row r="10" spans="1:3" ht="15" customHeight="1" x14ac:dyDescent="0.3">
      <c r="A10" s="28" t="s">
        <v>172</v>
      </c>
      <c r="C10" s="29" t="s">
        <v>173</v>
      </c>
    </row>
    <row r="11" spans="1:3" ht="45" customHeight="1" x14ac:dyDescent="0.3">
      <c r="A11" s="28" t="s">
        <v>174</v>
      </c>
      <c r="C11" s="29" t="s">
        <v>175</v>
      </c>
    </row>
    <row r="12" spans="1:3" ht="30" customHeight="1" x14ac:dyDescent="0.3">
      <c r="A12" s="28" t="s">
        <v>176</v>
      </c>
      <c r="C12" s="29" t="s">
        <v>177</v>
      </c>
    </row>
    <row r="13" spans="1:3" ht="60" customHeight="1" x14ac:dyDescent="0.3">
      <c r="A13" s="28" t="s">
        <v>178</v>
      </c>
      <c r="C13" s="29" t="s">
        <v>179</v>
      </c>
    </row>
    <row r="14" spans="1:3" ht="15" customHeight="1" x14ac:dyDescent="0.3">
      <c r="A14" s="28" t="s">
        <v>180</v>
      </c>
      <c r="C14" s="29" t="s">
        <v>181</v>
      </c>
    </row>
    <row r="15" spans="1:3" ht="30" customHeight="1" x14ac:dyDescent="0.3">
      <c r="A15" s="28" t="s">
        <v>182</v>
      </c>
      <c r="C15" s="29" t="s">
        <v>183</v>
      </c>
    </row>
    <row r="16" spans="1:3" ht="30" customHeight="1" x14ac:dyDescent="0.3">
      <c r="A16" s="28" t="s">
        <v>184</v>
      </c>
      <c r="C16" s="29" t="s">
        <v>185</v>
      </c>
    </row>
    <row r="17" spans="1:3" ht="30" customHeight="1" x14ac:dyDescent="0.3">
      <c r="A17" s="28" t="s">
        <v>186</v>
      </c>
      <c r="C17" s="29" t="s">
        <v>187</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49"/>
  <sheetViews>
    <sheetView zoomScaleNormal="100" workbookViewId="0"/>
  </sheetViews>
  <sheetFormatPr defaultColWidth="8.6640625" defaultRowHeight="14.4" x14ac:dyDescent="0.3"/>
  <sheetData>
    <row r="1" spans="1:3" x14ac:dyDescent="0.3">
      <c r="A1" t="s">
        <v>37</v>
      </c>
      <c r="B1" t="s">
        <v>40</v>
      </c>
      <c r="C1" t="s">
        <v>41</v>
      </c>
    </row>
    <row r="2" spans="1:3" x14ac:dyDescent="0.3">
      <c r="A2">
        <f>'DC JuntoSep'!AM2</f>
        <v>0.19047619047619047</v>
      </c>
      <c r="B2">
        <f>'DC JuntoSep'!AP2</f>
        <v>0.21428571428571427</v>
      </c>
      <c r="C2">
        <f>'DC JuntoSep'!AQ2</f>
        <v>1.7142857142857142</v>
      </c>
    </row>
    <row r="3" spans="1:3" x14ac:dyDescent="0.3">
      <c r="A3">
        <f>'DC JuntoSep'!AM3</f>
        <v>0.19230769230769232</v>
      </c>
      <c r="B3">
        <f>'DC JuntoSep'!AP3</f>
        <v>0.20833333333333334</v>
      </c>
      <c r="C3">
        <f>'DC JuntoSep'!AQ3</f>
        <v>2.5</v>
      </c>
    </row>
    <row r="4" spans="1:3" x14ac:dyDescent="0.3">
      <c r="A4">
        <f>'DC JuntoSep'!AM7</f>
        <v>0.19230769230769232</v>
      </c>
      <c r="B4">
        <f>'DC JuntoSep'!AP7</f>
        <v>0.41666666666666669</v>
      </c>
      <c r="C4">
        <f>'DC JuntoSep'!AQ7</f>
        <v>0.35714285714285715</v>
      </c>
    </row>
    <row r="5" spans="1:3" x14ac:dyDescent="0.3">
      <c r="A5">
        <f>'DC JuntoSep'!AM8</f>
        <v>0.19117647058823528</v>
      </c>
      <c r="B5">
        <f>'DC JuntoSep'!AP8</f>
        <v>0.32500000000000001</v>
      </c>
      <c r="C5">
        <f>'DC JuntoSep'!AQ8</f>
        <v>0.4642857142857143</v>
      </c>
    </row>
    <row r="6" spans="1:3" x14ac:dyDescent="0.3">
      <c r="A6">
        <f>'DC JuntoSep'!AM9</f>
        <v>0.2</v>
      </c>
      <c r="B6">
        <f>'DC JuntoSep'!AP9</f>
        <v>0.5</v>
      </c>
      <c r="C6">
        <f>'DC JuntoSep'!AQ9</f>
        <v>0.33333333333333331</v>
      </c>
    </row>
    <row r="7" spans="1:3" x14ac:dyDescent="0.3">
      <c r="A7">
        <f>'DC JuntoSep'!AM10</f>
        <v>0.19157088122605365</v>
      </c>
      <c r="B7">
        <f>'DC JuntoSep'!AP10</f>
        <v>0.38759689922480622</v>
      </c>
      <c r="C7">
        <f>'DC JuntoSep'!AQ10</f>
        <v>0.37878787878787878</v>
      </c>
    </row>
    <row r="8" spans="1:3" x14ac:dyDescent="0.3">
      <c r="A8">
        <f>'DC JuntoSep'!AM12</f>
        <v>0.19148936170212766</v>
      </c>
      <c r="B8">
        <f>'DC JuntoSep'!AP12</f>
        <v>0.20454545454545456</v>
      </c>
      <c r="C8">
        <f>'DC JuntoSep'!AQ12</f>
        <v>3</v>
      </c>
    </row>
    <row r="9" spans="1:3" x14ac:dyDescent="0.3">
      <c r="A9">
        <f>'DC JuntoSep'!AM15</f>
        <v>0.20689655172413793</v>
      </c>
      <c r="B9">
        <f>'DC JuntoSep'!AP15</f>
        <v>0.54545454545454541</v>
      </c>
      <c r="C9">
        <f>'DC JuntoSep'!AQ15</f>
        <v>3</v>
      </c>
    </row>
    <row r="10" spans="1:3" x14ac:dyDescent="0.3">
      <c r="A10">
        <f>'DC JuntoSep'!AM17</f>
        <v>0.20454545454545456</v>
      </c>
      <c r="B10">
        <f>'DC JuntoSep'!AP17</f>
        <v>0.22500000000000001</v>
      </c>
      <c r="C10">
        <f>'DC JuntoSep'!AQ17</f>
        <v>2.25</v>
      </c>
    </row>
    <row r="11" spans="1:3" x14ac:dyDescent="0.3">
      <c r="A11">
        <f>'DC JuntoSep'!AM23</f>
        <v>0.19004524886877827</v>
      </c>
      <c r="B11">
        <f>'DC JuntoSep'!AP23</f>
        <v>0.19718309859154928</v>
      </c>
      <c r="C11">
        <f>'DC JuntoSep'!AQ23</f>
        <v>5.25</v>
      </c>
    </row>
    <row r="12" spans="1:3" x14ac:dyDescent="0.3">
      <c r="A12">
        <f>'DC JuntoSep'!AM24</f>
        <v>0.20833333333333334</v>
      </c>
      <c r="B12">
        <f>'DC JuntoSep'!AP24</f>
        <v>0.23255813953488372</v>
      </c>
      <c r="C12">
        <f>'DC JuntoSep'!AQ24</f>
        <v>2</v>
      </c>
    </row>
    <row r="13" spans="1:3" x14ac:dyDescent="0.3">
      <c r="A13">
        <f>'DC JuntoSep'!AM30</f>
        <v>0.19354838709677419</v>
      </c>
      <c r="B13">
        <f>'DC JuntoSep'!AP30</f>
        <v>0.20979020979020979</v>
      </c>
      <c r="C13">
        <f>'DC JuntoSep'!AQ30</f>
        <v>2.5</v>
      </c>
    </row>
    <row r="14" spans="1:3" x14ac:dyDescent="0.3">
      <c r="A14">
        <f>'DC JuntoSep'!AM32</f>
        <v>0.19658119658119658</v>
      </c>
      <c r="B14">
        <f>'DC JuntoSep'!AP32</f>
        <v>0.32857142857142857</v>
      </c>
      <c r="C14">
        <f>'DC JuntoSep'!AQ32</f>
        <v>0.48936170212765956</v>
      </c>
    </row>
    <row r="15" spans="1:3" x14ac:dyDescent="0.3">
      <c r="A15">
        <f>'DC JuntoSep'!AM33</f>
        <v>0.19298245614035087</v>
      </c>
      <c r="B15">
        <f>'DC JuntoSep'!AP33</f>
        <v>0.22448979591836735</v>
      </c>
      <c r="C15">
        <f>'DC JuntoSep'!AQ33</f>
        <v>2.3571428571428572</v>
      </c>
    </row>
    <row r="16" spans="1:3" x14ac:dyDescent="0.3">
      <c r="A16">
        <f>'DC JuntoSep'!AM43</f>
        <v>0.19642857142857142</v>
      </c>
      <c r="B16">
        <f>'DC JuntoSep'!AP43</f>
        <v>0.6875</v>
      </c>
      <c r="C16">
        <f>'DC JuntoSep'!AQ43</f>
        <v>0.27500000000000002</v>
      </c>
    </row>
    <row r="28" spans="13:15" x14ac:dyDescent="0.3">
      <c r="M28" t="s">
        <v>188</v>
      </c>
    </row>
    <row r="29" spans="13:15" x14ac:dyDescent="0.3">
      <c r="M29" t="s">
        <v>37</v>
      </c>
      <c r="N29" t="s">
        <v>189</v>
      </c>
      <c r="O29" t="str">
        <f>TEXT(INDEX(LINEST(A2:A16,B2:C16),1,3),"0.0000")&amp;" + "&amp;TEXT(INDEX(LINEST(A2:A16,B2:C16),1,2),"0.0000")&amp;" Code_Rate + "&amp;TEXT(INDEX(LINEST(A2:A16,B2:C16),1,1),"0.0000")&amp;" Test_Rate"</f>
        <v>0.1894 + 0.0154 Code_Rate + 0.0008 Test_Rate</v>
      </c>
    </row>
    <row r="35" spans="15:18" x14ac:dyDescent="0.3">
      <c r="O35" t="s">
        <v>190</v>
      </c>
      <c r="P35" t="s">
        <v>37</v>
      </c>
      <c r="Q35" t="s">
        <v>40</v>
      </c>
      <c r="R35" t="s">
        <v>41</v>
      </c>
    </row>
    <row r="36" spans="15:18" x14ac:dyDescent="0.3">
      <c r="O36" t="s">
        <v>191</v>
      </c>
      <c r="P36">
        <f>AVERAGE(A2:A16)</f>
        <v>0.19591263255510594</v>
      </c>
      <c r="Q36">
        <f>AVERAGE(B2:B16)</f>
        <v>0.32713168572779733</v>
      </c>
      <c r="R36">
        <f>AVERAGE(C2:C16)</f>
        <v>1.7912893371404008</v>
      </c>
    </row>
    <row r="37" spans="15:18" x14ac:dyDescent="0.3">
      <c r="O37" t="s">
        <v>192</v>
      </c>
      <c r="P37">
        <f>(P38-P39)/6</f>
        <v>6.163607938427647E-3</v>
      </c>
      <c r="Q37">
        <f>(Q38-Q39)/6</f>
        <v>0.15154761544359091</v>
      </c>
      <c r="R37">
        <f>(R38-R39)/6</f>
        <v>1.4243278893049167</v>
      </c>
    </row>
    <row r="38" spans="15:18" x14ac:dyDescent="0.3">
      <c r="O38" t="s">
        <v>193</v>
      </c>
      <c r="P38">
        <f>P36+3*STDEV(A2:A16)</f>
        <v>0.21440345637038888</v>
      </c>
      <c r="Q38">
        <f>Q36+3*STDEV(B2:B16)</f>
        <v>0.78177453205857006</v>
      </c>
      <c r="R38">
        <f>R36+3*STDEV(C2:C16)</f>
        <v>6.064273005055151</v>
      </c>
    </row>
    <row r="39" spans="15:18" x14ac:dyDescent="0.3">
      <c r="O39" t="s">
        <v>194</v>
      </c>
      <c r="P39">
        <f>P36-3*STDEV(A2:A16)</f>
        <v>0.17742180873982299</v>
      </c>
      <c r="Q39">
        <f>Q36-3*STDEV(B2:B16)</f>
        <v>-0.1275111606029754</v>
      </c>
      <c r="R39">
        <f>R36-3*STDEV(C2:C16)</f>
        <v>-2.4816943307743493</v>
      </c>
    </row>
    <row r="41" spans="15:18" x14ac:dyDescent="0.3">
      <c r="O41" t="s">
        <v>195</v>
      </c>
      <c r="P41" t="s">
        <v>37</v>
      </c>
    </row>
    <row r="42" spans="15:18" x14ac:dyDescent="0.3">
      <c r="O42" t="s">
        <v>191</v>
      </c>
      <c r="P42">
        <f>P36+R42</f>
        <v>0.21550389581061652</v>
      </c>
      <c r="R42">
        <f>P36*10%</f>
        <v>1.9591263255510596E-2</v>
      </c>
    </row>
    <row r="43" spans="15:18" x14ac:dyDescent="0.3">
      <c r="O43" t="s">
        <v>192</v>
      </c>
      <c r="P43" s="30">
        <v>0.05</v>
      </c>
    </row>
    <row r="45" spans="15:18" x14ac:dyDescent="0.3">
      <c r="O45" t="s">
        <v>196</v>
      </c>
      <c r="P45" t="s">
        <v>37</v>
      </c>
      <c r="Q45" t="s">
        <v>40</v>
      </c>
      <c r="R45" t="s">
        <v>41</v>
      </c>
    </row>
    <row r="46" spans="15:18" x14ac:dyDescent="0.3">
      <c r="O46" t="s">
        <v>191</v>
      </c>
      <c r="P46">
        <f>INDEX(LINEST(A2:A16,B2:C16),1,3)+INDEX(LINEST(A2:A16,B2:C16),1,2)*Q46+INDEX(LINEST(A2:A16,B2:C16),1,1)*R46</f>
        <v>0.19624662902260911</v>
      </c>
      <c r="Q46" s="30">
        <v>0.4</v>
      </c>
      <c r="R46" s="30">
        <v>0.85</v>
      </c>
    </row>
    <row r="47" spans="15:18" x14ac:dyDescent="0.3">
      <c r="O47" t="s">
        <v>192</v>
      </c>
      <c r="P47" s="30">
        <v>0.05</v>
      </c>
      <c r="Q47" s="30">
        <v>0.05</v>
      </c>
      <c r="R47" s="30">
        <v>0.05</v>
      </c>
    </row>
    <row r="48" spans="15:18" x14ac:dyDescent="0.3">
      <c r="O48" t="s">
        <v>197</v>
      </c>
      <c r="P48">
        <f>P46+(3*P47)</f>
        <v>0.34624662902260916</v>
      </c>
      <c r="Q48">
        <f>Q46+(3*Q47)</f>
        <v>0.55000000000000004</v>
      </c>
      <c r="R48">
        <f>R46+(3*R47)</f>
        <v>1</v>
      </c>
    </row>
    <row r="49" spans="15:18" x14ac:dyDescent="0.3">
      <c r="O49" t="s">
        <v>198</v>
      </c>
      <c r="P49">
        <f>P46-(3*P47)</f>
        <v>4.6246629022609093E-2</v>
      </c>
      <c r="Q49">
        <f>Q46-(3*Q47)</f>
        <v>0.25</v>
      </c>
      <c r="R49">
        <f>R46-(3*R47)</f>
        <v>0.7</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2"/>
  <sheetViews>
    <sheetView zoomScaleNormal="100" workbookViewId="0"/>
  </sheetViews>
  <sheetFormatPr defaultColWidth="8.6640625" defaultRowHeight="14.4" x14ac:dyDescent="0.3"/>
  <sheetData>
    <row r="1" spans="1:3" x14ac:dyDescent="0.3">
      <c r="A1" s="31" t="s">
        <v>42</v>
      </c>
      <c r="B1" s="31" t="s">
        <v>45</v>
      </c>
      <c r="C1" s="31" t="s">
        <v>46</v>
      </c>
    </row>
    <row r="2" spans="1:3" x14ac:dyDescent="0.3">
      <c r="A2">
        <f>'DC JuntoSep'!AR2</f>
        <v>6.5</v>
      </c>
      <c r="B2">
        <f>'DC JuntoSep'!AU2</f>
        <v>6.5</v>
      </c>
      <c r="C2">
        <f>'DC JuntoSep'!AV2</f>
        <v>3.9166666666666665</v>
      </c>
    </row>
    <row r="3" spans="1:3" x14ac:dyDescent="0.3">
      <c r="A3">
        <f>'DC JuntoSep'!AR3</f>
        <v>7.6</v>
      </c>
      <c r="B3">
        <f>'DC JuntoSep'!AU3</f>
        <v>7.6</v>
      </c>
      <c r="C3">
        <f>'DC JuntoSep'!AV3</f>
        <v>0</v>
      </c>
    </row>
    <row r="4" spans="1:3" x14ac:dyDescent="0.3">
      <c r="A4">
        <f>'DC JuntoSep'!AR7</f>
        <v>11</v>
      </c>
      <c r="B4">
        <f>'DC JuntoSep'!AU7</f>
        <v>1.9</v>
      </c>
      <c r="C4">
        <f>'DC JuntoSep'!AV7</f>
        <v>7.8</v>
      </c>
    </row>
    <row r="5" spans="1:3" x14ac:dyDescent="0.3">
      <c r="A5">
        <f>'DC JuntoSep'!AR8</f>
        <v>5.3076923076923075</v>
      </c>
      <c r="B5">
        <f>'DC JuntoSep'!AU8</f>
        <v>2.3846153846153846</v>
      </c>
      <c r="C5">
        <f>'DC JuntoSep'!AV8</f>
        <v>3.1538461538461537</v>
      </c>
    </row>
    <row r="6" spans="1:3" x14ac:dyDescent="0.3">
      <c r="A6">
        <f>'DC JuntoSep'!AR9</f>
        <v>4.833333333333333</v>
      </c>
      <c r="B6">
        <f>'DC JuntoSep'!AU9</f>
        <v>4.833333333333333</v>
      </c>
      <c r="C6">
        <f>'DC JuntoSep'!AV9</f>
        <v>3.1666666666666665</v>
      </c>
    </row>
    <row r="7" spans="1:3" x14ac:dyDescent="0.3">
      <c r="A7">
        <f>'DC JuntoSep'!AR10</f>
        <v>2.1</v>
      </c>
      <c r="B7">
        <f>'DC JuntoSep'!AU10</f>
        <v>1.74</v>
      </c>
      <c r="C7">
        <f>'DC JuntoSep'!AV10</f>
        <v>1.66</v>
      </c>
    </row>
    <row r="8" spans="1:3" x14ac:dyDescent="0.3">
      <c r="A8">
        <f>'DC JuntoSep'!AR12</f>
        <v>6.3888888888888893</v>
      </c>
      <c r="B8">
        <f>'DC JuntoSep'!AU12</f>
        <v>6.3888888888888893</v>
      </c>
      <c r="C8">
        <f>'DC JuntoSep'!AV12</f>
        <v>0.1111111111111111</v>
      </c>
    </row>
    <row r="9" spans="1:3" x14ac:dyDescent="0.3">
      <c r="A9">
        <f>'DC JuntoSep'!AR15</f>
        <v>6.666666666666667</v>
      </c>
      <c r="B9">
        <f>'DC JuntoSep'!AU15</f>
        <v>0.5</v>
      </c>
      <c r="C9">
        <f>'DC JuntoSep'!AV15</f>
        <v>0</v>
      </c>
    </row>
    <row r="10" spans="1:3" x14ac:dyDescent="0.3">
      <c r="A10">
        <f>'DC JuntoSep'!AR17</f>
        <v>7.7777777777777777</v>
      </c>
      <c r="B10">
        <f>'DC JuntoSep'!AU17</f>
        <v>7.7777777777777777</v>
      </c>
      <c r="C10">
        <f>'DC JuntoSep'!AV17</f>
        <v>0</v>
      </c>
    </row>
    <row r="11" spans="1:3" x14ac:dyDescent="0.3">
      <c r="A11">
        <f>'DC JuntoSep'!AR23</f>
        <v>1.6666666666666667</v>
      </c>
      <c r="B11">
        <f>'DC JuntoSep'!AU23</f>
        <v>1.6666666666666667</v>
      </c>
      <c r="C11">
        <f>'DC JuntoSep'!AV23</f>
        <v>2.3809523809523808E-2</v>
      </c>
    </row>
    <row r="12" spans="1:3" x14ac:dyDescent="0.3">
      <c r="A12">
        <f>'DC JuntoSep'!AR24</f>
        <v>6.7</v>
      </c>
      <c r="B12">
        <f>'DC JuntoSep'!AU24</f>
        <v>6.7</v>
      </c>
      <c r="C12">
        <f>'DC JuntoSep'!AV24</f>
        <v>0</v>
      </c>
    </row>
    <row r="13" spans="1:3" x14ac:dyDescent="0.3">
      <c r="A13">
        <f>'DC JuntoSep'!AR30</f>
        <v>1.9333333333333333</v>
      </c>
      <c r="B13">
        <f>'DC JuntoSep'!AU30</f>
        <v>1.9333333333333333</v>
      </c>
      <c r="C13">
        <f>'DC JuntoSep'!AV30</f>
        <v>6.6666666666666666E-2</v>
      </c>
    </row>
    <row r="14" spans="1:3" x14ac:dyDescent="0.3">
      <c r="A14">
        <f>'DC JuntoSep'!AR32</f>
        <v>4.0434782608695654</v>
      </c>
      <c r="B14">
        <f>'DC JuntoSep'!AU32</f>
        <v>3.0869565217391304</v>
      </c>
      <c r="C14">
        <f>'DC JuntoSep'!AV32</f>
        <v>4</v>
      </c>
    </row>
    <row r="15" spans="1:3" x14ac:dyDescent="0.3">
      <c r="A15">
        <f>'DC JuntoSep'!AR33</f>
        <v>2.8484848484848486</v>
      </c>
      <c r="B15">
        <f>'DC JuntoSep'!AU33</f>
        <v>2.8484848484848486</v>
      </c>
      <c r="C15">
        <f>'DC JuntoSep'!AV33</f>
        <v>1.8181818181818181</v>
      </c>
    </row>
    <row r="16" spans="1:3" x14ac:dyDescent="0.3">
      <c r="A16">
        <f>'DC JuntoSep'!AR43</f>
        <v>1.8181818181818181</v>
      </c>
      <c r="B16">
        <f>'DC JuntoSep'!AU43</f>
        <v>9.0909090909090912E-2</v>
      </c>
      <c r="C16">
        <f>'DC JuntoSep'!AV43</f>
        <v>0.18181818181818182</v>
      </c>
    </row>
    <row r="29" spans="15:17" x14ac:dyDescent="0.3">
      <c r="O29" t="s">
        <v>188</v>
      </c>
    </row>
    <row r="30" spans="15:17" x14ac:dyDescent="0.3">
      <c r="O30" t="s">
        <v>42</v>
      </c>
      <c r="P30" t="s">
        <v>189</v>
      </c>
      <c r="Q30" t="str">
        <f>TEXT(INDEX(LINEST(A2:A16,B2:C16),1,3),"0.0000")&amp;" + "&amp;TEXT(INDEX(LINEST(A2:A16,B2:C16),1,2),"0.0000")&amp;" Code_CT + "&amp;TEXT(INDEX(LINEST(A2:A16,B2:C16),1,1),"0.0000")&amp;" Test_CT"</f>
        <v>1.9680 + 0.5803 Code_CT + 0.5868 Test_CT</v>
      </c>
    </row>
    <row r="35" spans="16:19" x14ac:dyDescent="0.3">
      <c r="P35" t="s">
        <v>190</v>
      </c>
      <c r="Q35" t="s">
        <v>199</v>
      </c>
      <c r="R35" t="s">
        <v>45</v>
      </c>
      <c r="S35" t="s">
        <v>46</v>
      </c>
    </row>
    <row r="36" spans="16:19" x14ac:dyDescent="0.3">
      <c r="P36" t="s">
        <v>191</v>
      </c>
      <c r="Q36">
        <f>AVERAGE(A2:A16)</f>
        <v>5.1456335934596797</v>
      </c>
      <c r="R36">
        <f>AVERAGE(B2:B16)</f>
        <v>3.730064389716564</v>
      </c>
      <c r="S36">
        <f>AVERAGE(C2:C16)</f>
        <v>1.7265844525844527</v>
      </c>
    </row>
    <row r="37" spans="16:19" x14ac:dyDescent="0.3">
      <c r="P37" t="s">
        <v>192</v>
      </c>
      <c r="Q37">
        <f>(Q38-Q39)/6</f>
        <v>2.7349670730498574</v>
      </c>
      <c r="R37">
        <f>(R38-R39)/6</f>
        <v>2.6405236396913518</v>
      </c>
      <c r="S37">
        <f>(S38-S39)/6</f>
        <v>2.2920700723391296</v>
      </c>
    </row>
    <row r="38" spans="16:19" x14ac:dyDescent="0.3">
      <c r="P38" t="s">
        <v>193</v>
      </c>
      <c r="Q38">
        <f>Q36+3*STDEV(A2:A16)</f>
        <v>13.350534812609252</v>
      </c>
      <c r="R38">
        <f>R36+3*STDEV(B2:B16)</f>
        <v>11.651635308790619</v>
      </c>
      <c r="S38">
        <f>S36+3*STDEV(C2:C16)</f>
        <v>8.6027946696018418</v>
      </c>
    </row>
    <row r="39" spans="16:19" x14ac:dyDescent="0.3">
      <c r="P39" t="s">
        <v>194</v>
      </c>
      <c r="Q39">
        <f>Q36-3*STDEV(A2:A16)</f>
        <v>-3.059267625689893</v>
      </c>
      <c r="R39">
        <f>R36-3*STDEV(B2:B16)</f>
        <v>-4.1915065293574916</v>
      </c>
      <c r="S39">
        <f>S36-3*STDEV(C2:C16)</f>
        <v>-5.1496257644329368</v>
      </c>
    </row>
    <row r="43" spans="16:19" x14ac:dyDescent="0.3">
      <c r="P43" t="s">
        <v>195</v>
      </c>
      <c r="Q43" t="s">
        <v>199</v>
      </c>
    </row>
    <row r="44" spans="16:19" x14ac:dyDescent="0.3">
      <c r="P44" t="s">
        <v>191</v>
      </c>
      <c r="Q44">
        <f>Q36-S44</f>
        <v>4.6310702341137118</v>
      </c>
      <c r="S44">
        <f>Q36*10%</f>
        <v>0.51456335934596797</v>
      </c>
    </row>
    <row r="45" spans="16:19" x14ac:dyDescent="0.3">
      <c r="P45" t="s">
        <v>192</v>
      </c>
      <c r="Q45" s="30">
        <v>0.25</v>
      </c>
    </row>
    <row r="48" spans="16:19" x14ac:dyDescent="0.3">
      <c r="P48" t="s">
        <v>196</v>
      </c>
      <c r="Q48" t="s">
        <v>199</v>
      </c>
      <c r="R48" t="s">
        <v>45</v>
      </c>
      <c r="S48" t="s">
        <v>46</v>
      </c>
    </row>
    <row r="49" spans="16:19" x14ac:dyDescent="0.3">
      <c r="P49" t="s">
        <v>191</v>
      </c>
      <c r="Q49">
        <f>INDEX(LINEST(A2:A16,B2:C16),1,3)+INDEX(LINEST(A2:A16,B2:C16),1,2)*R49+INDEX(LINEST(A2:A16,B2:C16),1,1)*S49</f>
        <v>5.1456335934596797</v>
      </c>
      <c r="R49">
        <f>R36</f>
        <v>3.730064389716564</v>
      </c>
      <c r="S49">
        <f>S36</f>
        <v>1.7265844525844527</v>
      </c>
    </row>
    <row r="50" spans="16:19" x14ac:dyDescent="0.3">
      <c r="P50" t="s">
        <v>192</v>
      </c>
      <c r="Q50" s="30">
        <v>0.25</v>
      </c>
      <c r="R50" s="30">
        <v>0.1</v>
      </c>
      <c r="S50" s="30">
        <v>0.5</v>
      </c>
    </row>
    <row r="51" spans="16:19" x14ac:dyDescent="0.3">
      <c r="P51" t="s">
        <v>197</v>
      </c>
      <c r="Q51">
        <f>Q49+(3*Q50)</f>
        <v>5.8956335934596797</v>
      </c>
      <c r="R51">
        <f>R49+(3*R50)</f>
        <v>4.0300643897165642</v>
      </c>
      <c r="S51">
        <f>S49+(3*S50)</f>
        <v>3.2265844525844525</v>
      </c>
    </row>
    <row r="52" spans="16:19" x14ac:dyDescent="0.3">
      <c r="P52" t="s">
        <v>198</v>
      </c>
      <c r="Q52">
        <f>Q49-(3*Q50)</f>
        <v>4.3956335934596797</v>
      </c>
      <c r="R52">
        <f>R49-(3*R50)</f>
        <v>3.4300643897165637</v>
      </c>
      <c r="S52">
        <f>S49-(3*S50)</f>
        <v>0.2265844525844527</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43"/>
  <sheetViews>
    <sheetView zoomScaleNormal="100" workbookViewId="0"/>
  </sheetViews>
  <sheetFormatPr defaultColWidth="8.6640625" defaultRowHeight="14.4" x14ac:dyDescent="0.3"/>
  <sheetData>
    <row r="1" spans="1:2" x14ac:dyDescent="0.3">
      <c r="A1" s="31" t="s">
        <v>47</v>
      </c>
      <c r="B1" s="31" t="s">
        <v>200</v>
      </c>
    </row>
    <row r="3" spans="1:2" x14ac:dyDescent="0.3">
      <c r="A3" s="32" t="s">
        <v>201</v>
      </c>
    </row>
    <row r="30" spans="14:16" x14ac:dyDescent="0.3">
      <c r="N30" t="s">
        <v>47</v>
      </c>
      <c r="O30" t="s">
        <v>189</v>
      </c>
      <c r="P30" t="s">
        <v>202</v>
      </c>
    </row>
    <row r="41" spans="14:15" x14ac:dyDescent="0.3">
      <c r="N41" t="s">
        <v>195</v>
      </c>
      <c r="O41" t="s">
        <v>47</v>
      </c>
    </row>
    <row r="42" spans="14:15" x14ac:dyDescent="0.3">
      <c r="N42" t="s">
        <v>191</v>
      </c>
      <c r="O42" s="30">
        <v>0.8</v>
      </c>
    </row>
    <row r="43" spans="14:15" x14ac:dyDescent="0.3">
      <c r="N43" t="s">
        <v>192</v>
      </c>
      <c r="O43" s="30">
        <v>0.1</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49"/>
  <sheetViews>
    <sheetView zoomScale="80" zoomScaleNormal="80" workbookViewId="0">
      <selection activeCell="G23" sqref="G23"/>
    </sheetView>
  </sheetViews>
  <sheetFormatPr defaultColWidth="8.6640625" defaultRowHeight="14.4" x14ac:dyDescent="0.3"/>
  <sheetData>
    <row r="1" spans="1:3" x14ac:dyDescent="0.3">
      <c r="A1" t="s">
        <v>37</v>
      </c>
      <c r="B1" t="s">
        <v>40</v>
      </c>
      <c r="C1" t="s">
        <v>41</v>
      </c>
    </row>
    <row r="2" spans="1:3" x14ac:dyDescent="0.3">
      <c r="A2">
        <v>0.18333333333333299</v>
      </c>
      <c r="B2">
        <v>0.328358208955224</v>
      </c>
      <c r="C2">
        <v>0.64705882352941202</v>
      </c>
    </row>
    <row r="3" spans="1:3" x14ac:dyDescent="0.3">
      <c r="A3">
        <v>0.19047619047619099</v>
      </c>
      <c r="B3">
        <v>0.33333333333333298</v>
      </c>
      <c r="C3">
        <v>1</v>
      </c>
    </row>
    <row r="4" spans="1:3" x14ac:dyDescent="0.3">
      <c r="A4">
        <v>0.2</v>
      </c>
      <c r="B4">
        <v>0.32142857142857201</v>
      </c>
      <c r="C4">
        <v>1</v>
      </c>
    </row>
    <row r="5" spans="1:3" x14ac:dyDescent="0.3">
      <c r="A5">
        <v>0.17948717948717999</v>
      </c>
      <c r="B5">
        <v>0.31818181818181801</v>
      </c>
      <c r="C5">
        <v>0.63636363636363602</v>
      </c>
    </row>
    <row r="6" spans="1:3" x14ac:dyDescent="0.3">
      <c r="A6">
        <v>0.183673469387755</v>
      </c>
      <c r="B6">
        <v>0.33333333333333298</v>
      </c>
      <c r="C6">
        <v>0.64285714285714302</v>
      </c>
    </row>
    <row r="7" spans="1:3" x14ac:dyDescent="0.3">
      <c r="A7">
        <v>0.1875</v>
      </c>
      <c r="B7">
        <v>0.32432432432432401</v>
      </c>
      <c r="C7">
        <v>0.85714285714285698</v>
      </c>
    </row>
    <row r="8" spans="1:3" x14ac:dyDescent="0.3">
      <c r="A8">
        <v>0.182352941176471</v>
      </c>
      <c r="B8">
        <v>0.29523809523809502</v>
      </c>
      <c r="C8">
        <v>0.81578947368421095</v>
      </c>
    </row>
    <row r="9" spans="1:3" x14ac:dyDescent="0.3">
      <c r="A9">
        <v>0.17948717948717999</v>
      </c>
      <c r="B9">
        <v>0.33333333333333298</v>
      </c>
      <c r="C9">
        <v>0.58333333333333304</v>
      </c>
    </row>
    <row r="10" spans="1:3" x14ac:dyDescent="0.3">
      <c r="A10">
        <v>0.17910447761194001</v>
      </c>
      <c r="B10">
        <v>0.30769230769230799</v>
      </c>
      <c r="C10">
        <v>0.70588235294117696</v>
      </c>
    </row>
    <row r="11" spans="1:3" x14ac:dyDescent="0.3">
      <c r="A11">
        <v>0.18681318681318701</v>
      </c>
      <c r="B11">
        <v>0.30909090909090903</v>
      </c>
      <c r="C11">
        <v>0.65384615384615397</v>
      </c>
    </row>
    <row r="12" spans="1:3" x14ac:dyDescent="0.3">
      <c r="A12">
        <v>0.184049079754601</v>
      </c>
      <c r="B12">
        <v>0.30303030303030298</v>
      </c>
      <c r="C12">
        <v>0.81081081081081097</v>
      </c>
    </row>
    <row r="13" spans="1:3" x14ac:dyDescent="0.3">
      <c r="A13">
        <v>0.18220338983050899</v>
      </c>
      <c r="B13">
        <v>0.31386861313868603</v>
      </c>
      <c r="C13">
        <v>0.623188405797101</v>
      </c>
    </row>
    <row r="14" spans="1:3" x14ac:dyDescent="0.3">
      <c r="A14">
        <v>0.179054054054054</v>
      </c>
      <c r="B14">
        <v>0.31547619047619102</v>
      </c>
      <c r="C14">
        <v>0.65432098765432101</v>
      </c>
    </row>
    <row r="15" spans="1:3" x14ac:dyDescent="0.3">
      <c r="A15">
        <v>0.180952380952381</v>
      </c>
      <c r="B15">
        <v>0.29457364341085301</v>
      </c>
      <c r="C15">
        <v>0.70370370370370405</v>
      </c>
    </row>
    <row r="16" spans="1:3" x14ac:dyDescent="0.3">
      <c r="A16">
        <v>0.2</v>
      </c>
      <c r="B16">
        <v>0.31578947368421101</v>
      </c>
      <c r="C16">
        <v>1</v>
      </c>
    </row>
    <row r="17" spans="1:15" x14ac:dyDescent="0.3">
      <c r="A17">
        <v>0.18</v>
      </c>
      <c r="B17">
        <v>0.32374100719424498</v>
      </c>
      <c r="C17">
        <v>0.58441558441558406</v>
      </c>
    </row>
    <row r="18" spans="1:15" x14ac:dyDescent="0.3">
      <c r="A18">
        <v>0.17886178861788599</v>
      </c>
      <c r="B18">
        <v>0.31884057971014501</v>
      </c>
      <c r="C18">
        <v>0.55000000000000004</v>
      </c>
    </row>
    <row r="19" spans="1:15" x14ac:dyDescent="0.3">
      <c r="A19">
        <v>0.1796875</v>
      </c>
      <c r="B19">
        <v>0.31944444444444398</v>
      </c>
      <c r="C19">
        <v>0.66666666666666696</v>
      </c>
    </row>
    <row r="20" spans="1:15" x14ac:dyDescent="0.3">
      <c r="A20">
        <v>0.180722891566265</v>
      </c>
      <c r="B20">
        <v>0.31468531468531502</v>
      </c>
      <c r="C20">
        <v>0.67164179104477595</v>
      </c>
    </row>
    <row r="21" spans="1:15" x14ac:dyDescent="0.3">
      <c r="A21">
        <v>0.19230769230769201</v>
      </c>
      <c r="B21">
        <v>0.33333333333333298</v>
      </c>
      <c r="C21">
        <v>0.71428571428571397</v>
      </c>
    </row>
    <row r="22" spans="1:15" x14ac:dyDescent="0.3">
      <c r="A22">
        <v>0.18518518518518501</v>
      </c>
      <c r="B22">
        <v>0.30303030303030298</v>
      </c>
      <c r="C22">
        <v>0.58823529411764697</v>
      </c>
    </row>
    <row r="23" spans="1:15" x14ac:dyDescent="0.3">
      <c r="A23">
        <v>0.18032786885245899</v>
      </c>
      <c r="B23" s="33">
        <v>0.25581395348837199</v>
      </c>
      <c r="C23">
        <v>0.84615384615384603</v>
      </c>
    </row>
    <row r="28" spans="1:15" x14ac:dyDescent="0.3">
      <c r="M28" t="s">
        <v>188</v>
      </c>
    </row>
    <row r="29" spans="1:15" x14ac:dyDescent="0.3">
      <c r="M29" t="s">
        <v>37</v>
      </c>
      <c r="N29" t="s">
        <v>189</v>
      </c>
      <c r="O29" t="s">
        <v>203</v>
      </c>
    </row>
    <row r="35" spans="15:18" x14ac:dyDescent="0.3">
      <c r="O35" s="34" t="s">
        <v>190</v>
      </c>
      <c r="P35" s="35" t="s">
        <v>37</v>
      </c>
      <c r="Q35" s="35" t="s">
        <v>40</v>
      </c>
      <c r="R35" s="35" t="s">
        <v>41</v>
      </c>
    </row>
    <row r="36" spans="15:18" x14ac:dyDescent="0.3">
      <c r="O36" s="36" t="s">
        <v>191</v>
      </c>
      <c r="P36" s="37">
        <v>0.18452099999999999</v>
      </c>
      <c r="Q36" s="37">
        <v>0.31447900000000001</v>
      </c>
      <c r="R36" s="37">
        <v>0.72905200000000003</v>
      </c>
    </row>
    <row r="37" spans="15:18" x14ac:dyDescent="0.3">
      <c r="O37" s="36" t="s">
        <v>192</v>
      </c>
      <c r="P37" s="38">
        <f>(P38-P39)/6</f>
        <v>3.0056166666666672E-2</v>
      </c>
      <c r="Q37" s="38">
        <f>(Q38-Q39)/6</f>
        <v>1.2762333333333339E-2</v>
      </c>
      <c r="R37" s="38">
        <f>(R38-R39)/6</f>
        <v>0.13390566666666667</v>
      </c>
    </row>
    <row r="38" spans="15:18" x14ac:dyDescent="0.3">
      <c r="O38" s="36" t="s">
        <v>193</v>
      </c>
      <c r="P38" s="39">
        <v>0.20283300000000001</v>
      </c>
      <c r="Q38" s="39">
        <v>0.35276600000000002</v>
      </c>
      <c r="R38" s="39">
        <v>1.1307700000000001</v>
      </c>
    </row>
    <row r="39" spans="15:18" x14ac:dyDescent="0.3">
      <c r="O39" s="36" t="s">
        <v>194</v>
      </c>
      <c r="P39" s="39">
        <v>2.2495999999999999E-2</v>
      </c>
      <c r="Q39" s="39">
        <v>0.27619199999999999</v>
      </c>
      <c r="R39" s="39">
        <v>0.32733600000000002</v>
      </c>
    </row>
    <row r="41" spans="15:18" x14ac:dyDescent="0.3">
      <c r="O41" s="34" t="s">
        <v>195</v>
      </c>
      <c r="P41" s="34" t="s">
        <v>37</v>
      </c>
      <c r="Q41" s="40"/>
      <c r="R41" s="40"/>
    </row>
    <row r="42" spans="15:18" x14ac:dyDescent="0.3">
      <c r="O42" s="36" t="s">
        <v>191</v>
      </c>
      <c r="P42" s="41">
        <f>P36+R42</f>
        <v>0.20297309999999999</v>
      </c>
      <c r="Q42" s="42"/>
      <c r="R42" s="40">
        <f>P36*10%</f>
        <v>1.8452099999999999E-2</v>
      </c>
    </row>
    <row r="43" spans="15:18" x14ac:dyDescent="0.3">
      <c r="O43" s="36" t="s">
        <v>192</v>
      </c>
      <c r="P43" s="36">
        <v>0.05</v>
      </c>
      <c r="Q43" s="40"/>
      <c r="R43" s="40"/>
    </row>
    <row r="45" spans="15:18" x14ac:dyDescent="0.3">
      <c r="O45" s="34" t="s">
        <v>196</v>
      </c>
      <c r="P45" s="35" t="s">
        <v>37</v>
      </c>
      <c r="Q45" s="35" t="s">
        <v>40</v>
      </c>
      <c r="R45" s="35" t="s">
        <v>41</v>
      </c>
    </row>
    <row r="46" spans="15:18" x14ac:dyDescent="0.3">
      <c r="O46" s="36" t="s">
        <v>191</v>
      </c>
      <c r="P46" s="43">
        <f>0.1199 + (0.1236*Q46) + (0.0354*R46)</f>
        <v>0.19943000000000002</v>
      </c>
      <c r="Q46" s="44">
        <v>0.4</v>
      </c>
      <c r="R46" s="44">
        <v>0.85</v>
      </c>
    </row>
    <row r="47" spans="15:18" x14ac:dyDescent="0.3">
      <c r="O47" s="36" t="s">
        <v>192</v>
      </c>
      <c r="P47" s="38">
        <v>0.05</v>
      </c>
      <c r="Q47" s="38">
        <v>0.05</v>
      </c>
      <c r="R47" s="38">
        <v>0.05</v>
      </c>
    </row>
    <row r="48" spans="15:18" x14ac:dyDescent="0.3">
      <c r="O48" s="36" t="s">
        <v>197</v>
      </c>
      <c r="P48" s="36">
        <f>P46+(3*P47)</f>
        <v>0.34943000000000002</v>
      </c>
      <c r="Q48" s="36">
        <f>Q46+(3*Q47)</f>
        <v>0.55000000000000004</v>
      </c>
      <c r="R48" s="36">
        <f>R46+(3*R47)</f>
        <v>1</v>
      </c>
    </row>
    <row r="49" spans="15:18" x14ac:dyDescent="0.3">
      <c r="O49" s="36" t="s">
        <v>198</v>
      </c>
      <c r="P49" s="36">
        <f>P46-(3*P47)</f>
        <v>4.9430000000000002E-2</v>
      </c>
      <c r="Q49" s="36">
        <f>Q46-(3*Q47)</f>
        <v>0.25</v>
      </c>
      <c r="R49" s="36">
        <f>R46-(3*R47)</f>
        <v>0.7</v>
      </c>
    </row>
  </sheetData>
  <pageMargins left="0.7" right="0.7" top="0.75" bottom="0.75"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52"/>
  <sheetViews>
    <sheetView topLeftCell="K1" zoomScale="80" zoomScaleNormal="80" workbookViewId="0">
      <selection activeCell="AH25" sqref="AH25"/>
    </sheetView>
  </sheetViews>
  <sheetFormatPr defaultColWidth="8.6640625" defaultRowHeight="14.4" x14ac:dyDescent="0.3"/>
  <sheetData>
    <row r="1" spans="1:3" x14ac:dyDescent="0.3">
      <c r="A1" s="31" t="s">
        <v>42</v>
      </c>
      <c r="B1" s="31" t="s">
        <v>45</v>
      </c>
      <c r="C1" s="31" t="s">
        <v>46</v>
      </c>
    </row>
    <row r="2" spans="1:3" x14ac:dyDescent="0.3">
      <c r="A2" s="31">
        <v>0.54545454545454497</v>
      </c>
      <c r="B2" s="31">
        <v>0.18181818181818199</v>
      </c>
      <c r="C2" s="31">
        <v>0.13636363636363599</v>
      </c>
    </row>
    <row r="3" spans="1:3" x14ac:dyDescent="0.3">
      <c r="A3" s="31">
        <v>0.5</v>
      </c>
      <c r="B3" s="31">
        <v>0.25</v>
      </c>
      <c r="C3" s="31">
        <v>0.25</v>
      </c>
    </row>
    <row r="4" spans="1:3" x14ac:dyDescent="0.3">
      <c r="A4" s="31">
        <v>0.55555555555555602</v>
      </c>
      <c r="B4" s="31">
        <v>0.22222222222222199</v>
      </c>
      <c r="C4" s="31">
        <v>0.22222222222222199</v>
      </c>
    </row>
    <row r="5" spans="1:3" x14ac:dyDescent="0.3">
      <c r="A5" s="31">
        <v>0.64285714285714302</v>
      </c>
      <c r="B5" s="31">
        <v>0.214285714285714</v>
      </c>
      <c r="C5" s="31">
        <v>0.214285714285714</v>
      </c>
    </row>
    <row r="6" spans="1:3" x14ac:dyDescent="0.3">
      <c r="A6" s="31">
        <v>0.66666666666666696</v>
      </c>
      <c r="B6" s="31">
        <v>0.22222222222222199</v>
      </c>
      <c r="C6" s="31">
        <v>0.11111111111111099</v>
      </c>
    </row>
    <row r="7" spans="1:3" x14ac:dyDescent="0.3">
      <c r="A7" s="31">
        <v>1</v>
      </c>
      <c r="B7" s="31">
        <v>0.25</v>
      </c>
      <c r="C7" s="31">
        <v>0.25</v>
      </c>
    </row>
    <row r="8" spans="1:3" x14ac:dyDescent="0.3">
      <c r="A8" s="31">
        <v>1</v>
      </c>
      <c r="B8" s="31">
        <v>0.41935483870967699</v>
      </c>
      <c r="C8" s="31">
        <v>0.225806451612903</v>
      </c>
    </row>
    <row r="9" spans="1:3" x14ac:dyDescent="0.3">
      <c r="A9" s="31">
        <v>0.64285714285714302</v>
      </c>
      <c r="B9" s="31">
        <v>0.28571428571428598</v>
      </c>
      <c r="C9" s="31">
        <v>0.14285714285714299</v>
      </c>
    </row>
    <row r="10" spans="1:3" x14ac:dyDescent="0.3">
      <c r="A10" s="31">
        <v>0.58333333333333304</v>
      </c>
      <c r="B10" s="31">
        <v>0.25</v>
      </c>
      <c r="C10" s="31">
        <v>0.16666666666666699</v>
      </c>
    </row>
    <row r="11" spans="1:3" x14ac:dyDescent="0.3">
      <c r="A11" s="31">
        <v>0.94117647058823495</v>
      </c>
      <c r="B11" s="31">
        <v>0.35294117647058798</v>
      </c>
      <c r="C11" s="31">
        <v>0.17647058823529399</v>
      </c>
    </row>
    <row r="12" spans="1:3" x14ac:dyDescent="0.3">
      <c r="A12" s="31">
        <v>0.56666666666666698</v>
      </c>
      <c r="B12" s="31">
        <v>0.233333333333333</v>
      </c>
      <c r="C12" s="31">
        <v>0.16666666666666699</v>
      </c>
    </row>
    <row r="13" spans="1:3" x14ac:dyDescent="0.3">
      <c r="A13" s="31">
        <v>0.32558139534883701</v>
      </c>
      <c r="B13" s="31">
        <v>0.13953488372093001</v>
      </c>
      <c r="C13" s="31">
        <v>6.9767441860465101E-2</v>
      </c>
    </row>
    <row r="14" spans="1:3" x14ac:dyDescent="0.3">
      <c r="A14" s="31">
        <v>0.83018867924528295</v>
      </c>
      <c r="B14" s="31">
        <v>0.45283018867924502</v>
      </c>
      <c r="C14" s="31">
        <v>0.13207547169811301</v>
      </c>
    </row>
    <row r="15" spans="1:3" x14ac:dyDescent="0.3">
      <c r="A15" s="31">
        <v>0.34210526315789502</v>
      </c>
      <c r="B15" s="31">
        <v>0.157894736842105</v>
      </c>
      <c r="C15" s="31">
        <v>5.2631578947368397E-2</v>
      </c>
    </row>
    <row r="16" spans="1:3" x14ac:dyDescent="0.3">
      <c r="A16" s="31">
        <v>0.83333333333333304</v>
      </c>
      <c r="B16" s="31">
        <v>0.33333333333333298</v>
      </c>
      <c r="C16" s="45">
        <v>0.33333333333333298</v>
      </c>
    </row>
    <row r="17" spans="1:17" x14ac:dyDescent="0.3">
      <c r="A17" s="31">
        <v>0.88888888888888895</v>
      </c>
      <c r="B17" s="31">
        <v>0.4</v>
      </c>
      <c r="C17" s="31">
        <v>0.11111111111111099</v>
      </c>
    </row>
    <row r="18" spans="1:17" x14ac:dyDescent="0.3">
      <c r="A18" s="31">
        <v>0.63636363636363602</v>
      </c>
      <c r="B18" s="31">
        <v>0.22727272727272699</v>
      </c>
      <c r="C18" s="31">
        <v>0.27272727272727298</v>
      </c>
    </row>
    <row r="19" spans="1:17" x14ac:dyDescent="0.3">
      <c r="A19" s="31">
        <v>0.67391304347826098</v>
      </c>
      <c r="B19" s="31">
        <v>0.26086956521739102</v>
      </c>
      <c r="C19" s="31">
        <v>8.6956521739130405E-2</v>
      </c>
    </row>
    <row r="20" spans="1:17" x14ac:dyDescent="0.3">
      <c r="A20" s="31">
        <v>0.62222222222222201</v>
      </c>
      <c r="B20" s="31">
        <v>0.35555555555555601</v>
      </c>
      <c r="C20" s="31">
        <v>0.11111111111111099</v>
      </c>
    </row>
    <row r="21" spans="1:17" x14ac:dyDescent="0.3">
      <c r="A21" s="31">
        <v>0.6</v>
      </c>
      <c r="B21" s="31">
        <v>0.2</v>
      </c>
      <c r="C21" s="31">
        <v>0.2</v>
      </c>
    </row>
    <row r="22" spans="1:17" x14ac:dyDescent="0.3">
      <c r="A22" s="31">
        <v>0.8</v>
      </c>
      <c r="B22" s="31">
        <v>0.3</v>
      </c>
      <c r="C22" s="31">
        <v>0.2</v>
      </c>
    </row>
    <row r="23" spans="1:17" x14ac:dyDescent="0.3">
      <c r="A23" s="31">
        <v>0.81818181818181801</v>
      </c>
      <c r="B23" s="31">
        <v>0.36363636363636398</v>
      </c>
      <c r="C23" s="31">
        <v>0.18181818181818199</v>
      </c>
    </row>
    <row r="29" spans="1:17" x14ac:dyDescent="0.3">
      <c r="O29" t="s">
        <v>188</v>
      </c>
    </row>
    <row r="30" spans="1:17" x14ac:dyDescent="0.3">
      <c r="O30" t="s">
        <v>42</v>
      </c>
      <c r="P30" t="s">
        <v>189</v>
      </c>
      <c r="Q30" t="s">
        <v>204</v>
      </c>
    </row>
    <row r="35" spans="16:19" x14ac:dyDescent="0.3">
      <c r="P35" s="46" t="s">
        <v>190</v>
      </c>
      <c r="Q35" s="46" t="s">
        <v>199</v>
      </c>
      <c r="R35" s="47" t="s">
        <v>45</v>
      </c>
      <c r="S35" s="47" t="s">
        <v>46</v>
      </c>
    </row>
    <row r="36" spans="16:19" x14ac:dyDescent="0.3">
      <c r="P36" s="48" t="s">
        <v>191</v>
      </c>
      <c r="Q36" s="49">
        <v>0.68251600000000001</v>
      </c>
      <c r="R36" s="50">
        <v>0.27603699999999998</v>
      </c>
      <c r="S36" s="50">
        <v>0.17336299999999999</v>
      </c>
    </row>
    <row r="37" spans="16:19" x14ac:dyDescent="0.3">
      <c r="P37" s="48" t="s">
        <v>192</v>
      </c>
      <c r="Q37" s="51">
        <f>(Q38-Q39)/6</f>
        <v>0.17127733333333336</v>
      </c>
      <c r="R37" s="51">
        <f>(R38-R39)/6</f>
        <v>9.5626666666666679E-2</v>
      </c>
      <c r="S37" s="51">
        <f>(S38-S39)/6</f>
        <v>7.4390499999999998E-2</v>
      </c>
    </row>
    <row r="38" spans="16:19" x14ac:dyDescent="0.3">
      <c r="P38" s="48" t="s">
        <v>193</v>
      </c>
      <c r="Q38" s="52">
        <v>1.19635</v>
      </c>
      <c r="R38" s="53">
        <v>0.562917</v>
      </c>
      <c r="S38" s="53">
        <v>0.396534</v>
      </c>
    </row>
    <row r="39" spans="16:19" x14ac:dyDescent="0.3">
      <c r="P39" s="48" t="s">
        <v>194</v>
      </c>
      <c r="Q39" s="52">
        <v>0.168686</v>
      </c>
      <c r="R39" s="53">
        <v>-1.0843E-2</v>
      </c>
      <c r="S39" s="53">
        <v>-4.9808999999999999E-2</v>
      </c>
    </row>
    <row r="40" spans="16:19" x14ac:dyDescent="0.3">
      <c r="P40" s="54"/>
      <c r="Q40" s="54"/>
      <c r="R40" s="54"/>
      <c r="S40" s="54"/>
    </row>
    <row r="41" spans="16:19" x14ac:dyDescent="0.3">
      <c r="P41" s="54"/>
      <c r="Q41" s="54"/>
      <c r="R41" s="54"/>
      <c r="S41" s="54"/>
    </row>
    <row r="42" spans="16:19" x14ac:dyDescent="0.3">
      <c r="P42" s="54"/>
      <c r="Q42" s="54"/>
      <c r="R42" s="54"/>
      <c r="S42" s="54"/>
    </row>
    <row r="43" spans="16:19" x14ac:dyDescent="0.3">
      <c r="P43" s="46" t="s">
        <v>195</v>
      </c>
      <c r="Q43" s="46" t="s">
        <v>199</v>
      </c>
      <c r="R43" s="54"/>
      <c r="S43" s="54"/>
    </row>
    <row r="44" spans="16:19" x14ac:dyDescent="0.3">
      <c r="P44" s="48" t="s">
        <v>191</v>
      </c>
      <c r="Q44" s="55">
        <f>Q36-S44</f>
        <v>0.61426440000000004</v>
      </c>
      <c r="R44" s="54"/>
      <c r="S44" s="54">
        <f>Q36*10%</f>
        <v>6.8251600000000009E-2</v>
      </c>
    </row>
    <row r="45" spans="16:19" x14ac:dyDescent="0.3">
      <c r="P45" s="48" t="s">
        <v>192</v>
      </c>
      <c r="Q45" s="48">
        <v>0.25</v>
      </c>
      <c r="R45" s="54"/>
      <c r="S45" s="54"/>
    </row>
    <row r="46" spans="16:19" x14ac:dyDescent="0.3">
      <c r="P46" s="54"/>
      <c r="Q46" s="54"/>
      <c r="R46" s="54"/>
      <c r="S46" s="54"/>
    </row>
    <row r="47" spans="16:19" x14ac:dyDescent="0.3">
      <c r="P47" s="54"/>
      <c r="Q47" s="54"/>
      <c r="R47" s="54"/>
      <c r="S47" s="54"/>
    </row>
    <row r="48" spans="16:19" x14ac:dyDescent="0.3">
      <c r="P48" s="46" t="s">
        <v>196</v>
      </c>
      <c r="Q48" s="46" t="s">
        <v>199</v>
      </c>
      <c r="R48" s="47" t="s">
        <v>45</v>
      </c>
      <c r="S48" s="47" t="s">
        <v>46</v>
      </c>
    </row>
    <row r="49" spans="16:19" x14ac:dyDescent="0.3">
      <c r="P49" s="48" t="s">
        <v>191</v>
      </c>
      <c r="Q49" s="56">
        <f>0.1055 + (1.585*R49) + (0.805*S49)</f>
        <v>0.61417250000000001</v>
      </c>
      <c r="R49" s="56">
        <v>0.245</v>
      </c>
      <c r="S49" s="56">
        <v>0.14949999999999999</v>
      </c>
    </row>
    <row r="50" spans="16:19" x14ac:dyDescent="0.3">
      <c r="P50" s="48" t="s">
        <v>192</v>
      </c>
      <c r="Q50" s="48">
        <v>0.25</v>
      </c>
      <c r="R50" s="48">
        <v>0.1</v>
      </c>
      <c r="S50" s="48">
        <v>0.5</v>
      </c>
    </row>
    <row r="51" spans="16:19" x14ac:dyDescent="0.3">
      <c r="P51" s="48" t="s">
        <v>197</v>
      </c>
      <c r="Q51" s="48">
        <f>Q49+(3*Q50)</f>
        <v>1.3641725</v>
      </c>
      <c r="R51" s="48">
        <f>R49+(3*R50)</f>
        <v>0.54500000000000004</v>
      </c>
      <c r="S51" s="48">
        <f>S49+(3*S50)</f>
        <v>1.6495</v>
      </c>
    </row>
    <row r="52" spans="16:19" x14ac:dyDescent="0.3">
      <c r="P52" s="48" t="s">
        <v>198</v>
      </c>
      <c r="Q52" s="48">
        <f>Q49-(3*Q50)</f>
        <v>-0.13582749999999999</v>
      </c>
      <c r="R52" s="48">
        <f>R49-(3*R50)</f>
        <v>-5.5000000000000049E-2</v>
      </c>
      <c r="S52" s="48">
        <f>S49-(3*S50)</f>
        <v>-1.3505</v>
      </c>
    </row>
  </sheetData>
  <pageMargins left="0.7" right="0.7" top="0.75" bottom="0.75"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49"/>
  <sheetViews>
    <sheetView zoomScale="90" zoomScaleNormal="90" workbookViewId="0">
      <selection activeCell="A22" sqref="A22"/>
    </sheetView>
  </sheetViews>
  <sheetFormatPr defaultColWidth="8.6640625" defaultRowHeight="14.4" x14ac:dyDescent="0.3"/>
  <sheetData>
    <row r="1" spans="1:2" x14ac:dyDescent="0.3">
      <c r="A1" s="31" t="s">
        <v>47</v>
      </c>
      <c r="B1" s="31" t="s">
        <v>200</v>
      </c>
    </row>
    <row r="2" spans="1:2" x14ac:dyDescent="0.3">
      <c r="A2" s="31">
        <v>0.66666666666666696</v>
      </c>
      <c r="B2" s="31">
        <v>4.5454545454545497E-2</v>
      </c>
    </row>
    <row r="3" spans="1:2" x14ac:dyDescent="0.3">
      <c r="A3" s="31">
        <v>1</v>
      </c>
      <c r="B3" s="45">
        <v>0.25</v>
      </c>
    </row>
    <row r="4" spans="1:2" x14ac:dyDescent="0.3">
      <c r="A4" s="31">
        <v>0.5</v>
      </c>
      <c r="B4" s="31">
        <v>0.11111111111111099</v>
      </c>
    </row>
    <row r="5" spans="1:2" x14ac:dyDescent="0.3">
      <c r="A5" s="31">
        <v>0.66666666666666696</v>
      </c>
      <c r="B5" s="31">
        <v>7.1428571428571397E-2</v>
      </c>
    </row>
    <row r="6" spans="1:2" x14ac:dyDescent="0.3">
      <c r="A6" s="31">
        <v>1</v>
      </c>
      <c r="B6" s="31">
        <v>0.11111111111111099</v>
      </c>
    </row>
    <row r="7" spans="1:2" x14ac:dyDescent="0.3">
      <c r="A7" s="31">
        <v>0.625</v>
      </c>
      <c r="B7" s="31">
        <v>0.16666666666666699</v>
      </c>
    </row>
    <row r="8" spans="1:2" x14ac:dyDescent="0.3">
      <c r="A8" s="31">
        <v>0.72727272727272696</v>
      </c>
      <c r="B8" s="31">
        <v>9.6774193548387094E-2</v>
      </c>
    </row>
    <row r="9" spans="1:2" x14ac:dyDescent="0.3">
      <c r="A9" s="31">
        <v>0.66666666666666696</v>
      </c>
      <c r="B9" s="31">
        <v>0.14285714285714299</v>
      </c>
    </row>
    <row r="10" spans="1:2" x14ac:dyDescent="0.3">
      <c r="A10" s="31">
        <v>0.66666666666666696</v>
      </c>
      <c r="B10" s="31">
        <v>8.3333333333333301E-2</v>
      </c>
    </row>
    <row r="11" spans="1:2" x14ac:dyDescent="0.3">
      <c r="A11" s="31">
        <v>0.5</v>
      </c>
      <c r="B11" s="31">
        <v>5.8823529411764698E-2</v>
      </c>
    </row>
    <row r="12" spans="1:2" x14ac:dyDescent="0.3">
      <c r="A12" s="31">
        <v>0.66666666666666696</v>
      </c>
      <c r="B12" s="31">
        <v>3.3333333333333298E-2</v>
      </c>
    </row>
    <row r="13" spans="1:2" x14ac:dyDescent="0.3">
      <c r="A13" s="31">
        <v>0.66666666666666696</v>
      </c>
      <c r="B13" s="31">
        <v>2.32558139534884E-2</v>
      </c>
    </row>
    <row r="14" spans="1:2" x14ac:dyDescent="0.3">
      <c r="A14" s="31">
        <v>0.75</v>
      </c>
      <c r="B14" s="31">
        <v>3.77358490566038E-2</v>
      </c>
    </row>
    <row r="15" spans="1:2" x14ac:dyDescent="0.3">
      <c r="A15" s="31">
        <v>0.5</v>
      </c>
      <c r="B15" s="31">
        <v>2.6315789473684199E-2</v>
      </c>
    </row>
    <row r="16" spans="1:2" x14ac:dyDescent="0.3">
      <c r="A16" s="31">
        <v>0.75</v>
      </c>
      <c r="B16" s="31">
        <v>0.16666666666666699</v>
      </c>
    </row>
    <row r="17" spans="1:16" x14ac:dyDescent="0.3">
      <c r="A17" s="31">
        <v>0.71428571428571397</v>
      </c>
      <c r="B17" s="31">
        <v>4.4444444444444502E-2</v>
      </c>
    </row>
    <row r="18" spans="1:16" x14ac:dyDescent="0.3">
      <c r="A18" s="31">
        <v>0.5</v>
      </c>
      <c r="B18" s="31">
        <v>4.5454545454545497E-2</v>
      </c>
    </row>
    <row r="19" spans="1:16" x14ac:dyDescent="0.3">
      <c r="A19" s="31">
        <v>0.77777777777777801</v>
      </c>
      <c r="B19" s="31">
        <v>8.6956521739130405E-2</v>
      </c>
    </row>
    <row r="20" spans="1:16" x14ac:dyDescent="0.3">
      <c r="A20" s="31">
        <v>0.75</v>
      </c>
      <c r="B20" s="31">
        <v>8.8888888888888906E-2</v>
      </c>
    </row>
    <row r="21" spans="1:16" x14ac:dyDescent="0.3">
      <c r="A21" s="31">
        <v>1</v>
      </c>
      <c r="B21" s="31">
        <v>0.2</v>
      </c>
    </row>
    <row r="22" spans="1:16" x14ac:dyDescent="0.3">
      <c r="A22" s="31">
        <v>0.66666666666666696</v>
      </c>
      <c r="B22" s="31">
        <v>0.2</v>
      </c>
    </row>
    <row r="23" spans="1:16" x14ac:dyDescent="0.3">
      <c r="A23" s="31">
        <v>1</v>
      </c>
      <c r="B23" s="31">
        <v>9.0909090909090898E-2</v>
      </c>
    </row>
    <row r="29" spans="1:16" x14ac:dyDescent="0.3">
      <c r="N29" t="s">
        <v>188</v>
      </c>
    </row>
    <row r="30" spans="1:16" x14ac:dyDescent="0.3">
      <c r="N30" t="s">
        <v>47</v>
      </c>
      <c r="O30" t="s">
        <v>189</v>
      </c>
      <c r="P30" t="s">
        <v>205</v>
      </c>
    </row>
    <row r="35" spans="14:16" x14ac:dyDescent="0.3">
      <c r="N35" s="57" t="s">
        <v>190</v>
      </c>
      <c r="O35" s="35" t="s">
        <v>47</v>
      </c>
      <c r="P35" s="35" t="s">
        <v>200</v>
      </c>
    </row>
    <row r="36" spans="14:16" x14ac:dyDescent="0.3">
      <c r="N36" s="58" t="s">
        <v>191</v>
      </c>
      <c r="O36" s="59">
        <v>0.71640899999999996</v>
      </c>
      <c r="P36" s="60">
        <v>9.9159999999999998E-2</v>
      </c>
    </row>
    <row r="37" spans="14:16" x14ac:dyDescent="0.3">
      <c r="N37" s="58" t="s">
        <v>192</v>
      </c>
      <c r="O37" s="61">
        <f>(O38-O39)/6</f>
        <v>0.17984283333333337</v>
      </c>
      <c r="P37" s="61">
        <f>(P38-P39)/6</f>
        <v>3.3053500000000006E-2</v>
      </c>
    </row>
    <row r="38" spans="14:16" x14ac:dyDescent="0.3">
      <c r="N38" s="58" t="s">
        <v>193</v>
      </c>
      <c r="O38" s="60">
        <v>1.2559400000000001</v>
      </c>
      <c r="P38" s="60">
        <v>0.25962800000000003</v>
      </c>
    </row>
    <row r="39" spans="14:16" x14ac:dyDescent="0.3">
      <c r="N39" s="58" t="s">
        <v>194</v>
      </c>
      <c r="O39" s="60">
        <v>0.17688300000000001</v>
      </c>
      <c r="P39" s="60">
        <v>6.1307E-2</v>
      </c>
    </row>
    <row r="41" spans="14:16" x14ac:dyDescent="0.3">
      <c r="N41" s="57" t="s">
        <v>195</v>
      </c>
      <c r="O41" s="57" t="s">
        <v>47</v>
      </c>
      <c r="P41" s="62"/>
    </row>
    <row r="42" spans="14:16" x14ac:dyDescent="0.3">
      <c r="N42" s="58" t="s">
        <v>191</v>
      </c>
      <c r="O42" s="63">
        <v>0.8</v>
      </c>
      <c r="P42" s="42"/>
    </row>
    <row r="43" spans="14:16" x14ac:dyDescent="0.3">
      <c r="N43" s="58" t="s">
        <v>192</v>
      </c>
      <c r="O43" s="64">
        <v>0.1</v>
      </c>
      <c r="P43" s="62"/>
    </row>
    <row r="45" spans="14:16" x14ac:dyDescent="0.3">
      <c r="N45" s="57" t="s">
        <v>196</v>
      </c>
      <c r="O45" s="35" t="s">
        <v>47</v>
      </c>
      <c r="P45" s="35" t="s">
        <v>200</v>
      </c>
    </row>
    <row r="46" spans="14:16" x14ac:dyDescent="0.3">
      <c r="N46" s="58" t="s">
        <v>191</v>
      </c>
      <c r="O46" s="65">
        <f>0.5959 + (1.215*P46)</f>
        <v>0.80245</v>
      </c>
      <c r="P46" s="60">
        <v>0.17</v>
      </c>
    </row>
    <row r="47" spans="14:16" x14ac:dyDescent="0.3">
      <c r="N47" s="58" t="s">
        <v>192</v>
      </c>
      <c r="O47" s="48">
        <v>0.1</v>
      </c>
      <c r="P47" s="48">
        <v>0.05</v>
      </c>
    </row>
    <row r="48" spans="14:16" x14ac:dyDescent="0.3">
      <c r="N48" s="58" t="s">
        <v>197</v>
      </c>
      <c r="O48" s="58">
        <f>O46+(3*O47)</f>
        <v>1.1024500000000002</v>
      </c>
      <c r="P48" s="58">
        <f>P46+(3*P47)</f>
        <v>0.32000000000000006</v>
      </c>
    </row>
    <row r="49" spans="14:16" x14ac:dyDescent="0.3">
      <c r="N49" s="58" t="s">
        <v>198</v>
      </c>
      <c r="O49" s="58">
        <f>O46-3*O47</f>
        <v>0.50244999999999995</v>
      </c>
      <c r="P49" s="58">
        <f>P46-3*P47</f>
        <v>1.999999999999999E-2</v>
      </c>
    </row>
  </sheetData>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DC JuntoSep</vt:lpstr>
      <vt:lpstr>Notes</vt:lpstr>
      <vt:lpstr>PPM Prod C5</vt:lpstr>
      <vt:lpstr>PPM CT C5</vt:lpstr>
      <vt:lpstr>PPM DRE C5</vt:lpstr>
      <vt:lpstr>PPM Prod C4</vt:lpstr>
      <vt:lpstr>PPM CT C4</vt:lpstr>
      <vt:lpstr>PPM DRE C4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Dheeraj Motiyani</cp:lastModifiedBy>
  <cp:revision>0</cp:revision>
  <dcterms:created xsi:type="dcterms:W3CDTF">2026-10-21T05:40:05Z</dcterms:created>
  <dcterms:modified xsi:type="dcterms:W3CDTF">2026-10-21T06:30:54Z</dcterms:modified>
  <dc:language>en-US</dc:language>
</cp:coreProperties>
</file>