
<file path=[Content_Types].xml><?xml version="1.0" encoding="utf-8"?>
<Types xmlns="http://schemas.openxmlformats.org/package/2006/content-type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2.xml" ContentType="application/vnd.ms-excel.person+xml"/>
  <Override PartName="/xl/persons/person1.xml" ContentType="application/vnd.ms-excel.person+xml"/>
  <Override PartName="/xl/persons/person0.xml" ContentType="application/vnd.ms-excel.person+xml"/>
  <Override PartName="/xl/persons/person4.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c17915010df46067/Desktop/"/>
    </mc:Choice>
  </mc:AlternateContent>
  <xr:revisionPtr revIDLastSave="95" documentId="13_ncr:1_{3925BE25-808C-4FAF-8C2F-D13B43EA5845}" xr6:coauthVersionLast="47" xr6:coauthVersionMax="47" xr10:uidLastSave="{FCB70B1D-DBE3-4BEA-B536-0078B663F370}"/>
  <bookViews>
    <workbookView xWindow="-110" yWindow="-110" windowWidth="19420" windowHeight="11020" activeTab="1" xr2:uid="{0EBA9320-F6ED-4DB1-9DB2-484058B52398}"/>
  </bookViews>
  <sheets>
    <sheet name="Introduction" sheetId="1" r:id="rId1"/>
    <sheet name="Estimation" sheetId="2" r:id="rId2"/>
    <sheet name="Other Investments Estimation" sheetId="4" r:id="rId3"/>
    <sheet name="Suggestions" sheetId="3" r:id="rId4"/>
  </sheets>
  <definedNames>
    <definedName name="Area_of_a_single_court">Introduction!$B$15</definedName>
    <definedName name="Bank_Loan">Estimation!$B$22</definedName>
    <definedName name="Down_payment">Estimation!$B$8</definedName>
    <definedName name="Loan_Payment_per_year">Estimation!$B$25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2" l="1"/>
  <c r="C54" i="2"/>
  <c r="B41" i="2"/>
  <c r="O33" i="2"/>
  <c r="C41" i="2" s="1"/>
  <c r="C39" i="2"/>
  <c r="F39" i="2" s="1"/>
  <c r="K39" i="2" s="1"/>
  <c r="C33" i="2"/>
  <c r="C38" i="2" s="1"/>
  <c r="B38" i="2"/>
  <c r="D13" i="2"/>
  <c r="E13" i="2" s="1"/>
  <c r="F13" i="2" s="1"/>
  <c r="G13" i="2" s="1"/>
  <c r="H13" i="2" s="1"/>
  <c r="I13" i="2" s="1"/>
  <c r="J13" i="2" s="1"/>
  <c r="K13" i="2" s="1"/>
  <c r="L13" i="2" s="1"/>
  <c r="D14" i="2"/>
  <c r="E14" i="2" s="1"/>
  <c r="F14" i="2" s="1"/>
  <c r="G14" i="2" s="1"/>
  <c r="H14" i="2" s="1"/>
  <c r="I14" i="2" s="1"/>
  <c r="J14" i="2" s="1"/>
  <c r="K14" i="2" s="1"/>
  <c r="L14" i="2" s="1"/>
  <c r="D15" i="2"/>
  <c r="E15" i="2" s="1"/>
  <c r="F15" i="2" s="1"/>
  <c r="G15" i="2" s="1"/>
  <c r="H15" i="2" s="1"/>
  <c r="I15" i="2" s="1"/>
  <c r="J15" i="2" s="1"/>
  <c r="K15" i="2" s="1"/>
  <c r="L15" i="2" s="1"/>
  <c r="D16" i="2"/>
  <c r="E16" i="2" s="1"/>
  <c r="F16" i="2" s="1"/>
  <c r="G16" i="2" s="1"/>
  <c r="H16" i="2" s="1"/>
  <c r="I16" i="2" s="1"/>
  <c r="J16" i="2" s="1"/>
  <c r="K16" i="2" s="1"/>
  <c r="L16" i="2" s="1"/>
  <c r="D12" i="2"/>
  <c r="E12" i="2" s="1"/>
  <c r="F12" i="2" s="1"/>
  <c r="G12" i="2" s="1"/>
  <c r="H12" i="2" s="1"/>
  <c r="I12" i="2" s="1"/>
  <c r="J12" i="2" s="1"/>
  <c r="K12" i="2" s="1"/>
  <c r="L12" i="2" s="1"/>
  <c r="D11" i="2"/>
  <c r="E11" i="2" s="1"/>
  <c r="F11" i="2" s="1"/>
  <c r="G11" i="2" s="1"/>
  <c r="H11" i="2" s="1"/>
  <c r="I11" i="2" s="1"/>
  <c r="J11" i="2" s="1"/>
  <c r="K11" i="2" s="1"/>
  <c r="L11" i="2" s="1"/>
  <c r="D10" i="2"/>
  <c r="E10" i="2" s="1"/>
  <c r="F10" i="2" s="1"/>
  <c r="G10" i="2" s="1"/>
  <c r="H10" i="2" s="1"/>
  <c r="I10" i="2" s="1"/>
  <c r="J10" i="2" s="1"/>
  <c r="K10" i="2" s="1"/>
  <c r="L10" i="2" s="1"/>
  <c r="B6" i="4"/>
  <c r="B25" i="2"/>
  <c r="C56" i="2" s="1"/>
  <c r="B17" i="2"/>
  <c r="C17" i="2"/>
  <c r="D49" i="2" s="1"/>
  <c r="B16" i="1"/>
  <c r="C53" i="2" l="1"/>
  <c r="C55" i="2"/>
  <c r="C52" i="2"/>
  <c r="C51" i="2"/>
  <c r="C58" i="2"/>
  <c r="C50" i="2"/>
  <c r="C57" i="2"/>
  <c r="C49" i="2"/>
  <c r="E49" i="2" s="1"/>
  <c r="P33" i="2"/>
  <c r="D39" i="2"/>
  <c r="D33" i="2"/>
  <c r="E33" i="2" s="1"/>
  <c r="D17" i="2"/>
  <c r="B42" i="2"/>
  <c r="L17" i="2"/>
  <c r="K17" i="2"/>
  <c r="D58" i="2"/>
  <c r="B49" i="2"/>
  <c r="D50" i="2"/>
  <c r="D57" i="2"/>
  <c r="F33" i="2" l="1"/>
  <c r="E38" i="2"/>
  <c r="D41" i="2"/>
  <c r="Q33" i="2"/>
  <c r="E39" i="2"/>
  <c r="G39" i="2"/>
  <c r="I39" i="2"/>
  <c r="D38" i="2"/>
  <c r="F17" i="2"/>
  <c r="I17" i="2"/>
  <c r="H17" i="2"/>
  <c r="J17" i="2"/>
  <c r="E17" i="2"/>
  <c r="G17" i="2"/>
  <c r="D52" i="2"/>
  <c r="D55" i="2"/>
  <c r="D56" i="2"/>
  <c r="D54" i="2"/>
  <c r="D53" i="2"/>
  <c r="D51" i="2"/>
  <c r="F38" i="2" l="1"/>
  <c r="G33" i="2"/>
  <c r="R33" i="2"/>
  <c r="E41" i="2"/>
  <c r="E42" i="2" s="1"/>
  <c r="H39" i="2"/>
  <c r="J39" i="2"/>
  <c r="D42" i="2"/>
  <c r="C42" i="2"/>
  <c r="B52" i="2"/>
  <c r="B50" i="2"/>
  <c r="B51" i="2"/>
  <c r="S33" i="2" l="1"/>
  <c r="F41" i="2"/>
  <c r="F42" i="2" s="1"/>
  <c r="H33" i="2"/>
  <c r="G38" i="2"/>
  <c r="E50" i="2"/>
  <c r="F50" i="2" s="1"/>
  <c r="F49" i="2"/>
  <c r="B53" i="2"/>
  <c r="T33" i="2" l="1"/>
  <c r="G41" i="2"/>
  <c r="G42" i="2" s="1"/>
  <c r="H38" i="2"/>
  <c r="I33" i="2"/>
  <c r="E51" i="2"/>
  <c r="F51" i="2" s="1"/>
  <c r="B54" i="2"/>
  <c r="J33" i="2" l="1"/>
  <c r="I38" i="2"/>
  <c r="U33" i="2"/>
  <c r="H41" i="2"/>
  <c r="H42" i="2" s="1"/>
  <c r="E52" i="2"/>
  <c r="F52" i="2" s="1"/>
  <c r="B55" i="2"/>
  <c r="V33" i="2" l="1"/>
  <c r="I41" i="2"/>
  <c r="I42" i="2"/>
  <c r="J38" i="2"/>
  <c r="K33" i="2"/>
  <c r="K38" i="2" s="1"/>
  <c r="E53" i="2"/>
  <c r="F53" i="2" s="1"/>
  <c r="B56" i="2"/>
  <c r="W33" i="2" l="1"/>
  <c r="K41" i="2" s="1"/>
  <c r="K42" i="2" s="1"/>
  <c r="J41" i="2"/>
  <c r="J42" i="2" s="1"/>
  <c r="E54" i="2"/>
  <c r="F54" i="2" s="1"/>
  <c r="B58" i="2"/>
  <c r="B57" i="2"/>
  <c r="E55" i="2" l="1"/>
  <c r="F55" i="2" s="1"/>
  <c r="E56" i="2" l="1"/>
  <c r="F56" i="2" s="1"/>
  <c r="E57" i="2" l="1"/>
  <c r="F57" i="2" s="1"/>
  <c r="E58" i="2" l="1"/>
  <c r="F58" i="2" s="1"/>
  <c r="B9" i="4" s="1"/>
</calcChain>
</file>

<file path=xl/sharedStrings.xml><?xml version="1.0" encoding="utf-8"?>
<sst xmlns="http://schemas.openxmlformats.org/spreadsheetml/2006/main" count="140" uniqueCount="84">
  <si>
    <t xml:space="preserve">Badminton Court Rental Venture Plan </t>
  </si>
  <si>
    <t xml:space="preserve">Basic Info: </t>
  </si>
  <si>
    <t>A standard badminton court is 13.4 meters (44 feet) in length and 6.1 meters (20 feet) in width for doubles matches</t>
  </si>
  <si>
    <t xml:space="preserve">Basic Info regarding court size: </t>
  </si>
  <si>
    <t xml:space="preserve">Planning to lease a place for 10 years, wherein we build badminton courts for hourly renting purpose </t>
  </si>
  <si>
    <t xml:space="preserve">Area of a 
single court: </t>
  </si>
  <si>
    <t>sq ft</t>
  </si>
  <si>
    <t xml:space="preserve">Basic Objective: </t>
  </si>
  <si>
    <t xml:space="preserve">Estimating overall expenses, revenue and P/L for 10 years </t>
  </si>
  <si>
    <t xml:space="preserve">Area for 
3 courts: </t>
  </si>
  <si>
    <t xml:space="preserve">Area to lease: </t>
  </si>
  <si>
    <t>Utilities (electricity, water)</t>
  </si>
  <si>
    <t>Staff salaries</t>
  </si>
  <si>
    <t>Equipment purchase &amp; replacement</t>
  </si>
  <si>
    <t>Maintenance</t>
  </si>
  <si>
    <t>Marketing</t>
  </si>
  <si>
    <t>Insurance</t>
  </si>
  <si>
    <t>Miscellaneous</t>
  </si>
  <si>
    <t>Total Expenses</t>
  </si>
  <si>
    <t>Items</t>
  </si>
  <si>
    <t xml:space="preserve">Expenses </t>
  </si>
  <si>
    <t>Revenue Streams</t>
  </si>
  <si>
    <t>Memberships</t>
  </si>
  <si>
    <t>Coaching Fees (if any)</t>
  </si>
  <si>
    <t>Total Revenue</t>
  </si>
  <si>
    <t>Revenue</t>
  </si>
  <si>
    <t xml:space="preserve">Equipment Rentals(Shoes &amp; Racquets) </t>
  </si>
  <si>
    <t>Period</t>
  </si>
  <si>
    <t>Profit/Loss</t>
  </si>
  <si>
    <t xml:space="preserve">P/L </t>
  </si>
  <si>
    <t>1st Year</t>
  </si>
  <si>
    <t>2nd Year</t>
  </si>
  <si>
    <t>3rd year</t>
  </si>
  <si>
    <t>4th Year</t>
  </si>
  <si>
    <t>5th Year</t>
  </si>
  <si>
    <t>6th Year</t>
  </si>
  <si>
    <t>7th Year</t>
  </si>
  <si>
    <t>8th Year</t>
  </si>
  <si>
    <t>9th Year</t>
  </si>
  <si>
    <t>10th Year</t>
  </si>
  <si>
    <t xml:space="preserve">2nd Year </t>
  </si>
  <si>
    <t>3rd Year</t>
  </si>
  <si>
    <t xml:space="preserve">Note: As we need to 2640 sqft for 3 courts, we need to lease out a place of around 3600 sqft i.e 3 side-by-side 30*40 sites. </t>
  </si>
  <si>
    <t>One-time payment</t>
  </si>
  <si>
    <t>1) Accommodate one time payments such as down-payment for lease, expense for court construction</t>
  </si>
  <si>
    <t>2) More options to calculate revenue streams . e.g. number of courts, per hour revenue per court, occupancy rate - this will help us understand what size of club should we run..</t>
  </si>
  <si>
    <t>Expenses for courts construction</t>
  </si>
  <si>
    <t>Number of courts</t>
  </si>
  <si>
    <t>Revenue per court (per hour)</t>
  </si>
  <si>
    <t xml:space="preserve">Total Court Rentals </t>
  </si>
  <si>
    <t>Bank Loan</t>
  </si>
  <si>
    <t>Interest rate</t>
  </si>
  <si>
    <t>1) I think I confused you buy mentioning the purchase price. Let me restate the requirements. Let one time payments be as it is as you have now. Remove the purchase price field. Lets do P/L only with that.. I mainly mentioned purchase price to compare other investments... WE can have a separate section with comparisons to other investments.. But I'll discuss this more on call, ignore the whole purchase price thing for now.</t>
  </si>
  <si>
    <t xml:space="preserve">2) The interest rate keeps increasing every year, I'd like to have a fixed interest rate for all years, for simplicity. </t>
  </si>
  <si>
    <t xml:space="preserve">3) I'd like total expenses column in P/L to be split into: bank emi expenses, court expenses = total expenses. </t>
  </si>
  <si>
    <t>4) The columns for expense vs revenue streams are offset (different year # for same column), have you taken that into consideration while calculating the P/L ?</t>
  </si>
  <si>
    <t>Bank EMI Expenses</t>
  </si>
  <si>
    <t>Court Expenses</t>
  </si>
  <si>
    <t>Down payment for lease</t>
  </si>
  <si>
    <t>Bank Expenses</t>
  </si>
  <si>
    <t xml:space="preserve">FD Investments </t>
  </si>
  <si>
    <t>Amount Invested</t>
  </si>
  <si>
    <t>Rate of Interest</t>
  </si>
  <si>
    <t>Years of Investment</t>
  </si>
  <si>
    <t xml:space="preserve">Total </t>
  </si>
  <si>
    <t>Number of hours/Per day</t>
  </si>
  <si>
    <t>Inflation rate</t>
  </si>
  <si>
    <t xml:space="preserve">Second Discussion: </t>
  </si>
  <si>
    <t xml:space="preserve">First Discussion: </t>
  </si>
  <si>
    <t>Third Discussion:</t>
  </si>
  <si>
    <t>2) Input cell for inflation rate</t>
  </si>
  <si>
    <t>5) Revenue per court and revenue per day should be correlated</t>
  </si>
  <si>
    <t>-</t>
  </si>
  <si>
    <t>Coaching Fees</t>
  </si>
  <si>
    <t>Number of students</t>
  </si>
  <si>
    <t xml:space="preserve">Fees per student/per month </t>
  </si>
  <si>
    <t>Term Length (years)</t>
  </si>
  <si>
    <t>Total Earnings over 10 years due to Badminton business</t>
  </si>
  <si>
    <t>EMI Payment (per year)</t>
  </si>
  <si>
    <t>Just for Reference</t>
  </si>
  <si>
    <t xml:space="preserve">EMI Payment
(Per month) </t>
  </si>
  <si>
    <t>1) Separate table for calculating coaching fees</t>
  </si>
  <si>
    <t xml:space="preserve">3) Constant Bank loan EMI payment </t>
  </si>
  <si>
    <t>4) Court revenue should increase every year w.r.t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</si>
</sst>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 #,##0;[Red]&quot;₹&quot;\ \-#,##0"/>
    <numFmt numFmtId="44" formatCode="_ &quot;₹&quot;\ * #,##0.00_ ;_ &quot;₹&quot;\ * \-#,##0.00_ ;_ &quot;₹&quot;\ * &quot;-&quot;??_ ;_ @_ "/>
    <numFmt numFmtId="164" formatCode="_ &quot;₹&quot;\ * #,##0_ ;_ &quot;₹&quot;\ * \-#,##0_ ;_ &quot;₹&quot;\ * &quot;-&quot;??_ ;_ @_ "/>
    <numFmt numFmtId="165" formatCode="_ [$₹-4009]\ * #,##0_ ;_ [$₹-4009]\ * \-#,##0_ ;_ [$₹-4009]\ * &quot;-&quot;??_ ;_ @_ "/>
  </numFmts>
  <fonts count="17" x14ac:knownFonts="1">
    <font>
      <sz val="12"/>
      <color theme="1"/>
      <name val="Calibri"/>
      <family val="2"/>
      <scheme val="minor"/>
    </font>
    <font>
      <b/>
      <sz val="15"/>
      <color theme="3"/>
      <name val="Calibri"/>
      <family val="2"/>
      <scheme val="minor"/>
    </font>
    <font>
      <b/>
      <sz val="13"/>
      <color theme="3"/>
      <name val="Calibri"/>
      <family val="2"/>
      <scheme val="minor"/>
    </font>
    <font>
      <b/>
      <sz val="36"/>
      <color theme="3"/>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
      <sz val="8"/>
      <name val="Calibri"/>
      <family val="2"/>
      <scheme val="minor"/>
    </font>
    <font>
      <i/>
      <sz val="12"/>
      <color rgb="FF7F7F7F"/>
      <name val="Calibri"/>
      <family val="2"/>
      <scheme val="minor"/>
    </font>
    <font>
      <sz val="12"/>
      <color rgb="FF006100"/>
      <name val="Calibri"/>
      <family val="2"/>
      <scheme val="minor"/>
    </font>
    <font>
      <sz val="12"/>
      <color rgb="FF9C0006"/>
      <name val="Calibri"/>
      <family val="2"/>
      <scheme val="minor"/>
    </font>
    <font>
      <i/>
      <sz val="12"/>
      <color rgb="FF000000"/>
      <name val="Calibri"/>
      <family val="2"/>
      <scheme val="minor"/>
    </font>
    <font>
      <sz val="12"/>
      <name val="Calibri"/>
      <family val="2"/>
      <scheme val="minor"/>
    </font>
    <font>
      <b/>
      <i/>
      <sz val="12"/>
      <color theme="1"/>
      <name val="Calibri"/>
      <family val="2"/>
      <scheme val="minor"/>
    </font>
    <font>
      <b/>
      <i/>
      <sz val="12"/>
      <color rgb="FF000000"/>
      <name val="Calibri"/>
      <family val="2"/>
      <scheme val="minor"/>
    </font>
    <font>
      <b/>
      <sz val="12"/>
      <name val="Calibri"/>
      <family val="2"/>
      <scheme val="minor"/>
    </font>
    <font>
      <b/>
      <sz val="24"/>
      <color theme="3"/>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8" tint="0.79998168889431442"/>
        <bgColor indexed="65"/>
      </patternFill>
    </fill>
    <fill>
      <patternFill patternType="solid">
        <fgColor rgb="FFC6EFCE"/>
      </patternFill>
    </fill>
    <fill>
      <patternFill patternType="solid">
        <fgColor rgb="FFFFC7CE"/>
      </patternFill>
    </fill>
    <fill>
      <patternFill patternType="solid">
        <fgColor theme="8"/>
        <bgColor theme="8"/>
      </patternFill>
    </fill>
    <fill>
      <patternFill patternType="solid">
        <fgColor theme="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style="thin">
        <color theme="4"/>
      </right>
      <top style="thin">
        <color theme="4"/>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right/>
      <top/>
      <bottom style="medium">
        <color theme="0"/>
      </bottom>
      <diagonal/>
    </border>
    <border>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right style="medium">
        <color theme="0"/>
      </right>
      <top/>
      <bottom style="medium">
        <color theme="0"/>
      </bottom>
      <diagonal/>
    </border>
    <border>
      <left/>
      <right style="medium">
        <color theme="0"/>
      </right>
      <top style="thin">
        <color theme="0"/>
      </top>
      <bottom style="medium">
        <color theme="0"/>
      </bottom>
      <diagonal/>
    </border>
    <border>
      <left/>
      <right/>
      <top style="thick">
        <color theme="4"/>
      </top>
      <bottom style="medium">
        <color theme="0"/>
      </bottom>
      <diagonal/>
    </border>
    <border>
      <left style="medium">
        <color theme="0"/>
      </left>
      <right style="medium">
        <color theme="0"/>
      </right>
      <top style="medium">
        <color theme="0"/>
      </top>
      <bottom style="medium">
        <color theme="0"/>
      </bottom>
      <diagonal/>
    </border>
    <border>
      <left style="thin">
        <color theme="0"/>
      </left>
      <right style="medium">
        <color theme="0"/>
      </right>
      <top style="medium">
        <color theme="0"/>
      </top>
      <bottom style="thin">
        <color theme="0"/>
      </bottom>
      <diagonal/>
    </border>
    <border>
      <left style="thin">
        <color theme="0"/>
      </left>
      <right style="medium">
        <color theme="0"/>
      </right>
      <top style="thin">
        <color theme="0"/>
      </top>
      <bottom style="thin">
        <color theme="0"/>
      </bottom>
      <diagonal/>
    </border>
    <border>
      <left/>
      <right style="medium">
        <color theme="0"/>
      </right>
      <top style="medium">
        <color theme="0"/>
      </top>
      <bottom style="medium">
        <color theme="0"/>
      </bottom>
      <diagonal/>
    </border>
    <border>
      <left/>
      <right style="medium">
        <color theme="0"/>
      </right>
      <top style="thin">
        <color theme="0"/>
      </top>
      <bottom style="thin">
        <color theme="0"/>
      </bottom>
      <diagonal/>
    </border>
    <border>
      <left/>
      <right style="medium">
        <color theme="0"/>
      </right>
      <top style="medium">
        <color theme="0"/>
      </top>
      <bottom style="thin">
        <color theme="0"/>
      </bottom>
      <diagonal/>
    </border>
    <border>
      <left/>
      <right style="thin">
        <color theme="8"/>
      </right>
      <top style="thin">
        <color theme="8"/>
      </top>
      <bottom style="thin">
        <color theme="8"/>
      </bottom>
      <diagonal/>
    </border>
    <border>
      <left/>
      <right/>
      <top/>
      <bottom style="thin">
        <color theme="8"/>
      </bottom>
      <diagonal/>
    </border>
    <border>
      <left style="thin">
        <color theme="4"/>
      </left>
      <right style="thin">
        <color theme="8"/>
      </right>
      <top/>
      <bottom/>
      <diagonal/>
    </border>
  </borders>
  <cellStyleXfs count="10">
    <xf numFmtId="0" fontId="0" fillId="0" borderId="0"/>
    <xf numFmtId="0" fontId="1" fillId="0" borderId="1" applyNumberFormat="0" applyFill="0" applyAlignment="0" applyProtection="0"/>
    <xf numFmtId="0" fontId="2" fillId="0" borderId="2" applyNumberFormat="0" applyFill="0" applyAlignment="0" applyProtection="0"/>
    <xf numFmtId="44" fontId="5" fillId="0" borderId="0" applyFont="0" applyFill="0" applyBorder="0" applyAlignment="0" applyProtection="0"/>
    <xf numFmtId="0" fontId="5" fillId="3" borderId="0" applyNumberFormat="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6" fillId="0" borderId="16" applyNumberFormat="0" applyFill="0" applyAlignment="0" applyProtection="0"/>
  </cellStyleXfs>
  <cellXfs count="88">
    <xf numFmtId="0" fontId="0" fillId="0" borderId="0" xfId="0"/>
    <xf numFmtId="0" fontId="1" fillId="0" borderId="1" xfId="1"/>
    <xf numFmtId="0" fontId="0" fillId="0" borderId="0" xfId="0" applyAlignment="1">
      <alignment horizontal="centerContinuous"/>
    </xf>
    <xf numFmtId="0" fontId="0" fillId="0" borderId="3" xfId="0" applyBorder="1" applyAlignment="1">
      <alignment horizontal="centerContinuous"/>
    </xf>
    <xf numFmtId="0" fontId="3" fillId="0" borderId="3" xfId="1" applyFont="1" applyBorder="1" applyAlignment="1">
      <alignment horizontal="centerContinuous" vertical="center"/>
    </xf>
    <xf numFmtId="0" fontId="0" fillId="0" borderId="3" xfId="0" applyBorder="1" applyAlignment="1">
      <alignment horizontal="centerContinuous" vertical="center"/>
    </xf>
    <xf numFmtId="0" fontId="0" fillId="0" borderId="0" xfId="0" applyAlignment="1">
      <alignment horizontal="centerContinuous" vertical="top"/>
    </xf>
    <xf numFmtId="0" fontId="2" fillId="0" borderId="0" xfId="2" applyBorder="1"/>
    <xf numFmtId="0" fontId="0" fillId="0" borderId="6" xfId="0" applyBorder="1" applyAlignment="1">
      <alignment vertical="center"/>
    </xf>
    <xf numFmtId="0" fontId="0" fillId="0" borderId="5" xfId="0" applyBorder="1" applyAlignment="1">
      <alignment vertical="center"/>
    </xf>
    <xf numFmtId="0" fontId="0" fillId="2" borderId="4" xfId="0" applyFill="1" applyBorder="1" applyAlignment="1">
      <alignment vertical="center" wrapText="1"/>
    </xf>
    <xf numFmtId="0" fontId="0" fillId="2" borderId="4" xfId="0" applyFill="1" applyBorder="1" applyAlignment="1">
      <alignment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164" fontId="0" fillId="0" borderId="7" xfId="3" applyNumberFormat="1" applyFont="1" applyBorder="1"/>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165" fontId="0" fillId="0" borderId="7" xfId="3" applyNumberFormat="1" applyFont="1" applyBorder="1"/>
    <xf numFmtId="0" fontId="2" fillId="0" borderId="0" xfId="2" applyBorder="1" applyAlignment="1">
      <alignment horizontal="left"/>
    </xf>
    <xf numFmtId="0" fontId="8" fillId="0" borderId="0" xfId="5"/>
    <xf numFmtId="164" fontId="10" fillId="5" borderId="7" xfId="8" applyNumberFormat="1" applyBorder="1"/>
    <xf numFmtId="164" fontId="10" fillId="5" borderId="12" xfId="8" applyNumberFormat="1" applyBorder="1"/>
    <xf numFmtId="164" fontId="6" fillId="2" borderId="13" xfId="4" applyNumberFormat="1" applyFont="1" applyFill="1" applyBorder="1" applyAlignment="1">
      <alignment vertical="center"/>
    </xf>
    <xf numFmtId="164" fontId="10" fillId="5" borderId="7" xfId="8" applyNumberFormat="1" applyBorder="1" applyProtection="1"/>
    <xf numFmtId="165" fontId="9" fillId="4" borderId="7" xfId="7" applyNumberFormat="1" applyBorder="1" applyProtection="1">
      <protection locked="0"/>
    </xf>
    <xf numFmtId="0" fontId="9" fillId="4" borderId="7" xfId="7" applyNumberFormat="1" applyBorder="1" applyProtection="1">
      <protection locked="0"/>
    </xf>
    <xf numFmtId="164" fontId="9" fillId="4" borderId="7" xfId="3" applyNumberFormat="1" applyFont="1" applyFill="1" applyBorder="1" applyProtection="1">
      <protection locked="0"/>
    </xf>
    <xf numFmtId="9" fontId="9" fillId="4" borderId="7" xfId="6" applyFont="1" applyFill="1" applyBorder="1" applyProtection="1">
      <protection locked="0"/>
    </xf>
    <xf numFmtId="164" fontId="10" fillId="5" borderId="15" xfId="8" applyNumberFormat="1" applyBorder="1" applyAlignment="1">
      <alignment vertical="center"/>
    </xf>
    <xf numFmtId="164" fontId="0" fillId="0" borderId="0" xfId="3" applyNumberFormat="1" applyFont="1"/>
    <xf numFmtId="0" fontId="11" fillId="2" borderId="7" xfId="0" applyFont="1" applyFill="1" applyBorder="1" applyAlignment="1">
      <alignment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164" fontId="12" fillId="7" borderId="7" xfId="3" applyNumberFormat="1" applyFont="1" applyFill="1" applyBorder="1" applyProtection="1">
      <protection locked="0"/>
    </xf>
    <xf numFmtId="0" fontId="12" fillId="7" borderId="7" xfId="3" applyNumberFormat="1" applyFont="1" applyFill="1" applyBorder="1" applyProtection="1"/>
    <xf numFmtId="164" fontId="9" fillId="4" borderId="15" xfId="7" applyNumberFormat="1" applyBorder="1" applyAlignment="1" applyProtection="1">
      <alignment vertical="center"/>
      <protection locked="0"/>
    </xf>
    <xf numFmtId="164" fontId="9" fillId="4" borderId="15" xfId="7" applyNumberFormat="1" applyBorder="1" applyProtection="1">
      <protection locked="0"/>
    </xf>
    <xf numFmtId="165" fontId="6" fillId="3" borderId="14" xfId="3" applyNumberFormat="1" applyFont="1" applyFill="1" applyBorder="1"/>
    <xf numFmtId="164" fontId="6" fillId="3" borderId="14" xfId="3" applyNumberFormat="1" applyFont="1" applyFill="1" applyBorder="1"/>
    <xf numFmtId="0" fontId="11" fillId="2" borderId="11" xfId="0" applyFont="1" applyFill="1" applyBorder="1" applyAlignment="1">
      <alignment vertical="center" wrapText="1"/>
    </xf>
    <xf numFmtId="0" fontId="13" fillId="2" borderId="13" xfId="4" applyFont="1" applyFill="1" applyBorder="1" applyAlignment="1">
      <alignment vertical="center"/>
    </xf>
    <xf numFmtId="0" fontId="11" fillId="2" borderId="7" xfId="0" applyFont="1" applyFill="1" applyBorder="1" applyAlignment="1">
      <alignment vertical="center" wrapText="1"/>
    </xf>
    <xf numFmtId="0" fontId="11" fillId="2" borderId="11" xfId="0" applyFont="1" applyFill="1" applyBorder="1" applyAlignment="1">
      <alignment vertical="center"/>
    </xf>
    <xf numFmtId="164" fontId="9" fillId="4" borderId="7" xfId="7" applyNumberFormat="1" applyBorder="1" applyProtection="1">
      <protection locked="0"/>
    </xf>
    <xf numFmtId="0" fontId="2" fillId="0" borderId="2" xfId="2"/>
    <xf numFmtId="0" fontId="11" fillId="2" borderId="14" xfId="0" applyFont="1" applyFill="1" applyBorder="1" applyAlignment="1">
      <alignment vertical="center"/>
    </xf>
    <xf numFmtId="0" fontId="6" fillId="2" borderId="7" xfId="9" applyFill="1" applyBorder="1" applyAlignment="1">
      <alignment vertical="center"/>
    </xf>
    <xf numFmtId="164" fontId="6" fillId="0" borderId="7" xfId="9" applyNumberFormat="1" applyBorder="1"/>
    <xf numFmtId="9" fontId="9" fillId="4" borderId="7" xfId="7" applyNumberFormat="1" applyBorder="1" applyProtection="1">
      <protection locked="0"/>
    </xf>
    <xf numFmtId="0" fontId="9" fillId="4" borderId="14" xfId="7" applyBorder="1" applyProtection="1">
      <protection locked="0"/>
    </xf>
    <xf numFmtId="0" fontId="9" fillId="4" borderId="7" xfId="6" applyNumberFormat="1" applyFont="1" applyFill="1" applyBorder="1" applyProtection="1">
      <protection locked="0"/>
    </xf>
    <xf numFmtId="9" fontId="9" fillId="4" borderId="7" xfId="6" applyNumberFormat="1" applyFont="1" applyFill="1" applyBorder="1"/>
    <xf numFmtId="0" fontId="4" fillId="6" borderId="7" xfId="0" applyFont="1" applyFill="1" applyBorder="1" applyAlignment="1">
      <alignment horizontal="center" vertical="center"/>
    </xf>
    <xf numFmtId="0" fontId="0" fillId="0" borderId="0" xfId="0" applyNumberFormat="1"/>
    <xf numFmtId="165" fontId="9" fillId="7" borderId="7" xfId="7" applyNumberFormat="1" applyFill="1" applyBorder="1" applyProtection="1">
      <protection locked="0"/>
    </xf>
    <xf numFmtId="0" fontId="4" fillId="6" borderId="7" xfId="0" applyFont="1" applyFill="1" applyBorder="1" applyAlignment="1">
      <alignment horizontal="center" vertical="center" wrapText="1"/>
    </xf>
    <xf numFmtId="165" fontId="12" fillId="7" borderId="7" xfId="7" applyNumberFormat="1" applyFont="1" applyFill="1" applyBorder="1" applyProtection="1">
      <protection locked="0"/>
    </xf>
    <xf numFmtId="165" fontId="0" fillId="9" borderId="17" xfId="0" applyNumberFormat="1" applyFill="1" applyBorder="1" applyAlignment="1">
      <alignment vertical="top" wrapText="1"/>
    </xf>
    <xf numFmtId="165" fontId="0" fillId="10" borderId="17" xfId="0" applyNumberFormat="1" applyFill="1" applyBorder="1" applyAlignment="1">
      <alignment vertical="top" wrapText="1"/>
    </xf>
    <xf numFmtId="165" fontId="0" fillId="9" borderId="19" xfId="0" applyNumberFormat="1" applyFill="1" applyBorder="1" applyAlignment="1">
      <alignment vertical="top" wrapText="1"/>
    </xf>
    <xf numFmtId="165" fontId="0" fillId="10" borderId="19" xfId="0" applyNumberFormat="1" applyFill="1" applyBorder="1" applyAlignment="1">
      <alignment vertical="top" wrapText="1"/>
    </xf>
    <xf numFmtId="0" fontId="4" fillId="0" borderId="25" xfId="0" applyFont="1" applyBorder="1" applyAlignment="1">
      <alignment horizontal="center" vertical="center" wrapText="1"/>
    </xf>
    <xf numFmtId="0" fontId="0" fillId="0" borderId="27" xfId="0" applyBorder="1"/>
    <xf numFmtId="0" fontId="0" fillId="0" borderId="22" xfId="0" applyBorder="1"/>
    <xf numFmtId="0" fontId="4" fillId="0" borderId="28" xfId="0" applyFont="1" applyBorder="1" applyAlignment="1">
      <alignment horizontal="center" vertical="center" wrapText="1"/>
    </xf>
    <xf numFmtId="165" fontId="0" fillId="9" borderId="21" xfId="0" applyNumberFormat="1" applyFill="1" applyBorder="1" applyAlignment="1">
      <alignment vertical="top" wrapText="1"/>
    </xf>
    <xf numFmtId="165" fontId="0" fillId="10" borderId="21" xfId="0" applyNumberFormat="1" applyFill="1" applyBorder="1" applyAlignment="1">
      <alignment vertical="top" wrapText="1"/>
    </xf>
    <xf numFmtId="165" fontId="0" fillId="8" borderId="18" xfId="0" applyNumberFormat="1" applyFill="1" applyBorder="1" applyAlignment="1">
      <alignment vertical="top" wrapText="1"/>
    </xf>
    <xf numFmtId="165" fontId="0" fillId="8" borderId="20" xfId="0" applyNumberFormat="1" applyFill="1" applyBorder="1" applyAlignment="1">
      <alignment vertical="top" wrapText="1"/>
    </xf>
    <xf numFmtId="165" fontId="0" fillId="8" borderId="23" xfId="0" applyNumberFormat="1" applyFill="1" applyBorder="1" applyAlignment="1">
      <alignment vertical="top" wrapText="1"/>
    </xf>
    <xf numFmtId="0" fontId="4" fillId="0" borderId="31" xfId="0" applyFont="1" applyBorder="1" applyAlignment="1">
      <alignment horizontal="center" vertical="center" wrapText="1"/>
    </xf>
    <xf numFmtId="0" fontId="11" fillId="2" borderId="32" xfId="0" applyFont="1" applyFill="1" applyBorder="1" applyAlignment="1">
      <alignment vertical="center" wrapText="1"/>
    </xf>
    <xf numFmtId="0" fontId="11" fillId="2" borderId="26" xfId="0" applyFont="1" applyFill="1" applyBorder="1" applyAlignment="1">
      <alignment vertical="center" wrapText="1"/>
    </xf>
    <xf numFmtId="0" fontId="11" fillId="2" borderId="33" xfId="0" applyFont="1" applyFill="1" applyBorder="1" applyAlignment="1">
      <alignment vertical="center" wrapText="1"/>
    </xf>
    <xf numFmtId="0" fontId="14" fillId="2" borderId="13" xfId="0" applyFont="1" applyFill="1" applyBorder="1" applyAlignment="1">
      <alignment vertical="center" wrapText="1"/>
    </xf>
    <xf numFmtId="164" fontId="15" fillId="10" borderId="14" xfId="3" applyNumberFormat="1" applyFont="1" applyFill="1" applyBorder="1" applyProtection="1"/>
    <xf numFmtId="6" fontId="6" fillId="11" borderId="29" xfId="0" applyNumberFormat="1" applyFont="1" applyFill="1" applyBorder="1" applyAlignment="1">
      <alignment vertical="top" wrapText="1"/>
    </xf>
    <xf numFmtId="6" fontId="6" fillId="11" borderId="30" xfId="0" applyNumberFormat="1" applyFont="1" applyFill="1" applyBorder="1" applyAlignment="1">
      <alignment vertical="top" wrapText="1"/>
    </xf>
    <xf numFmtId="6" fontId="6" fillId="11" borderId="24" xfId="0" applyNumberFormat="1" applyFont="1" applyFill="1" applyBorder="1" applyAlignment="1">
      <alignment vertical="top" wrapText="1"/>
    </xf>
    <xf numFmtId="164" fontId="15" fillId="4" borderId="7" xfId="7" applyNumberFormat="1" applyFont="1" applyBorder="1" applyAlignment="1" applyProtection="1">
      <alignment vertical="center"/>
      <protection locked="0"/>
    </xf>
    <xf numFmtId="0" fontId="0" fillId="0" borderId="35" xfId="0" applyBorder="1"/>
    <xf numFmtId="164" fontId="15" fillId="10" borderId="34" xfId="3" applyNumberFormat="1" applyFont="1" applyFill="1" applyBorder="1"/>
    <xf numFmtId="0" fontId="11" fillId="2" borderId="34" xfId="0" applyFont="1" applyFill="1" applyBorder="1" applyAlignment="1">
      <alignment vertical="center" wrapText="1"/>
    </xf>
    <xf numFmtId="0" fontId="0" fillId="0" borderId="36" xfId="0" applyBorder="1"/>
    <xf numFmtId="0" fontId="8" fillId="0" borderId="35" xfId="5" applyBorder="1"/>
    <xf numFmtId="0" fontId="16" fillId="0" borderId="1" xfId="1" applyFont="1"/>
  </cellXfs>
  <cellStyles count="10">
    <cellStyle name="20% - Accent5" xfId="4" builtinId="46"/>
    <cellStyle name="Bad" xfId="8" builtinId="27"/>
    <cellStyle name="Currency" xfId="3" builtinId="4"/>
    <cellStyle name="Explanatory Text" xfId="5" builtinId="53"/>
    <cellStyle name="Good" xfId="7" builtinId="26"/>
    <cellStyle name="Heading 1" xfId="1" builtinId="16"/>
    <cellStyle name="Heading 2" xfId="2" builtinId="17"/>
    <cellStyle name="Normal" xfId="0" builtinId="0"/>
    <cellStyle name="Percent" xfId="6" builtinId="5"/>
    <cellStyle name="Total" xfId="9" builtinId="25"/>
  </cellStyles>
  <dxfs count="48">
    <dxf>
      <font>
        <b/>
      </font>
      <numFmt numFmtId="10" formatCode="&quot;₹&quot;\ #,##0;[Red]&quot;₹&quot;\ \-#,##0"/>
      <fill>
        <patternFill patternType="solid">
          <fgColor indexed="64"/>
          <bgColor theme="9" tint="0.59999389629810485"/>
        </patternFill>
      </fill>
      <alignment horizontal="general" vertical="top" textRotation="0" wrapText="1" indent="0" justifyLastLine="0" shrinkToFit="0" readingOrder="0"/>
      <border diagonalUp="0" diagonalDown="0" outline="0">
        <left style="thin">
          <color theme="0"/>
        </left>
        <right style="medium">
          <color theme="0"/>
        </right>
        <top style="thin">
          <color theme="0"/>
        </top>
        <bottom style="thin">
          <color theme="0"/>
        </bottom>
      </border>
    </dxf>
    <dxf>
      <numFmt numFmtId="165" formatCode="_ [$₹-4009]\ * #,##0_ ;_ [$₹-4009]\ * \-#,##0_ ;_ [$₹-4009]\ * &quot;-&quot;??_ ;_ @_ "/>
      <fill>
        <patternFill patternType="solid">
          <fgColor indexed="64"/>
          <bgColor theme="5" tint="0.59999389629810485"/>
        </patternFill>
      </fill>
      <alignment horizontal="general" vertical="top" textRotation="0" wrapText="1" indent="0" justifyLastLine="0" shrinkToFit="0" readingOrder="0"/>
      <border diagonalUp="0" diagonalDown="0" outline="0">
        <left style="thin">
          <color theme="0"/>
        </left>
        <right/>
        <top style="thin">
          <color theme="0"/>
        </top>
        <bottom style="thin">
          <color theme="0"/>
        </bottom>
      </border>
    </dxf>
    <dxf>
      <numFmt numFmtId="165" formatCode="_ [$₹-4009]\ * #,##0_ ;_ [$₹-4009]\ * \-#,##0_ ;_ [$₹-4009]\ * &quot;-&quot;??_ ;_ @_ "/>
      <fill>
        <patternFill patternType="solid">
          <fgColor indexed="64"/>
          <bgColor theme="5" tint="0.79998168889431442"/>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strike val="0"/>
        <condense val="0"/>
        <extend val="0"/>
        <outline val="0"/>
        <shadow val="0"/>
        <u val="none"/>
        <vertAlign val="baseline"/>
        <sz val="12"/>
        <color rgb="FF000000"/>
        <name val="Calibri"/>
        <family val="2"/>
        <scheme val="minor"/>
      </font>
      <fill>
        <patternFill patternType="solid">
          <fgColor indexed="64"/>
          <bgColor theme="8" tint="0.79998168889431442"/>
        </patternFill>
      </fill>
      <alignment horizontal="general" vertical="center" textRotation="0" wrapText="1" indent="0" justifyLastLine="0" shrinkToFit="0" readingOrder="0"/>
      <border diagonalUp="0" diagonalDown="0">
        <left/>
        <right style="medium">
          <color theme="0"/>
        </right>
        <top style="thin">
          <color theme="0"/>
        </top>
        <bottom style="thin">
          <color theme="0"/>
        </bottom>
        <vertical/>
        <horizontal style="thin">
          <color theme="0"/>
        </horizontal>
      </border>
    </dxf>
    <dxf>
      <font>
        <b/>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border diagonalUp="0" diagonalDown="0">
        <left style="thin">
          <color theme="0"/>
        </left>
        <right style="thin">
          <color theme="0"/>
        </right>
        <top/>
        <bottom/>
        <vertical style="thin">
          <color theme="0"/>
        </vertical>
        <horizontal style="thin">
          <color theme="0"/>
        </horizontal>
      </border>
    </dxf>
    <dxf>
      <numFmt numFmtId="165" formatCode="_ [$₹-4009]\ * #,##0_ ;_ [$₹-4009]\ * \-#,##0_ ;_ [$₹-4009]\ * &quot;-&quot;??_ ;_ @_ "/>
      <fill>
        <patternFill patternType="solid">
          <fgColor indexed="64"/>
          <bgColor theme="5" tint="0.79998168889431442"/>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65" formatCode="_ [$₹-4009]\ * #,##0_ ;_ [$₹-4009]\ * \-#,##0_ ;_ [$₹-4009]\ * &quot;-&quot;??_ ;_ @_ "/>
      <fill>
        <patternFill patternType="solid">
          <fgColor indexed="64"/>
          <bgColor theme="8" tint="0.59999389629810485"/>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top style="thin">
          <color theme="0"/>
        </top>
      </border>
    </dxf>
    <dxf>
      <border>
        <bottom style="thin">
          <color theme="0"/>
        </bottom>
      </border>
    </dxf>
    <dxf>
      <border diagonalUp="0" diagonalDown="0">
        <left style="thin">
          <color theme="0"/>
        </left>
        <right style="thin">
          <color theme="0"/>
        </right>
        <top style="thin">
          <color theme="0"/>
        </top>
        <bottom style="thin">
          <color theme="0"/>
        </bottom>
      </border>
    </dxf>
    <dxf>
      <border diagonalUp="0" diagonalDown="0" outline="0">
        <left/>
        <right style="thin">
          <color theme="4"/>
        </right>
        <top style="thin">
          <color theme="4"/>
        </top>
        <bottom style="thin">
          <color theme="4"/>
        </bottom>
      </border>
    </dxf>
    <dxf>
      <font>
        <b val="0"/>
        <i/>
        <strike val="0"/>
        <condense val="0"/>
        <extend val="0"/>
        <outline val="0"/>
        <shadow val="0"/>
        <u val="none"/>
        <vertAlign val="baseline"/>
        <sz val="12"/>
        <color rgb="FF000000"/>
        <name val="Calibri"/>
        <family val="2"/>
        <scheme val="minor"/>
      </font>
      <fill>
        <patternFill patternType="solid">
          <fgColor indexed="64"/>
          <bgColor theme="8" tint="0.79998168889431442"/>
        </patternFill>
      </fill>
      <alignment horizontal="general" vertical="center" textRotation="0" wrapText="1" indent="0" justifyLastLine="0" shrinkToFit="0" readingOrder="0"/>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border>
        <bottom style="thin">
          <color theme="4"/>
        </bottom>
      </border>
    </dxf>
    <dxf>
      <font>
        <b/>
        <i val="0"/>
        <strike val="0"/>
        <condense val="0"/>
        <extend val="0"/>
        <outline val="0"/>
        <shadow val="0"/>
        <u val="none"/>
        <vertAlign val="baseline"/>
        <sz val="12"/>
        <color rgb="FF000000"/>
        <name val="Calibri"/>
        <family val="2"/>
        <scheme val="minor"/>
      </font>
      <fill>
        <patternFill patternType="solid">
          <fgColor theme="8"/>
          <bgColor theme="8"/>
        </patternFill>
      </fill>
      <alignment horizontal="center" vertical="center" textRotation="0" wrapText="0" indent="0" justifyLastLine="0" shrinkToFit="0" readingOrder="0"/>
      <border diagonalUp="0" diagonalDown="0">
        <left style="thin">
          <color theme="4"/>
        </left>
        <right style="thin">
          <color theme="4"/>
        </right>
        <top/>
        <bottom/>
        <vertical style="thin">
          <color theme="4"/>
        </vertical>
        <horizontal style="thin">
          <color theme="4"/>
        </horizontal>
      </border>
    </dxf>
    <dxf>
      <alignment horizontal="general" vertical="top" textRotation="0" wrapText="1" indent="0" justifyLastLine="0" shrinkToFit="0" readingOrder="0"/>
    </dxf>
    <dxf>
      <numFmt numFmtId="165" formatCode="_ [$₹-4009]\ * #,##0_ ;_ [$₹-4009]\ * \-#,##0_ ;_ [$₹-4009]\ * &quot;-&quot;??_ ;_ @_ "/>
      <border diagonalUp="0" diagonalDown="0">
        <left style="thin">
          <color theme="4"/>
        </left>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alignment horizontal="general" vertical="top" textRotation="0" wrapText="1"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5" formatCode="_ [$₹-4009]\ * #,##0_ ;_ [$₹-4009]\ * \-#,##0_ ;_ [$₹-4009]\ * &quot;-&quot;??_ ;_ @_ "/>
      <alignment horizontal="general" vertical="top" textRotation="0" wrapText="1" indent="0" justifyLastLine="0" shrinkToFit="0" readingOrder="0"/>
      <border diagonalUp="0" diagonalDown="0" outline="0">
        <left/>
        <right style="thin">
          <color theme="4"/>
        </right>
        <top style="thin">
          <color theme="4"/>
        </top>
        <bottom style="thin">
          <color theme="4"/>
        </bottom>
      </border>
    </dxf>
    <dxf>
      <font>
        <b val="0"/>
        <i/>
        <strike val="0"/>
        <condense val="0"/>
        <extend val="0"/>
        <outline val="0"/>
        <shadow val="0"/>
        <u val="none"/>
        <vertAlign val="baseline"/>
        <sz val="12"/>
        <color rgb="FF000000"/>
        <name val="Calibri"/>
        <family val="2"/>
        <scheme val="minor"/>
      </font>
      <fill>
        <patternFill>
          <fgColor indexed="64"/>
          <bgColor theme="8" tint="0.79998168889431442"/>
        </patternFill>
      </fill>
      <alignment horizontal="general" vertical="center" textRotation="0" wrapText="1" indent="0" justifyLastLine="0" shrinkToFit="0" readingOrder="0"/>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border>
        <bottom style="thin">
          <color theme="4"/>
        </bottom>
      </border>
    </dxf>
    <dxf>
      <font>
        <b/>
        <i val="0"/>
        <strike val="0"/>
        <condense val="0"/>
        <extend val="0"/>
        <outline val="0"/>
        <shadow val="0"/>
        <u val="none"/>
        <vertAlign val="baseline"/>
        <sz val="12"/>
        <color rgb="FF000000"/>
        <name val="Calibri"/>
        <family val="2"/>
        <scheme val="minor"/>
      </font>
      <alignment horizontal="center" vertical="center" textRotation="0" wrapText="1" indent="0" justifyLastLine="0" shrinkToFit="0" readingOrder="0"/>
      <border diagonalUp="0" diagonalDown="0">
        <left style="thin">
          <color theme="4"/>
        </left>
        <right style="thin">
          <color theme="4"/>
        </right>
        <top/>
        <bottom/>
        <vertical style="thin">
          <color theme="4"/>
        </vertical>
        <horizontal style="thin">
          <color theme="4"/>
        </horizontal>
      </border>
    </dxf>
    <dxf>
      <numFmt numFmtId="164" formatCode="_ &quot;₹&quot;\ * #,##0_ ;_ &quot;₹&quot;\ * \-#,##0_ ;_ &quot;₹&quot;\ * &quot;-&quot;??_ ;_ @_ "/>
      <border diagonalUp="0" diagonalDown="0">
        <left style="thin">
          <color theme="4"/>
        </left>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left style="thin">
          <color theme="4"/>
        </left>
        <right style="thin">
          <color theme="4"/>
        </right>
        <top style="thin">
          <color theme="4"/>
        </top>
        <bottom style="thin">
          <color theme="4"/>
        </bottom>
        <vertical style="thin">
          <color theme="4"/>
        </vertical>
        <horizontal style="thin">
          <color theme="4"/>
        </horizontal>
      </border>
    </dxf>
    <dxf>
      <numFmt numFmtId="164" formatCode="_ &quot;₹&quot;\ * #,##0_ ;_ &quot;₹&quot;\ * \-#,##0_ ;_ &quot;₹&quot;\ * &quot;-&quot;??_ ;_ @_ "/>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rgb="FF000000"/>
        <name val="Calibri"/>
        <family val="2"/>
        <scheme val="minor"/>
      </font>
      <numFmt numFmtId="164" formatCode="_ &quot;₹&quot;\ * #,##0_ ;_ &quot;₹&quot;\ * \-#,##0_ ;_ &quot;₹&quot;\ * &quot;-&quot;??_ ;_ @_ "/>
      <fill>
        <patternFill patternType="solid">
          <fgColor indexed="64"/>
          <bgColor theme="8" tint="0.79998168889431442"/>
        </patternFill>
      </fill>
      <alignment horizontal="general" vertical="center" textRotation="0" wrapText="0" indent="0" justifyLastLine="0" shrinkToFit="0" readingOrder="0"/>
      <border diagonalUp="0" diagonalDown="0" outline="0">
        <left/>
        <right style="thin">
          <color theme="4"/>
        </right>
        <top style="thin">
          <color theme="4"/>
        </top>
        <bottom style="thin">
          <color theme="4"/>
        </bottom>
      </border>
    </dxf>
    <dxf>
      <font>
        <b val="0"/>
        <i/>
        <strike val="0"/>
        <condense val="0"/>
        <extend val="0"/>
        <outline val="0"/>
        <shadow val="0"/>
        <u val="none"/>
        <vertAlign val="baseline"/>
        <sz val="12"/>
        <color rgb="FF000000"/>
        <name val="Calibri"/>
        <family val="2"/>
        <scheme val="minor"/>
      </font>
      <fill>
        <patternFill>
          <fgColor indexed="64"/>
          <bgColor theme="8" tint="0.79998168889431442"/>
        </patternFill>
      </fill>
      <alignment horizontal="general" vertical="center" textRotation="0" wrapText="0" indent="0" justifyLastLine="0" shrinkToFit="0" readingOrder="0"/>
      <border diagonalUp="0" diagonalDown="0" outline="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border>
        <bottom style="thin">
          <color theme="4"/>
        </bottom>
      </border>
    </dxf>
    <dxf>
      <font>
        <b/>
        <i val="0"/>
        <strike val="0"/>
        <condense val="0"/>
        <extend val="0"/>
        <outline val="0"/>
        <shadow val="0"/>
        <u val="none"/>
        <vertAlign val="baseline"/>
        <sz val="12"/>
        <color rgb="FF000000"/>
        <name val="Calibri"/>
        <family val="2"/>
        <scheme val="minor"/>
      </font>
      <alignment horizontal="center" vertical="center" textRotation="0" wrapText="0" indent="0" justifyLastLine="0" shrinkToFit="0" readingOrder="0"/>
      <border diagonalUp="0" diagonalDown="0">
        <left style="thin">
          <color theme="4"/>
        </left>
        <right style="thin">
          <color theme="4"/>
        </right>
        <top/>
        <bottom/>
        <vertical style="thin">
          <color theme="4"/>
        </vertical>
        <horizontal style="thin">
          <color theme="4"/>
        </horizontal>
      </border>
    </dxf>
  </dxfs>
  <tableStyles count="1" defaultTableStyle="TableStyleMedium2" defaultPivotStyle="PivotStyleLight16">
    <tableStyle name="Invisible" pivot="0" table="0" count="0" xr9:uid="{82CBA546-AC25-44A1-A2E0-F300585D6C0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5" Type="http://schemas.openxmlformats.org/officeDocument/2006/relationships/theme" Target="theme/theme1.xml"/><Relationship Id="rId10" Type="http://schemas.microsoft.com/office/2017/10/relationships/person" Target="persons/person4.xml"/><Relationship Id="rId4" Type="http://schemas.openxmlformats.org/officeDocument/2006/relationships/worksheet" Target="worksheets/sheet4.xml"/><Relationship Id="rId9" Type="http://schemas.microsoft.com/office/2017/10/relationships/person" Target="persons/person.xml"/><Relationship Id="rId14" Type="http://schemas.microsoft.com/office/2017/10/relationships/person" Target="persons/person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19050</xdr:rowOff>
    </xdr:from>
    <xdr:to>
      <xdr:col>12</xdr:col>
      <xdr:colOff>25400</xdr:colOff>
      <xdr:row>9</xdr:row>
      <xdr:rowOff>19050</xdr:rowOff>
    </xdr:to>
    <xdr:cxnSp macro="">
      <xdr:nvCxnSpPr>
        <xdr:cNvPr id="3" name="Straight Connector 2">
          <a:extLst>
            <a:ext uri="{FF2B5EF4-FFF2-40B4-BE49-F238E27FC236}">
              <a16:creationId xmlns:a16="http://schemas.microsoft.com/office/drawing/2014/main" id="{4C41E3B6-BB78-E8F3-D5BA-62197A92F6F8}"/>
            </a:ext>
          </a:extLst>
        </xdr:cNvPr>
        <xdr:cNvCxnSpPr/>
      </xdr:nvCxnSpPr>
      <xdr:spPr>
        <a:xfrm>
          <a:off x="0" y="2222500"/>
          <a:ext cx="8413750" cy="0"/>
        </a:xfrm>
        <a:prstGeom prst="line">
          <a:avLst/>
        </a:prstGeom>
      </xdr:spPr>
      <xdr:style>
        <a:lnRef idx="2">
          <a:schemeClr val="accent5"/>
        </a:lnRef>
        <a:fillRef idx="0">
          <a:schemeClr val="accent5"/>
        </a:fillRef>
        <a:effectRef idx="1">
          <a:schemeClr val="accent5"/>
        </a:effectRef>
        <a:fontRef idx="minor">
          <a:schemeClr val="tx1"/>
        </a:fontRef>
      </xdr:style>
    </xdr:cxnSp>
    <xdr:clientData/>
  </xdr:twoCellAnchor>
  <xdr:twoCellAnchor editAs="oneCell">
    <xdr:from>
      <xdr:col>11</xdr:col>
      <xdr:colOff>63501</xdr:colOff>
      <xdr:row>0</xdr:row>
      <xdr:rowOff>12700</xdr:rowOff>
    </xdr:from>
    <xdr:to>
      <xdr:col>11</xdr:col>
      <xdr:colOff>615950</xdr:colOff>
      <xdr:row>1</xdr:row>
      <xdr:rowOff>8851</xdr:rowOff>
    </xdr:to>
    <xdr:pic>
      <xdr:nvPicPr>
        <xdr:cNvPr id="2" name="Picture 1" descr="Badminton icon sport symbol flat Royalty Free Vector Image">
          <a:extLst>
            <a:ext uri="{FF2B5EF4-FFF2-40B4-BE49-F238E27FC236}">
              <a16:creationId xmlns:a16="http://schemas.microsoft.com/office/drawing/2014/main" id="{C97ABD37-8CE3-41D3-96D5-855AF5F530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91451" y="12700"/>
          <a:ext cx="552449" cy="58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44900</xdr:colOff>
      <xdr:row>0</xdr:row>
      <xdr:rowOff>19242</xdr:rowOff>
    </xdr:from>
    <xdr:to>
      <xdr:col>1</xdr:col>
      <xdr:colOff>391264</xdr:colOff>
      <xdr:row>0</xdr:row>
      <xdr:rowOff>387081</xdr:rowOff>
    </xdr:to>
    <xdr:pic>
      <xdr:nvPicPr>
        <xdr:cNvPr id="2" name="Picture 1" descr="Badminton icon sport symbol flat Royalty Free Vector Image">
          <a:extLst>
            <a:ext uri="{FF2B5EF4-FFF2-40B4-BE49-F238E27FC236}">
              <a16:creationId xmlns:a16="http://schemas.microsoft.com/office/drawing/2014/main" id="{04D8B1C4-FA6C-46B7-8C68-AD8B90ACB1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6062" y="19242"/>
          <a:ext cx="346364" cy="367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9ECF20-1AD8-4778-83B4-F406887EDD92}" name="Expenses_Table" displayName="Expenses_Table" ref="A7:L17" totalsRowShown="0" headerRowDxfId="47" headerRowBorderDxfId="46" tableBorderDxfId="45" totalsRowBorderDxfId="44">
  <autoFilter ref="A7:L17" xr:uid="{039ECF20-1AD8-4778-83B4-F406887EDD92}"/>
  <tableColumns count="12">
    <tableColumn id="1" xr3:uid="{D62B1234-9419-4BA1-A92F-0401DD217205}" name="Items" dataDxfId="43"/>
    <tableColumn id="12" xr3:uid="{7D271B8F-2CCD-45FA-B277-B3FB74009A18}" name="One-time payment" dataDxfId="42">
      <calculatedColumnFormula>SUM(Expenses_Table[[#Headers],[One-time payment]])</calculatedColumnFormula>
    </tableColumn>
    <tableColumn id="2" xr3:uid="{D9DBBF69-C587-45EC-9B37-6204E6E8C97A}" name="1st Year" dataDxfId="41" dataCellStyle="Currency"/>
    <tableColumn id="3" xr3:uid="{1534C2BA-4E20-4F1E-8D77-65C7FA0902B7}" name="2nd Year" dataDxfId="40" dataCellStyle="Currency">
      <calculatedColumnFormula>Expenses_Table[[#This Row],[1st Year]]*1.1</calculatedColumnFormula>
    </tableColumn>
    <tableColumn id="4" xr3:uid="{D5FE843A-9411-4660-AA28-E6C7852DC03F}" name="3rd year" dataDxfId="39" dataCellStyle="Currency"/>
    <tableColumn id="5" xr3:uid="{49F8E9E1-C552-4F9F-8D72-B4AEE3F369D7}" name="4th Year" dataDxfId="38" dataCellStyle="Currency"/>
    <tableColumn id="6" xr3:uid="{C3227127-FB7F-4712-9C3A-59EBB1252C37}" name="5th Year" dataDxfId="37" dataCellStyle="Currency"/>
    <tableColumn id="7" xr3:uid="{45EA7F05-320D-4BF2-B377-115EFAC508EF}" name="6th Year" dataDxfId="36" dataCellStyle="Currency"/>
    <tableColumn id="8" xr3:uid="{4BBFE247-34D8-4E47-B33E-3CE819E90F8B}" name="7th Year" dataDxfId="35" dataCellStyle="Currency"/>
    <tableColumn id="9" xr3:uid="{B8678294-1431-4F39-867E-0BA1878E6808}" name="8th Year" dataDxfId="34" dataCellStyle="Currency"/>
    <tableColumn id="10" xr3:uid="{CFD0812B-3F21-428A-81FC-B5DCAF3C4AAC}" name="9th Year" dataDxfId="33" dataCellStyle="Currency"/>
    <tableColumn id="11" xr3:uid="{065C2BA8-98C3-40DE-B7C1-F757DAB85ED4}" name="10th Year" dataDxfId="32" dataCellStyle="Currency"/>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AAF4D0-659A-4E8E-A2D7-F98AF0EBE64C}" name="Revenue_Table" displayName="Revenue_Table" ref="A37:K42" totalsRowShown="0" headerRowDxfId="31" headerRowBorderDxfId="30" tableBorderDxfId="29" totalsRowBorderDxfId="28">
  <autoFilter ref="A37:K42" xr:uid="{F8AAF4D0-659A-4E8E-A2D7-F98AF0EBE64C}"/>
  <tableColumns count="11">
    <tableColumn id="1" xr3:uid="{0721C3C4-FC62-41C9-B761-755CD87DC944}" name="Revenue Streams" dataDxfId="27"/>
    <tableColumn id="2" xr3:uid="{5AD6B914-803F-4CF3-8E0A-B5526B2F2C95}" name="1st Year" dataDxfId="26" dataCellStyle="Currency">
      <calculatedColumnFormula>SUM(B29:B37)</calculatedColumnFormula>
    </tableColumn>
    <tableColumn id="3" xr3:uid="{3F4565FB-70D6-42C1-8EA4-CCFADC11607A}" name="2nd Year" dataDxfId="25" dataCellStyle="Currency">
      <calculatedColumnFormula>Revenue_Table[[#This Row],[1st Year]]*1.1</calculatedColumnFormula>
    </tableColumn>
    <tableColumn id="4" xr3:uid="{1A852BB1-E237-4BB6-93FD-52D59CBAD185}" name="3rd year" dataDxfId="24" dataCellStyle="Currency">
      <calculatedColumnFormula>Revenue_Table[[#This Row],[2nd Year]]*1.1</calculatedColumnFormula>
    </tableColumn>
    <tableColumn id="5" xr3:uid="{26528DBA-18B5-4658-B989-6130BAD5A8EB}" name="4th Year" dataDxfId="23" dataCellStyle="Currency">
      <calculatedColumnFormula>Revenue_Table[[#This Row],[3rd year]]*1.1</calculatedColumnFormula>
    </tableColumn>
    <tableColumn id="6" xr3:uid="{73A10B45-5AC7-40C3-A938-9E123ECEDB89}" name="5th Year" dataDxfId="22" dataCellStyle="Currency">
      <calculatedColumnFormula>SUM(F29:F37)</calculatedColumnFormula>
    </tableColumn>
    <tableColumn id="7" xr3:uid="{F1DCB79E-5067-46FF-89ED-AC54A3E7120C}" name="6th Year" dataDxfId="21" dataCellStyle="Currency">
      <calculatedColumnFormula>Revenue_Table[[#This Row],[5th Year]]*1.1</calculatedColumnFormula>
    </tableColumn>
    <tableColumn id="8" xr3:uid="{0792C7F4-CD83-4AA2-BB6F-066128041FFA}" name="7th Year" dataDxfId="20" dataCellStyle="Currency">
      <calculatedColumnFormula>SUM(H29:H37)</calculatedColumnFormula>
    </tableColumn>
    <tableColumn id="9" xr3:uid="{C94E309B-042E-4E00-929D-F814B38C2FA7}" name="8th Year" dataDxfId="19" dataCellStyle="Currency">
      <calculatedColumnFormula>Revenue_Table[[#This Row],[7th Year]]*1.1</calculatedColumnFormula>
    </tableColumn>
    <tableColumn id="10" xr3:uid="{B680FD6C-659A-4F1A-B526-9162D4FD854C}" name="9th Year" dataDxfId="18" dataCellStyle="Currency">
      <calculatedColumnFormula>SUM(J29:J37)</calculatedColumnFormula>
    </tableColumn>
    <tableColumn id="11" xr3:uid="{EB9AC879-BF7D-4B11-86B1-415D7B24E035}" name="10th Year" dataDxfId="17" dataCellStyle="Currency">
      <calculatedColumnFormula>Revenue_Table[[#This Row],[9th Year]]*1.1</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5F421F-A521-42A4-BE1F-5BED5F41728C}" name="PL_Table" displayName="PL_Table" ref="A48:F58" totalsRowShown="0" headerRowDxfId="4" dataDxfId="16" headerRowBorderDxfId="8" tableBorderDxfId="9" totalsRowBorderDxfId="7">
  <autoFilter ref="A48:F58" xr:uid="{D55F421F-A521-42A4-BE1F-5BED5F41728C}"/>
  <tableColumns count="6">
    <tableColumn id="1" xr3:uid="{044ED028-BD0C-4892-830D-C174EABD348F}" name="Period" dataDxfId="3"/>
    <tableColumn id="2" xr3:uid="{B93FC3DE-1386-45A2-9B7C-892018BA8CE6}" name="Total Revenue" dataDxfId="6">
      <calculatedColumnFormula>INDIRECT(ADDRESS(42,ROW(B2)))</calculatedColumnFormula>
    </tableColumn>
    <tableColumn id="6" xr3:uid="{C3E3C0F5-420F-428C-B335-A9B37345E314}" name="Bank EMI Expenses" dataDxfId="2">
      <calculatedColumnFormula>Loan_Payment_per_year</calculatedColumnFormula>
    </tableColumn>
    <tableColumn id="5" xr3:uid="{B343540C-6A53-4907-BA9C-76F90F848E1C}" name="Court Expenses" dataDxfId="5">
      <calculatedColumnFormula>B17+C17</calculatedColumnFormula>
    </tableColumn>
    <tableColumn id="3" xr3:uid="{65649581-2A9F-4E5E-98BC-0E0CC6BA2053}" name="Total Expenses" dataDxfId="1">
      <calculatedColumnFormula>PL_Table[[#This Row],[Bank EMI Expenses]]+PL_Table[[#This Row],[Court Expenses]]</calculatedColumnFormula>
    </tableColumn>
    <tableColumn id="4" xr3:uid="{685931CF-57C0-427C-96D7-98FB7EE16337}" name="Profit/Loss" dataDxfId="0">
      <calculatedColumnFormula>PL_Table[[#This Row],[Total Revenue]]-PL_Table[[#This Row],[Total Expenses]]</calculatedColumnFormula>
    </tableColum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C30DCD-9CFF-4C5F-B3EC-675278853F9C}" name="Bank_Loan_Table" displayName="Bank_Loan_Table" ref="A21:B26" totalsRowShown="0" headerRowDxfId="15" headerRowBorderDxfId="14" tableBorderDxfId="13" totalsRowBorderDxfId="12">
  <autoFilter ref="A21:B26" xr:uid="{E6C30DCD-9CFF-4C5F-B3EC-675278853F9C}"/>
  <tableColumns count="2">
    <tableColumn id="1" xr3:uid="{1BEDB88D-63F9-44FA-8796-EDC0D1561A97}" name="Items" dataDxfId="11"/>
    <tableColumn id="2" xr3:uid="{42D97297-73B6-41E8-AA29-48DE06DE37F2}" name="1st Year" dataDxfId="1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C3F1E-491F-4245-81BC-F5396E9D067A}">
  <dimension ref="A1:K21"/>
  <sheetViews>
    <sheetView showGridLines="0" workbookViewId="0">
      <selection activeCell="G14" sqref="G14"/>
    </sheetView>
  </sheetViews>
  <sheetFormatPr defaultRowHeight="15.5" x14ac:dyDescent="0.35"/>
  <cols>
    <col min="1" max="1" width="11.83203125" customWidth="1"/>
    <col min="2" max="2" width="9" customWidth="1"/>
    <col min="9" max="9" width="11.25" customWidth="1"/>
  </cols>
  <sheetData>
    <row r="1" spans="1:11" ht="46.5" thickBot="1" x14ac:dyDescent="0.4">
      <c r="A1" s="4" t="s">
        <v>0</v>
      </c>
      <c r="B1" s="5"/>
      <c r="C1" s="3"/>
      <c r="D1" s="3"/>
      <c r="E1" s="3"/>
      <c r="F1" s="3"/>
      <c r="G1" s="3"/>
      <c r="H1" s="3"/>
      <c r="I1" s="3"/>
      <c r="J1" s="3"/>
      <c r="K1" s="3"/>
    </row>
    <row r="4" spans="1:11" ht="17" x14ac:dyDescent="0.4">
      <c r="A4" s="7" t="s">
        <v>1</v>
      </c>
    </row>
    <row r="5" spans="1:11" x14ac:dyDescent="0.35">
      <c r="A5" t="s">
        <v>4</v>
      </c>
    </row>
    <row r="7" spans="1:11" ht="17" x14ac:dyDescent="0.4">
      <c r="A7" s="7" t="s">
        <v>7</v>
      </c>
    </row>
    <row r="8" spans="1:11" x14ac:dyDescent="0.35">
      <c r="A8" t="s">
        <v>8</v>
      </c>
    </row>
    <row r="12" spans="1:11" ht="17" x14ac:dyDescent="0.4">
      <c r="A12" s="20" t="s">
        <v>3</v>
      </c>
      <c r="B12" s="6"/>
      <c r="C12" s="2"/>
    </row>
    <row r="13" spans="1:11" x14ac:dyDescent="0.35">
      <c r="A13" t="s">
        <v>2</v>
      </c>
      <c r="B13" s="6"/>
      <c r="C13" s="2"/>
    </row>
    <row r="15" spans="1:11" ht="31" x14ac:dyDescent="0.35">
      <c r="A15" s="10" t="s">
        <v>5</v>
      </c>
      <c r="B15" s="9">
        <v>880</v>
      </c>
      <c r="C15" s="8" t="s">
        <v>6</v>
      </c>
    </row>
    <row r="16" spans="1:11" ht="31" x14ac:dyDescent="0.35">
      <c r="A16" s="11" t="s">
        <v>9</v>
      </c>
      <c r="B16" s="9">
        <f>Area_of_a_single_court*3</f>
        <v>2640</v>
      </c>
      <c r="C16" s="8" t="s">
        <v>6</v>
      </c>
    </row>
    <row r="19" spans="1:3" ht="31" x14ac:dyDescent="0.35">
      <c r="A19" s="10" t="s">
        <v>10</v>
      </c>
      <c r="B19" s="9">
        <v>3600</v>
      </c>
      <c r="C19" s="8" t="s">
        <v>6</v>
      </c>
    </row>
    <row r="21" spans="1:3" x14ac:dyDescent="0.35">
      <c r="A21" s="21" t="s">
        <v>42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05FC-BD98-42EC-BBF7-5CE3E6645DFF}">
  <dimension ref="A1:W58"/>
  <sheetViews>
    <sheetView showGridLines="0" tabSelected="1" topLeftCell="A19" zoomScale="65" zoomScaleNormal="99" workbookViewId="0">
      <selection activeCell="C21" sqref="C21"/>
    </sheetView>
  </sheetViews>
  <sheetFormatPr defaultRowHeight="15.5" x14ac:dyDescent="0.35"/>
  <cols>
    <col min="1" max="1" width="30.75" bestFit="1" customWidth="1"/>
    <col min="2" max="2" width="20.6640625" bestFit="1" customWidth="1"/>
    <col min="3" max="3" width="15.5" customWidth="1"/>
    <col min="4" max="4" width="17.83203125" bestFit="1" customWidth="1"/>
    <col min="5" max="5" width="17.25" customWidth="1"/>
    <col min="6" max="6" width="15.1640625" customWidth="1"/>
    <col min="7" max="7" width="14.25" customWidth="1"/>
    <col min="8" max="8" width="15.33203125" customWidth="1"/>
    <col min="9" max="10" width="13.1640625" bestFit="1" customWidth="1"/>
    <col min="11" max="11" width="13.58203125" bestFit="1" customWidth="1"/>
    <col min="12" max="12" width="12.83203125" bestFit="1" customWidth="1"/>
    <col min="13" max="13" width="24.58203125" bestFit="1" customWidth="1"/>
    <col min="14" max="14" width="13" customWidth="1"/>
    <col min="23" max="23" width="9" bestFit="1" customWidth="1"/>
  </cols>
  <sheetData>
    <row r="1" spans="1:12" ht="31.5" thickBot="1" x14ac:dyDescent="0.75">
      <c r="A1" s="87" t="s">
        <v>20</v>
      </c>
    </row>
    <row r="2" spans="1:12" ht="16" thickTop="1" x14ac:dyDescent="0.35"/>
    <row r="3" spans="1:12" ht="18.5" customHeight="1" x14ac:dyDescent="0.35"/>
    <row r="5" spans="1:12" ht="17.5" thickBot="1" x14ac:dyDescent="0.45">
      <c r="A5" s="46" t="s">
        <v>57</v>
      </c>
      <c r="C5" s="32" t="s">
        <v>66</v>
      </c>
      <c r="D5" s="53">
        <v>0.06</v>
      </c>
    </row>
    <row r="6" spans="1:12" ht="16" thickTop="1" x14ac:dyDescent="0.35"/>
    <row r="7" spans="1:12" x14ac:dyDescent="0.35">
      <c r="A7" s="12" t="s">
        <v>19</v>
      </c>
      <c r="B7" s="12" t="s">
        <v>43</v>
      </c>
      <c r="C7" s="13" t="s">
        <v>30</v>
      </c>
      <c r="D7" s="13" t="s">
        <v>31</v>
      </c>
      <c r="E7" s="13" t="s">
        <v>32</v>
      </c>
      <c r="F7" s="13" t="s">
        <v>33</v>
      </c>
      <c r="G7" s="13" t="s">
        <v>34</v>
      </c>
      <c r="H7" s="13" t="s">
        <v>35</v>
      </c>
      <c r="I7" s="13" t="s">
        <v>36</v>
      </c>
      <c r="J7" s="13" t="s">
        <v>37</v>
      </c>
      <c r="K7" s="13" t="s">
        <v>38</v>
      </c>
      <c r="L7" s="14" t="s">
        <v>39</v>
      </c>
    </row>
    <row r="8" spans="1:12" x14ac:dyDescent="0.35">
      <c r="A8" s="44" t="s">
        <v>58</v>
      </c>
      <c r="B8" s="37">
        <v>1000000</v>
      </c>
      <c r="C8" s="22"/>
      <c r="D8" s="22"/>
      <c r="E8" s="22"/>
      <c r="F8" s="22"/>
      <c r="G8" s="22"/>
      <c r="H8" s="22"/>
      <c r="I8" s="22"/>
      <c r="J8" s="22"/>
      <c r="K8" s="22"/>
      <c r="L8" s="23"/>
    </row>
    <row r="9" spans="1:12" x14ac:dyDescent="0.35">
      <c r="A9" s="44" t="s">
        <v>46</v>
      </c>
      <c r="B9" s="37">
        <v>5000000</v>
      </c>
      <c r="C9" s="22"/>
      <c r="D9" s="22"/>
      <c r="E9" s="22"/>
      <c r="F9" s="22"/>
      <c r="G9" s="22"/>
      <c r="H9" s="22"/>
      <c r="I9" s="22"/>
      <c r="J9" s="22"/>
      <c r="K9" s="22"/>
      <c r="L9" s="23"/>
    </row>
    <row r="10" spans="1:12" x14ac:dyDescent="0.35">
      <c r="A10" s="44" t="s">
        <v>11</v>
      </c>
      <c r="B10" s="30"/>
      <c r="C10" s="38">
        <v>1200000</v>
      </c>
      <c r="D10" s="15">
        <f>Expenses_Table[[#This Row],[1st Year]]+Expenses_Table[[#This Row],[1st Year]]*$D$5</f>
        <v>1272000</v>
      </c>
      <c r="E10" s="15">
        <f>Expenses_Table[[#This Row],[2nd Year]]+Expenses_Table[[#This Row],[2nd Year]]*$D$5</f>
        <v>1348320</v>
      </c>
      <c r="F10" s="15">
        <f>Expenses_Table[[#This Row],[3rd year]]+Expenses_Table[[#This Row],[3rd year]]*$D$5</f>
        <v>1429219.2</v>
      </c>
      <c r="G10" s="15">
        <f>Expenses_Table[[#This Row],[4th Year]]+Expenses_Table[[#This Row],[4th Year]]*$D$5</f>
        <v>1514972.352</v>
      </c>
      <c r="H10" s="15">
        <f>Expenses_Table[[#This Row],[5th Year]]+Expenses_Table[[#This Row],[5th Year]]*$D$5</f>
        <v>1605870.69312</v>
      </c>
      <c r="I10" s="15">
        <f>Expenses_Table[[#This Row],[6th Year]]+Expenses_Table[[#This Row],[6th Year]]*$D$5</f>
        <v>1702222.9347071999</v>
      </c>
      <c r="J10" s="15">
        <f>Expenses_Table[[#This Row],[7th Year]]+Expenses_Table[[#This Row],[7th Year]]*$D$5</f>
        <v>1804356.3107896319</v>
      </c>
      <c r="K10" s="15">
        <f>Expenses_Table[[#This Row],[8th Year]]+Expenses_Table[[#This Row],[8th Year]]*$D$5</f>
        <v>1912617.6894370099</v>
      </c>
      <c r="L10" s="15">
        <f>Expenses_Table[[#This Row],[9th Year]]+Expenses_Table[[#This Row],[9th Year]]*$D$5</f>
        <v>2027374.7508032303</v>
      </c>
    </row>
    <row r="11" spans="1:12" x14ac:dyDescent="0.35">
      <c r="A11" s="44" t="s">
        <v>12</v>
      </c>
      <c r="B11" s="30"/>
      <c r="C11" s="38">
        <v>600000</v>
      </c>
      <c r="D11" s="15">
        <f>Expenses_Table[[#This Row],[1st Year]]+Expenses_Table[[#This Row],[1st Year]]*$D$5</f>
        <v>636000</v>
      </c>
      <c r="E11" s="15">
        <f>Expenses_Table[[#This Row],[2nd Year]]+Expenses_Table[[#This Row],[2nd Year]]*$D$5</f>
        <v>674160</v>
      </c>
      <c r="F11" s="15">
        <f>Expenses_Table[[#This Row],[3rd year]]+Expenses_Table[[#This Row],[3rd year]]*$D$5</f>
        <v>714609.6</v>
      </c>
      <c r="G11" s="15">
        <f>Expenses_Table[[#This Row],[4th Year]]+Expenses_Table[[#This Row],[4th Year]]*$D$5</f>
        <v>757486.17599999998</v>
      </c>
      <c r="H11" s="15">
        <f>Expenses_Table[[#This Row],[5th Year]]+Expenses_Table[[#This Row],[5th Year]]*$D$5</f>
        <v>802935.34655999998</v>
      </c>
      <c r="I11" s="15">
        <f>Expenses_Table[[#This Row],[6th Year]]+Expenses_Table[[#This Row],[6th Year]]*$D$5</f>
        <v>851111.46735359996</v>
      </c>
      <c r="J11" s="15">
        <f>Expenses_Table[[#This Row],[7th Year]]+Expenses_Table[[#This Row],[7th Year]]*$D$5</f>
        <v>902178.15539481596</v>
      </c>
      <c r="K11" s="15">
        <f>Expenses_Table[[#This Row],[8th Year]]+Expenses_Table[[#This Row],[8th Year]]*$D$5</f>
        <v>956308.84471850493</v>
      </c>
      <c r="L11" s="15">
        <f>Expenses_Table[[#This Row],[9th Year]]+Expenses_Table[[#This Row],[9th Year]]*$D$5</f>
        <v>1013687.3754016152</v>
      </c>
    </row>
    <row r="12" spans="1:12" x14ac:dyDescent="0.35">
      <c r="A12" s="44" t="s">
        <v>13</v>
      </c>
      <c r="B12" s="30"/>
      <c r="C12" s="38">
        <v>0</v>
      </c>
      <c r="D12" s="15">
        <f>Expenses_Table[[#This Row],[1st Year]]+Expenses_Table[[#This Row],[1st Year]]*$D$5</f>
        <v>0</v>
      </c>
      <c r="E12" s="15">
        <f>Expenses_Table[[#This Row],[2nd Year]]+Expenses_Table[[#This Row],[2nd Year]]*$D$5</f>
        <v>0</v>
      </c>
      <c r="F12" s="15">
        <f>Expenses_Table[[#This Row],[3rd year]]+Expenses_Table[[#This Row],[3rd year]]*$D$5</f>
        <v>0</v>
      </c>
      <c r="G12" s="15">
        <f>Expenses_Table[[#This Row],[4th Year]]+Expenses_Table[[#This Row],[4th Year]]*$D$5</f>
        <v>0</v>
      </c>
      <c r="H12" s="15">
        <f>Expenses_Table[[#This Row],[5th Year]]+Expenses_Table[[#This Row],[5th Year]]*$D$5</f>
        <v>0</v>
      </c>
      <c r="I12" s="15">
        <f>Expenses_Table[[#This Row],[6th Year]]+Expenses_Table[[#This Row],[6th Year]]*$D$5</f>
        <v>0</v>
      </c>
      <c r="J12" s="15">
        <f>Expenses_Table[[#This Row],[7th Year]]+Expenses_Table[[#This Row],[7th Year]]*$D$5</f>
        <v>0</v>
      </c>
      <c r="K12" s="15">
        <f>Expenses_Table[[#This Row],[8th Year]]+Expenses_Table[[#This Row],[8th Year]]*$D$5</f>
        <v>0</v>
      </c>
      <c r="L12" s="15">
        <f>Expenses_Table[[#This Row],[9th Year]]+Expenses_Table[[#This Row],[9th Year]]*$D$5</f>
        <v>0</v>
      </c>
    </row>
    <row r="13" spans="1:12" x14ac:dyDescent="0.35">
      <c r="A13" s="44" t="s">
        <v>14</v>
      </c>
      <c r="B13" s="25"/>
      <c r="C13" s="38">
        <v>0</v>
      </c>
      <c r="D13" s="15">
        <f>Expenses_Table[[#This Row],[1st Year]]+Expenses_Table[[#This Row],[1st Year]]*$D$5</f>
        <v>0</v>
      </c>
      <c r="E13" s="15">
        <f>Expenses_Table[[#This Row],[2nd Year]]+Expenses_Table[[#This Row],[2nd Year]]*$D$5</f>
        <v>0</v>
      </c>
      <c r="F13" s="15">
        <f>Expenses_Table[[#This Row],[3rd year]]+Expenses_Table[[#This Row],[3rd year]]*$D$5</f>
        <v>0</v>
      </c>
      <c r="G13" s="15">
        <f>Expenses_Table[[#This Row],[4th Year]]+Expenses_Table[[#This Row],[4th Year]]*$D$5</f>
        <v>0</v>
      </c>
      <c r="H13" s="15">
        <f>Expenses_Table[[#This Row],[5th Year]]+Expenses_Table[[#This Row],[5th Year]]*$D$5</f>
        <v>0</v>
      </c>
      <c r="I13" s="15">
        <f>Expenses_Table[[#This Row],[6th Year]]+Expenses_Table[[#This Row],[6th Year]]*$D$5</f>
        <v>0</v>
      </c>
      <c r="J13" s="15">
        <f>Expenses_Table[[#This Row],[7th Year]]+Expenses_Table[[#This Row],[7th Year]]*$D$5</f>
        <v>0</v>
      </c>
      <c r="K13" s="15">
        <f>Expenses_Table[[#This Row],[8th Year]]+Expenses_Table[[#This Row],[8th Year]]*$D$5</f>
        <v>0</v>
      </c>
      <c r="L13" s="15">
        <f>Expenses_Table[[#This Row],[9th Year]]+Expenses_Table[[#This Row],[9th Year]]*$D$5</f>
        <v>0</v>
      </c>
    </row>
    <row r="14" spans="1:12" x14ac:dyDescent="0.35">
      <c r="A14" s="44" t="s">
        <v>15</v>
      </c>
      <c r="B14" s="25"/>
      <c r="C14" s="38">
        <v>600000</v>
      </c>
      <c r="D14" s="15">
        <f>Expenses_Table[[#This Row],[1st Year]]+Expenses_Table[[#This Row],[1st Year]]*$D$5</f>
        <v>636000</v>
      </c>
      <c r="E14" s="15">
        <f>Expenses_Table[[#This Row],[2nd Year]]+Expenses_Table[[#This Row],[2nd Year]]*$D$5</f>
        <v>674160</v>
      </c>
      <c r="F14" s="15">
        <f>Expenses_Table[[#This Row],[3rd year]]+Expenses_Table[[#This Row],[3rd year]]*$D$5</f>
        <v>714609.6</v>
      </c>
      <c r="G14" s="15">
        <f>Expenses_Table[[#This Row],[4th Year]]+Expenses_Table[[#This Row],[4th Year]]*$D$5</f>
        <v>757486.17599999998</v>
      </c>
      <c r="H14" s="15">
        <f>Expenses_Table[[#This Row],[5th Year]]+Expenses_Table[[#This Row],[5th Year]]*$D$5</f>
        <v>802935.34655999998</v>
      </c>
      <c r="I14" s="15">
        <f>Expenses_Table[[#This Row],[6th Year]]+Expenses_Table[[#This Row],[6th Year]]*$D$5</f>
        <v>851111.46735359996</v>
      </c>
      <c r="J14" s="15">
        <f>Expenses_Table[[#This Row],[7th Year]]+Expenses_Table[[#This Row],[7th Year]]*$D$5</f>
        <v>902178.15539481596</v>
      </c>
      <c r="K14" s="15">
        <f>Expenses_Table[[#This Row],[8th Year]]+Expenses_Table[[#This Row],[8th Year]]*$D$5</f>
        <v>956308.84471850493</v>
      </c>
      <c r="L14" s="15">
        <f>Expenses_Table[[#This Row],[9th Year]]+Expenses_Table[[#This Row],[9th Year]]*$D$5</f>
        <v>1013687.3754016152</v>
      </c>
    </row>
    <row r="15" spans="1:12" x14ac:dyDescent="0.35">
      <c r="A15" s="44" t="s">
        <v>16</v>
      </c>
      <c r="B15" s="25"/>
      <c r="C15" s="38">
        <v>0</v>
      </c>
      <c r="D15" s="15">
        <f>Expenses_Table[[#This Row],[1st Year]]+Expenses_Table[[#This Row],[1st Year]]*$D$5</f>
        <v>0</v>
      </c>
      <c r="E15" s="15">
        <f>Expenses_Table[[#This Row],[2nd Year]]+Expenses_Table[[#This Row],[2nd Year]]*$D$5</f>
        <v>0</v>
      </c>
      <c r="F15" s="15">
        <f>Expenses_Table[[#This Row],[3rd year]]+Expenses_Table[[#This Row],[3rd year]]*$D$5</f>
        <v>0</v>
      </c>
      <c r="G15" s="15">
        <f>Expenses_Table[[#This Row],[4th Year]]+Expenses_Table[[#This Row],[4th Year]]*$D$5</f>
        <v>0</v>
      </c>
      <c r="H15" s="15">
        <f>Expenses_Table[[#This Row],[5th Year]]+Expenses_Table[[#This Row],[5th Year]]*$D$5</f>
        <v>0</v>
      </c>
      <c r="I15" s="15">
        <f>Expenses_Table[[#This Row],[6th Year]]+Expenses_Table[[#This Row],[6th Year]]*$D$5</f>
        <v>0</v>
      </c>
      <c r="J15" s="15">
        <f>Expenses_Table[[#This Row],[7th Year]]+Expenses_Table[[#This Row],[7th Year]]*$D$5</f>
        <v>0</v>
      </c>
      <c r="K15" s="15">
        <f>Expenses_Table[[#This Row],[8th Year]]+Expenses_Table[[#This Row],[8th Year]]*$D$5</f>
        <v>0</v>
      </c>
      <c r="L15" s="15">
        <f>Expenses_Table[[#This Row],[9th Year]]+Expenses_Table[[#This Row],[9th Year]]*$D$5</f>
        <v>0</v>
      </c>
    </row>
    <row r="16" spans="1:12" x14ac:dyDescent="0.35">
      <c r="A16" s="44" t="s">
        <v>17</v>
      </c>
      <c r="B16" s="25"/>
      <c r="C16" s="38">
        <v>1000000</v>
      </c>
      <c r="D16" s="15">
        <f>Expenses_Table[[#This Row],[1st Year]]+Expenses_Table[[#This Row],[1st Year]]*$D$5</f>
        <v>1060000</v>
      </c>
      <c r="E16" s="15">
        <f>Expenses_Table[[#This Row],[2nd Year]]+Expenses_Table[[#This Row],[2nd Year]]*$D$5</f>
        <v>1123600</v>
      </c>
      <c r="F16" s="15">
        <f>Expenses_Table[[#This Row],[3rd year]]+Expenses_Table[[#This Row],[3rd year]]*$D$5</f>
        <v>1191016</v>
      </c>
      <c r="G16" s="15">
        <f>Expenses_Table[[#This Row],[4th Year]]+Expenses_Table[[#This Row],[4th Year]]*$D$5</f>
        <v>1262476.96</v>
      </c>
      <c r="H16" s="15">
        <f>Expenses_Table[[#This Row],[5th Year]]+Expenses_Table[[#This Row],[5th Year]]*$D$5</f>
        <v>1338225.5776</v>
      </c>
      <c r="I16" s="15">
        <f>Expenses_Table[[#This Row],[6th Year]]+Expenses_Table[[#This Row],[6th Year]]*$D$5</f>
        <v>1418519.1122560001</v>
      </c>
      <c r="J16" s="15">
        <f>Expenses_Table[[#This Row],[7th Year]]+Expenses_Table[[#This Row],[7th Year]]*$D$5</f>
        <v>1503630.25899136</v>
      </c>
      <c r="K16" s="15">
        <f>Expenses_Table[[#This Row],[8th Year]]+Expenses_Table[[#This Row],[8th Year]]*$D$5</f>
        <v>1593848.0745308415</v>
      </c>
      <c r="L16" s="15">
        <f>Expenses_Table[[#This Row],[9th Year]]+Expenses_Table[[#This Row],[9th Year]]*$D$5</f>
        <v>1689478.959002692</v>
      </c>
    </row>
    <row r="17" spans="1:23" x14ac:dyDescent="0.35">
      <c r="A17" s="42" t="s">
        <v>18</v>
      </c>
      <c r="B17" s="24">
        <f>SUM(B8:B9)</f>
        <v>6000000</v>
      </c>
      <c r="C17" s="40">
        <f>SUM(C8:C16)</f>
        <v>3400000</v>
      </c>
      <c r="D17" s="40">
        <f>SUM(D8:D16)</f>
        <v>3604000</v>
      </c>
      <c r="E17" s="40">
        <f t="shared" ref="E17:L17" si="0">SUM(E8:E16)</f>
        <v>3820240</v>
      </c>
      <c r="F17" s="40">
        <f t="shared" si="0"/>
        <v>4049454.4</v>
      </c>
      <c r="G17" s="40">
        <f t="shared" si="0"/>
        <v>4292421.6639999999</v>
      </c>
      <c r="H17" s="40">
        <f t="shared" si="0"/>
        <v>4549966.9638400003</v>
      </c>
      <c r="I17" s="40">
        <f t="shared" si="0"/>
        <v>4822964.9816704001</v>
      </c>
      <c r="J17" s="40">
        <f t="shared" si="0"/>
        <v>5112342.880570624</v>
      </c>
      <c r="K17" s="40">
        <f t="shared" si="0"/>
        <v>5419083.4534048615</v>
      </c>
      <c r="L17" s="40">
        <f t="shared" si="0"/>
        <v>5744228.4606091529</v>
      </c>
    </row>
    <row r="19" spans="1:23" ht="17.5" thickBot="1" x14ac:dyDescent="0.45">
      <c r="A19" s="46" t="s">
        <v>59</v>
      </c>
    </row>
    <row r="20" spans="1:23" ht="16" thickTop="1" x14ac:dyDescent="0.35"/>
    <row r="21" spans="1:23" x14ac:dyDescent="0.35">
      <c r="A21" s="33" t="s">
        <v>19</v>
      </c>
      <c r="B21" s="34" t="s">
        <v>30</v>
      </c>
    </row>
    <row r="22" spans="1:23" x14ac:dyDescent="0.35">
      <c r="A22" s="41" t="s">
        <v>50</v>
      </c>
      <c r="B22" s="45">
        <v>6000000</v>
      </c>
    </row>
    <row r="23" spans="1:23" x14ac:dyDescent="0.35">
      <c r="A23" s="41" t="s">
        <v>51</v>
      </c>
      <c r="B23" s="29">
        <v>0.12</v>
      </c>
    </row>
    <row r="24" spans="1:23" x14ac:dyDescent="0.35">
      <c r="A24" s="41" t="s">
        <v>76</v>
      </c>
      <c r="B24" s="36">
        <v>10</v>
      </c>
      <c r="D24" s="86" t="s">
        <v>79</v>
      </c>
      <c r="E24" s="82"/>
    </row>
    <row r="25" spans="1:23" ht="31" x14ac:dyDescent="0.35">
      <c r="A25" s="76" t="s">
        <v>78</v>
      </c>
      <c r="B25" s="77">
        <f>PMT(B23,B24,B22)</f>
        <v>-1061904.9849590645</v>
      </c>
      <c r="C25" s="85"/>
      <c r="D25" s="84" t="s">
        <v>80</v>
      </c>
      <c r="E25" s="83">
        <f>PMT(B23/12,B24*12,Bank_Loan)</f>
        <v>-86082.569041552415</v>
      </c>
    </row>
    <row r="29" spans="1:23" ht="20" thickBot="1" x14ac:dyDescent="0.5">
      <c r="A29" s="1" t="s">
        <v>25</v>
      </c>
      <c r="M29" s="46" t="s">
        <v>73</v>
      </c>
    </row>
    <row r="30" spans="1:23" ht="16" thickTop="1" x14ac:dyDescent="0.35"/>
    <row r="31" spans="1:23" x14ac:dyDescent="0.35">
      <c r="A31" s="54" t="s">
        <v>19</v>
      </c>
      <c r="B31" s="54" t="s">
        <v>30</v>
      </c>
      <c r="C31" s="54" t="s">
        <v>31</v>
      </c>
      <c r="D31" s="54" t="s">
        <v>41</v>
      </c>
      <c r="E31" s="54" t="s">
        <v>33</v>
      </c>
      <c r="F31" s="54" t="s">
        <v>34</v>
      </c>
      <c r="G31" s="54" t="s">
        <v>35</v>
      </c>
      <c r="H31" s="54" t="s">
        <v>36</v>
      </c>
      <c r="I31" s="54" t="s">
        <v>37</v>
      </c>
      <c r="J31" s="54" t="s">
        <v>38</v>
      </c>
      <c r="K31" s="54" t="s">
        <v>39</v>
      </c>
      <c r="M31" s="54" t="s">
        <v>19</v>
      </c>
      <c r="N31" s="54" t="s">
        <v>30</v>
      </c>
      <c r="O31" s="54" t="s">
        <v>31</v>
      </c>
      <c r="P31" s="57" t="s">
        <v>32</v>
      </c>
      <c r="Q31" s="57" t="s">
        <v>33</v>
      </c>
      <c r="R31" s="57" t="s">
        <v>34</v>
      </c>
      <c r="S31" s="57" t="s">
        <v>35</v>
      </c>
      <c r="T31" s="57" t="s">
        <v>36</v>
      </c>
      <c r="U31" s="57" t="s">
        <v>37</v>
      </c>
      <c r="V31" s="57" t="s">
        <v>38</v>
      </c>
      <c r="W31" s="57" t="s">
        <v>39</v>
      </c>
    </row>
    <row r="32" spans="1:23" ht="29" customHeight="1" x14ac:dyDescent="0.35">
      <c r="A32" s="43" t="s">
        <v>47</v>
      </c>
      <c r="B32" s="27">
        <v>2</v>
      </c>
      <c r="C32" s="27">
        <v>4</v>
      </c>
      <c r="D32" s="27">
        <v>4</v>
      </c>
      <c r="E32" s="27">
        <v>4</v>
      </c>
      <c r="F32" s="27">
        <v>4</v>
      </c>
      <c r="G32" s="27">
        <v>4</v>
      </c>
      <c r="H32" s="27">
        <v>4</v>
      </c>
      <c r="I32" s="27">
        <v>4</v>
      </c>
      <c r="J32" s="27">
        <v>4</v>
      </c>
      <c r="K32" s="27">
        <v>4</v>
      </c>
      <c r="M32" s="43" t="s">
        <v>74</v>
      </c>
      <c r="N32" s="27">
        <v>20</v>
      </c>
      <c r="O32" s="27">
        <v>30</v>
      </c>
      <c r="P32" s="27">
        <v>40</v>
      </c>
      <c r="Q32" s="27">
        <v>50</v>
      </c>
      <c r="R32" s="27">
        <v>50</v>
      </c>
      <c r="S32" s="27">
        <v>50</v>
      </c>
      <c r="T32" s="27">
        <v>50</v>
      </c>
      <c r="U32" s="27">
        <v>50</v>
      </c>
      <c r="V32" s="27">
        <v>50</v>
      </c>
      <c r="W32" s="27">
        <v>50</v>
      </c>
    </row>
    <row r="33" spans="1:23" ht="24.5" customHeight="1" x14ac:dyDescent="0.35">
      <c r="A33" s="43" t="s">
        <v>48</v>
      </c>
      <c r="B33" s="28">
        <v>400</v>
      </c>
      <c r="C33" s="35">
        <f>B33*1.1</f>
        <v>440.00000000000006</v>
      </c>
      <c r="D33" s="35">
        <f t="shared" ref="D33:K33" si="1">C33*1.1</f>
        <v>484.00000000000011</v>
      </c>
      <c r="E33" s="35">
        <f t="shared" si="1"/>
        <v>532.4000000000002</v>
      </c>
      <c r="F33" s="35">
        <f t="shared" si="1"/>
        <v>585.64000000000033</v>
      </c>
      <c r="G33" s="35">
        <f t="shared" si="1"/>
        <v>644.20400000000041</v>
      </c>
      <c r="H33" s="35">
        <f t="shared" si="1"/>
        <v>708.62440000000049</v>
      </c>
      <c r="I33" s="35">
        <f t="shared" si="1"/>
        <v>779.4868400000006</v>
      </c>
      <c r="J33" s="35">
        <f t="shared" si="1"/>
        <v>857.43552400000078</v>
      </c>
      <c r="K33" s="35">
        <f t="shared" si="1"/>
        <v>943.17907640000089</v>
      </c>
      <c r="M33" s="43" t="s">
        <v>75</v>
      </c>
      <c r="N33" s="28">
        <v>600</v>
      </c>
      <c r="O33" s="35">
        <f>N33*1.1</f>
        <v>660</v>
      </c>
      <c r="P33" s="35">
        <f t="shared" ref="P33:W33" si="2">O33*1.1</f>
        <v>726.00000000000011</v>
      </c>
      <c r="Q33" s="35">
        <f t="shared" si="2"/>
        <v>798.60000000000014</v>
      </c>
      <c r="R33" s="35">
        <f t="shared" si="2"/>
        <v>878.46000000000026</v>
      </c>
      <c r="S33" s="35">
        <f t="shared" si="2"/>
        <v>966.30600000000038</v>
      </c>
      <c r="T33" s="35">
        <f t="shared" si="2"/>
        <v>1062.9366000000005</v>
      </c>
      <c r="U33" s="35">
        <f t="shared" si="2"/>
        <v>1169.2302600000005</v>
      </c>
      <c r="V33" s="35">
        <f t="shared" si="2"/>
        <v>1286.1532860000007</v>
      </c>
      <c r="W33" s="35">
        <f t="shared" si="2"/>
        <v>1414.7686146000008</v>
      </c>
    </row>
    <row r="34" spans="1:23" x14ac:dyDescent="0.35">
      <c r="A34" s="43" t="s">
        <v>65</v>
      </c>
      <c r="B34" s="52">
        <v>10</v>
      </c>
      <c r="C34" s="52">
        <v>10</v>
      </c>
      <c r="D34" s="52">
        <v>10</v>
      </c>
      <c r="E34" s="52">
        <v>10</v>
      </c>
      <c r="F34" s="52">
        <v>10</v>
      </c>
      <c r="G34" s="52">
        <v>10</v>
      </c>
      <c r="H34" s="52">
        <v>10</v>
      </c>
      <c r="I34" s="52">
        <v>10</v>
      </c>
      <c r="J34" s="52">
        <v>10</v>
      </c>
      <c r="K34" s="52">
        <v>10</v>
      </c>
    </row>
    <row r="37" spans="1:23" x14ac:dyDescent="0.35">
      <c r="A37" s="16" t="s">
        <v>21</v>
      </c>
      <c r="B37" s="13" t="s">
        <v>30</v>
      </c>
      <c r="C37" s="13" t="s">
        <v>31</v>
      </c>
      <c r="D37" s="17" t="s">
        <v>32</v>
      </c>
      <c r="E37" s="17" t="s">
        <v>33</v>
      </c>
      <c r="F37" s="17" t="s">
        <v>34</v>
      </c>
      <c r="G37" s="17" t="s">
        <v>35</v>
      </c>
      <c r="H37" s="17" t="s">
        <v>36</v>
      </c>
      <c r="I37" s="17" t="s">
        <v>37</v>
      </c>
      <c r="J37" s="17" t="s">
        <v>38</v>
      </c>
      <c r="K37" s="18" t="s">
        <v>39</v>
      </c>
    </row>
    <row r="38" spans="1:23" x14ac:dyDescent="0.35">
      <c r="A38" s="41" t="s">
        <v>49</v>
      </c>
      <c r="B38" s="31">
        <f>B32*B33*B34*30*12</f>
        <v>2880000</v>
      </c>
      <c r="C38" s="31">
        <f t="shared" ref="C38:K38" si="3">C32*C33*C34*30*12</f>
        <v>6336000.0000000019</v>
      </c>
      <c r="D38" s="31">
        <f t="shared" si="3"/>
        <v>6969600.0000000019</v>
      </c>
      <c r="E38" s="31">
        <f>E32*E33*E34*30*12</f>
        <v>7666560.0000000028</v>
      </c>
      <c r="F38" s="31">
        <f t="shared" si="3"/>
        <v>8433216.0000000037</v>
      </c>
      <c r="G38" s="31">
        <f t="shared" si="3"/>
        <v>9276537.6000000052</v>
      </c>
      <c r="H38" s="31">
        <f t="shared" si="3"/>
        <v>10204191.360000007</v>
      </c>
      <c r="I38" s="31">
        <f t="shared" si="3"/>
        <v>11224610.496000009</v>
      </c>
      <c r="J38" s="31">
        <f t="shared" si="3"/>
        <v>12347071.545600012</v>
      </c>
      <c r="K38" s="31">
        <f t="shared" si="3"/>
        <v>13581778.700160012</v>
      </c>
    </row>
    <row r="39" spans="1:23" ht="31" x14ac:dyDescent="0.35">
      <c r="A39" s="41" t="s">
        <v>26</v>
      </c>
      <c r="B39" s="26">
        <v>110000</v>
      </c>
      <c r="C39" s="19">
        <f>Revenue_Table[[#This Row],[1st Year]]*1.1</f>
        <v>121000.00000000001</v>
      </c>
      <c r="D39" s="19">
        <f>Revenue_Table[[#This Row],[2nd Year]]*1.1</f>
        <v>133100.00000000003</v>
      </c>
      <c r="E39" s="19">
        <f>Revenue_Table[[#This Row],[3rd year]]*1.1</f>
        <v>146410.00000000006</v>
      </c>
      <c r="F39" s="19">
        <f>Revenue_Table[[#This Row],[2nd Year]]*1.1</f>
        <v>133100.00000000003</v>
      </c>
      <c r="G39" s="19">
        <f>Revenue_Table[[#This Row],[3rd year]]*1.1</f>
        <v>146410.00000000006</v>
      </c>
      <c r="H39" s="19">
        <f>Revenue_Table[[#This Row],[4th Year]]*1.1</f>
        <v>161051.00000000009</v>
      </c>
      <c r="I39" s="19">
        <f>Revenue_Table[[#This Row],[3rd year]]*1.1</f>
        <v>146410.00000000006</v>
      </c>
      <c r="J39" s="19">
        <f>Revenue_Table[[#This Row],[4th Year]]*1.1</f>
        <v>161051.00000000009</v>
      </c>
      <c r="K39" s="19">
        <f>Revenue_Table[[#This Row],[5th Year]]*1.1</f>
        <v>146410.00000000006</v>
      </c>
    </row>
    <row r="40" spans="1:23" x14ac:dyDescent="0.35">
      <c r="A40" s="41" t="s">
        <v>22</v>
      </c>
      <c r="B40" s="56" t="s">
        <v>72</v>
      </c>
      <c r="C40" s="56" t="s">
        <v>72</v>
      </c>
      <c r="D40" s="56" t="s">
        <v>72</v>
      </c>
      <c r="E40" s="56" t="s">
        <v>72</v>
      </c>
      <c r="F40" s="56" t="s">
        <v>72</v>
      </c>
      <c r="G40" s="56" t="s">
        <v>72</v>
      </c>
      <c r="H40" s="56" t="s">
        <v>72</v>
      </c>
      <c r="I40" s="56" t="s">
        <v>72</v>
      </c>
      <c r="J40" s="56" t="s">
        <v>72</v>
      </c>
      <c r="K40" s="56" t="s">
        <v>72</v>
      </c>
    </row>
    <row r="41" spans="1:23" x14ac:dyDescent="0.35">
      <c r="A41" s="41" t="s">
        <v>23</v>
      </c>
      <c r="B41" s="58">
        <f>N32*N33*12</f>
        <v>144000</v>
      </c>
      <c r="C41" s="58">
        <f t="shared" ref="C41:K41" si="4">O32*O33*12</f>
        <v>237600</v>
      </c>
      <c r="D41" s="58">
        <f t="shared" si="4"/>
        <v>348480.00000000006</v>
      </c>
      <c r="E41" s="58">
        <f t="shared" si="4"/>
        <v>479160.00000000012</v>
      </c>
      <c r="F41" s="58">
        <f t="shared" si="4"/>
        <v>527076.00000000023</v>
      </c>
      <c r="G41" s="58">
        <f t="shared" si="4"/>
        <v>579783.60000000021</v>
      </c>
      <c r="H41" s="58">
        <f t="shared" si="4"/>
        <v>637761.96000000031</v>
      </c>
      <c r="I41" s="58">
        <f t="shared" si="4"/>
        <v>701538.15600000031</v>
      </c>
      <c r="J41" s="58">
        <f t="shared" si="4"/>
        <v>771691.9716000004</v>
      </c>
      <c r="K41" s="58">
        <f t="shared" si="4"/>
        <v>848861.1687600005</v>
      </c>
    </row>
    <row r="42" spans="1:23" x14ac:dyDescent="0.35">
      <c r="A42" s="42" t="s">
        <v>24</v>
      </c>
      <c r="B42" s="39">
        <f>SUM(B38:B41)</f>
        <v>3134000</v>
      </c>
      <c r="C42" s="39">
        <f t="shared" ref="C42" si="5">SUM(C38:C41)</f>
        <v>6694600.0000000019</v>
      </c>
      <c r="D42" s="39">
        <f t="shared" ref="D42" si="6">SUM(D38:D41)</f>
        <v>7451180.0000000019</v>
      </c>
      <c r="E42" s="39">
        <f t="shared" ref="E42" si="7">SUM(E38:E41)</f>
        <v>8292130.0000000028</v>
      </c>
      <c r="F42" s="39">
        <f t="shared" ref="F42" si="8">SUM(F38:F41)</f>
        <v>9093392.0000000037</v>
      </c>
      <c r="G42" s="39">
        <f t="shared" ref="G42" si="9">SUM(G38:G41)</f>
        <v>10002731.200000005</v>
      </c>
      <c r="H42" s="39">
        <f t="shared" ref="H42" si="10">SUM(H38:H41)</f>
        <v>11003004.320000008</v>
      </c>
      <c r="I42" s="39">
        <f t="shared" ref="I42" si="11">SUM(I38:I41)</f>
        <v>12072558.652000008</v>
      </c>
      <c r="J42" s="39">
        <f t="shared" ref="J42" si="12">SUM(J38:J41)</f>
        <v>13279814.517200012</v>
      </c>
      <c r="K42" s="39">
        <f t="shared" ref="K42" si="13">SUM(K38:K41)</f>
        <v>14577049.868920011</v>
      </c>
    </row>
    <row r="45" spans="1:23" x14ac:dyDescent="0.35">
      <c r="D45" s="55"/>
    </row>
    <row r="46" spans="1:23" ht="20" thickBot="1" x14ac:dyDescent="0.5">
      <c r="A46" s="1" t="s">
        <v>29</v>
      </c>
    </row>
    <row r="47" spans="1:23" ht="16.5" thickTop="1" thickBot="1" x14ac:dyDescent="0.4">
      <c r="A47" s="64"/>
      <c r="B47" s="65"/>
      <c r="C47" s="65"/>
      <c r="D47" s="65"/>
      <c r="E47" s="65"/>
      <c r="F47" s="65"/>
    </row>
    <row r="48" spans="1:23" ht="31.5" thickBot="1" x14ac:dyDescent="0.4">
      <c r="A48" s="72" t="s">
        <v>27</v>
      </c>
      <c r="B48" s="63" t="s">
        <v>24</v>
      </c>
      <c r="C48" s="63" t="s">
        <v>56</v>
      </c>
      <c r="D48" s="63" t="s">
        <v>57</v>
      </c>
      <c r="E48" s="63" t="s">
        <v>18</v>
      </c>
      <c r="F48" s="66" t="s">
        <v>28</v>
      </c>
    </row>
    <row r="49" spans="1:8" x14ac:dyDescent="0.35">
      <c r="A49" s="75" t="s">
        <v>30</v>
      </c>
      <c r="B49" s="69">
        <f ca="1">INDIRECT(ADDRESS(42,ROW(B2)))</f>
        <v>3134000</v>
      </c>
      <c r="C49" s="61">
        <f>Loan_Payment_per_year</f>
        <v>-1061904.9849590645</v>
      </c>
      <c r="D49" s="61">
        <f>C17</f>
        <v>3400000</v>
      </c>
      <c r="E49" s="62">
        <f>PL_Table[[#This Row],[Bank EMI Expenses]]+PL_Table[[#This Row],[Court Expenses]]</f>
        <v>2338095.0150409355</v>
      </c>
      <c r="F49" s="78">
        <f ca="1">PL_Table[[#This Row],[Total Revenue]]-PL_Table[[#This Row],[Total Expenses]]</f>
        <v>795904.98495906452</v>
      </c>
      <c r="H49" s="21"/>
    </row>
    <row r="50" spans="1:8" x14ac:dyDescent="0.35">
      <c r="A50" s="73" t="s">
        <v>40</v>
      </c>
      <c r="B50" s="70">
        <f t="shared" ref="B50:B58" ca="1" si="14">INDIRECT(ADDRESS(42,ROW(B3)))</f>
        <v>6694600.0000000019</v>
      </c>
      <c r="C50" s="59">
        <f>Loan_Payment_per_year</f>
        <v>-1061904.9849590645</v>
      </c>
      <c r="D50" s="59">
        <f ca="1">INDIRECT(ADDRESS(17,ROW(D4)))</f>
        <v>3604000</v>
      </c>
      <c r="E50" s="60">
        <f ca="1">PL_Table[[#This Row],[Bank EMI Expenses]]+PL_Table[[#This Row],[Court Expenses]]</f>
        <v>2542095.0150409355</v>
      </c>
      <c r="F50" s="79">
        <f ca="1">PL_Table[[#This Row],[Total Revenue]]-PL_Table[[#This Row],[Total Expenses]]</f>
        <v>4152504.9849590664</v>
      </c>
    </row>
    <row r="51" spans="1:8" x14ac:dyDescent="0.35">
      <c r="A51" s="73" t="s">
        <v>41</v>
      </c>
      <c r="B51" s="70">
        <f t="shared" ca="1" si="14"/>
        <v>7451180.0000000019</v>
      </c>
      <c r="C51" s="59">
        <f>Loan_Payment_per_year</f>
        <v>-1061904.9849590645</v>
      </c>
      <c r="D51" s="59">
        <f t="shared" ref="D51:D58" ca="1" si="15">INDIRECT(ADDRESS(17,ROW(D5)))</f>
        <v>3820240</v>
      </c>
      <c r="E51" s="60">
        <f ca="1">PL_Table[[#This Row],[Bank EMI Expenses]]+PL_Table[[#This Row],[Court Expenses]]</f>
        <v>2758335.0150409355</v>
      </c>
      <c r="F51" s="79">
        <f ca="1">PL_Table[[#This Row],[Total Revenue]]-PL_Table[[#This Row],[Total Expenses]]</f>
        <v>4692844.9849590659</v>
      </c>
    </row>
    <row r="52" spans="1:8" x14ac:dyDescent="0.35">
      <c r="A52" s="73" t="s">
        <v>33</v>
      </c>
      <c r="B52" s="70">
        <f t="shared" ca="1" si="14"/>
        <v>8292130.0000000028</v>
      </c>
      <c r="C52" s="59">
        <f>Loan_Payment_per_year</f>
        <v>-1061904.9849590645</v>
      </c>
      <c r="D52" s="59">
        <f t="shared" ca="1" si="15"/>
        <v>4049454.4</v>
      </c>
      <c r="E52" s="60">
        <f ca="1">PL_Table[[#This Row],[Bank EMI Expenses]]+PL_Table[[#This Row],[Court Expenses]]</f>
        <v>2987549.4150409354</v>
      </c>
      <c r="F52" s="79">
        <f ca="1">PL_Table[[#This Row],[Total Revenue]]-PL_Table[[#This Row],[Total Expenses]]</f>
        <v>5304580.5849590674</v>
      </c>
    </row>
    <row r="53" spans="1:8" x14ac:dyDescent="0.35">
      <c r="A53" s="73" t="s">
        <v>34</v>
      </c>
      <c r="B53" s="70">
        <f t="shared" ca="1" si="14"/>
        <v>9093392.0000000037</v>
      </c>
      <c r="C53" s="59">
        <f>Loan_Payment_per_year</f>
        <v>-1061904.9849590645</v>
      </c>
      <c r="D53" s="59">
        <f t="shared" ca="1" si="15"/>
        <v>4292421.6639999999</v>
      </c>
      <c r="E53" s="60">
        <f ca="1">PL_Table[[#This Row],[Bank EMI Expenses]]+PL_Table[[#This Row],[Court Expenses]]</f>
        <v>3230516.6790409354</v>
      </c>
      <c r="F53" s="79">
        <f ca="1">PL_Table[[#This Row],[Total Revenue]]-PL_Table[[#This Row],[Total Expenses]]</f>
        <v>5862875.3209590688</v>
      </c>
    </row>
    <row r="54" spans="1:8" x14ac:dyDescent="0.35">
      <c r="A54" s="73" t="s">
        <v>35</v>
      </c>
      <c r="B54" s="70">
        <f t="shared" ca="1" si="14"/>
        <v>10002731.200000005</v>
      </c>
      <c r="C54" s="59">
        <f>Loan_Payment_per_year</f>
        <v>-1061904.9849590645</v>
      </c>
      <c r="D54" s="59">
        <f t="shared" ca="1" si="15"/>
        <v>4549966.9638400003</v>
      </c>
      <c r="E54" s="60">
        <f ca="1">PL_Table[[#This Row],[Bank EMI Expenses]]+PL_Table[[#This Row],[Court Expenses]]</f>
        <v>3488061.9788809358</v>
      </c>
      <c r="F54" s="79">
        <f ca="1">PL_Table[[#This Row],[Total Revenue]]-PL_Table[[#This Row],[Total Expenses]]</f>
        <v>6514669.2211190686</v>
      </c>
    </row>
    <row r="55" spans="1:8" x14ac:dyDescent="0.35">
      <c r="A55" s="73" t="s">
        <v>36</v>
      </c>
      <c r="B55" s="70">
        <f t="shared" ca="1" si="14"/>
        <v>11003004.320000008</v>
      </c>
      <c r="C55" s="59">
        <f>Loan_Payment_per_year</f>
        <v>-1061904.9849590645</v>
      </c>
      <c r="D55" s="59">
        <f t="shared" ca="1" si="15"/>
        <v>4822964.9816704001</v>
      </c>
      <c r="E55" s="60">
        <f ca="1">PL_Table[[#This Row],[Bank EMI Expenses]]+PL_Table[[#This Row],[Court Expenses]]</f>
        <v>3761059.9967113356</v>
      </c>
      <c r="F55" s="79">
        <f ca="1">PL_Table[[#This Row],[Total Revenue]]-PL_Table[[#This Row],[Total Expenses]]</f>
        <v>7241944.3232886717</v>
      </c>
    </row>
    <row r="56" spans="1:8" x14ac:dyDescent="0.35">
      <c r="A56" s="73" t="s">
        <v>37</v>
      </c>
      <c r="B56" s="70">
        <f t="shared" ca="1" si="14"/>
        <v>12072558.652000008</v>
      </c>
      <c r="C56" s="59">
        <f>Loan_Payment_per_year</f>
        <v>-1061904.9849590645</v>
      </c>
      <c r="D56" s="59">
        <f t="shared" ca="1" si="15"/>
        <v>5112342.880570624</v>
      </c>
      <c r="E56" s="60">
        <f ca="1">PL_Table[[#This Row],[Bank EMI Expenses]]+PL_Table[[#This Row],[Court Expenses]]</f>
        <v>4050437.8956115595</v>
      </c>
      <c r="F56" s="79">
        <f ca="1">PL_Table[[#This Row],[Total Revenue]]-PL_Table[[#This Row],[Total Expenses]]</f>
        <v>8022120.7563884482</v>
      </c>
    </row>
    <row r="57" spans="1:8" x14ac:dyDescent="0.35">
      <c r="A57" s="73" t="s">
        <v>38</v>
      </c>
      <c r="B57" s="70">
        <f t="shared" ca="1" si="14"/>
        <v>13279814.517200012</v>
      </c>
      <c r="C57" s="59">
        <f>Loan_Payment_per_year</f>
        <v>-1061904.9849590645</v>
      </c>
      <c r="D57" s="59">
        <f t="shared" ca="1" si="15"/>
        <v>5419083.4534048615</v>
      </c>
      <c r="E57" s="60">
        <f ca="1">PL_Table[[#This Row],[Bank EMI Expenses]]+PL_Table[[#This Row],[Court Expenses]]</f>
        <v>4357178.4684457965</v>
      </c>
      <c r="F57" s="79">
        <f ca="1">PL_Table[[#This Row],[Total Revenue]]-PL_Table[[#This Row],[Total Expenses]]</f>
        <v>8922636.0487542152</v>
      </c>
    </row>
    <row r="58" spans="1:8" ht="16" thickBot="1" x14ac:dyDescent="0.4">
      <c r="A58" s="74" t="s">
        <v>39</v>
      </c>
      <c r="B58" s="71">
        <f t="shared" ca="1" si="14"/>
        <v>14577049.868920011</v>
      </c>
      <c r="C58" s="67">
        <f>Loan_Payment_per_year</f>
        <v>-1061904.9849590645</v>
      </c>
      <c r="D58" s="67">
        <f t="shared" ca="1" si="15"/>
        <v>5744228.4606091529</v>
      </c>
      <c r="E58" s="68">
        <f ca="1">PL_Table[[#This Row],[Bank EMI Expenses]]+PL_Table[[#This Row],[Court Expenses]]</f>
        <v>4682323.4756500889</v>
      </c>
      <c r="F58" s="80">
        <f ca="1">PL_Table[[#This Row],[Total Revenue]]-PL_Table[[#This Row],[Total Expenses]]</f>
        <v>9894726.3932699226</v>
      </c>
      <c r="G58" s="65"/>
    </row>
  </sheetData>
  <phoneticPr fontId="7" type="noConversion"/>
  <pageMargins left="0.7" right="0.7" top="0.75" bottom="0.75" header="0.3" footer="0.3"/>
  <drawing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2B231-F946-4826-849E-6066E81A875D}">
  <dimension ref="A1:B9"/>
  <sheetViews>
    <sheetView showGridLines="0" workbookViewId="0">
      <selection activeCell="B14" sqref="B14"/>
    </sheetView>
  </sheetViews>
  <sheetFormatPr defaultRowHeight="15.5" x14ac:dyDescent="0.35"/>
  <cols>
    <col min="1" max="1" width="24.1640625" bestFit="1" customWidth="1"/>
    <col min="2" max="2" width="19.5" customWidth="1"/>
  </cols>
  <sheetData>
    <row r="1" spans="1:2" ht="20" thickBot="1" x14ac:dyDescent="0.5">
      <c r="A1" s="1" t="s">
        <v>60</v>
      </c>
    </row>
    <row r="2" spans="1:2" ht="16" thickTop="1" x14ac:dyDescent="0.35"/>
    <row r="3" spans="1:2" x14ac:dyDescent="0.35">
      <c r="A3" s="32" t="s">
        <v>61</v>
      </c>
      <c r="B3" s="45">
        <v>10000000</v>
      </c>
    </row>
    <row r="4" spans="1:2" x14ac:dyDescent="0.35">
      <c r="A4" s="32" t="s">
        <v>62</v>
      </c>
      <c r="B4" s="50">
        <v>7.0000000000000007E-2</v>
      </c>
    </row>
    <row r="5" spans="1:2" x14ac:dyDescent="0.35">
      <c r="A5" s="47" t="s">
        <v>63</v>
      </c>
      <c r="B5" s="51">
        <v>10</v>
      </c>
    </row>
    <row r="6" spans="1:2" x14ac:dyDescent="0.35">
      <c r="A6" s="48" t="s">
        <v>64</v>
      </c>
      <c r="B6" s="49">
        <f>B3*(1+B4)^B5</f>
        <v>19671513.572895657</v>
      </c>
    </row>
    <row r="9" spans="1:2" ht="31" x14ac:dyDescent="0.35">
      <c r="A9" s="43" t="s">
        <v>77</v>
      </c>
      <c r="B9" s="81">
        <f ca="1">SUM(PL_Table[Profit/Loss])</f>
        <v>61404807.603615656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1576-F006-407E-A2D4-A4AF7410CFC8}">
  <dimension ref="A2:A18"/>
  <sheetViews>
    <sheetView showGridLines="0" workbookViewId="0">
      <selection activeCell="B20" sqref="B20"/>
    </sheetView>
  </sheetViews>
  <sheetFormatPr defaultRowHeight="15.5" x14ac:dyDescent="0.35"/>
  <sheetData>
    <row r="2" spans="1:1" x14ac:dyDescent="0.35">
      <c r="A2" t="s">
        <v>68</v>
      </c>
    </row>
    <row r="3" spans="1:1" x14ac:dyDescent="0.35">
      <c r="A3" t="s">
        <v>44</v>
      </c>
    </row>
    <row r="4" spans="1:1" x14ac:dyDescent="0.35">
      <c r="A4" t="s">
        <v>45</v>
      </c>
    </row>
    <row r="7" spans="1:1" x14ac:dyDescent="0.35">
      <c r="A7" t="s">
        <v>67</v>
      </c>
    </row>
    <row r="8" spans="1:1" x14ac:dyDescent="0.35">
      <c r="A8" t="s">
        <v>52</v>
      </c>
    </row>
    <row r="9" spans="1:1" x14ac:dyDescent="0.35">
      <c r="A9" t="s">
        <v>53</v>
      </c>
    </row>
    <row r="10" spans="1:1" x14ac:dyDescent="0.35">
      <c r="A10" t="s">
        <v>54</v>
      </c>
    </row>
    <row r="11" spans="1:1" x14ac:dyDescent="0.35">
      <c r="A11" t="s">
        <v>55</v>
      </c>
    </row>
    <row r="13" spans="1:1" x14ac:dyDescent="0.35">
      <c r="A13" t="s">
        <v>69</v>
      </c>
    </row>
    <row r="14" spans="1:1" x14ac:dyDescent="0.35">
      <c r="A14" t="s">
        <v>81</v>
      </c>
    </row>
    <row r="15" spans="1:1" x14ac:dyDescent="0.35">
      <c r="A15" t="s">
        <v>70</v>
      </c>
    </row>
    <row r="16" spans="1:1" x14ac:dyDescent="0.35">
      <c r="A16" t="s">
        <v>82</v>
      </c>
    </row>
    <row r="17" spans="1:1" x14ac:dyDescent="0.35">
      <c r="A17" t="s">
        <v>83</v>
      </c>
    </row>
    <row r="18" spans="1:1" x14ac:dyDescent="0.35">
      <c r="A18"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Introduction</vt:lpstr>
      <vt:lpstr>Estimation</vt:lpstr>
      <vt:lpstr>Other Investments Estimation</vt:lpstr>
      <vt:lpstr>Suggestions</vt:lpstr>
      <vt:lpstr>Area_of_a_single_court</vt:lpstr>
      <vt:lpstr>Bank_Loan</vt:lpstr>
      <vt:lpstr>Down_payment</vt:lpstr>
      <vt:lpstr>Loan_Payment_per_year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S Kulkarni</dc:creator>
  <cp:lastModifiedBy>Dheeraj S Kulkarni</cp:lastModifiedBy>
  <dcterms:created xsi:type="dcterms:W3CDTF">2023-10-21T23:23:52Z</dcterms:created>
  <dcterms:modified xsi:type="dcterms:W3CDTF">2023-11-26T22:13:31Z</dcterms:modified>
</cp:coreProperties>
</file>